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drawings/drawing3.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6.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worksheets/sheet1.xml" ContentType="application/vnd.openxmlformats-officedocument.spreadsheetml.worksheet+xml"/>
  <Override PartName="/xl/charts/chart2.xml" ContentType="application/vnd.openxmlformats-officedocument.drawingml.char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20.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comments5.xml" ContentType="application/vnd.openxmlformats-officedocument.spreadsheetml.comment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customXml/itemProps59.xml" ContentType="application/vnd.openxmlformats-officedocument.customXmlProperties+xml"/>
  <Override PartName="/docProps/core.xml" ContentType="application/vnd.openxmlformats-package.core-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48.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52.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6.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comments15.xml" ContentType="application/vnd.openxmlformats-officedocument.spreadsheetml.comments+xml"/>
  <Override PartName="/customXml/itemProps4.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8.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xl/comments9.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2.xml" ContentType="application/vnd.openxmlformats-officedocument.spreadsheetml.comments+xml"/>
  <Override PartName="/customXml/itemProps1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2.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0.xml" ContentType="application/vnd.openxmlformats-officedocument.customXmlProperties+xml"/>
  <Override PartName="/customXml/itemProps39.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16.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20.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4.xml" ContentType="application/vnd.openxmlformats-officedocument.customXmlProperties+xml"/>
  <Override PartName="/customXml/itemProps23.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44.xml" ContentType="application/vnd.openxmlformats-officedocument.customXmlProperties+xml"/>
  <Override PartName="/customXml/itemProps61.xml" ContentType="application/vnd.openxmlformats-officedocument.customXmlProperties+xml"/>
  <Override PartName="/customXml/itemProps60.xml" ContentType="application/vnd.openxmlformats-officedocument.customXmlProperties+xml"/>
  <Override PartName="/customXml/itemProps62.xml" ContentType="application/vnd.openxmlformats-officedocument.customXmlProperties+xml"/>
  <Override PartName="/docProps/custom.xml" ContentType="application/vnd.openxmlformats-officedocument.custom-properties+xml"/>
  <Override PartName="/customXml/itemProps6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M:\PGA Analysis\WA PGA\WA Monthly Report\2018\11.2018\"/>
    </mc:Choice>
  </mc:AlternateContent>
  <bookViews>
    <workbookView xWindow="-180" yWindow="-30" windowWidth="9720" windowHeight="7005" tabRatio="772" firstSheet="2" activeTab="16"/>
  </bookViews>
  <sheets>
    <sheet name="PGA Graphs 2012-13" sheetId="13" state="hidden" r:id="rId1"/>
    <sheet name="JE" sheetId="18" state="hidden" r:id="rId2"/>
    <sheet name="191010 WA Summary" sheetId="39" r:id="rId3"/>
    <sheet name="191000 WA Summary" sheetId="41" r:id="rId4"/>
    <sheet name="Jan" sheetId="5" r:id="rId5"/>
    <sheet name="Feb" sheetId="19" r:id="rId6"/>
    <sheet name="Mar" sheetId="21" r:id="rId7"/>
    <sheet name="Apr" sheetId="20" r:id="rId8"/>
    <sheet name="May" sheetId="23" r:id="rId9"/>
    <sheet name="Jun" sheetId="22" r:id="rId10"/>
    <sheet name="Jul" sheetId="24" r:id="rId11"/>
    <sheet name="Aug" sheetId="25" r:id="rId12"/>
    <sheet name="Sep" sheetId="26" r:id="rId13"/>
    <sheet name="Oct" sheetId="27" r:id="rId14"/>
    <sheet name="Nov" sheetId="28" r:id="rId15"/>
    <sheet name="Dec" sheetId="29" state="hidden" r:id="rId16"/>
    <sheet name="WA - Def-Amtz (current)" sheetId="16" r:id="rId17"/>
    <sheet name="PGA Graphs 2013-14" sheetId="30" state="hidden" r:id="rId18"/>
    <sheet name="ID Amort 191015" sheetId="14" state="hidden" r:id="rId19"/>
    <sheet name="ID Amort 191000" sheetId="7" state="hidden" r:id="rId20"/>
    <sheet name="WA Def 191010" sheetId="3" state="hidden" r:id="rId21"/>
    <sheet name="ID Def 191010" sheetId="6" state="hidden" r:id="rId22"/>
    <sheet name="ID Holdback 191015" sheetId="12" state="hidden" r:id="rId23"/>
    <sheet name="Amortization of JP Deferral" sheetId="9" state="hidden" r:id="rId24"/>
    <sheet name="WA Amort 191000" sheetId="10" state="hidden" r:id="rId25"/>
  </sheets>
  <externalReferences>
    <externalReference r:id="rId26"/>
    <externalReference r:id="rId27"/>
    <externalReference r:id="rId28"/>
  </externalReferences>
  <definedNames>
    <definedName name="Actual_Cost_Per_MMBtu" localSheetId="3">'[1]Oregon Gas Costs - 1999'!#REF!</definedName>
    <definedName name="Actual_Cost_Per_MMBtu">'[1]Oregon Gas Costs - 1999'!#REF!</definedName>
    <definedName name="Actual_Gas_Costs" localSheetId="3">#REF!</definedName>
    <definedName name="Actual_Gas_Costs">#REF!</definedName>
    <definedName name="Actual_Volumes" localSheetId="3">#REF!</definedName>
    <definedName name="Actual_Volumes">#REF!</definedName>
    <definedName name="Analysis_of_Year_to_Date_Gas_Costs___WWP_System" localSheetId="3">#REF!</definedName>
    <definedName name="Analysis_of_Year_to_Date_Gas_Costs___WWP_System">#REF!</definedName>
    <definedName name="Balancing_Account_Summary" localSheetId="3">#REF!</definedName>
    <definedName name="Balancing_Account_Summary">#REF!</definedName>
    <definedName name="Budgeted_Costs_Volumes" localSheetId="3">#REF!</definedName>
    <definedName name="Budgeted_Costs_Volumes">#REF!</definedName>
    <definedName name="Commodity_Costs" localSheetId="3">#REF!</definedName>
    <definedName name="Commodity_Costs">#REF!</definedName>
    <definedName name="_xlnm.Database" localSheetId="3">'[2]May 2000'!#REF!</definedName>
    <definedName name="_xlnm.Database">'[2]May 2000'!#REF!</definedName>
    <definedName name="EIA857_Report_Info" localSheetId="3">#REF!</definedName>
    <definedName name="EIA857_Report_Info">#REF!</definedName>
    <definedName name="InputMonth">[3]Start!$B$2</definedName>
    <definedName name="JanJunPretaxRate">[3]Start!$C$7</definedName>
    <definedName name="jj" localSheetId="3">'[1]Oregon Gas Costs - 1999'!#REF!</definedName>
    <definedName name="jj">'[1]Oregon Gas Costs - 1999'!#REF!</definedName>
    <definedName name="Journal_Entry_Dollars" localSheetId="3">#REF!</definedName>
    <definedName name="Journal_Entry_Dollars">#REF!</definedName>
    <definedName name="Journal_Entry_Volumes" localSheetId="3">#REF!</definedName>
    <definedName name="Journal_Entry_Volumes">#REF!</definedName>
    <definedName name="JournalEntryPrintArea" localSheetId="3">#REF!</definedName>
    <definedName name="JournalEntryPrintArea">#REF!</definedName>
    <definedName name="JulDecPretaxRate">[3]Start!$C$8</definedName>
    <definedName name="Notes" localSheetId="3">#REF!</definedName>
    <definedName name="Notes">#REF!</definedName>
    <definedName name="_xlnm.Print_Area" localSheetId="3">'191000 WA Summary'!$A$1:$N$22</definedName>
    <definedName name="_xlnm.Print_Area" localSheetId="2">'191010 WA Summary'!$A$1:$M$25</definedName>
    <definedName name="_xlnm.Print_Area" localSheetId="23">'Amortization of JP Deferral'!$A$1:$J$197</definedName>
    <definedName name="_xlnm.Print_Area" localSheetId="7">Apr!$A$1:$M$68</definedName>
    <definedName name="_xlnm.Print_Area" localSheetId="11">Aug!$A$1:$M$68</definedName>
    <definedName name="_xlnm.Print_Area" localSheetId="15">Dec!$A$1:$M$68</definedName>
    <definedName name="_xlnm.Print_Area" localSheetId="5">Feb!$A$1:$M$68</definedName>
    <definedName name="_xlnm.Print_Area" localSheetId="19">'ID Amort 191000'!$A$1:$J$300</definedName>
    <definedName name="_xlnm.Print_Area" localSheetId="18">'ID Amort 191015'!$A$1:$J$63</definedName>
    <definedName name="_xlnm.Print_Area" localSheetId="21">'ID Def 191010'!$A$1:$T$180</definedName>
    <definedName name="_xlnm.Print_Area" localSheetId="22">'ID Holdback 191015'!$A$1:$T$104</definedName>
    <definedName name="_xlnm.Print_Area" localSheetId="4">Jan!$A$1:$M$68</definedName>
    <definedName name="_xlnm.Print_Area" localSheetId="1">JE!$A$1:$M$32</definedName>
    <definedName name="_xlnm.Print_Area" localSheetId="10">Jul!$A$1:$M$68</definedName>
    <definedName name="_xlnm.Print_Area" localSheetId="9">Jun!$A$1:$M$68</definedName>
    <definedName name="_xlnm.Print_Area" localSheetId="6">Mar!$A$1:$M$68</definedName>
    <definedName name="_xlnm.Print_Area" localSheetId="8">May!$A$1:$M$68</definedName>
    <definedName name="_xlnm.Print_Area" localSheetId="14">Nov!$A$1:$M$68</definedName>
    <definedName name="_xlnm.Print_Area" localSheetId="13">Oct!$A$1:$M$68</definedName>
    <definedName name="_xlnm.Print_Area" localSheetId="0">'PGA Graphs 2012-13'!$P$2:$X$53</definedName>
    <definedName name="_xlnm.Print_Area" localSheetId="17">'PGA Graphs 2013-14'!$A$1:$N$66</definedName>
    <definedName name="_xlnm.Print_Area" localSheetId="12">Sep!$A$1:$M$68</definedName>
    <definedName name="_xlnm.Print_Area" localSheetId="16">'WA - Def-Amtz (current)'!$A$1:$AT$78</definedName>
    <definedName name="_xlnm.Print_Area" localSheetId="24">'WA Amort 191000'!$A$1:$J$310</definedName>
    <definedName name="_xlnm.Print_Area" localSheetId="20">'WA Def 191010'!$A$1:$R$143</definedName>
    <definedName name="_xlnm.Print_Titles" localSheetId="7">Apr!$1:$2</definedName>
    <definedName name="_xlnm.Print_Titles" localSheetId="11">Aug!$1:$2</definedName>
    <definedName name="_xlnm.Print_Titles" localSheetId="15">Dec!$1:$2</definedName>
    <definedName name="_xlnm.Print_Titles" localSheetId="5">Feb!$1:$2</definedName>
    <definedName name="_xlnm.Print_Titles" localSheetId="21">'ID Def 191010'!$1:$7</definedName>
    <definedName name="_xlnm.Print_Titles" localSheetId="22">'ID Holdback 191015'!$1:$7</definedName>
    <definedName name="_xlnm.Print_Titles" localSheetId="4">Jan!$1:$2</definedName>
    <definedName name="_xlnm.Print_Titles" localSheetId="10">Jul!$1:$2</definedName>
    <definedName name="_xlnm.Print_Titles" localSheetId="9">Jun!$1:$2</definedName>
    <definedName name="_xlnm.Print_Titles" localSheetId="6">Mar!$1:$2</definedName>
    <definedName name="_xlnm.Print_Titles" localSheetId="8">May!$1:$2</definedName>
    <definedName name="_xlnm.Print_Titles" localSheetId="14">Nov!$1:$2</definedName>
    <definedName name="_xlnm.Print_Titles" localSheetId="13">Oct!$1:$2</definedName>
    <definedName name="_xlnm.Print_Titles" localSheetId="12">Sep!$1:$2</definedName>
    <definedName name="_xlnm.Print_Titles" localSheetId="20">'WA Def 191010'!$1:$5</definedName>
    <definedName name="SPREADSHEET_DOCUMENTATION" localSheetId="3">#REF!</definedName>
    <definedName name="SPREADSHEET_DOCUMENTATION">#REF!</definedName>
    <definedName name="Summary_of_Off_system_Sales" localSheetId="3">'[1]Oregon Gas Costs - 1999'!#REF!</definedName>
    <definedName name="Summary_of_Off_system_Sales">'[1]Oregon Gas Costs - 1999'!#REF!</definedName>
    <definedName name="Transportation_Costs" localSheetId="3">#REF!</definedName>
    <definedName name="Transportation_Costs">#REF!</definedName>
  </definedNames>
  <calcPr calcId="152511"/>
</workbook>
</file>

<file path=xl/calcChain.xml><?xml version="1.0" encoding="utf-8"?>
<calcChain xmlns="http://schemas.openxmlformats.org/spreadsheetml/2006/main">
  <c r="AM13" i="16" l="1"/>
  <c r="J61" i="28"/>
  <c r="AM14" i="16"/>
  <c r="C54" i="28" l="1"/>
  <c r="C44" i="28"/>
  <c r="C18" i="28"/>
  <c r="C6" i="28"/>
  <c r="C19" i="28"/>
  <c r="C5" i="28"/>
  <c r="C9" i="28"/>
  <c r="C15" i="28"/>
  <c r="C12" i="28"/>
  <c r="C4" i="28"/>
  <c r="C8" i="28"/>
  <c r="C21" i="28"/>
  <c r="AS39" i="16" l="1"/>
  <c r="AT40" i="16"/>
  <c r="AM42" i="16"/>
  <c r="AM41" i="16"/>
  <c r="AM10" i="16"/>
  <c r="AM9" i="16"/>
  <c r="C54" i="27" l="1"/>
  <c r="C18" i="27"/>
  <c r="C5" i="27"/>
  <c r="C9" i="27"/>
  <c r="C15" i="27"/>
  <c r="C12" i="27"/>
  <c r="C6" i="27"/>
  <c r="C8" i="27"/>
  <c r="C21" i="27"/>
  <c r="C44" i="27" l="1"/>
  <c r="G37" i="27" l="1"/>
  <c r="G38" i="27"/>
  <c r="G39" i="27"/>
  <c r="G40" i="27"/>
  <c r="C54" i="26" l="1"/>
  <c r="C44" i="26"/>
  <c r="C5" i="26"/>
  <c r="C9" i="26"/>
  <c r="C15" i="26"/>
  <c r="C12" i="26"/>
  <c r="C18" i="26"/>
  <c r="C6" i="26"/>
  <c r="C4" i="26"/>
  <c r="C21" i="26"/>
  <c r="C54" i="25" l="1"/>
  <c r="C9" i="25"/>
  <c r="C15" i="25"/>
  <c r="C12" i="25"/>
  <c r="C18" i="25"/>
  <c r="C6" i="25"/>
  <c r="C10" i="25"/>
  <c r="C21" i="25"/>
  <c r="C53" i="25" l="1"/>
  <c r="C44" i="25" l="1"/>
  <c r="D22" i="39" l="1"/>
  <c r="K24" i="41"/>
  <c r="K23" i="41"/>
  <c r="K22" i="41"/>
  <c r="L22" i="41" l="1"/>
  <c r="C6" i="5" l="1"/>
  <c r="C10" i="19"/>
  <c r="C6" i="19"/>
  <c r="C6" i="21"/>
  <c r="C6" i="20"/>
  <c r="C6" i="23"/>
  <c r="C10" i="22"/>
  <c r="C6" i="22"/>
  <c r="C6" i="24"/>
  <c r="L23" i="39"/>
  <c r="L24" i="39"/>
  <c r="L22" i="39"/>
  <c r="L23" i="41" l="1"/>
  <c r="M22" i="39" l="1"/>
  <c r="M23" i="39" l="1"/>
  <c r="AL37" i="16" l="1"/>
  <c r="AM24" i="16"/>
  <c r="AM23" i="16"/>
  <c r="AM22" i="16"/>
  <c r="AM21" i="16"/>
  <c r="AM20" i="16"/>
  <c r="AM19" i="16"/>
  <c r="AL24" i="16"/>
  <c r="AL23" i="16"/>
  <c r="AL22" i="16"/>
  <c r="AL21" i="16"/>
  <c r="AL20" i="16"/>
  <c r="AL19" i="16"/>
  <c r="AK24" i="16"/>
  <c r="AK23" i="16"/>
  <c r="AK22" i="16"/>
  <c r="AK21" i="16"/>
  <c r="AK19" i="16"/>
  <c r="AK20" i="16"/>
  <c r="AJ24" i="16"/>
  <c r="AJ23" i="16"/>
  <c r="AJ22" i="16"/>
  <c r="AJ21" i="16"/>
  <c r="AJ20" i="16"/>
  <c r="AJ19" i="16"/>
  <c r="AJ39" i="16" s="1"/>
  <c r="AI24" i="16"/>
  <c r="AI23" i="16"/>
  <c r="AI22" i="16"/>
  <c r="AI21" i="16"/>
  <c r="AI20" i="16"/>
  <c r="AI19" i="16"/>
  <c r="AI39" i="16" s="1"/>
  <c r="AI72" i="16"/>
  <c r="AI61" i="16"/>
  <c r="AI57" i="16"/>
  <c r="AI56" i="16"/>
  <c r="AI55" i="16"/>
  <c r="AI54" i="16"/>
  <c r="AI53" i="16"/>
  <c r="AI52" i="16"/>
  <c r="AI51" i="16"/>
  <c r="AI50" i="16"/>
  <c r="AI49" i="16"/>
  <c r="AI48" i="16"/>
  <c r="AI37" i="16"/>
  <c r="AI36" i="16"/>
  <c r="AI28" i="16"/>
  <c r="AI18" i="16"/>
  <c r="AL72" i="16"/>
  <c r="AK72" i="16"/>
  <c r="AJ72" i="16"/>
  <c r="AL61" i="16"/>
  <c r="AK61" i="16"/>
  <c r="AJ61" i="16"/>
  <c r="AL57" i="16"/>
  <c r="AK57" i="16"/>
  <c r="AJ57" i="16"/>
  <c r="AL56" i="16"/>
  <c r="AK56" i="16"/>
  <c r="AJ56" i="16"/>
  <c r="AL55" i="16"/>
  <c r="AK55" i="16"/>
  <c r="AJ55" i="16"/>
  <c r="AL54" i="16"/>
  <c r="AK54" i="16"/>
  <c r="AJ54" i="16"/>
  <c r="AL53" i="16"/>
  <c r="AK53" i="16"/>
  <c r="AJ53" i="16"/>
  <c r="AL52" i="16"/>
  <c r="AK52" i="16"/>
  <c r="AJ52" i="16"/>
  <c r="AL51" i="16"/>
  <c r="AK51" i="16"/>
  <c r="AJ51" i="16"/>
  <c r="AL50" i="16"/>
  <c r="AK50" i="16"/>
  <c r="AJ50" i="16"/>
  <c r="AL49" i="16"/>
  <c r="AL58" i="16" s="1"/>
  <c r="AK49" i="16"/>
  <c r="AK58" i="16" s="1"/>
  <c r="AJ49" i="16"/>
  <c r="AJ58" i="16" s="1"/>
  <c r="AL48" i="16"/>
  <c r="AK48" i="16"/>
  <c r="AJ48" i="16"/>
  <c r="AK37" i="16"/>
  <c r="AJ37" i="16"/>
  <c r="AL36" i="16"/>
  <c r="AK36" i="16"/>
  <c r="AJ36" i="16"/>
  <c r="AL28" i="16"/>
  <c r="AK28" i="16"/>
  <c r="AJ28" i="16"/>
  <c r="AL18" i="16"/>
  <c r="AK18" i="16"/>
  <c r="AJ18" i="16"/>
  <c r="AK44" i="16"/>
  <c r="AK14" i="16"/>
  <c r="AJ14" i="16"/>
  <c r="AI77" i="16"/>
  <c r="AI44" i="16"/>
  <c r="AI14" i="16"/>
  <c r="AJ77" i="16"/>
  <c r="AJ44" i="16"/>
  <c r="AL77" i="16"/>
  <c r="AL44" i="16"/>
  <c r="AL14" i="16"/>
  <c r="AK77" i="16"/>
  <c r="AL39" i="16" l="1"/>
  <c r="AK39" i="16"/>
  <c r="AI58" i="16"/>
  <c r="AI25" i="16"/>
  <c r="AK25" i="16"/>
  <c r="AL25" i="16"/>
  <c r="AJ25" i="16"/>
  <c r="C31" i="24"/>
  <c r="C54" i="24"/>
  <c r="C44" i="24"/>
  <c r="C19" i="24" l="1"/>
  <c r="C5" i="24"/>
  <c r="C9" i="24"/>
  <c r="C15" i="24"/>
  <c r="C12" i="24"/>
  <c r="C18" i="24"/>
  <c r="C4" i="24"/>
  <c r="C10" i="24"/>
  <c r="C8" i="24"/>
  <c r="C21" i="24"/>
  <c r="AH24" i="16" l="1"/>
  <c r="AH23" i="16"/>
  <c r="AH22" i="16"/>
  <c r="AH21" i="16"/>
  <c r="AH20" i="16"/>
  <c r="AH19" i="16"/>
  <c r="AH39" i="16" s="1"/>
  <c r="AH72" i="16"/>
  <c r="AH61" i="16"/>
  <c r="AH57" i="16"/>
  <c r="AH56" i="16"/>
  <c r="AH55" i="16"/>
  <c r="AH54" i="16"/>
  <c r="AH53" i="16"/>
  <c r="AH52" i="16"/>
  <c r="AH51" i="16"/>
  <c r="AH50" i="16"/>
  <c r="AH49" i="16"/>
  <c r="AH48" i="16"/>
  <c r="AH37" i="16"/>
  <c r="AH36" i="16"/>
  <c r="AH28" i="16"/>
  <c r="AH18" i="16"/>
  <c r="AH58" i="16" l="1"/>
  <c r="AH25" i="16"/>
  <c r="AG24" i="16"/>
  <c r="AG23" i="16"/>
  <c r="AG22" i="16"/>
  <c r="AG21" i="16"/>
  <c r="AG20" i="16"/>
  <c r="AG19" i="16"/>
  <c r="AG72" i="16"/>
  <c r="AG61" i="16"/>
  <c r="AG57" i="16"/>
  <c r="AG56" i="16"/>
  <c r="AG55" i="16"/>
  <c r="AG54" i="16"/>
  <c r="AG53" i="16"/>
  <c r="AG52" i="16"/>
  <c r="AG51" i="16"/>
  <c r="AG50" i="16"/>
  <c r="AG49" i="16"/>
  <c r="AG48" i="16"/>
  <c r="AG37" i="16"/>
  <c r="AG36" i="16"/>
  <c r="AG28" i="16"/>
  <c r="AG18" i="16"/>
  <c r="C54" i="22"/>
  <c r="C44" i="22"/>
  <c r="C19" i="22"/>
  <c r="C5" i="22"/>
  <c r="C9" i="22"/>
  <c r="C15" i="22"/>
  <c r="C12" i="22"/>
  <c r="C18" i="22"/>
  <c r="C4" i="22"/>
  <c r="C21" i="22"/>
  <c r="AH14" i="16"/>
  <c r="AH77" i="16"/>
  <c r="AH44" i="16"/>
  <c r="AG14" i="16"/>
  <c r="AG77" i="16"/>
  <c r="AG44" i="16"/>
  <c r="AG39" i="16" l="1"/>
  <c r="AG58" i="16"/>
  <c r="AG25" i="16"/>
  <c r="C54" i="23" l="1"/>
  <c r="C19" i="23"/>
  <c r="C5" i="23"/>
  <c r="C9" i="23"/>
  <c r="C15" i="23"/>
  <c r="C12" i="23"/>
  <c r="C18" i="23"/>
  <c r="C4" i="23"/>
  <c r="C8" i="23"/>
  <c r="C21" i="23"/>
  <c r="C44" i="23" l="1"/>
  <c r="C53" i="23" l="1"/>
  <c r="G38" i="23"/>
  <c r="G39" i="23"/>
  <c r="G40" i="23"/>
  <c r="G41" i="23"/>
  <c r="G42" i="23"/>
  <c r="G43" i="23"/>
  <c r="G44" i="23"/>
  <c r="G37" i="23"/>
  <c r="K36" i="23"/>
  <c r="K37" i="23"/>
  <c r="AM72" i="16" l="1"/>
  <c r="AM61" i="16"/>
  <c r="AM57" i="16"/>
  <c r="AM56" i="16"/>
  <c r="AM55" i="16"/>
  <c r="AM54" i="16"/>
  <c r="AM53" i="16"/>
  <c r="AM52" i="16"/>
  <c r="AM51" i="16"/>
  <c r="AM50" i="16"/>
  <c r="AM49" i="16"/>
  <c r="AM48" i="16"/>
  <c r="AM37" i="16"/>
  <c r="AM36" i="16"/>
  <c r="AM28" i="16"/>
  <c r="AM18" i="16"/>
  <c r="AM44" i="16"/>
  <c r="AM77" i="16"/>
  <c r="AM58" i="16" l="1"/>
  <c r="AM25" i="16"/>
  <c r="AF24" i="16" l="1"/>
  <c r="AF23" i="16"/>
  <c r="AF22" i="16"/>
  <c r="C19" i="20" l="1"/>
  <c r="C5" i="20"/>
  <c r="C9" i="20"/>
  <c r="C15" i="20"/>
  <c r="C12" i="20"/>
  <c r="C18" i="20"/>
  <c r="C4" i="20"/>
  <c r="C8" i="20"/>
  <c r="C21" i="20"/>
  <c r="C54" i="20"/>
  <c r="C44" i="20" l="1"/>
  <c r="C41" i="20" l="1"/>
  <c r="AF20" i="16"/>
  <c r="AF21" i="16"/>
  <c r="AF19" i="16"/>
  <c r="AF39" i="16" s="1"/>
  <c r="AF25" i="16" l="1"/>
  <c r="AF72" i="16"/>
  <c r="AF61" i="16"/>
  <c r="AF57" i="16"/>
  <c r="AF56" i="16"/>
  <c r="AF55" i="16"/>
  <c r="AF54" i="16"/>
  <c r="AF53" i="16"/>
  <c r="AF52" i="16"/>
  <c r="AF51" i="16"/>
  <c r="AF50" i="16"/>
  <c r="AF49" i="16"/>
  <c r="AF48" i="16"/>
  <c r="AF37" i="16"/>
  <c r="AF36" i="16"/>
  <c r="AF28" i="16"/>
  <c r="AF18" i="16"/>
  <c r="AF44" i="16"/>
  <c r="AF77" i="16"/>
  <c r="AF14" i="16"/>
  <c r="AF58" i="16" l="1"/>
  <c r="AE14" i="16"/>
  <c r="H7" i="41" l="1"/>
  <c r="I7" i="41" s="1"/>
  <c r="K19" i="41"/>
  <c r="K20" i="41"/>
  <c r="K21" i="41"/>
  <c r="L19" i="39"/>
  <c r="L20" i="39"/>
  <c r="L21" i="39"/>
  <c r="K8" i="41"/>
  <c r="K12" i="41"/>
  <c r="K16" i="41"/>
  <c r="K9" i="41"/>
  <c r="K13" i="41"/>
  <c r="K17" i="41"/>
  <c r="K10" i="41"/>
  <c r="K14" i="41"/>
  <c r="K18" i="41"/>
  <c r="K11" i="41"/>
  <c r="K15" i="41"/>
  <c r="K7" i="41"/>
  <c r="F8" i="41" l="1"/>
  <c r="H8" i="41" l="1"/>
  <c r="I8" i="41"/>
  <c r="L7" i="41"/>
  <c r="F9" i="41"/>
  <c r="I7" i="39"/>
  <c r="J7" i="39" s="1"/>
  <c r="L7" i="39"/>
  <c r="L8" i="39"/>
  <c r="L12" i="39"/>
  <c r="L16" i="39"/>
  <c r="L9" i="39"/>
  <c r="L13" i="39"/>
  <c r="L17" i="39"/>
  <c r="L10" i="39"/>
  <c r="L14" i="39"/>
  <c r="L18" i="39"/>
  <c r="L11" i="39"/>
  <c r="L15" i="39"/>
  <c r="H9" i="41" l="1"/>
  <c r="I9" i="41"/>
  <c r="M7" i="39"/>
  <c r="L8" i="41"/>
  <c r="F10" i="41" l="1"/>
  <c r="L9" i="41"/>
  <c r="H10" i="41" l="1"/>
  <c r="I10" i="41" s="1"/>
  <c r="F8" i="39"/>
  <c r="I8" i="39" s="1"/>
  <c r="F11" i="41" l="1"/>
  <c r="L10" i="41"/>
  <c r="J8" i="39"/>
  <c r="M8" i="39" s="1"/>
  <c r="H11" i="41" l="1"/>
  <c r="I11" i="41" s="1"/>
  <c r="F9" i="39"/>
  <c r="I9" i="39" s="1"/>
  <c r="F12" i="41" l="1"/>
  <c r="L11" i="41"/>
  <c r="J9" i="39"/>
  <c r="M9" i="39" s="1"/>
  <c r="H12" i="41" l="1"/>
  <c r="I12" i="41" s="1"/>
  <c r="F10" i="39"/>
  <c r="I10" i="39" s="1"/>
  <c r="L12" i="41" l="1"/>
  <c r="F13" i="41"/>
  <c r="J10" i="39"/>
  <c r="M10" i="39" s="1"/>
  <c r="H13" i="41" l="1"/>
  <c r="I13" i="41" s="1"/>
  <c r="F11" i="39"/>
  <c r="I11" i="39" s="1"/>
  <c r="F14" i="41" l="1"/>
  <c r="L13" i="41"/>
  <c r="J11" i="39"/>
  <c r="M11" i="39" s="1"/>
  <c r="H14" i="41" l="1"/>
  <c r="I14" i="41" s="1"/>
  <c r="F12" i="39"/>
  <c r="I12" i="39" s="1"/>
  <c r="F15" i="41" l="1"/>
  <c r="L14" i="41"/>
  <c r="J12" i="39"/>
  <c r="E17" i="39" s="1"/>
  <c r="H15" i="41" l="1"/>
  <c r="I15" i="41" s="1"/>
  <c r="M12" i="39"/>
  <c r="F13" i="39"/>
  <c r="I13" i="39" s="1"/>
  <c r="F16" i="41" l="1"/>
  <c r="L15" i="41"/>
  <c r="J13" i="39"/>
  <c r="M13" i="39" s="1"/>
  <c r="H16" i="41" l="1"/>
  <c r="I16" i="41" s="1"/>
  <c r="F14" i="39"/>
  <c r="I14" i="39" s="1"/>
  <c r="H17" i="41" l="1"/>
  <c r="L16" i="41"/>
  <c r="F17" i="41"/>
  <c r="I17" i="41" s="1"/>
  <c r="H18" i="41" s="1"/>
  <c r="J14" i="39"/>
  <c r="M14" i="39" s="1"/>
  <c r="F15" i="39" l="1"/>
  <c r="I15" i="39" s="1"/>
  <c r="L17" i="41" l="1"/>
  <c r="F18" i="41"/>
  <c r="I18" i="41" s="1"/>
  <c r="J15" i="39"/>
  <c r="M15" i="39" s="1"/>
  <c r="F19" i="41" l="1"/>
  <c r="L18" i="41"/>
  <c r="F16" i="39"/>
  <c r="I16" i="39" s="1"/>
  <c r="H19" i="41" l="1"/>
  <c r="I19" i="41" s="1"/>
  <c r="J16" i="39"/>
  <c r="F17" i="39" s="1"/>
  <c r="F20" i="41" l="1"/>
  <c r="H20" i="41"/>
  <c r="L19" i="41"/>
  <c r="M16" i="39"/>
  <c r="I17" i="39"/>
  <c r="M17" i="39"/>
  <c r="I20" i="41" l="1"/>
  <c r="F21" i="41" s="1"/>
  <c r="H21" i="41" s="1"/>
  <c r="I21" i="41" s="1"/>
  <c r="J17" i="39"/>
  <c r="F18" i="39"/>
  <c r="I18" i="39" s="1"/>
  <c r="L21" i="41" l="1"/>
  <c r="F22" i="41"/>
  <c r="H22" i="41" s="1"/>
  <c r="I22" i="41" s="1"/>
  <c r="L20" i="41"/>
  <c r="J18" i="39"/>
  <c r="M18" i="39" l="1"/>
  <c r="F19" i="39"/>
  <c r="H23" i="41"/>
  <c r="F23" i="41"/>
  <c r="I23" i="41" s="1"/>
  <c r="F24" i="41" s="1"/>
  <c r="H24" i="41" s="1"/>
  <c r="I24" i="41" s="1"/>
  <c r="L24" i="41" s="1"/>
  <c r="I19" i="39"/>
  <c r="J19" i="39" l="1"/>
  <c r="M19" i="39" s="1"/>
  <c r="F20" i="39" l="1"/>
  <c r="I20" i="39" s="1"/>
  <c r="J20" i="39" l="1"/>
  <c r="M20" i="39" s="1"/>
  <c r="F21" i="39" l="1"/>
  <c r="I21" i="39" s="1"/>
  <c r="J21" i="39" l="1"/>
  <c r="M21" i="39" l="1"/>
  <c r="F22" i="39"/>
  <c r="I22" i="39" l="1"/>
  <c r="J22" i="39"/>
  <c r="F23" i="39" s="1"/>
  <c r="I23" i="39" l="1"/>
  <c r="J23" i="39"/>
  <c r="F24" i="39" s="1"/>
  <c r="I24" i="39" s="1"/>
  <c r="J24" i="39" s="1"/>
  <c r="M24" i="39" s="1"/>
  <c r="K40" i="21" l="1"/>
  <c r="C53" i="21" l="1"/>
  <c r="C18" i="21"/>
  <c r="C21" i="21"/>
  <c r="C4" i="21"/>
  <c r="C8" i="21"/>
  <c r="C5" i="21"/>
  <c r="C9" i="21"/>
  <c r="C15" i="21"/>
  <c r="C12" i="21"/>
  <c r="C54" i="21"/>
  <c r="C44" i="21" l="1"/>
  <c r="AE24" i="16" l="1"/>
  <c r="AE22" i="16"/>
  <c r="AE23" i="16"/>
  <c r="AE20" i="16"/>
  <c r="AE21" i="16"/>
  <c r="AE19" i="16"/>
  <c r="AE72" i="16"/>
  <c r="AE61" i="16"/>
  <c r="AE57" i="16"/>
  <c r="AE56" i="16"/>
  <c r="AE55" i="16"/>
  <c r="AE54" i="16"/>
  <c r="AE53" i="16"/>
  <c r="AE52" i="16"/>
  <c r="AE51" i="16"/>
  <c r="AE50" i="16"/>
  <c r="AE49" i="16"/>
  <c r="AE48" i="16"/>
  <c r="AE37" i="16"/>
  <c r="AE36" i="16"/>
  <c r="AE28" i="16"/>
  <c r="AE18" i="16"/>
  <c r="AE77" i="16"/>
  <c r="AE44" i="16"/>
  <c r="AE39" i="16" l="1"/>
  <c r="AE58" i="16"/>
  <c r="AE25" i="16"/>
  <c r="R25" i="16" l="1"/>
  <c r="R39" i="16" l="1"/>
  <c r="C19" i="19" l="1"/>
  <c r="C5" i="19"/>
  <c r="C9" i="19"/>
  <c r="C15" i="19"/>
  <c r="C12" i="19"/>
  <c r="C18" i="19"/>
  <c r="C21" i="19"/>
  <c r="C54" i="19"/>
  <c r="AD19" i="16" l="1"/>
  <c r="AC23" i="16" l="1"/>
  <c r="AD23" i="16"/>
  <c r="C23" i="16" l="1"/>
  <c r="D23" i="16"/>
  <c r="AD42" i="16" l="1"/>
  <c r="AD50" i="16" l="1"/>
  <c r="AD51" i="16"/>
  <c r="AD52" i="16"/>
  <c r="AD53" i="16"/>
  <c r="AD54" i="16"/>
  <c r="AD55" i="16"/>
  <c r="AD56" i="16"/>
  <c r="AD57" i="16"/>
  <c r="AD49" i="16"/>
  <c r="AD20" i="16"/>
  <c r="AD21" i="16"/>
  <c r="AD22" i="16"/>
  <c r="AD24" i="16"/>
  <c r="AC50" i="16"/>
  <c r="AC51" i="16"/>
  <c r="AC52" i="16"/>
  <c r="AC53" i="16"/>
  <c r="AC54" i="16"/>
  <c r="AC55" i="16"/>
  <c r="AC56" i="16"/>
  <c r="AC57" i="16"/>
  <c r="AC49" i="16"/>
  <c r="AD18" i="16"/>
  <c r="AC18" i="16"/>
  <c r="AC20" i="16"/>
  <c r="AC21" i="16"/>
  <c r="AC22" i="16"/>
  <c r="AC24" i="16"/>
  <c r="AC19" i="16"/>
  <c r="AC72" i="16"/>
  <c r="AC61" i="16"/>
  <c r="AC48" i="16"/>
  <c r="AC37" i="16"/>
  <c r="AC36" i="16"/>
  <c r="AC28" i="16"/>
  <c r="C44" i="19"/>
  <c r="AD39" i="16" l="1"/>
  <c r="AC39" i="16"/>
  <c r="AD58" i="16"/>
  <c r="AC25" i="16"/>
  <c r="AD25" i="16"/>
  <c r="AC58" i="16"/>
  <c r="Q39" i="16"/>
  <c r="C54" i="5" l="1"/>
  <c r="C19" i="5" l="1"/>
  <c r="C5" i="5"/>
  <c r="C9" i="5"/>
  <c r="C15" i="5"/>
  <c r="C12" i="5"/>
  <c r="C18" i="5"/>
  <c r="C21" i="5"/>
  <c r="C53" i="5" l="1"/>
  <c r="AC14" i="16"/>
  <c r="AC77" i="16"/>
  <c r="AC44" i="16"/>
  <c r="C44" i="5" l="1"/>
  <c r="AD37" i="16" l="1"/>
  <c r="AO34" i="16" l="1"/>
  <c r="AA9" i="16"/>
  <c r="C6" i="16" l="1"/>
  <c r="D6" i="16"/>
  <c r="AD72" i="16"/>
  <c r="AD61" i="16"/>
  <c r="AD48" i="16"/>
  <c r="AD36" i="16"/>
  <c r="AD28" i="16"/>
  <c r="AD77" i="16"/>
  <c r="AD14" i="16"/>
  <c r="AD44" i="16"/>
  <c r="D73" i="16" l="1"/>
  <c r="D59" i="16"/>
  <c r="D42" i="16"/>
  <c r="D41" i="16"/>
  <c r="D38" i="16"/>
  <c r="D26" i="16"/>
  <c r="D12" i="16"/>
  <c r="D5" i="16"/>
  <c r="Q72" i="16"/>
  <c r="R72" i="16" s="1"/>
  <c r="Q61" i="16"/>
  <c r="R61" i="16" s="1"/>
  <c r="C59" i="16"/>
  <c r="Q48" i="16"/>
  <c r="R48" i="16" s="1"/>
  <c r="C42" i="16" l="1"/>
  <c r="C41" i="16"/>
  <c r="Q36" i="16"/>
  <c r="R36" i="16" s="1"/>
  <c r="Q28" i="16"/>
  <c r="R28" i="16" s="1"/>
  <c r="C26" i="16"/>
  <c r="Q18" i="16"/>
  <c r="R18" i="16" s="1"/>
  <c r="Q44" i="16"/>
  <c r="Q14" i="16"/>
  <c r="C12" i="16" l="1"/>
  <c r="R3" i="16"/>
  <c r="Q77" i="16"/>
  <c r="F3" i="16" l="1"/>
  <c r="F18" i="16"/>
  <c r="G18" i="16" s="1"/>
  <c r="H18" i="16" s="1"/>
  <c r="I18" i="16" s="1"/>
  <c r="J18" i="16" s="1"/>
  <c r="K18" i="16" s="1"/>
  <c r="L18" i="16" s="1"/>
  <c r="M18" i="16" s="1"/>
  <c r="N18" i="16" s="1"/>
  <c r="O18" i="16" s="1"/>
  <c r="P18" i="16" s="1"/>
  <c r="F25" i="16"/>
  <c r="G25" i="16"/>
  <c r="H25" i="16"/>
  <c r="I25" i="16"/>
  <c r="J25" i="16"/>
  <c r="K25" i="16"/>
  <c r="L25" i="16"/>
  <c r="M25" i="16"/>
  <c r="N25" i="16"/>
  <c r="O25" i="16"/>
  <c r="P25" i="16"/>
  <c r="F28" i="16"/>
  <c r="G28" i="16" s="1"/>
  <c r="H28" i="16" s="1"/>
  <c r="I28" i="16" s="1"/>
  <c r="J28" i="16" s="1"/>
  <c r="K28" i="16" s="1"/>
  <c r="L28" i="16" s="1"/>
  <c r="M28" i="16" s="1"/>
  <c r="N28" i="16" s="1"/>
  <c r="O28" i="16" s="1"/>
  <c r="P28" i="16" s="1"/>
  <c r="F36" i="16"/>
  <c r="P39" i="16"/>
  <c r="F48" i="16"/>
  <c r="G48" i="16" s="1"/>
  <c r="H48" i="16" s="1"/>
  <c r="I48" i="16" s="1"/>
  <c r="J48" i="16" s="1"/>
  <c r="K48" i="16" s="1"/>
  <c r="L48" i="16" s="1"/>
  <c r="M48" i="16" s="1"/>
  <c r="N48" i="16" s="1"/>
  <c r="O48" i="16" s="1"/>
  <c r="P48" i="16" s="1"/>
  <c r="F58" i="16"/>
  <c r="G58" i="16"/>
  <c r="H58" i="16"/>
  <c r="I58" i="16"/>
  <c r="J58" i="16"/>
  <c r="K58" i="16"/>
  <c r="L58" i="16"/>
  <c r="M58" i="16"/>
  <c r="N58" i="16"/>
  <c r="O58" i="16"/>
  <c r="P58" i="16"/>
  <c r="F61" i="16"/>
  <c r="G61" i="16" s="1"/>
  <c r="H61" i="16" s="1"/>
  <c r="I61" i="16" s="1"/>
  <c r="J61" i="16" s="1"/>
  <c r="K61" i="16" s="1"/>
  <c r="L61" i="16" s="1"/>
  <c r="M61" i="16" s="1"/>
  <c r="N61" i="16" s="1"/>
  <c r="O61" i="16" s="1"/>
  <c r="P61" i="16" s="1"/>
  <c r="F72" i="16"/>
  <c r="G72" i="16" s="1"/>
  <c r="H72" i="16" s="1"/>
  <c r="I72" i="16" s="1"/>
  <c r="J72" i="16" s="1"/>
  <c r="K72" i="16" s="1"/>
  <c r="L72" i="16" s="1"/>
  <c r="M72" i="16" s="1"/>
  <c r="N72" i="16" s="1"/>
  <c r="O72" i="16" s="1"/>
  <c r="P72" i="16" s="1"/>
  <c r="F14" i="16"/>
  <c r="F44" i="16"/>
  <c r="F77" i="16"/>
  <c r="O77" i="16"/>
  <c r="L77" i="16"/>
  <c r="I77" i="16"/>
  <c r="J77" i="16"/>
  <c r="H77" i="16"/>
  <c r="G77" i="16"/>
  <c r="K77" i="16"/>
  <c r="M77" i="16"/>
  <c r="N77" i="16"/>
  <c r="P77" i="16"/>
  <c r="G36" i="16" l="1"/>
  <c r="G3" i="16"/>
  <c r="G14" i="16"/>
  <c r="G44" i="16"/>
  <c r="H3" i="16" l="1"/>
  <c r="H36" i="16"/>
  <c r="H14" i="16"/>
  <c r="H44" i="16"/>
  <c r="I36" i="16" l="1"/>
  <c r="I3" i="16"/>
  <c r="F73" i="16"/>
  <c r="F76" i="16" s="1"/>
  <c r="F38" i="16"/>
  <c r="F43" i="16" s="1"/>
  <c r="I14" i="16"/>
  <c r="I44" i="16"/>
  <c r="J3" i="16" l="1"/>
  <c r="J36" i="16"/>
  <c r="F45" i="16"/>
  <c r="G38" i="16"/>
  <c r="G43" i="16" s="1"/>
  <c r="F78" i="16"/>
  <c r="G73" i="16"/>
  <c r="G76" i="16" s="1"/>
  <c r="J44" i="16"/>
  <c r="J14" i="16"/>
  <c r="K36" i="16" l="1"/>
  <c r="K3" i="16"/>
  <c r="H73" i="16"/>
  <c r="H76" i="16" s="1"/>
  <c r="G78" i="16"/>
  <c r="H38" i="16"/>
  <c r="H43" i="16" s="1"/>
  <c r="G45" i="16"/>
  <c r="F5" i="16"/>
  <c r="F13" i="16" s="1"/>
  <c r="K44" i="16"/>
  <c r="K14" i="16"/>
  <c r="L3" i="16" l="1"/>
  <c r="L36" i="16"/>
  <c r="I38" i="16"/>
  <c r="I43" i="16" s="1"/>
  <c r="H45" i="16"/>
  <c r="F15" i="16"/>
  <c r="G5" i="16"/>
  <c r="G13" i="16" s="1"/>
  <c r="I73" i="16"/>
  <c r="I76" i="16" s="1"/>
  <c r="H78" i="16"/>
  <c r="L44" i="16"/>
  <c r="L14" i="16"/>
  <c r="M36" i="16" l="1"/>
  <c r="M3" i="16"/>
  <c r="J73" i="16"/>
  <c r="J76" i="16" s="1"/>
  <c r="I78" i="16"/>
  <c r="G15" i="16"/>
  <c r="H5" i="16"/>
  <c r="H13" i="16" s="1"/>
  <c r="I45" i="16"/>
  <c r="J38" i="16"/>
  <c r="J43" i="16" s="1"/>
  <c r="M44" i="16"/>
  <c r="M14" i="16"/>
  <c r="N3" i="16" l="1"/>
  <c r="N36" i="16"/>
  <c r="I5" i="16"/>
  <c r="I13" i="16" s="1"/>
  <c r="H15" i="16"/>
  <c r="J45" i="16"/>
  <c r="K38" i="16"/>
  <c r="J78" i="16"/>
  <c r="K73" i="16"/>
  <c r="C44" i="29"/>
  <c r="C8" i="29"/>
  <c r="C21" i="29"/>
  <c r="C5" i="29"/>
  <c r="C9" i="29"/>
  <c r="C15" i="29"/>
  <c r="C12" i="29"/>
  <c r="C18" i="29"/>
  <c r="C6" i="29"/>
  <c r="C54" i="29"/>
  <c r="N44" i="16"/>
  <c r="N14" i="16"/>
  <c r="O36" i="16" l="1"/>
  <c r="O3" i="16"/>
  <c r="C33" i="29"/>
  <c r="K76" i="16"/>
  <c r="K78" i="16" s="1"/>
  <c r="K43" i="16"/>
  <c r="K45" i="16" s="1"/>
  <c r="J5" i="16"/>
  <c r="J13" i="16" s="1"/>
  <c r="I15" i="16"/>
  <c r="K40" i="29"/>
  <c r="K39" i="29"/>
  <c r="K38" i="29"/>
  <c r="K37" i="29"/>
  <c r="K36" i="29"/>
  <c r="G44" i="29"/>
  <c r="G43" i="29"/>
  <c r="G42" i="29"/>
  <c r="G41" i="29"/>
  <c r="G40" i="29"/>
  <c r="G39" i="29"/>
  <c r="G38" i="29"/>
  <c r="G37" i="29"/>
  <c r="G44" i="28"/>
  <c r="G43" i="28"/>
  <c r="G42" i="28"/>
  <c r="G41" i="28"/>
  <c r="G40" i="28"/>
  <c r="G39" i="28"/>
  <c r="G38" i="28"/>
  <c r="G37" i="28"/>
  <c r="O14" i="16"/>
  <c r="O44" i="16"/>
  <c r="P3" i="16" l="1"/>
  <c r="P36" i="16"/>
  <c r="L73" i="16"/>
  <c r="L76" i="16" s="1"/>
  <c r="M73" i="16" s="1"/>
  <c r="M76" i="16" s="1"/>
  <c r="L38" i="16"/>
  <c r="L43" i="16" s="1"/>
  <c r="M38" i="16" s="1"/>
  <c r="M43" i="16" s="1"/>
  <c r="J15" i="16"/>
  <c r="K5" i="16"/>
  <c r="P44" i="16"/>
  <c r="P14" i="16"/>
  <c r="L78" i="16" l="1"/>
  <c r="L45" i="16"/>
  <c r="K13" i="16"/>
  <c r="K15" i="16" s="1"/>
  <c r="N73" i="16"/>
  <c r="N76" i="16" s="1"/>
  <c r="M78" i="16"/>
  <c r="N38" i="16"/>
  <c r="N43" i="16" s="1"/>
  <c r="M45" i="16"/>
  <c r="L5" i="16" l="1"/>
  <c r="L13" i="16" s="1"/>
  <c r="L15" i="16" s="1"/>
  <c r="N78" i="16"/>
  <c r="O73" i="16"/>
  <c r="O76" i="16" s="1"/>
  <c r="N45" i="16"/>
  <c r="O38" i="16"/>
  <c r="M5" i="16" l="1"/>
  <c r="M13" i="16" s="1"/>
  <c r="N5" i="16" s="1"/>
  <c r="N13" i="16" s="1"/>
  <c r="O40" i="16"/>
  <c r="O78" i="16"/>
  <c r="P73" i="16"/>
  <c r="P76" i="16" s="1"/>
  <c r="P78" i="16" s="1"/>
  <c r="M15" i="16" l="1"/>
  <c r="O43" i="16"/>
  <c r="O45" i="16" s="1"/>
  <c r="O5" i="16"/>
  <c r="N15" i="16"/>
  <c r="Z39" i="16" l="1"/>
  <c r="P38" i="16"/>
  <c r="P40" i="16" s="1"/>
  <c r="O8" i="16"/>
  <c r="Z25" i="16"/>
  <c r="O13" i="16" l="1"/>
  <c r="O15" i="16" s="1"/>
  <c r="P43" i="16"/>
  <c r="P45" i="16" s="1"/>
  <c r="C33" i="28"/>
  <c r="P5" i="16" l="1"/>
  <c r="P13" i="16" s="1"/>
  <c r="P15" i="16" s="1"/>
  <c r="AV72" i="16" l="1"/>
  <c r="AV73" i="16"/>
  <c r="AT71" i="16" l="1"/>
  <c r="AV71" i="16"/>
  <c r="Z49" i="16" l="1"/>
  <c r="Y25" i="16" l="1"/>
  <c r="K38" i="25" l="1"/>
  <c r="K36" i="25" l="1"/>
  <c r="C33" i="25" l="1"/>
  <c r="G44" i="24" l="1"/>
  <c r="G43" i="24"/>
  <c r="G42" i="24"/>
  <c r="G41" i="24"/>
  <c r="G40" i="24"/>
  <c r="G39" i="24"/>
  <c r="G38" i="24"/>
  <c r="G37" i="24"/>
  <c r="AV9" i="16" l="1"/>
  <c r="AV6" i="16"/>
  <c r="AV36" i="16"/>
  <c r="AV70" i="16"/>
  <c r="AV8" i="16"/>
  <c r="AV38" i="16"/>
  <c r="AV7" i="16"/>
  <c r="AV35" i="16"/>
  <c r="AV37" i="16"/>
  <c r="AV5" i="16"/>
  <c r="C43" i="22" l="1"/>
  <c r="C33" i="23" l="1"/>
  <c r="C43" i="23" l="1"/>
  <c r="C33" i="20" l="1"/>
  <c r="C52" i="20" s="1"/>
  <c r="C43" i="21" l="1"/>
  <c r="C33" i="21" l="1"/>
  <c r="C52" i="21" s="1"/>
  <c r="C56" i="21" l="1"/>
  <c r="H9" i="21" s="1"/>
  <c r="H11" i="19" l="1"/>
  <c r="H10" i="19"/>
  <c r="K10" i="19" s="1"/>
  <c r="C43" i="19"/>
  <c r="C33" i="19" l="1"/>
  <c r="C52" i="19" l="1"/>
  <c r="C56" i="19" s="1"/>
  <c r="Q75" i="16"/>
  <c r="C59" i="19" l="1"/>
  <c r="H9" i="19"/>
  <c r="D75" i="16"/>
  <c r="C75" i="16"/>
  <c r="G32" i="5"/>
  <c r="C33" i="5" l="1"/>
  <c r="C52" i="5" s="1"/>
  <c r="AA57" i="16" l="1"/>
  <c r="Z57" i="16"/>
  <c r="Y57" i="16"/>
  <c r="X57" i="16"/>
  <c r="W57" i="16"/>
  <c r="V57" i="16"/>
  <c r="U57" i="16"/>
  <c r="AA56" i="16"/>
  <c r="Z56" i="16"/>
  <c r="Y56" i="16"/>
  <c r="X56" i="16"/>
  <c r="W56" i="16"/>
  <c r="V56" i="16"/>
  <c r="U56" i="16"/>
  <c r="AB55" i="16"/>
  <c r="AA55" i="16"/>
  <c r="Z55" i="16"/>
  <c r="Y55" i="16"/>
  <c r="X55" i="16"/>
  <c r="W55" i="16"/>
  <c r="V55" i="16"/>
  <c r="U55" i="16"/>
  <c r="AA54" i="16"/>
  <c r="Z54" i="16"/>
  <c r="Y54" i="16"/>
  <c r="X54" i="16"/>
  <c r="W54" i="16"/>
  <c r="V54" i="16"/>
  <c r="U54" i="16"/>
  <c r="AA53" i="16"/>
  <c r="Z53" i="16"/>
  <c r="Y53" i="16"/>
  <c r="X53" i="16"/>
  <c r="W53" i="16"/>
  <c r="V53" i="16"/>
  <c r="U53" i="16"/>
  <c r="AA52" i="16"/>
  <c r="Z52" i="16"/>
  <c r="Y52" i="16"/>
  <c r="X52" i="16"/>
  <c r="W52" i="16"/>
  <c r="V52" i="16"/>
  <c r="U52" i="16"/>
  <c r="AA51" i="16"/>
  <c r="Z51" i="16"/>
  <c r="Y51" i="16"/>
  <c r="X51" i="16"/>
  <c r="W51" i="16"/>
  <c r="V51" i="16"/>
  <c r="U51" i="16"/>
  <c r="AA50" i="16"/>
  <c r="Z50" i="16"/>
  <c r="Y50" i="16"/>
  <c r="X50" i="16"/>
  <c r="W50" i="16"/>
  <c r="V50" i="16"/>
  <c r="U50" i="16"/>
  <c r="AA49" i="16"/>
  <c r="Y49" i="16"/>
  <c r="X49" i="16"/>
  <c r="W49" i="16"/>
  <c r="V49" i="16"/>
  <c r="U49" i="16"/>
  <c r="AB49" i="16"/>
  <c r="AB50" i="16"/>
  <c r="AB51" i="16"/>
  <c r="AB52" i="16"/>
  <c r="AB53" i="16"/>
  <c r="AB54" i="16"/>
  <c r="AB56" i="16"/>
  <c r="AB57" i="16"/>
  <c r="S72" i="16"/>
  <c r="T72" i="16" s="1"/>
  <c r="U72" i="16" s="1"/>
  <c r="V72" i="16" s="1"/>
  <c r="W72" i="16" s="1"/>
  <c r="S48" i="16"/>
  <c r="T48" i="16" s="1"/>
  <c r="U48" i="16" s="1"/>
  <c r="V48" i="16" s="1"/>
  <c r="W48" i="16" s="1"/>
  <c r="X48" i="16" s="1"/>
  <c r="Y48" i="16" s="1"/>
  <c r="Z48" i="16" s="1"/>
  <c r="AA48" i="16" s="1"/>
  <c r="AB48" i="16" s="1"/>
  <c r="S36" i="16"/>
  <c r="S28" i="16"/>
  <c r="T28" i="16" s="1"/>
  <c r="U28" i="16" s="1"/>
  <c r="V28" i="16" s="1"/>
  <c r="W28" i="16" s="1"/>
  <c r="X28" i="16" s="1"/>
  <c r="Y28" i="16" s="1"/>
  <c r="Z28" i="16" s="1"/>
  <c r="AA28" i="16" s="1"/>
  <c r="AB28" i="16" s="1"/>
  <c r="S61" i="16"/>
  <c r="T61" i="16" s="1"/>
  <c r="U61" i="16" s="1"/>
  <c r="V61" i="16" s="1"/>
  <c r="W61" i="16" s="1"/>
  <c r="X61" i="16" s="1"/>
  <c r="Y61" i="16" s="1"/>
  <c r="Z61" i="16" s="1"/>
  <c r="AA61" i="16" s="1"/>
  <c r="AB61" i="16" s="1"/>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Y39" i="16"/>
  <c r="AA25" i="16"/>
  <c r="S18" i="16"/>
  <c r="T18" i="16" s="1"/>
  <c r="U18" i="16" s="1"/>
  <c r="V18" i="16" s="1"/>
  <c r="W18" i="16" s="1"/>
  <c r="X18" i="16" s="1"/>
  <c r="Y18" i="16" s="1"/>
  <c r="Z18" i="16" s="1"/>
  <c r="AA18" i="16" s="1"/>
  <c r="AB18" i="16" s="1"/>
  <c r="S3" i="16"/>
  <c r="T3" i="16" s="1"/>
  <c r="U3" i="16" s="1"/>
  <c r="V3" i="16" s="1"/>
  <c r="R74" i="16" l="1"/>
  <c r="S74" i="16"/>
  <c r="Z74" i="16"/>
  <c r="D19" i="16"/>
  <c r="C19" i="16"/>
  <c r="Q25" i="16"/>
  <c r="D20" i="16"/>
  <c r="C20" i="16"/>
  <c r="D24" i="16"/>
  <c r="C24" i="16"/>
  <c r="D21" i="16"/>
  <c r="C21" i="16"/>
  <c r="D49" i="16"/>
  <c r="Q58" i="16"/>
  <c r="C49" i="16"/>
  <c r="Q74" i="16"/>
  <c r="C50" i="16"/>
  <c r="D50" i="16"/>
  <c r="C51" i="16"/>
  <c r="D51" i="16"/>
  <c r="D52" i="16"/>
  <c r="C52" i="16"/>
  <c r="D53" i="16"/>
  <c r="C53" i="16"/>
  <c r="C54" i="16"/>
  <c r="D54" i="16"/>
  <c r="C55" i="16"/>
  <c r="D55" i="16"/>
  <c r="D56" i="16"/>
  <c r="C56" i="16"/>
  <c r="D57" i="16"/>
  <c r="C57" i="16"/>
  <c r="D22" i="16"/>
  <c r="C22" i="16"/>
  <c r="T74" i="16"/>
  <c r="T39" i="16"/>
  <c r="X39" i="16"/>
  <c r="U39" i="16"/>
  <c r="AB25" i="16"/>
  <c r="S39" i="16"/>
  <c r="W39" i="16"/>
  <c r="V74" i="16"/>
  <c r="W74" i="16"/>
  <c r="X72" i="16"/>
  <c r="W3" i="16"/>
  <c r="V25" i="16"/>
  <c r="V39" i="16"/>
  <c r="U25" i="16"/>
  <c r="T36" i="16"/>
  <c r="R58" i="16"/>
  <c r="S58" i="16"/>
  <c r="AB58" i="16"/>
  <c r="U58" i="16"/>
  <c r="U74" i="16"/>
  <c r="AA58" i="16"/>
  <c r="V58" i="16"/>
  <c r="Y74" i="16"/>
  <c r="X74" i="16"/>
  <c r="Y58" i="16"/>
  <c r="Z58" i="16"/>
  <c r="W25" i="16"/>
  <c r="X25" i="16"/>
  <c r="W58" i="16"/>
  <c r="S25" i="16"/>
  <c r="T25" i="16"/>
  <c r="T58" i="16"/>
  <c r="X58" i="16"/>
  <c r="S77" i="16"/>
  <c r="R44" i="16"/>
  <c r="W77" i="16"/>
  <c r="V77" i="16"/>
  <c r="R14" i="16"/>
  <c r="R77" i="16"/>
  <c r="U14" i="16"/>
  <c r="T14" i="16"/>
  <c r="U77" i="16"/>
  <c r="X77" i="16"/>
  <c r="T44" i="16"/>
  <c r="T77" i="16"/>
  <c r="S14" i="16"/>
  <c r="V14" i="16"/>
  <c r="W14" i="16"/>
  <c r="S44" i="16"/>
  <c r="D74" i="16" l="1"/>
  <c r="C74" i="16"/>
  <c r="C76" i="16" s="1"/>
  <c r="D25" i="16"/>
  <c r="C39" i="16"/>
  <c r="D39" i="16"/>
  <c r="D58" i="16"/>
  <c r="C25" i="16"/>
  <c r="C58" i="16"/>
  <c r="Y72" i="16"/>
  <c r="X3" i="16"/>
  <c r="U36" i="16"/>
  <c r="X14" i="16"/>
  <c r="Y77" i="16"/>
  <c r="U44" i="16"/>
  <c r="Z72" i="16" l="1"/>
  <c r="Y3" i="16"/>
  <c r="V36" i="16"/>
  <c r="V44" i="16"/>
  <c r="Y14" i="16"/>
  <c r="Z77" i="16"/>
  <c r="AA72" i="16" l="1"/>
  <c r="Z3" i="16"/>
  <c r="W36" i="16"/>
  <c r="AA77" i="16"/>
  <c r="W44" i="16"/>
  <c r="Z14" i="16"/>
  <c r="AB72" i="16" l="1"/>
  <c r="AA3" i="16"/>
  <c r="X36" i="16"/>
  <c r="AB77" i="16"/>
  <c r="D77" i="16"/>
  <c r="X44" i="16"/>
  <c r="AA14" i="16"/>
  <c r="AB3" i="16" l="1"/>
  <c r="AS9" i="16" s="1"/>
  <c r="Y36" i="16"/>
  <c r="C52" i="29"/>
  <c r="D14" i="16"/>
  <c r="Y44" i="16"/>
  <c r="AB14" i="16"/>
  <c r="AT10" i="16" l="1"/>
  <c r="Z36" i="16"/>
  <c r="Z44" i="16"/>
  <c r="AA36" i="16" l="1"/>
  <c r="AA44" i="16"/>
  <c r="AB36" i="16" l="1"/>
  <c r="K38" i="28"/>
  <c r="AB44" i="16"/>
  <c r="D44" i="16"/>
  <c r="AT39" i="16" l="1"/>
  <c r="AS40" i="16" s="1"/>
  <c r="AT38" i="16"/>
  <c r="AS38" i="16"/>
  <c r="M43" i="28" l="1"/>
  <c r="I45" i="28"/>
  <c r="H53" i="28" s="1"/>
  <c r="I32" i="28"/>
  <c r="N43" i="28" l="1"/>
  <c r="K36" i="27"/>
  <c r="G37" i="26" l="1"/>
  <c r="C43" i="26"/>
  <c r="C11" i="26"/>
  <c r="C20" i="26" l="1"/>
  <c r="C7" i="26"/>
  <c r="C33" i="26"/>
  <c r="C52" i="26" s="1"/>
  <c r="C56" i="26" s="1"/>
  <c r="C59" i="26" s="1"/>
  <c r="C52" i="25" l="1"/>
  <c r="C33" i="24" l="1"/>
  <c r="C52" i="24" s="1"/>
  <c r="K36" i="22"/>
  <c r="I23" i="22" l="1"/>
  <c r="C33" i="22" l="1"/>
  <c r="C52" i="22" s="1"/>
  <c r="C56" i="22" s="1"/>
  <c r="H9" i="22" s="1"/>
  <c r="C59" i="22" l="1"/>
  <c r="I24" i="20" l="1"/>
  <c r="G38" i="26" l="1"/>
  <c r="G38" i="25"/>
  <c r="G38" i="22"/>
  <c r="G38" i="20"/>
  <c r="I38" i="20" s="1"/>
  <c r="G38" i="21"/>
  <c r="G29" i="18" l="1"/>
  <c r="H29" i="18"/>
  <c r="I29" i="18"/>
  <c r="K29" i="18"/>
  <c r="L29" i="18"/>
  <c r="M29" i="18"/>
  <c r="G30" i="18"/>
  <c r="H30" i="18"/>
  <c r="I30" i="18"/>
  <c r="K30" i="18"/>
  <c r="L30" i="18"/>
  <c r="M30" i="18"/>
  <c r="I38" i="26" l="1"/>
  <c r="I24" i="26"/>
  <c r="I38" i="25"/>
  <c r="I24" i="25"/>
  <c r="I38" i="24"/>
  <c r="I24" i="24"/>
  <c r="I25" i="24"/>
  <c r="I38" i="22"/>
  <c r="I24" i="22"/>
  <c r="I25" i="22"/>
  <c r="I38" i="23"/>
  <c r="I24" i="23"/>
  <c r="I38" i="5"/>
  <c r="I24" i="5"/>
  <c r="M27" i="29" l="1"/>
  <c r="C52" i="28" l="1"/>
  <c r="I38" i="27" l="1"/>
  <c r="I24" i="27"/>
  <c r="AQ39" i="16" l="1"/>
  <c r="AR39" i="16"/>
  <c r="AQ40" i="16"/>
  <c r="AR40" i="16"/>
  <c r="AP40" i="16"/>
  <c r="AP39" i="16"/>
  <c r="AO40" i="16"/>
  <c r="AV40" i="16"/>
  <c r="AV39" i="16"/>
  <c r="AR10" i="16" l="1"/>
  <c r="AQ10" i="16"/>
  <c r="AP10" i="16"/>
  <c r="AO10" i="16"/>
  <c r="AV10" i="16"/>
  <c r="C33" i="27" l="1"/>
  <c r="C52" i="27" s="1"/>
  <c r="B12" i="30" l="1"/>
  <c r="B9" i="30"/>
  <c r="C129" i="3"/>
  <c r="C162" i="6"/>
  <c r="B13" i="30" l="1"/>
  <c r="B11" i="30"/>
  <c r="B10" i="30"/>
  <c r="B8" i="30"/>
  <c r="B16" i="30"/>
  <c r="B7" i="30"/>
  <c r="C4" i="30"/>
  <c r="C16" i="30" s="1"/>
  <c r="D4" i="30" l="1"/>
  <c r="C7" i="30"/>
  <c r="D16" i="30" l="1"/>
  <c r="D7" i="30"/>
  <c r="E4" i="30"/>
  <c r="E16" i="30" s="1"/>
  <c r="F4" i="30" l="1"/>
  <c r="F16" i="30" s="1"/>
  <c r="E7" i="30"/>
  <c r="F7" i="30" l="1"/>
  <c r="G4" i="30"/>
  <c r="G16" i="30" l="1"/>
  <c r="G7" i="30"/>
  <c r="H4" i="30"/>
  <c r="H16" i="30" l="1"/>
  <c r="H7" i="30"/>
  <c r="I4" i="30"/>
  <c r="I16" i="30" l="1"/>
  <c r="I7" i="30"/>
  <c r="J4" i="30"/>
  <c r="J16" i="30" l="1"/>
  <c r="J7" i="30"/>
  <c r="K4" i="30"/>
  <c r="K16" i="30" l="1"/>
  <c r="K7" i="30"/>
  <c r="L4" i="30"/>
  <c r="L16" i="30" l="1"/>
  <c r="L7" i="30"/>
  <c r="M4" i="30"/>
  <c r="M16" i="30" l="1"/>
  <c r="M7" i="30"/>
  <c r="N4" i="30"/>
  <c r="N7" i="30" s="1"/>
  <c r="N16" i="30" l="1"/>
  <c r="G32" i="21" l="1"/>
  <c r="C1" i="19" l="1"/>
  <c r="C1" i="21" s="1"/>
  <c r="AO69" i="16"/>
  <c r="AS72" i="16" s="1"/>
  <c r="C43" i="29"/>
  <c r="C56" i="29" s="1"/>
  <c r="C27" i="29"/>
  <c r="C22" i="29"/>
  <c r="C20" i="29"/>
  <c r="C17" i="29"/>
  <c r="C14" i="29"/>
  <c r="C11" i="29"/>
  <c r="C7" i="29"/>
  <c r="C43" i="28"/>
  <c r="C27" i="28"/>
  <c r="C22" i="28"/>
  <c r="C20" i="28"/>
  <c r="C17" i="28"/>
  <c r="C14" i="28"/>
  <c r="C11" i="28"/>
  <c r="C7" i="28"/>
  <c r="C43" i="27"/>
  <c r="C56" i="27" s="1"/>
  <c r="H9" i="27" s="1"/>
  <c r="C27" i="27"/>
  <c r="C22" i="27"/>
  <c r="C20" i="27"/>
  <c r="C17" i="27"/>
  <c r="C14" i="27"/>
  <c r="C11" i="27"/>
  <c r="C7" i="27"/>
  <c r="C27" i="26"/>
  <c r="C22" i="26"/>
  <c r="C17" i="26"/>
  <c r="C14" i="26"/>
  <c r="C43" i="25"/>
  <c r="C56" i="25" s="1"/>
  <c r="C27" i="25"/>
  <c r="C22" i="25"/>
  <c r="C20" i="25"/>
  <c r="C17" i="25"/>
  <c r="C14" i="25"/>
  <c r="C11" i="25"/>
  <c r="C7" i="25"/>
  <c r="C43" i="24"/>
  <c r="C56" i="24" s="1"/>
  <c r="H9" i="24" s="1"/>
  <c r="C27" i="24"/>
  <c r="C22" i="24"/>
  <c r="C20" i="24"/>
  <c r="C17" i="24"/>
  <c r="C14" i="24"/>
  <c r="C11" i="24"/>
  <c r="C7" i="24"/>
  <c r="C27" i="22"/>
  <c r="C22" i="22"/>
  <c r="C20" i="22"/>
  <c r="C17" i="22"/>
  <c r="C14" i="22"/>
  <c r="C11" i="22"/>
  <c r="C7" i="22"/>
  <c r="C52" i="23"/>
  <c r="C56" i="23" s="1"/>
  <c r="C27" i="23"/>
  <c r="C22" i="23"/>
  <c r="C20" i="23"/>
  <c r="C17" i="23"/>
  <c r="C14" i="23"/>
  <c r="C11" i="23"/>
  <c r="C7" i="23"/>
  <c r="C43" i="20"/>
  <c r="C56" i="20" s="1"/>
  <c r="C27" i="20"/>
  <c r="C22" i="20"/>
  <c r="C20" i="20"/>
  <c r="C17" i="20"/>
  <c r="C14" i="20"/>
  <c r="C11" i="20"/>
  <c r="C7" i="20"/>
  <c r="C27" i="21"/>
  <c r="C22" i="21"/>
  <c r="C20" i="21"/>
  <c r="C17" i="21"/>
  <c r="C14" i="21"/>
  <c r="C11" i="21"/>
  <c r="C7" i="21"/>
  <c r="C14" i="19"/>
  <c r="C1485" i="29"/>
  <c r="G32" i="29"/>
  <c r="G34" i="29" s="1"/>
  <c r="K28" i="29"/>
  <c r="K30" i="29" s="1"/>
  <c r="H11" i="29"/>
  <c r="L11" i="29" s="1"/>
  <c r="H10" i="29"/>
  <c r="K10" i="29" s="1"/>
  <c r="C1485" i="28"/>
  <c r="K40" i="28"/>
  <c r="K39" i="28"/>
  <c r="K37" i="28"/>
  <c r="K36" i="28"/>
  <c r="G32" i="28"/>
  <c r="K28" i="28"/>
  <c r="M27" i="28"/>
  <c r="M28" i="28" s="1"/>
  <c r="H11" i="28"/>
  <c r="L11" i="28" s="1"/>
  <c r="H10" i="28"/>
  <c r="K10" i="28" s="1"/>
  <c r="C1485" i="27"/>
  <c r="M42" i="27"/>
  <c r="G44" i="27"/>
  <c r="I44" i="27" s="1"/>
  <c r="M41" i="27"/>
  <c r="G43" i="27"/>
  <c r="I43" i="27" s="1"/>
  <c r="K40" i="27"/>
  <c r="M40" i="27" s="1"/>
  <c r="G42" i="27"/>
  <c r="I42" i="27" s="1"/>
  <c r="K39" i="27"/>
  <c r="G41" i="27"/>
  <c r="I41" i="27" s="1"/>
  <c r="K38" i="27"/>
  <c r="I40" i="27"/>
  <c r="K37" i="27"/>
  <c r="I39" i="27"/>
  <c r="I37" i="27"/>
  <c r="G32" i="27"/>
  <c r="G34" i="27" s="1"/>
  <c r="I31" i="27"/>
  <c r="I30" i="27"/>
  <c r="K28" i="27"/>
  <c r="K30" i="27" s="1"/>
  <c r="I29" i="27"/>
  <c r="M27" i="27"/>
  <c r="I28" i="27"/>
  <c r="M26" i="27"/>
  <c r="I27" i="27"/>
  <c r="M25" i="27"/>
  <c r="I26" i="27"/>
  <c r="M24" i="27"/>
  <c r="I25" i="27"/>
  <c r="M23" i="27"/>
  <c r="I23" i="27"/>
  <c r="H11" i="27"/>
  <c r="L11" i="27" s="1"/>
  <c r="H10" i="27"/>
  <c r="K10" i="27" s="1"/>
  <c r="C1485" i="26"/>
  <c r="M42" i="26"/>
  <c r="G44" i="26"/>
  <c r="I44" i="26" s="1"/>
  <c r="M41" i="26"/>
  <c r="G43" i="26"/>
  <c r="I43" i="26" s="1"/>
  <c r="K40" i="26"/>
  <c r="M40" i="26" s="1"/>
  <c r="G42" i="26"/>
  <c r="I42" i="26" s="1"/>
  <c r="K39" i="26"/>
  <c r="G41" i="26"/>
  <c r="I41" i="26" s="1"/>
  <c r="K38" i="26"/>
  <c r="G40" i="26"/>
  <c r="I40" i="26" s="1"/>
  <c r="K37" i="26"/>
  <c r="G39" i="26"/>
  <c r="I39" i="26" s="1"/>
  <c r="K36" i="26"/>
  <c r="G32" i="26"/>
  <c r="I31" i="26"/>
  <c r="I30" i="26"/>
  <c r="K28" i="26"/>
  <c r="K30" i="26" s="1"/>
  <c r="I29" i="26"/>
  <c r="M27" i="26"/>
  <c r="I28" i="26"/>
  <c r="M26" i="26"/>
  <c r="I27" i="26"/>
  <c r="M25" i="26"/>
  <c r="I26" i="26"/>
  <c r="M24" i="26"/>
  <c r="I25" i="26"/>
  <c r="M23" i="26"/>
  <c r="I23" i="26"/>
  <c r="H11" i="26"/>
  <c r="L11" i="26" s="1"/>
  <c r="H10" i="26"/>
  <c r="K10" i="26" s="1"/>
  <c r="C1485" i="25"/>
  <c r="M42" i="25"/>
  <c r="G44" i="25"/>
  <c r="I44" i="25" s="1"/>
  <c r="M41" i="25"/>
  <c r="G43" i="25"/>
  <c r="I43" i="25" s="1"/>
  <c r="K40" i="25"/>
  <c r="M40" i="25" s="1"/>
  <c r="G42" i="25"/>
  <c r="I42" i="25" s="1"/>
  <c r="K39" i="25"/>
  <c r="G41" i="25"/>
  <c r="I41" i="25" s="1"/>
  <c r="G40" i="25"/>
  <c r="I40" i="25" s="1"/>
  <c r="K37" i="25"/>
  <c r="G39" i="25"/>
  <c r="I39" i="25" s="1"/>
  <c r="G37" i="25"/>
  <c r="G32" i="25"/>
  <c r="I31" i="25"/>
  <c r="I30" i="25"/>
  <c r="K28" i="25"/>
  <c r="K30" i="25" s="1"/>
  <c r="I29" i="25"/>
  <c r="M27" i="25"/>
  <c r="I28" i="25"/>
  <c r="M26" i="25"/>
  <c r="I27" i="25"/>
  <c r="M25" i="25"/>
  <c r="I26" i="25"/>
  <c r="M24" i="25"/>
  <c r="I25" i="25"/>
  <c r="M23" i="25"/>
  <c r="I23" i="25"/>
  <c r="H11" i="25"/>
  <c r="L11" i="25" s="1"/>
  <c r="H10" i="25"/>
  <c r="K10" i="25" s="1"/>
  <c r="C1485" i="24"/>
  <c r="M42" i="24"/>
  <c r="I44" i="24"/>
  <c r="M41" i="24"/>
  <c r="I43" i="24"/>
  <c r="K40" i="24"/>
  <c r="M40" i="24" s="1"/>
  <c r="I42" i="24"/>
  <c r="K39" i="24"/>
  <c r="I41" i="24"/>
  <c r="K38" i="24"/>
  <c r="I40" i="24"/>
  <c r="K37" i="24"/>
  <c r="I39" i="24"/>
  <c r="K36" i="24"/>
  <c r="I37" i="24"/>
  <c r="G32" i="24"/>
  <c r="I31" i="24"/>
  <c r="I30" i="24"/>
  <c r="K28" i="24"/>
  <c r="K30" i="24" s="1"/>
  <c r="I29" i="24"/>
  <c r="M27" i="24"/>
  <c r="I28" i="24"/>
  <c r="M26" i="24"/>
  <c r="I27" i="24"/>
  <c r="M25" i="24"/>
  <c r="I26" i="24"/>
  <c r="M24" i="24"/>
  <c r="M23" i="24"/>
  <c r="I23" i="24"/>
  <c r="H11" i="24"/>
  <c r="L11" i="24" s="1"/>
  <c r="H10" i="24"/>
  <c r="K10" i="24" s="1"/>
  <c r="C1485" i="23"/>
  <c r="M42" i="23"/>
  <c r="I44" i="23"/>
  <c r="M41" i="23"/>
  <c r="I43" i="23"/>
  <c r="K40" i="23"/>
  <c r="M40" i="23" s="1"/>
  <c r="I42" i="23"/>
  <c r="K39" i="23"/>
  <c r="I41" i="23"/>
  <c r="K38" i="23"/>
  <c r="I40" i="23"/>
  <c r="I39" i="23"/>
  <c r="G32" i="23"/>
  <c r="I31" i="23"/>
  <c r="I30" i="23"/>
  <c r="K28" i="23"/>
  <c r="K30" i="23" s="1"/>
  <c r="I29" i="23"/>
  <c r="M27" i="23"/>
  <c r="I28" i="23"/>
  <c r="M26" i="23"/>
  <c r="I27" i="23"/>
  <c r="M25" i="23"/>
  <c r="I26" i="23"/>
  <c r="M24" i="23"/>
  <c r="I25" i="23"/>
  <c r="M23" i="23"/>
  <c r="I23" i="23"/>
  <c r="H11" i="23"/>
  <c r="L11" i="23" s="1"/>
  <c r="H10" i="23"/>
  <c r="K10" i="23" s="1"/>
  <c r="C1485" i="22"/>
  <c r="M42" i="22"/>
  <c r="G44" i="22"/>
  <c r="M41" i="22"/>
  <c r="G43" i="22"/>
  <c r="I43" i="22" s="1"/>
  <c r="K40" i="22"/>
  <c r="G42" i="22"/>
  <c r="I42" i="22" s="1"/>
  <c r="K39" i="22"/>
  <c r="G41" i="22"/>
  <c r="I41" i="22" s="1"/>
  <c r="K38" i="22"/>
  <c r="G40" i="22"/>
  <c r="I40" i="22" s="1"/>
  <c r="K37" i="22"/>
  <c r="G39" i="22"/>
  <c r="I39" i="22" s="1"/>
  <c r="G37" i="22"/>
  <c r="I37" i="22" s="1"/>
  <c r="G32" i="22"/>
  <c r="I31" i="22"/>
  <c r="I30" i="22"/>
  <c r="K28" i="22"/>
  <c r="K30" i="22" s="1"/>
  <c r="I29" i="22"/>
  <c r="M27" i="22"/>
  <c r="I28" i="22"/>
  <c r="M26" i="22"/>
  <c r="I27" i="22"/>
  <c r="M25" i="22"/>
  <c r="I26" i="22"/>
  <c r="M24" i="22"/>
  <c r="M23" i="22"/>
  <c r="H11" i="22"/>
  <c r="L11" i="22" s="1"/>
  <c r="H10" i="22"/>
  <c r="K10" i="22" s="1"/>
  <c r="C1485" i="21"/>
  <c r="M42" i="21"/>
  <c r="G44" i="21"/>
  <c r="M41" i="21"/>
  <c r="G43" i="21"/>
  <c r="M40" i="21"/>
  <c r="G42" i="21"/>
  <c r="K39" i="21"/>
  <c r="G41" i="21"/>
  <c r="K38" i="21"/>
  <c r="G40" i="21"/>
  <c r="K37" i="21"/>
  <c r="G39" i="21"/>
  <c r="K36" i="21"/>
  <c r="G37" i="21"/>
  <c r="G34" i="21"/>
  <c r="K28" i="21"/>
  <c r="K30" i="21" s="1"/>
  <c r="H11" i="21"/>
  <c r="L11" i="21" s="1"/>
  <c r="H10" i="21"/>
  <c r="K10" i="21" s="1"/>
  <c r="C1485" i="20"/>
  <c r="M42" i="20"/>
  <c r="G44" i="20"/>
  <c r="M41" i="20"/>
  <c r="G43" i="20"/>
  <c r="I43" i="20" s="1"/>
  <c r="K40" i="20"/>
  <c r="M40" i="20" s="1"/>
  <c r="G42" i="20"/>
  <c r="I42" i="20" s="1"/>
  <c r="K39" i="20"/>
  <c r="G41" i="20"/>
  <c r="I41" i="20" s="1"/>
  <c r="K38" i="20"/>
  <c r="G40" i="20"/>
  <c r="I40" i="20" s="1"/>
  <c r="K37" i="20"/>
  <c r="G39" i="20"/>
  <c r="I39" i="20" s="1"/>
  <c r="K36" i="20"/>
  <c r="G37" i="20"/>
  <c r="I37" i="20" s="1"/>
  <c r="G32" i="20"/>
  <c r="I31" i="20"/>
  <c r="I30" i="20"/>
  <c r="K28" i="20"/>
  <c r="K30" i="20" s="1"/>
  <c r="I29" i="20"/>
  <c r="M27" i="20"/>
  <c r="I28" i="20"/>
  <c r="M26" i="20"/>
  <c r="I27" i="20"/>
  <c r="M25" i="20"/>
  <c r="I26" i="20"/>
  <c r="M24" i="20"/>
  <c r="I25" i="20"/>
  <c r="M23" i="20"/>
  <c r="I23" i="20"/>
  <c r="H11" i="20"/>
  <c r="L11" i="20" s="1"/>
  <c r="H10" i="20"/>
  <c r="K10" i="20" s="1"/>
  <c r="C1485" i="19"/>
  <c r="M42" i="19"/>
  <c r="M41" i="19"/>
  <c r="K40" i="19"/>
  <c r="M40" i="19" s="1"/>
  <c r="K39" i="19"/>
  <c r="K38" i="19"/>
  <c r="K37" i="19"/>
  <c r="K36" i="19"/>
  <c r="G32" i="19"/>
  <c r="K28" i="19"/>
  <c r="K30" i="19" s="1"/>
  <c r="M27" i="19"/>
  <c r="C27" i="19"/>
  <c r="M26" i="19"/>
  <c r="C22" i="19"/>
  <c r="C20" i="19"/>
  <c r="C17" i="19"/>
  <c r="L11" i="19"/>
  <c r="C11" i="19"/>
  <c r="C7" i="19"/>
  <c r="N28" i="28" l="1"/>
  <c r="M29" i="28"/>
  <c r="G34" i="28"/>
  <c r="I33" i="28"/>
  <c r="C30" i="27"/>
  <c r="C30" i="22"/>
  <c r="C32" i="22"/>
  <c r="C34" i="22" s="1"/>
  <c r="C61" i="22" s="1"/>
  <c r="C30" i="23"/>
  <c r="C32" i="23" s="1"/>
  <c r="C34" i="23" s="1"/>
  <c r="H7" i="23" s="1"/>
  <c r="I7" i="23" s="1"/>
  <c r="I14" i="23" s="1"/>
  <c r="I52" i="23" s="1"/>
  <c r="AT73" i="16"/>
  <c r="AS71" i="16"/>
  <c r="C30" i="28"/>
  <c r="C32" i="28" s="1"/>
  <c r="C34" i="28" s="1"/>
  <c r="H7" i="28" s="1"/>
  <c r="C56" i="28"/>
  <c r="AT70" i="16"/>
  <c r="C30" i="25"/>
  <c r="C32" i="25" s="1"/>
  <c r="C30" i="24"/>
  <c r="C32" i="24" s="1"/>
  <c r="C34" i="24" s="1"/>
  <c r="H7" i="24" s="1"/>
  <c r="H9" i="23"/>
  <c r="C30" i="21"/>
  <c r="C32" i="21" s="1"/>
  <c r="C34" i="21" s="1"/>
  <c r="H7" i="21" s="1"/>
  <c r="C30" i="19"/>
  <c r="C32" i="19" s="1"/>
  <c r="C34" i="19" s="1"/>
  <c r="H7" i="19" s="1"/>
  <c r="C32" i="27"/>
  <c r="C34" i="27" s="1"/>
  <c r="H7" i="27" s="1"/>
  <c r="C30" i="26"/>
  <c r="C32" i="26" s="1"/>
  <c r="M39" i="26"/>
  <c r="M39" i="25"/>
  <c r="M40" i="22"/>
  <c r="C59" i="20"/>
  <c r="G34" i="26"/>
  <c r="G34" i="25"/>
  <c r="G34" i="24"/>
  <c r="G34" i="22"/>
  <c r="G34" i="23"/>
  <c r="G34" i="20"/>
  <c r="G34" i="19"/>
  <c r="M39" i="27"/>
  <c r="M37" i="26"/>
  <c r="M36" i="26"/>
  <c r="M38" i="26"/>
  <c r="M37" i="25"/>
  <c r="M38" i="25"/>
  <c r="M37" i="24"/>
  <c r="M39" i="24"/>
  <c r="M38" i="24"/>
  <c r="M37" i="22"/>
  <c r="M38" i="22"/>
  <c r="M39" i="22"/>
  <c r="M38" i="23"/>
  <c r="M37" i="23"/>
  <c r="M39" i="23"/>
  <c r="M38" i="20"/>
  <c r="M37" i="20"/>
  <c r="M39" i="20"/>
  <c r="M39" i="19"/>
  <c r="K30" i="28"/>
  <c r="F1" i="19"/>
  <c r="C59" i="21"/>
  <c r="G45" i="26"/>
  <c r="C1" i="20"/>
  <c r="F1" i="20" s="1"/>
  <c r="F1" i="21"/>
  <c r="M37" i="27"/>
  <c r="I32" i="26"/>
  <c r="I33" i="26" s="1"/>
  <c r="C30" i="29"/>
  <c r="C32" i="29" s="1"/>
  <c r="C59" i="24"/>
  <c r="M28" i="27"/>
  <c r="M29" i="27" s="1"/>
  <c r="G45" i="28"/>
  <c r="G47" i="28" s="1"/>
  <c r="G45" i="29"/>
  <c r="G47" i="29" s="1"/>
  <c r="C59" i="25"/>
  <c r="C59" i="29"/>
  <c r="M28" i="23"/>
  <c r="K53" i="23" s="1"/>
  <c r="I20" i="30" s="1"/>
  <c r="M28" i="24"/>
  <c r="K53" i="24" s="1"/>
  <c r="K20" i="30" s="1"/>
  <c r="K43" i="27"/>
  <c r="M28" i="19"/>
  <c r="K53" i="19" s="1"/>
  <c r="F20" i="30" s="1"/>
  <c r="K43" i="19"/>
  <c r="K45" i="19" s="1"/>
  <c r="K43" i="20"/>
  <c r="K45" i="20" s="1"/>
  <c r="I32" i="21"/>
  <c r="I32" i="22"/>
  <c r="I33" i="22" s="1"/>
  <c r="I32" i="23"/>
  <c r="I33" i="23" s="1"/>
  <c r="K43" i="23"/>
  <c r="K47" i="23" s="1"/>
  <c r="K43" i="24"/>
  <c r="K47" i="24" s="1"/>
  <c r="M28" i="26"/>
  <c r="K53" i="26" s="1"/>
  <c r="M20" i="30" s="1"/>
  <c r="G45" i="27"/>
  <c r="M28" i="29"/>
  <c r="M29" i="29" s="1"/>
  <c r="I32" i="19"/>
  <c r="G45" i="21"/>
  <c r="G45" i="23"/>
  <c r="G47" i="23" s="1"/>
  <c r="K43" i="29"/>
  <c r="K45" i="29" s="1"/>
  <c r="C30" i="20"/>
  <c r="I45" i="29"/>
  <c r="H53" i="29" s="1"/>
  <c r="I32" i="29"/>
  <c r="K43" i="28"/>
  <c r="I53" i="28"/>
  <c r="M38" i="27"/>
  <c r="M36" i="27"/>
  <c r="I32" i="27"/>
  <c r="I53" i="27" s="1"/>
  <c r="I45" i="27"/>
  <c r="H53" i="27" s="1"/>
  <c r="I37" i="26"/>
  <c r="I45" i="26" s="1"/>
  <c r="H53" i="26" s="1"/>
  <c r="M28" i="25"/>
  <c r="M29" i="25" s="1"/>
  <c r="K43" i="25"/>
  <c r="K47" i="25" s="1"/>
  <c r="I32" i="25"/>
  <c r="I53" i="25" s="1"/>
  <c r="G45" i="25"/>
  <c r="I37" i="25"/>
  <c r="I45" i="25" s="1"/>
  <c r="H53" i="25" s="1"/>
  <c r="I32" i="24"/>
  <c r="I33" i="24" s="1"/>
  <c r="M28" i="22"/>
  <c r="K53" i="22" s="1"/>
  <c r="J20" i="30" s="1"/>
  <c r="K43" i="22"/>
  <c r="K47" i="22" s="1"/>
  <c r="G45" i="22"/>
  <c r="G47" i="22" s="1"/>
  <c r="I37" i="23"/>
  <c r="I45" i="23" s="1"/>
  <c r="M28" i="20"/>
  <c r="M29" i="20" s="1"/>
  <c r="I32" i="20"/>
  <c r="I53" i="20" s="1"/>
  <c r="G45" i="20"/>
  <c r="M28" i="21"/>
  <c r="K43" i="21"/>
  <c r="K47" i="21" s="1"/>
  <c r="I45" i="21"/>
  <c r="H53" i="21" s="1"/>
  <c r="I45" i="19"/>
  <c r="H53" i="19" s="1"/>
  <c r="I45" i="24"/>
  <c r="M36" i="25"/>
  <c r="M43" i="29"/>
  <c r="M36" i="24"/>
  <c r="G45" i="24"/>
  <c r="K43" i="26"/>
  <c r="K47" i="26" s="1"/>
  <c r="I44" i="22"/>
  <c r="I45" i="22" s="1"/>
  <c r="H53" i="22" s="1"/>
  <c r="M36" i="23"/>
  <c r="M36" i="22"/>
  <c r="I44" i="20"/>
  <c r="I45" i="20" s="1"/>
  <c r="M36" i="20"/>
  <c r="G45" i="19"/>
  <c r="H7" i="22" l="1"/>
  <c r="I7" i="22" s="1"/>
  <c r="K45" i="28"/>
  <c r="M44" i="28"/>
  <c r="C59" i="28"/>
  <c r="C61" i="28" s="1"/>
  <c r="C63" i="28" s="1"/>
  <c r="H9" i="28"/>
  <c r="C61" i="21"/>
  <c r="K5" i="26"/>
  <c r="L5" i="26" s="1"/>
  <c r="G47" i="26"/>
  <c r="G47" i="20"/>
  <c r="K5" i="20"/>
  <c r="L5" i="20" s="1"/>
  <c r="C32" i="20"/>
  <c r="C34" i="20" s="1"/>
  <c r="M29" i="21"/>
  <c r="K53" i="21"/>
  <c r="G20" i="30" s="1"/>
  <c r="G47" i="21"/>
  <c r="K5" i="21"/>
  <c r="K9" i="21" s="1"/>
  <c r="I53" i="21"/>
  <c r="G11" i="30" s="1"/>
  <c r="I53" i="19"/>
  <c r="F11" i="30" s="1"/>
  <c r="K5" i="19"/>
  <c r="K9" i="19" s="1"/>
  <c r="C61" i="19"/>
  <c r="C63" i="19" s="1"/>
  <c r="I53" i="29"/>
  <c r="I33" i="29"/>
  <c r="I46" i="29"/>
  <c r="C34" i="29"/>
  <c r="J7" i="28"/>
  <c r="J14" i="28" s="1"/>
  <c r="K52" i="28" s="1"/>
  <c r="G47" i="27"/>
  <c r="K5" i="27"/>
  <c r="L5" i="27" s="1"/>
  <c r="C34" i="26"/>
  <c r="C34" i="25"/>
  <c r="C61" i="25" s="1"/>
  <c r="C63" i="25" s="1"/>
  <c r="K5" i="25"/>
  <c r="L5" i="25" s="1"/>
  <c r="G47" i="25"/>
  <c r="C61" i="24"/>
  <c r="K45" i="27"/>
  <c r="M43" i="26"/>
  <c r="J53" i="26" s="1"/>
  <c r="M17" i="30" s="1"/>
  <c r="M43" i="25"/>
  <c r="J53" i="25" s="1"/>
  <c r="L17" i="30" s="1"/>
  <c r="F8" i="30"/>
  <c r="M43" i="22"/>
  <c r="M44" i="22" s="1"/>
  <c r="M43" i="24"/>
  <c r="M44" i="24" s="1"/>
  <c r="M43" i="20"/>
  <c r="M44" i="20" s="1"/>
  <c r="M43" i="21"/>
  <c r="M43" i="23"/>
  <c r="M43" i="19"/>
  <c r="M44" i="19" s="1"/>
  <c r="K53" i="28"/>
  <c r="J7" i="27"/>
  <c r="J14" i="27" s="1"/>
  <c r="C59" i="27"/>
  <c r="C1" i="23"/>
  <c r="F1" i="23" s="1"/>
  <c r="C59" i="23"/>
  <c r="M29" i="22"/>
  <c r="K53" i="27"/>
  <c r="N20" i="30" s="1"/>
  <c r="I33" i="19"/>
  <c r="K53" i="29"/>
  <c r="I46" i="26"/>
  <c r="I33" i="27"/>
  <c r="K53" i="20"/>
  <c r="H20" i="30" s="1"/>
  <c r="I53" i="22"/>
  <c r="K53" i="25"/>
  <c r="L20" i="30" s="1"/>
  <c r="M29" i="19"/>
  <c r="K5" i="29"/>
  <c r="L5" i="29" s="1"/>
  <c r="M29" i="26"/>
  <c r="M29" i="23"/>
  <c r="I33" i="21"/>
  <c r="I46" i="21"/>
  <c r="K5" i="28"/>
  <c r="L5" i="28" s="1"/>
  <c r="I33" i="20"/>
  <c r="K5" i="23"/>
  <c r="L5" i="23" s="1"/>
  <c r="I53" i="26"/>
  <c r="C63" i="22"/>
  <c r="I33" i="25"/>
  <c r="I53" i="23"/>
  <c r="M29" i="24"/>
  <c r="M43" i="27"/>
  <c r="I46" i="27"/>
  <c r="I53" i="24"/>
  <c r="K5" i="22"/>
  <c r="K9" i="22" s="1"/>
  <c r="J53" i="28"/>
  <c r="H9" i="26"/>
  <c r="H9" i="25"/>
  <c r="M44" i="29"/>
  <c r="J53" i="29"/>
  <c r="I46" i="28"/>
  <c r="I46" i="25"/>
  <c r="I46" i="24"/>
  <c r="H53" i="24"/>
  <c r="G47" i="24"/>
  <c r="K5" i="24"/>
  <c r="H9" i="29"/>
  <c r="H12" i="29" s="1"/>
  <c r="I46" i="22"/>
  <c r="J7" i="23"/>
  <c r="H53" i="23"/>
  <c r="I46" i="23"/>
  <c r="I46" i="20"/>
  <c r="H53" i="20"/>
  <c r="H9" i="20"/>
  <c r="G47" i="19"/>
  <c r="J7" i="19"/>
  <c r="I7" i="19"/>
  <c r="I14" i="19" s="1"/>
  <c r="I52" i="19" s="1"/>
  <c r="H12" i="19"/>
  <c r="I46" i="19"/>
  <c r="K9" i="20" l="1"/>
  <c r="C61" i="29"/>
  <c r="H7" i="29"/>
  <c r="C61" i="26"/>
  <c r="C63" i="26" s="1"/>
  <c r="I7" i="28"/>
  <c r="I14" i="28" s="1"/>
  <c r="I52" i="28" s="1"/>
  <c r="I55" i="28" s="1"/>
  <c r="J61" i="25"/>
  <c r="L5" i="19"/>
  <c r="L9" i="19" s="1"/>
  <c r="L12" i="19" s="1"/>
  <c r="L5" i="24"/>
  <c r="L9" i="24" s="1"/>
  <c r="L12" i="24" s="1"/>
  <c r="K9" i="24"/>
  <c r="K12" i="24" s="1"/>
  <c r="H52" i="24" s="1"/>
  <c r="L5" i="22"/>
  <c r="L9" i="22" s="1"/>
  <c r="L12" i="22" s="1"/>
  <c r="L14" i="22" s="1"/>
  <c r="J19" i="30" s="1"/>
  <c r="K12" i="22"/>
  <c r="J53" i="23"/>
  <c r="I17" i="30" s="1"/>
  <c r="H7" i="20"/>
  <c r="J7" i="20" s="1"/>
  <c r="J14" i="20" s="1"/>
  <c r="K52" i="20" s="1"/>
  <c r="K55" i="20" s="1"/>
  <c r="C61" i="20"/>
  <c r="C63" i="20" s="1"/>
  <c r="L5" i="21"/>
  <c r="L9" i="21" s="1"/>
  <c r="L12" i="21" s="1"/>
  <c r="M44" i="21"/>
  <c r="J53" i="21"/>
  <c r="G17" i="30" s="1"/>
  <c r="J53" i="19"/>
  <c r="L53" i="19" s="1"/>
  <c r="C63" i="29"/>
  <c r="C61" i="27"/>
  <c r="C63" i="27" s="1"/>
  <c r="H7" i="26"/>
  <c r="J7" i="26" s="1"/>
  <c r="J14" i="26" s="1"/>
  <c r="H7" i="25"/>
  <c r="L53" i="26"/>
  <c r="C63" i="24"/>
  <c r="M44" i="25"/>
  <c r="L53" i="25"/>
  <c r="J7" i="22"/>
  <c r="J14" i="22" s="1"/>
  <c r="I14" i="22"/>
  <c r="I52" i="22" s="1"/>
  <c r="I55" i="22" s="1"/>
  <c r="H12" i="22"/>
  <c r="H14" i="22" s="1"/>
  <c r="H15" i="22" s="1"/>
  <c r="L53" i="28"/>
  <c r="C61" i="23"/>
  <c r="C63" i="23" s="1"/>
  <c r="M44" i="26"/>
  <c r="J53" i="24"/>
  <c r="K17" i="30" s="1"/>
  <c r="J53" i="22"/>
  <c r="J17" i="30" s="1"/>
  <c r="M44" i="23"/>
  <c r="L53" i="29"/>
  <c r="K55" i="28"/>
  <c r="J53" i="20"/>
  <c r="H17" i="30" s="1"/>
  <c r="I7" i="27"/>
  <c r="N22" i="30"/>
  <c r="K52" i="27"/>
  <c r="K55" i="27" s="1"/>
  <c r="H22" i="30"/>
  <c r="G8" i="30"/>
  <c r="K8" i="30"/>
  <c r="J8" i="30"/>
  <c r="N8" i="30"/>
  <c r="I8" i="30"/>
  <c r="M8" i="30"/>
  <c r="H8" i="30"/>
  <c r="L8" i="30"/>
  <c r="I55" i="23"/>
  <c r="C1" i="22"/>
  <c r="C1" i="24" s="1"/>
  <c r="C1" i="25" s="1"/>
  <c r="C1" i="26" s="1"/>
  <c r="I55" i="19"/>
  <c r="F13" i="30"/>
  <c r="M44" i="27"/>
  <c r="J53" i="27"/>
  <c r="N17" i="30" s="1"/>
  <c r="J61" i="29"/>
  <c r="K12" i="19"/>
  <c r="H52" i="19" s="1"/>
  <c r="K9" i="26"/>
  <c r="K12" i="26" s="1"/>
  <c r="H12" i="26"/>
  <c r="L9" i="26"/>
  <c r="L12" i="26" s="1"/>
  <c r="H12" i="28"/>
  <c r="L9" i="28"/>
  <c r="L12" i="28" s="1"/>
  <c r="K9" i="28"/>
  <c r="K12" i="28" s="1"/>
  <c r="H52" i="28" s="1"/>
  <c r="H12" i="24"/>
  <c r="K9" i="27"/>
  <c r="K12" i="27" s="1"/>
  <c r="H52" i="27" s="1"/>
  <c r="H12" i="27"/>
  <c r="H14" i="27" s="1"/>
  <c r="L9" i="27"/>
  <c r="L12" i="27" s="1"/>
  <c r="K9" i="29"/>
  <c r="K12" i="29" s="1"/>
  <c r="H52" i="29" s="1"/>
  <c r="L9" i="29"/>
  <c r="L12" i="29" s="1"/>
  <c r="K9" i="25"/>
  <c r="K12" i="25" s="1"/>
  <c r="H52" i="25" s="1"/>
  <c r="H12" i="25"/>
  <c r="L9" i="25"/>
  <c r="L12" i="25" s="1"/>
  <c r="K9" i="23"/>
  <c r="K12" i="23" s="1"/>
  <c r="H12" i="23"/>
  <c r="H14" i="23" s="1"/>
  <c r="L9" i="23"/>
  <c r="L12" i="23" s="1"/>
  <c r="J52" i="23" s="1"/>
  <c r="J15" i="23"/>
  <c r="J14" i="23"/>
  <c r="H12" i="20"/>
  <c r="L9" i="20"/>
  <c r="L12" i="20" s="1"/>
  <c r="K12" i="20"/>
  <c r="H52" i="20" s="1"/>
  <c r="K12" i="21"/>
  <c r="H12" i="21"/>
  <c r="H14" i="21" s="1"/>
  <c r="J15" i="19"/>
  <c r="J14" i="19"/>
  <c r="H14" i="19"/>
  <c r="H15" i="19" s="1"/>
  <c r="AM7" i="16" l="1"/>
  <c r="AH7" i="16"/>
  <c r="AG7" i="16"/>
  <c r="J61" i="23"/>
  <c r="I7" i="20"/>
  <c r="I14" i="20" s="1"/>
  <c r="I52" i="20" s="1"/>
  <c r="I55" i="20" s="1"/>
  <c r="J61" i="21"/>
  <c r="J61" i="20"/>
  <c r="AD7" i="16"/>
  <c r="H14" i="25"/>
  <c r="H15" i="25" s="1"/>
  <c r="J15" i="28"/>
  <c r="I14" i="27"/>
  <c r="I52" i="27" s="1"/>
  <c r="I55" i="27" s="1"/>
  <c r="I7" i="26"/>
  <c r="J15" i="26" s="1"/>
  <c r="H14" i="26"/>
  <c r="H15" i="26" s="1"/>
  <c r="L53" i="23"/>
  <c r="J61" i="24"/>
  <c r="H52" i="22"/>
  <c r="H55" i="22" s="1"/>
  <c r="J61" i="22"/>
  <c r="C63" i="21"/>
  <c r="H15" i="21"/>
  <c r="I7" i="21"/>
  <c r="I14" i="21" s="1"/>
  <c r="I52" i="21" s="1"/>
  <c r="J7" i="21"/>
  <c r="J52" i="19"/>
  <c r="J55" i="19" s="1"/>
  <c r="L14" i="19"/>
  <c r="F19" i="30" s="1"/>
  <c r="F17" i="30"/>
  <c r="J61" i="19"/>
  <c r="I7" i="29"/>
  <c r="I14" i="29" s="1"/>
  <c r="I52" i="29" s="1"/>
  <c r="I55" i="29" s="1"/>
  <c r="J7" i="29"/>
  <c r="I7" i="25"/>
  <c r="I14" i="25" s="1"/>
  <c r="I52" i="25" s="1"/>
  <c r="I55" i="25" s="1"/>
  <c r="J7" i="25"/>
  <c r="J15" i="22"/>
  <c r="J7" i="24"/>
  <c r="I7" i="24"/>
  <c r="I14" i="24" s="1"/>
  <c r="I52" i="24" s="1"/>
  <c r="I55" i="24" s="1"/>
  <c r="L53" i="27"/>
  <c r="L53" i="24"/>
  <c r="L53" i="22"/>
  <c r="K14" i="22"/>
  <c r="L15" i="22" s="1"/>
  <c r="L53" i="20"/>
  <c r="L53" i="21"/>
  <c r="J15" i="27"/>
  <c r="K52" i="26"/>
  <c r="K55" i="26" s="1"/>
  <c r="M22" i="30"/>
  <c r="K52" i="23"/>
  <c r="I22" i="30"/>
  <c r="F1" i="22"/>
  <c r="J52" i="22"/>
  <c r="J55" i="22" s="1"/>
  <c r="J15" i="20"/>
  <c r="K52" i="19"/>
  <c r="K55" i="19" s="1"/>
  <c r="F22" i="30"/>
  <c r="K14" i="19"/>
  <c r="H14" i="29"/>
  <c r="H15" i="29" s="1"/>
  <c r="H52" i="26"/>
  <c r="K14" i="26"/>
  <c r="J52" i="29"/>
  <c r="J55" i="29" s="1"/>
  <c r="L14" i="29"/>
  <c r="K14" i="27"/>
  <c r="K14" i="28"/>
  <c r="J52" i="25"/>
  <c r="J55" i="25" s="1"/>
  <c r="L14" i="25"/>
  <c r="L19" i="30" s="1"/>
  <c r="K14" i="25"/>
  <c r="H15" i="27"/>
  <c r="H14" i="24"/>
  <c r="H15" i="24" s="1"/>
  <c r="J52" i="26"/>
  <c r="J55" i="26" s="1"/>
  <c r="L14" i="26"/>
  <c r="M19" i="30" s="1"/>
  <c r="K14" i="24"/>
  <c r="J52" i="28"/>
  <c r="J55" i="28" s="1"/>
  <c r="L14" i="28"/>
  <c r="K14" i="29"/>
  <c r="J52" i="27"/>
  <c r="J55" i="27" s="1"/>
  <c r="L14" i="27"/>
  <c r="J52" i="24"/>
  <c r="J55" i="24" s="1"/>
  <c r="L14" i="24"/>
  <c r="K19" i="30" s="1"/>
  <c r="H14" i="28"/>
  <c r="H15" i="28" s="1"/>
  <c r="K14" i="23"/>
  <c r="H52" i="23"/>
  <c r="H15" i="23"/>
  <c r="J55" i="23"/>
  <c r="L14" i="23"/>
  <c r="I19" i="30" s="1"/>
  <c r="H14" i="20"/>
  <c r="H15" i="20" s="1"/>
  <c r="J52" i="21"/>
  <c r="J55" i="21" s="1"/>
  <c r="L14" i="21"/>
  <c r="G19" i="30" s="1"/>
  <c r="J52" i="20"/>
  <c r="J55" i="20" s="1"/>
  <c r="L14" i="20"/>
  <c r="H19" i="30" s="1"/>
  <c r="K14" i="20"/>
  <c r="K14" i="21"/>
  <c r="G10" i="30" s="1"/>
  <c r="H52" i="21"/>
  <c r="H55" i="21" s="1"/>
  <c r="AI7" i="16" l="1"/>
  <c r="AL7" i="16"/>
  <c r="AJ7" i="16"/>
  <c r="AH6" i="16"/>
  <c r="H55" i="23"/>
  <c r="L52" i="23"/>
  <c r="AE6" i="16"/>
  <c r="AF7" i="16"/>
  <c r="I14" i="26"/>
  <c r="I52" i="26" s="1"/>
  <c r="I55" i="26" s="1"/>
  <c r="I56" i="23"/>
  <c r="J15" i="21"/>
  <c r="J14" i="21"/>
  <c r="G13" i="30"/>
  <c r="I55" i="21"/>
  <c r="J15" i="29"/>
  <c r="J14" i="29"/>
  <c r="K52" i="29" s="1"/>
  <c r="K55" i="29" s="1"/>
  <c r="H55" i="25"/>
  <c r="J15" i="25"/>
  <c r="J14" i="25"/>
  <c r="J14" i="24"/>
  <c r="J15" i="24"/>
  <c r="L54" i="23"/>
  <c r="L52" i="27"/>
  <c r="L54" i="27" s="1"/>
  <c r="I56" i="22"/>
  <c r="K55" i="23"/>
  <c r="H55" i="20"/>
  <c r="L52" i="20"/>
  <c r="L54" i="20" s="1"/>
  <c r="L52" i="19"/>
  <c r="L54" i="19" s="1"/>
  <c r="L52" i="28"/>
  <c r="L54" i="28" s="1"/>
  <c r="H55" i="26"/>
  <c r="H55" i="24"/>
  <c r="H55" i="19"/>
  <c r="H55" i="29"/>
  <c r="H55" i="28"/>
  <c r="H55" i="27"/>
  <c r="L15" i="27"/>
  <c r="N19" i="30"/>
  <c r="K56" i="27"/>
  <c r="K52" i="22"/>
  <c r="K55" i="22" s="1"/>
  <c r="J22" i="30"/>
  <c r="L15" i="19"/>
  <c r="F10" i="30"/>
  <c r="K56" i="19"/>
  <c r="L15" i="26"/>
  <c r="L15" i="29"/>
  <c r="L15" i="28"/>
  <c r="K56" i="28"/>
  <c r="K56" i="26"/>
  <c r="L15" i="25"/>
  <c r="L15" i="24"/>
  <c r="L15" i="23"/>
  <c r="L15" i="20"/>
  <c r="K56" i="20"/>
  <c r="L15" i="21"/>
  <c r="I31" i="5"/>
  <c r="I30" i="5"/>
  <c r="I29" i="5"/>
  <c r="I28" i="5"/>
  <c r="I27" i="5"/>
  <c r="I26" i="5"/>
  <c r="I25" i="5"/>
  <c r="I23" i="5"/>
  <c r="AL6" i="16" l="1"/>
  <c r="AM6" i="16"/>
  <c r="AI6" i="16"/>
  <c r="AK6" i="16"/>
  <c r="AJ6" i="16"/>
  <c r="AK7" i="16"/>
  <c r="AG6" i="16"/>
  <c r="AF6" i="16"/>
  <c r="I56" i="20"/>
  <c r="G59" i="20" s="1"/>
  <c r="AE7" i="16"/>
  <c r="AD6" i="16"/>
  <c r="L52" i="26"/>
  <c r="L54" i="26" s="1"/>
  <c r="K56" i="23"/>
  <c r="G59" i="23" s="1"/>
  <c r="K52" i="21"/>
  <c r="G22" i="30"/>
  <c r="K56" i="29"/>
  <c r="L52" i="29"/>
  <c r="L54" i="29" s="1"/>
  <c r="I56" i="25"/>
  <c r="K52" i="25"/>
  <c r="L22" i="30"/>
  <c r="L55" i="22"/>
  <c r="K52" i="24"/>
  <c r="K22" i="30"/>
  <c r="L55" i="27"/>
  <c r="L55" i="26"/>
  <c r="L52" i="22"/>
  <c r="L54" i="22" s="1"/>
  <c r="L55" i="23"/>
  <c r="L55" i="20"/>
  <c r="L56" i="20" s="1"/>
  <c r="L55" i="19"/>
  <c r="L56" i="19" s="1"/>
  <c r="L55" i="28"/>
  <c r="I56" i="19"/>
  <c r="G59" i="19" s="1"/>
  <c r="L55" i="29"/>
  <c r="I56" i="27"/>
  <c r="K56" i="22"/>
  <c r="G59" i="22" s="1"/>
  <c r="I56" i="29"/>
  <c r="I56" i="26"/>
  <c r="G59" i="26" s="1"/>
  <c r="I56" i="24"/>
  <c r="I56" i="28"/>
  <c r="I56" i="21"/>
  <c r="AT8" i="16" l="1"/>
  <c r="AS8" i="16"/>
  <c r="K55" i="21"/>
  <c r="L52" i="21"/>
  <c r="L54" i="21" s="1"/>
  <c r="G59" i="29"/>
  <c r="L56" i="22"/>
  <c r="K55" i="25"/>
  <c r="L52" i="25"/>
  <c r="L54" i="25" s="1"/>
  <c r="K55" i="24"/>
  <c r="L52" i="24"/>
  <c r="L54" i="24" s="1"/>
  <c r="L56" i="26"/>
  <c r="L56" i="23"/>
  <c r="L56" i="27"/>
  <c r="L56" i="29"/>
  <c r="L56" i="28"/>
  <c r="K56" i="21" l="1"/>
  <c r="G59" i="21" s="1"/>
  <c r="L55" i="21"/>
  <c r="L56" i="21" s="1"/>
  <c r="K56" i="25"/>
  <c r="G59" i="25" s="1"/>
  <c r="L55" i="25"/>
  <c r="L56" i="25" s="1"/>
  <c r="K56" i="24"/>
  <c r="G59" i="24" s="1"/>
  <c r="L55" i="24"/>
  <c r="L56" i="24" s="1"/>
  <c r="L26" i="18"/>
  <c r="L18" i="18"/>
  <c r="L14" i="18"/>
  <c r="L6" i="18"/>
  <c r="L3" i="18"/>
  <c r="K25" i="18"/>
  <c r="K17" i="18"/>
  <c r="K13" i="18"/>
  <c r="M28" i="18"/>
  <c r="M27" i="18"/>
  <c r="M26" i="18"/>
  <c r="M25" i="18"/>
  <c r="M20" i="18"/>
  <c r="M19" i="18"/>
  <c r="M18" i="18"/>
  <c r="M17" i="18"/>
  <c r="M16" i="18"/>
  <c r="M15" i="18"/>
  <c r="M14" i="18"/>
  <c r="M13" i="18"/>
  <c r="K2" i="18"/>
  <c r="I28" i="18"/>
  <c r="I27" i="18"/>
  <c r="I26" i="18"/>
  <c r="I25" i="18"/>
  <c r="I20" i="18"/>
  <c r="I19" i="18"/>
  <c r="I18" i="18"/>
  <c r="I17" i="18"/>
  <c r="I16" i="18"/>
  <c r="I15" i="18"/>
  <c r="I14" i="18"/>
  <c r="I13" i="18"/>
  <c r="H28" i="18"/>
  <c r="H27" i="18"/>
  <c r="H26" i="18"/>
  <c r="H25" i="18"/>
  <c r="H20" i="18"/>
  <c r="H19" i="18"/>
  <c r="H18" i="18"/>
  <c r="H17" i="18"/>
  <c r="H16" i="18"/>
  <c r="H15" i="18"/>
  <c r="H14" i="18"/>
  <c r="H13" i="18"/>
  <c r="M10" i="18"/>
  <c r="M9" i="18"/>
  <c r="M8" i="18"/>
  <c r="M7" i="18"/>
  <c r="M6" i="18"/>
  <c r="M5" i="18"/>
  <c r="M4" i="18"/>
  <c r="M3" i="18"/>
  <c r="M2" i="18"/>
  <c r="I10" i="18"/>
  <c r="I9" i="18"/>
  <c r="I8" i="18"/>
  <c r="I7" i="18"/>
  <c r="I6" i="18"/>
  <c r="I5" i="18"/>
  <c r="I4" i="18"/>
  <c r="I3" i="18"/>
  <c r="I2" i="18"/>
  <c r="H10" i="18"/>
  <c r="H9" i="18"/>
  <c r="H8" i="18"/>
  <c r="H7" i="18"/>
  <c r="H6" i="18"/>
  <c r="H5" i="18"/>
  <c r="H4" i="18"/>
  <c r="H3" i="18"/>
  <c r="H2" i="18"/>
  <c r="G2" i="18"/>
  <c r="G3" i="18"/>
  <c r="G4" i="18"/>
  <c r="G5" i="18"/>
  <c r="G6" i="18"/>
  <c r="G7" i="18"/>
  <c r="G8" i="18"/>
  <c r="G9" i="18"/>
  <c r="G10" i="18"/>
  <c r="G13" i="18"/>
  <c r="G14" i="18"/>
  <c r="G15" i="18"/>
  <c r="G16" i="18"/>
  <c r="G17" i="18"/>
  <c r="G18" i="18"/>
  <c r="G19" i="18"/>
  <c r="G20" i="18"/>
  <c r="G26" i="18"/>
  <c r="G27" i="18"/>
  <c r="G28" i="18"/>
  <c r="G25" i="18"/>
  <c r="F260" i="7" l="1"/>
  <c r="F282" i="10" l="1"/>
  <c r="C238" i="10"/>
  <c r="C127" i="3" l="1"/>
  <c r="C160" i="6"/>
  <c r="N15" i="13"/>
  <c r="N14" i="13"/>
  <c r="N16" i="13" l="1"/>
  <c r="Q141" i="3" l="1"/>
  <c r="R140" i="3"/>
  <c r="R133" i="3"/>
  <c r="R132" i="3"/>
  <c r="S178" i="6"/>
  <c r="T177" i="6"/>
  <c r="S176" i="6"/>
  <c r="T173" i="6"/>
  <c r="T168" i="6"/>
  <c r="T167" i="6"/>
  <c r="T170" i="6" l="1"/>
  <c r="E293" i="7" l="1"/>
  <c r="E292" i="7"/>
  <c r="E290" i="7"/>
  <c r="E289" i="7"/>
  <c r="E288" i="7"/>
  <c r="E55" i="14"/>
  <c r="E53" i="14"/>
  <c r="E52" i="14"/>
  <c r="M42" i="5"/>
  <c r="M41" i="5"/>
  <c r="M27" i="5"/>
  <c r="M26" i="5"/>
  <c r="M25" i="5"/>
  <c r="M24" i="5"/>
  <c r="M23" i="5"/>
  <c r="L10" i="18" l="1"/>
  <c r="L9" i="18"/>
  <c r="K10" i="18"/>
  <c r="C291" i="7"/>
  <c r="E291" i="7" s="1"/>
  <c r="C287" i="7"/>
  <c r="E287" i="7" s="1"/>
  <c r="C286" i="7"/>
  <c r="A46" i="14"/>
  <c r="C54" i="14"/>
  <c r="E54" i="14" s="1"/>
  <c r="C157" i="6"/>
  <c r="C156" i="6"/>
  <c r="C192" i="9"/>
  <c r="C191" i="9"/>
  <c r="C190" i="9"/>
  <c r="C189" i="9"/>
  <c r="I188" i="9"/>
  <c r="J189" i="9" s="1"/>
  <c r="C188" i="9"/>
  <c r="C187" i="9"/>
  <c r="C186" i="9"/>
  <c r="C185" i="9"/>
  <c r="A290" i="10"/>
  <c r="G293" i="10" s="1"/>
  <c r="E303" i="10"/>
  <c r="E305" i="10" s="1"/>
  <c r="C299" i="10"/>
  <c r="C297" i="10"/>
  <c r="C295" i="10"/>
  <c r="C294" i="10"/>
  <c r="C293" i="10"/>
  <c r="C292" i="10"/>
  <c r="C124" i="3"/>
  <c r="C123" i="3"/>
  <c r="Q130" i="3" s="1"/>
  <c r="C122" i="3"/>
  <c r="C121" i="3"/>
  <c r="K9" i="18" l="1"/>
  <c r="AT74" i="16"/>
  <c r="C295" i="7"/>
  <c r="C297" i="7" s="1"/>
  <c r="E286" i="7"/>
  <c r="E295" i="7" s="1"/>
  <c r="C303" i="10"/>
  <c r="C305" i="10" s="1"/>
  <c r="C193" i="9"/>
  <c r="C195" i="9" s="1"/>
  <c r="G49" i="14"/>
  <c r="D61" i="14"/>
  <c r="J190" i="9"/>
  <c r="D308" i="10"/>
  <c r="I297" i="10"/>
  <c r="J297" i="10"/>
  <c r="E39" i="14" l="1"/>
  <c r="A266" i="7"/>
  <c r="A284" i="7" s="1"/>
  <c r="A112" i="3"/>
  <c r="A120" i="3" s="1"/>
  <c r="A167" i="9"/>
  <c r="A183" i="9" s="1"/>
  <c r="G186" i="9" s="1"/>
  <c r="A126" i="3" l="1"/>
  <c r="D299" i="7"/>
  <c r="G287" i="7"/>
  <c r="D281" i="7"/>
  <c r="E277" i="7"/>
  <c r="G269" i="7"/>
  <c r="C277" i="7"/>
  <c r="C279" i="7" s="1"/>
  <c r="G170" i="9"/>
  <c r="I172" i="9"/>
  <c r="D287" i="10"/>
  <c r="G272" i="10"/>
  <c r="A118" i="3"/>
  <c r="C116" i="3"/>
  <c r="C115" i="3"/>
  <c r="C114" i="3"/>
  <c r="C113" i="3"/>
  <c r="J173" i="9" l="1"/>
  <c r="J174" i="9" s="1"/>
  <c r="C177" i="9"/>
  <c r="C179" i="9" s="1"/>
  <c r="E282" i="10"/>
  <c r="E284" i="10" s="1"/>
  <c r="C282" i="10"/>
  <c r="C284" i="10" s="1"/>
  <c r="E40" i="14"/>
  <c r="D43" i="14"/>
  <c r="C39" i="14"/>
  <c r="C41" i="14" s="1"/>
  <c r="G31" i="14"/>
  <c r="C147" i="6"/>
  <c r="I276" i="10" l="1"/>
  <c r="J276" i="10"/>
  <c r="C148" i="6" l="1"/>
  <c r="C138" i="6"/>
  <c r="A107" i="3"/>
  <c r="C105" i="3"/>
  <c r="C104" i="3"/>
  <c r="C103" i="3"/>
  <c r="C102" i="3"/>
  <c r="D264" i="10"/>
  <c r="G249" i="10"/>
  <c r="G154" i="9"/>
  <c r="A141" i="6"/>
  <c r="A146" i="6" s="1"/>
  <c r="A150" i="6" s="1"/>
  <c r="A155" i="6" s="1"/>
  <c r="A159" i="6" s="1"/>
  <c r="C139" i="6"/>
  <c r="D263" i="7"/>
  <c r="G251" i="7"/>
  <c r="E21" i="14"/>
  <c r="P118" i="14"/>
  <c r="D25" i="14"/>
  <c r="C21" i="14"/>
  <c r="C23" i="14" s="1"/>
  <c r="G13" i="14"/>
  <c r="E259" i="10" l="1"/>
  <c r="E261" i="10" s="1"/>
  <c r="J253" i="10" s="1"/>
  <c r="E161" i="9"/>
  <c r="I156" i="9" s="1"/>
  <c r="C259" i="7"/>
  <c r="C261" i="7" s="1"/>
  <c r="C259" i="10"/>
  <c r="C261" i="10" s="1"/>
  <c r="C161" i="9"/>
  <c r="C163" i="9" s="1"/>
  <c r="E259" i="7"/>
  <c r="J157" i="9" l="1"/>
  <c r="J158" i="9" s="1"/>
  <c r="M13" i="13"/>
  <c r="D243" i="7"/>
  <c r="G231" i="7"/>
  <c r="A101" i="12"/>
  <c r="C99" i="12"/>
  <c r="C98" i="12"/>
  <c r="C97" i="12"/>
  <c r="T99" i="12" s="1"/>
  <c r="A128" i="6"/>
  <c r="C126" i="6"/>
  <c r="D68" i="9"/>
  <c r="D84" i="9" s="1"/>
  <c r="D100" i="9" s="1"/>
  <c r="D116" i="9" s="1"/>
  <c r="D132" i="9" s="1"/>
  <c r="D148" i="9" s="1"/>
  <c r="D164" i="9" s="1"/>
  <c r="D180" i="9" s="1"/>
  <c r="D196" i="9" s="1"/>
  <c r="G138" i="9"/>
  <c r="D243" i="10"/>
  <c r="G228" i="10"/>
  <c r="A99" i="3"/>
  <c r="C97" i="3"/>
  <c r="C96" i="3"/>
  <c r="C95" i="3"/>
  <c r="C94" i="3"/>
  <c r="S99" i="12" l="1"/>
  <c r="C239" i="7"/>
  <c r="C241" i="7" s="1"/>
  <c r="C145" i="9"/>
  <c r="C147" i="9" s="1"/>
  <c r="C240" i="10"/>
  <c r="E238" i="10"/>
  <c r="E240" i="10" s="1"/>
  <c r="E239" i="7"/>
  <c r="E145" i="9"/>
  <c r="I140" i="9" s="1"/>
  <c r="D225" i="7"/>
  <c r="G213" i="7"/>
  <c r="A93" i="12"/>
  <c r="C91" i="12"/>
  <c r="C90" i="12"/>
  <c r="C89" i="12"/>
  <c r="T91" i="12" s="1"/>
  <c r="A119" i="6"/>
  <c r="C117" i="6"/>
  <c r="G122" i="9"/>
  <c r="D222" i="10"/>
  <c r="G207" i="10"/>
  <c r="A91" i="3"/>
  <c r="C89" i="3"/>
  <c r="C88" i="3"/>
  <c r="C87" i="3"/>
  <c r="C86" i="3"/>
  <c r="S91" i="12" l="1"/>
  <c r="J235" i="7"/>
  <c r="J141" i="9"/>
  <c r="J142" i="9" s="1"/>
  <c r="J232" i="10"/>
  <c r="E129" i="9"/>
  <c r="I124" i="9" s="1"/>
  <c r="J125" i="9" s="1"/>
  <c r="J126" i="9" s="1"/>
  <c r="C221" i="7"/>
  <c r="C223" i="7" s="1"/>
  <c r="E221" i="7"/>
  <c r="C129" i="9"/>
  <c r="C131" i="9" s="1"/>
  <c r="E217" i="10"/>
  <c r="E219" i="10" s="1"/>
  <c r="C217" i="10"/>
  <c r="C219" i="10" s="1"/>
  <c r="D207" i="7"/>
  <c r="G195" i="7"/>
  <c r="A85" i="12"/>
  <c r="C83" i="12"/>
  <c r="C82" i="12"/>
  <c r="C81" i="12"/>
  <c r="A110" i="6"/>
  <c r="C108" i="6"/>
  <c r="G106" i="9"/>
  <c r="D201" i="10"/>
  <c r="G186" i="10"/>
  <c r="K13" i="13"/>
  <c r="A83" i="3"/>
  <c r="C81" i="3"/>
  <c r="C80" i="3"/>
  <c r="C79" i="3"/>
  <c r="C78" i="3"/>
  <c r="G159" i="7"/>
  <c r="D189" i="7"/>
  <c r="G177" i="7"/>
  <c r="A77" i="12"/>
  <c r="C75" i="12"/>
  <c r="C74" i="12"/>
  <c r="C73" i="12"/>
  <c r="T75" i="12" s="1"/>
  <c r="A101" i="6"/>
  <c r="C99" i="6"/>
  <c r="G90" i="9"/>
  <c r="G165" i="10"/>
  <c r="A75" i="3"/>
  <c r="C73" i="3"/>
  <c r="C72" i="3"/>
  <c r="C71" i="3"/>
  <c r="C70" i="3"/>
  <c r="J217" i="7" l="1"/>
  <c r="J211" i="10"/>
  <c r="E203" i="7"/>
  <c r="E196" i="10"/>
  <c r="E198" i="10" s="1"/>
  <c r="C203" i="7"/>
  <c r="C205" i="7" s="1"/>
  <c r="T83" i="12"/>
  <c r="S83" i="12"/>
  <c r="E113" i="9"/>
  <c r="I108" i="9" s="1"/>
  <c r="C113" i="9"/>
  <c r="C115" i="9" s="1"/>
  <c r="C196" i="10"/>
  <c r="C198" i="10" s="1"/>
  <c r="S75" i="12"/>
  <c r="E185" i="7"/>
  <c r="J181" i="7" s="1"/>
  <c r="E97" i="9"/>
  <c r="C185" i="7"/>
  <c r="C187" i="7" s="1"/>
  <c r="C97" i="9"/>
  <c r="C99" i="9" s="1"/>
  <c r="E175" i="10"/>
  <c r="E177" i="10" s="1"/>
  <c r="C175" i="10"/>
  <c r="C177" i="10" s="1"/>
  <c r="C20" i="5"/>
  <c r="C17" i="5"/>
  <c r="C14" i="5"/>
  <c r="C11" i="5"/>
  <c r="C7" i="5"/>
  <c r="D171" i="7"/>
  <c r="A69" i="12"/>
  <c r="C67" i="12"/>
  <c r="C66" i="12"/>
  <c r="C65" i="12"/>
  <c r="S67" i="12" s="1"/>
  <c r="A92" i="6"/>
  <c r="C90" i="6"/>
  <c r="G74" i="9"/>
  <c r="D159" i="10"/>
  <c r="G144" i="10"/>
  <c r="A67" i="3"/>
  <c r="C65" i="3"/>
  <c r="C64" i="3"/>
  <c r="C63" i="3"/>
  <c r="C62" i="3"/>
  <c r="J199" i="7" l="1"/>
  <c r="J190" i="10"/>
  <c r="J109" i="9"/>
  <c r="J110" i="9" s="1"/>
  <c r="I92" i="9"/>
  <c r="J93" i="9" s="1"/>
  <c r="J94" i="9" s="1"/>
  <c r="J169" i="10"/>
  <c r="T67" i="12"/>
  <c r="E167" i="7"/>
  <c r="J163" i="7" s="1"/>
  <c r="C167" i="7"/>
  <c r="C169" i="7" s="1"/>
  <c r="E81" i="9"/>
  <c r="I76" i="9" s="1"/>
  <c r="E154" i="10"/>
  <c r="E156" i="10" s="1"/>
  <c r="J148" i="10" s="1"/>
  <c r="C81" i="9"/>
  <c r="C83" i="9" s="1"/>
  <c r="C154" i="10"/>
  <c r="C156" i="10" s="1"/>
  <c r="D153" i="7"/>
  <c r="G141" i="7"/>
  <c r="A61" i="12"/>
  <c r="C59" i="12"/>
  <c r="C58" i="12"/>
  <c r="C57" i="12"/>
  <c r="T59" i="12" s="1"/>
  <c r="A83" i="6"/>
  <c r="C81" i="6"/>
  <c r="G58" i="9"/>
  <c r="D138" i="10"/>
  <c r="G123" i="10"/>
  <c r="A59" i="3"/>
  <c r="C57" i="3"/>
  <c r="C56" i="3"/>
  <c r="C55" i="3"/>
  <c r="C54" i="3"/>
  <c r="J77" i="9" l="1"/>
  <c r="J78" i="9" s="1"/>
  <c r="S59" i="12"/>
  <c r="C149" i="7"/>
  <c r="C151" i="7" s="1"/>
  <c r="E149" i="7"/>
  <c r="C65" i="9"/>
  <c r="C67" i="9" s="1"/>
  <c r="E133" i="10"/>
  <c r="E135" i="10" s="1"/>
  <c r="J127" i="10" s="1"/>
  <c r="E65" i="9"/>
  <c r="C133" i="10"/>
  <c r="C135" i="10" s="1"/>
  <c r="E131" i="7"/>
  <c r="H61" i="28" l="1"/>
  <c r="I61" i="28"/>
  <c r="J145" i="7"/>
  <c r="I60" i="9"/>
  <c r="I62" i="28" l="1"/>
  <c r="J61" i="9"/>
  <c r="J62" i="9" s="1"/>
  <c r="D135" i="7"/>
  <c r="G123" i="7"/>
  <c r="A53" i="12"/>
  <c r="C51" i="12"/>
  <c r="C50" i="12"/>
  <c r="C49" i="12"/>
  <c r="S51" i="12" s="1"/>
  <c r="A74" i="6"/>
  <c r="C72" i="6"/>
  <c r="D52" i="9"/>
  <c r="G42" i="9"/>
  <c r="D117" i="10"/>
  <c r="G102" i="10"/>
  <c r="A51" i="3"/>
  <c r="C49" i="3"/>
  <c r="C48" i="3"/>
  <c r="C47" i="3"/>
  <c r="C46" i="3"/>
  <c r="C131" i="7" l="1"/>
  <c r="C133" i="7" s="1"/>
  <c r="C112" i="10"/>
  <c r="C114" i="10" s="1"/>
  <c r="E112" i="10"/>
  <c r="E114" i="10" s="1"/>
  <c r="T51" i="12"/>
  <c r="E49" i="9"/>
  <c r="I44" i="9" s="1"/>
  <c r="J45" i="9" s="1"/>
  <c r="J46" i="9" s="1"/>
  <c r="J127" i="7"/>
  <c r="C49" i="9"/>
  <c r="C51" i="9" s="1"/>
  <c r="F13" i="13"/>
  <c r="F7" i="13"/>
  <c r="R14" i="3"/>
  <c r="J106" i="10" l="1"/>
  <c r="D117" i="7" l="1"/>
  <c r="E112" i="7"/>
  <c r="E111" i="7"/>
  <c r="E110" i="7"/>
  <c r="E109" i="7"/>
  <c r="E108" i="7"/>
  <c r="E107" i="7"/>
  <c r="E106" i="7"/>
  <c r="G105" i="7"/>
  <c r="E105" i="7"/>
  <c r="A45" i="12"/>
  <c r="C43" i="12"/>
  <c r="C42" i="12"/>
  <c r="C41" i="12"/>
  <c r="A65" i="6"/>
  <c r="C63" i="6"/>
  <c r="D36" i="9"/>
  <c r="G26" i="9"/>
  <c r="D96" i="10"/>
  <c r="G81" i="10"/>
  <c r="C91" i="10"/>
  <c r="C93" i="10" s="1"/>
  <c r="A43" i="3"/>
  <c r="C41" i="3"/>
  <c r="C40" i="3"/>
  <c r="C39" i="3"/>
  <c r="C38" i="3"/>
  <c r="C44" i="12" l="1"/>
  <c r="T41" i="12" s="1"/>
  <c r="C113" i="7"/>
  <c r="C115" i="7" s="1"/>
  <c r="E104" i="7"/>
  <c r="E113" i="7" s="1"/>
  <c r="E33" i="9"/>
  <c r="T43" i="12"/>
  <c r="S43" i="12"/>
  <c r="C33" i="9"/>
  <c r="C35" i="9" s="1"/>
  <c r="E91" i="10"/>
  <c r="E93" i="10" s="1"/>
  <c r="E63" i="10"/>
  <c r="E65" i="10"/>
  <c r="E67" i="10"/>
  <c r="E68" i="10"/>
  <c r="A37" i="12"/>
  <c r="C35" i="12"/>
  <c r="C34" i="12"/>
  <c r="C33" i="12"/>
  <c r="S41" i="12" l="1"/>
  <c r="T44" i="12"/>
  <c r="S45" i="12"/>
  <c r="I28" i="9"/>
  <c r="J29" i="9" s="1"/>
  <c r="J109" i="7"/>
  <c r="J85" i="10"/>
  <c r="T35" i="12"/>
  <c r="S35" i="12"/>
  <c r="D20" i="9"/>
  <c r="E16" i="9"/>
  <c r="E15" i="9"/>
  <c r="E14" i="9"/>
  <c r="E13" i="9"/>
  <c r="E12" i="9"/>
  <c r="E11" i="9"/>
  <c r="G10" i="9"/>
  <c r="E10" i="9"/>
  <c r="E9" i="9"/>
  <c r="D99" i="7"/>
  <c r="E94" i="7"/>
  <c r="E93" i="7"/>
  <c r="E92" i="7"/>
  <c r="E91" i="7"/>
  <c r="E90" i="7"/>
  <c r="E89" i="7"/>
  <c r="E88" i="7"/>
  <c r="G87" i="7"/>
  <c r="E87" i="7"/>
  <c r="E86" i="7"/>
  <c r="A56" i="6"/>
  <c r="C54" i="6"/>
  <c r="D75" i="10"/>
  <c r="E66" i="10"/>
  <c r="E64" i="10"/>
  <c r="E62" i="10"/>
  <c r="E61" i="10"/>
  <c r="G60" i="10"/>
  <c r="E60" i="10"/>
  <c r="E59" i="10"/>
  <c r="C11" i="3"/>
  <c r="A35" i="3"/>
  <c r="C33" i="3"/>
  <c r="C32" i="3"/>
  <c r="C31" i="3"/>
  <c r="C30" i="3"/>
  <c r="J30" i="9" l="1"/>
  <c r="E70" i="10"/>
  <c r="E17" i="9"/>
  <c r="E20" i="9" s="1"/>
  <c r="E36" i="9" s="1"/>
  <c r="E52" i="9" s="1"/>
  <c r="E68" i="9" s="1"/>
  <c r="E84" i="9" s="1"/>
  <c r="E100" i="9" s="1"/>
  <c r="E116" i="9" s="1"/>
  <c r="E132" i="9" s="1"/>
  <c r="E148" i="9" s="1"/>
  <c r="E164" i="9" s="1"/>
  <c r="E180" i="9" s="1"/>
  <c r="E196" i="9" s="1"/>
  <c r="E95" i="7"/>
  <c r="J91" i="7" s="1"/>
  <c r="C17" i="9"/>
  <c r="C19" i="9" s="1"/>
  <c r="C95" i="7"/>
  <c r="C97" i="7" s="1"/>
  <c r="C70" i="10"/>
  <c r="C72" i="10" s="1"/>
  <c r="E70" i="7"/>
  <c r="E71" i="7"/>
  <c r="E72" i="7"/>
  <c r="E73" i="7"/>
  <c r="E74" i="7"/>
  <c r="E75" i="7"/>
  <c r="E76" i="7"/>
  <c r="H196" i="9"/>
  <c r="I12" i="9" l="1"/>
  <c r="E26" i="10"/>
  <c r="E28" i="10" s="1"/>
  <c r="A30" i="12"/>
  <c r="C28" i="12"/>
  <c r="C27" i="12"/>
  <c r="C26" i="12"/>
  <c r="D54" i="10"/>
  <c r="E47" i="10"/>
  <c r="E46" i="10"/>
  <c r="E45" i="10"/>
  <c r="E44" i="10"/>
  <c r="E43" i="10"/>
  <c r="E42" i="10"/>
  <c r="E40" i="10"/>
  <c r="G39" i="10"/>
  <c r="A27" i="3"/>
  <c r="C25" i="3"/>
  <c r="C24" i="3"/>
  <c r="C23" i="3"/>
  <c r="C22" i="3"/>
  <c r="D81" i="7"/>
  <c r="G69" i="7"/>
  <c r="E69" i="7"/>
  <c r="G51" i="7"/>
  <c r="D63" i="7"/>
  <c r="E60" i="7"/>
  <c r="E57" i="7"/>
  <c r="E56" i="7"/>
  <c r="E55" i="7"/>
  <c r="E54" i="7"/>
  <c r="E53" i="7"/>
  <c r="E52" i="7"/>
  <c r="J13" i="9" l="1"/>
  <c r="J14" i="9" s="1"/>
  <c r="E59" i="7"/>
  <c r="J55" i="7" s="1"/>
  <c r="E49" i="10"/>
  <c r="C77" i="7"/>
  <c r="C79" i="7" s="1"/>
  <c r="E68" i="7"/>
  <c r="E77" i="7" s="1"/>
  <c r="J73" i="7" s="1"/>
  <c r="C59" i="7"/>
  <c r="C61" i="7" s="1"/>
  <c r="C49" i="10"/>
  <c r="C51" i="10" s="1"/>
  <c r="T28" i="12"/>
  <c r="S28" i="12"/>
  <c r="A47" i="6"/>
  <c r="C45" i="6"/>
  <c r="N38" i="6"/>
  <c r="N47" i="6" s="1"/>
  <c r="N56" i="6" s="1"/>
  <c r="N65" i="6" s="1"/>
  <c r="N74" i="6" s="1"/>
  <c r="N83" i="6" s="1"/>
  <c r="N92" i="6" s="1"/>
  <c r="N101" i="6" s="1"/>
  <c r="N110" i="6" s="1"/>
  <c r="N119" i="6" s="1"/>
  <c r="N128" i="6" s="1"/>
  <c r="M38" i="6"/>
  <c r="M47" i="6" s="1"/>
  <c r="M56" i="6" s="1"/>
  <c r="M65" i="6" s="1"/>
  <c r="M74" i="6" s="1"/>
  <c r="M83" i="6" s="1"/>
  <c r="M92" i="6" s="1"/>
  <c r="M101" i="6" s="1"/>
  <c r="M110" i="6" s="1"/>
  <c r="M119" i="6" s="1"/>
  <c r="M128" i="6" s="1"/>
  <c r="A38" i="6"/>
  <c r="C36" i="6"/>
  <c r="C13" i="13"/>
  <c r="L13" i="13"/>
  <c r="J13" i="13"/>
  <c r="I13" i="13"/>
  <c r="H13" i="13"/>
  <c r="G13" i="13"/>
  <c r="E13" i="13"/>
  <c r="D13" i="13"/>
  <c r="B13" i="13"/>
  <c r="N7" i="13"/>
  <c r="M7" i="13"/>
  <c r="L7" i="13"/>
  <c r="K7" i="13"/>
  <c r="J7" i="13"/>
  <c r="I7" i="13"/>
  <c r="H7" i="13"/>
  <c r="G7" i="13"/>
  <c r="E7" i="13"/>
  <c r="D7" i="13"/>
  <c r="C7" i="13"/>
  <c r="B7" i="13"/>
  <c r="M132" i="6" l="1"/>
  <c r="M141" i="6" s="1"/>
  <c r="M150" i="6" s="1"/>
  <c r="M159" i="6" s="1"/>
  <c r="M161" i="6" s="1"/>
  <c r="N132" i="6"/>
  <c r="N141" i="6" s="1"/>
  <c r="N150" i="6" s="1"/>
  <c r="N159" i="6" s="1"/>
  <c r="N161" i="6" s="1"/>
  <c r="G61" i="7"/>
  <c r="E62" i="7"/>
  <c r="J54" i="7" s="1"/>
  <c r="I57" i="7" s="1"/>
  <c r="J58" i="7" l="1"/>
  <c r="A23" i="12" l="1"/>
  <c r="C21" i="12"/>
  <c r="C20" i="12"/>
  <c r="C19" i="12"/>
  <c r="A29" i="6"/>
  <c r="C27" i="6"/>
  <c r="D31" i="10"/>
  <c r="G16" i="10"/>
  <c r="A19" i="3"/>
  <c r="C17" i="3"/>
  <c r="C16" i="3"/>
  <c r="C15" i="3"/>
  <c r="C14" i="3"/>
  <c r="T14" i="12"/>
  <c r="S14" i="12"/>
  <c r="N16" i="12"/>
  <c r="N23" i="12" s="1"/>
  <c r="N30" i="12" s="1"/>
  <c r="N37" i="12" s="1"/>
  <c r="N45" i="12" s="1"/>
  <c r="N53" i="12" s="1"/>
  <c r="N61" i="12" s="1"/>
  <c r="N69" i="12" s="1"/>
  <c r="N77" i="12" s="1"/>
  <c r="N85" i="12" s="1"/>
  <c r="N93" i="12" s="1"/>
  <c r="N101" i="12" s="1"/>
  <c r="M16" i="12"/>
  <c r="M23" i="12" s="1"/>
  <c r="M30" i="12" s="1"/>
  <c r="M37" i="12" s="1"/>
  <c r="M45" i="12" s="1"/>
  <c r="M53" i="12" s="1"/>
  <c r="M61" i="12" s="1"/>
  <c r="M69" i="12" s="1"/>
  <c r="M77" i="12" s="1"/>
  <c r="M85" i="12" s="1"/>
  <c r="M93" i="12" s="1"/>
  <c r="M101" i="12" s="1"/>
  <c r="L16" i="12"/>
  <c r="L23" i="12" s="1"/>
  <c r="L30" i="12" s="1"/>
  <c r="L37" i="12" s="1"/>
  <c r="L45" i="12" s="1"/>
  <c r="L53" i="12" s="1"/>
  <c r="L61" i="12" s="1"/>
  <c r="L69" i="12" s="1"/>
  <c r="L77" i="12" s="1"/>
  <c r="L85" i="12" s="1"/>
  <c r="L93" i="12" s="1"/>
  <c r="L101" i="12" s="1"/>
  <c r="K16" i="12"/>
  <c r="K23" i="12" s="1"/>
  <c r="K30" i="12" s="1"/>
  <c r="K37" i="12" s="1"/>
  <c r="K45" i="12" s="1"/>
  <c r="K53" i="12" s="1"/>
  <c r="K61" i="12" s="1"/>
  <c r="K69" i="12" s="1"/>
  <c r="K77" i="12" s="1"/>
  <c r="K85" i="12" s="1"/>
  <c r="K93" i="12" s="1"/>
  <c r="K101" i="12" s="1"/>
  <c r="J16" i="12"/>
  <c r="J23" i="12" s="1"/>
  <c r="J30" i="12" s="1"/>
  <c r="J37" i="12" s="1"/>
  <c r="J45" i="12" s="1"/>
  <c r="J53" i="12" s="1"/>
  <c r="J61" i="12" s="1"/>
  <c r="J69" i="12" s="1"/>
  <c r="J77" i="12" s="1"/>
  <c r="J85" i="12" s="1"/>
  <c r="J93" i="12" s="1"/>
  <c r="J101" i="12" s="1"/>
  <c r="I16" i="12"/>
  <c r="I23" i="12" s="1"/>
  <c r="I30" i="12" s="1"/>
  <c r="I37" i="12" s="1"/>
  <c r="I45" i="12" s="1"/>
  <c r="I53" i="12" s="1"/>
  <c r="I61" i="12" s="1"/>
  <c r="I69" i="12" s="1"/>
  <c r="I77" i="12" s="1"/>
  <c r="I85" i="12" s="1"/>
  <c r="I93" i="12" s="1"/>
  <c r="I101" i="12" s="1"/>
  <c r="G16" i="12"/>
  <c r="G23" i="12" s="1"/>
  <c r="G30" i="12" s="1"/>
  <c r="G37" i="12" s="1"/>
  <c r="G45" i="12" s="1"/>
  <c r="G53" i="12" s="1"/>
  <c r="G61" i="12" s="1"/>
  <c r="G69" i="12" s="1"/>
  <c r="G77" i="12" s="1"/>
  <c r="G85" i="12" s="1"/>
  <c r="G93" i="12" s="1"/>
  <c r="G101" i="12" s="1"/>
  <c r="F16" i="12"/>
  <c r="F23" i="12" s="1"/>
  <c r="F30" i="12" s="1"/>
  <c r="F37" i="12" s="1"/>
  <c r="F45" i="12" s="1"/>
  <c r="F53" i="12" s="1"/>
  <c r="F61" i="12" s="1"/>
  <c r="F69" i="12" s="1"/>
  <c r="F77" i="12" s="1"/>
  <c r="F85" i="12" s="1"/>
  <c r="F93" i="12" s="1"/>
  <c r="F101" i="12" s="1"/>
  <c r="C17" i="6"/>
  <c r="T17" i="6"/>
  <c r="C26" i="10" l="1"/>
  <c r="C28" i="10" s="1"/>
  <c r="T21" i="12"/>
  <c r="S21" i="12"/>
  <c r="S16" i="12"/>
  <c r="T15" i="12"/>
  <c r="C16" i="12"/>
  <c r="T12" i="12"/>
  <c r="S12" i="12"/>
  <c r="H11" i="6"/>
  <c r="E11" i="6" s="1"/>
  <c r="H10" i="6"/>
  <c r="H22" i="12" l="1"/>
  <c r="C22" i="12" s="1"/>
  <c r="E10" i="6"/>
  <c r="E9" i="12" s="1"/>
  <c r="E16" i="12" s="1"/>
  <c r="H9" i="12"/>
  <c r="H16" i="12" s="1"/>
  <c r="D11" i="6"/>
  <c r="D10" i="6"/>
  <c r="D9" i="12" s="1"/>
  <c r="D16" i="12" s="1"/>
  <c r="E23" i="12" l="1"/>
  <c r="D23" i="12"/>
  <c r="S19" i="12"/>
  <c r="T19" i="12"/>
  <c r="T22" i="12"/>
  <c r="C23" i="12"/>
  <c r="S23" i="12"/>
  <c r="H23" i="12"/>
  <c r="D30" i="12" l="1"/>
  <c r="E30" i="12"/>
  <c r="H29" i="12"/>
  <c r="C29" i="12" s="1"/>
  <c r="A16" i="12"/>
  <c r="T18" i="6"/>
  <c r="E8" i="7"/>
  <c r="D37" i="12" l="1"/>
  <c r="E37" i="12"/>
  <c r="H30" i="12"/>
  <c r="S26" i="12"/>
  <c r="T26" i="12"/>
  <c r="S30" i="12"/>
  <c r="T29" i="12"/>
  <c r="C30" i="12"/>
  <c r="C1153" i="12"/>
  <c r="D27" i="7"/>
  <c r="G15" i="7"/>
  <c r="A20" i="6"/>
  <c r="C18" i="6"/>
  <c r="E45" i="12" l="1"/>
  <c r="E53" i="12" s="1"/>
  <c r="D45" i="12"/>
  <c r="D53" i="12" s="1"/>
  <c r="H36" i="12"/>
  <c r="C36" i="12" s="1"/>
  <c r="C37" i="12" s="1"/>
  <c r="C45" i="12" s="1"/>
  <c r="C23" i="7"/>
  <c r="C25" i="7" s="1"/>
  <c r="E23" i="7"/>
  <c r="J19" i="7" s="1"/>
  <c r="E61" i="12" l="1"/>
  <c r="E69" i="12" s="1"/>
  <c r="E77" i="12" s="1"/>
  <c r="E85" i="12" s="1"/>
  <c r="E93" i="12" s="1"/>
  <c r="E101" i="12" s="1"/>
  <c r="D61" i="12"/>
  <c r="D69" i="12" s="1"/>
  <c r="D77" i="12" s="1"/>
  <c r="D85" i="12" s="1"/>
  <c r="D93" i="12" s="1"/>
  <c r="D101" i="12" s="1"/>
  <c r="C52" i="12"/>
  <c r="H37" i="12"/>
  <c r="H45" i="12" s="1"/>
  <c r="T33" i="12"/>
  <c r="S33" i="12"/>
  <c r="S37" i="12"/>
  <c r="T36" i="12"/>
  <c r="L20" i="6"/>
  <c r="L29" i="6" s="1"/>
  <c r="L38" i="6" s="1"/>
  <c r="L47" i="6" s="1"/>
  <c r="L56" i="6" s="1"/>
  <c r="L65" i="6" s="1"/>
  <c r="L74" i="6" s="1"/>
  <c r="L83" i="6" s="1"/>
  <c r="L92" i="6" s="1"/>
  <c r="L101" i="6" s="1"/>
  <c r="L110" i="6" s="1"/>
  <c r="L119" i="6" s="1"/>
  <c r="K20" i="6"/>
  <c r="K29" i="6" s="1"/>
  <c r="K38" i="6" s="1"/>
  <c r="K47" i="6" s="1"/>
  <c r="K56" i="6" s="1"/>
  <c r="K65" i="6" s="1"/>
  <c r="K74" i="6" s="1"/>
  <c r="K83" i="6" s="1"/>
  <c r="K92" i="6" s="1"/>
  <c r="K101" i="6" s="1"/>
  <c r="K110" i="6" s="1"/>
  <c r="K119" i="6" s="1"/>
  <c r="J20" i="6"/>
  <c r="J29" i="6" s="1"/>
  <c r="J38" i="6" s="1"/>
  <c r="J47" i="6" s="1"/>
  <c r="J56" i="6" s="1"/>
  <c r="J65" i="6" s="1"/>
  <c r="J74" i="6" s="1"/>
  <c r="J83" i="6" s="1"/>
  <c r="J92" i="6" s="1"/>
  <c r="J101" i="6" s="1"/>
  <c r="J110" i="6" s="1"/>
  <c r="J119" i="6" s="1"/>
  <c r="I20" i="6"/>
  <c r="I29" i="6" s="1"/>
  <c r="I38" i="6" s="1"/>
  <c r="I47" i="6" s="1"/>
  <c r="I56" i="6" s="1"/>
  <c r="I65" i="6" s="1"/>
  <c r="I74" i="6" s="1"/>
  <c r="I83" i="6" s="1"/>
  <c r="I92" i="6" s="1"/>
  <c r="I101" i="6" s="1"/>
  <c r="I110" i="6" s="1"/>
  <c r="I119" i="6" s="1"/>
  <c r="K19" i="3"/>
  <c r="K27" i="3" s="1"/>
  <c r="K35" i="3" s="1"/>
  <c r="K43" i="3" s="1"/>
  <c r="K51" i="3" s="1"/>
  <c r="K59" i="3" s="1"/>
  <c r="K67" i="3" s="1"/>
  <c r="K75" i="3" s="1"/>
  <c r="K83" i="3" s="1"/>
  <c r="K91" i="3" s="1"/>
  <c r="K99" i="3" s="1"/>
  <c r="K107" i="3" s="1"/>
  <c r="K118" i="3" s="1"/>
  <c r="K126" i="3" s="1"/>
  <c r="J19" i="3"/>
  <c r="J27" i="3" s="1"/>
  <c r="J35" i="3" s="1"/>
  <c r="J43" i="3" s="1"/>
  <c r="J51" i="3" s="1"/>
  <c r="J59" i="3" s="1"/>
  <c r="J67" i="3" s="1"/>
  <c r="J75" i="3" s="1"/>
  <c r="J83" i="3" s="1"/>
  <c r="J91" i="3" s="1"/>
  <c r="J99" i="3" s="1"/>
  <c r="J107" i="3" s="1"/>
  <c r="J118" i="3" s="1"/>
  <c r="J126" i="3" s="1"/>
  <c r="I19" i="3"/>
  <c r="I27" i="3" s="1"/>
  <c r="I35" i="3" s="1"/>
  <c r="I43" i="3" s="1"/>
  <c r="I51" i="3" s="1"/>
  <c r="I59" i="3" s="1"/>
  <c r="I67" i="3" s="1"/>
  <c r="I75" i="3" s="1"/>
  <c r="I83" i="3" s="1"/>
  <c r="I91" i="3" s="1"/>
  <c r="I99" i="3" s="1"/>
  <c r="I107" i="3" s="1"/>
  <c r="I118" i="3" s="1"/>
  <c r="I126" i="3" s="1"/>
  <c r="H19" i="3"/>
  <c r="H27" i="3" s="1"/>
  <c r="H35" i="3" s="1"/>
  <c r="H43" i="3" s="1"/>
  <c r="H51" i="3" s="1"/>
  <c r="H59" i="3" s="1"/>
  <c r="H67" i="3" s="1"/>
  <c r="H75" i="3" s="1"/>
  <c r="H83" i="3" s="1"/>
  <c r="H91" i="3" s="1"/>
  <c r="H99" i="3" s="1"/>
  <c r="H107" i="3" s="1"/>
  <c r="H118" i="3" s="1"/>
  <c r="H126" i="3" s="1"/>
  <c r="G19" i="3"/>
  <c r="G27" i="3" s="1"/>
  <c r="G35" i="3" s="1"/>
  <c r="G43" i="3" s="1"/>
  <c r="G51" i="3" s="1"/>
  <c r="G59" i="3" s="1"/>
  <c r="G67" i="3" s="1"/>
  <c r="G75" i="3" s="1"/>
  <c r="G83" i="3" s="1"/>
  <c r="G91" i="3" s="1"/>
  <c r="G99" i="3" s="1"/>
  <c r="G107" i="3" s="1"/>
  <c r="G118" i="3" s="1"/>
  <c r="G126" i="3" s="1"/>
  <c r="Q73" i="16" l="1"/>
  <c r="Q76" i="16" s="1"/>
  <c r="L128" i="6"/>
  <c r="L132" i="6" s="1"/>
  <c r="K128" i="6"/>
  <c r="J128" i="6"/>
  <c r="J132" i="6" s="1"/>
  <c r="I128" i="6"/>
  <c r="S53" i="12"/>
  <c r="C53" i="12"/>
  <c r="T52" i="12"/>
  <c r="T49" i="12"/>
  <c r="S49" i="12"/>
  <c r="H53" i="12"/>
  <c r="L11" i="3"/>
  <c r="L19" i="3" s="1"/>
  <c r="L27" i="3" s="1"/>
  <c r="L35" i="3" s="1"/>
  <c r="L43" i="3" s="1"/>
  <c r="L51" i="3" s="1"/>
  <c r="L59" i="3" s="1"/>
  <c r="L67" i="3" s="1"/>
  <c r="L75" i="3" s="1"/>
  <c r="L83" i="3" s="1"/>
  <c r="L91" i="3" s="1"/>
  <c r="L99" i="3" s="1"/>
  <c r="L107" i="3" s="1"/>
  <c r="Q78" i="16" l="1"/>
  <c r="R73" i="16"/>
  <c r="D76" i="16"/>
  <c r="L110" i="3"/>
  <c r="L118" i="3" s="1"/>
  <c r="L126" i="3" s="1"/>
  <c r="L128" i="3" s="1"/>
  <c r="J141" i="6"/>
  <c r="L141" i="6"/>
  <c r="I132" i="6"/>
  <c r="I141" i="6" s="1"/>
  <c r="K132" i="6"/>
  <c r="C60" i="12"/>
  <c r="R76" i="16" l="1"/>
  <c r="R78" i="16" s="1"/>
  <c r="J150" i="6"/>
  <c r="J159" i="6" s="1"/>
  <c r="L150" i="6"/>
  <c r="L159" i="6" s="1"/>
  <c r="I150" i="6"/>
  <c r="I159" i="6" s="1"/>
  <c r="K141" i="6"/>
  <c r="S57" i="12"/>
  <c r="S61" i="12"/>
  <c r="T60" i="12"/>
  <c r="T57" i="12"/>
  <c r="C61" i="12"/>
  <c r="H61" i="12"/>
  <c r="K28" i="5"/>
  <c r="K30" i="5" s="1"/>
  <c r="C43" i="5"/>
  <c r="C56" i="5" s="1"/>
  <c r="C27" i="5"/>
  <c r="C22" i="5"/>
  <c r="C30" i="5" s="1"/>
  <c r="S73" i="16" l="1"/>
  <c r="S76" i="16" s="1"/>
  <c r="T73" i="16" s="1"/>
  <c r="T76" i="16" s="1"/>
  <c r="C32" i="5"/>
  <c r="C34" i="5" s="1"/>
  <c r="H7" i="5" s="1"/>
  <c r="K150" i="6"/>
  <c r="K159" i="6" s="1"/>
  <c r="C68" i="12"/>
  <c r="S78" i="16" l="1"/>
  <c r="J7" i="5"/>
  <c r="I7" i="5"/>
  <c r="I14" i="5" s="1"/>
  <c r="C59" i="5"/>
  <c r="C61" i="5" s="1"/>
  <c r="C63" i="5" s="1"/>
  <c r="H9" i="5"/>
  <c r="T78" i="16"/>
  <c r="U73" i="16"/>
  <c r="U76" i="16" s="1"/>
  <c r="S69" i="12"/>
  <c r="T68" i="12"/>
  <c r="T65" i="12"/>
  <c r="S65" i="12"/>
  <c r="C69" i="12"/>
  <c r="H69" i="12"/>
  <c r="U78" i="16" l="1"/>
  <c r="V73" i="16"/>
  <c r="V76" i="16" s="1"/>
  <c r="K8" i="18"/>
  <c r="L8" i="18"/>
  <c r="H76" i="12"/>
  <c r="C76" i="12" s="1"/>
  <c r="C77" i="12" s="1"/>
  <c r="E9" i="7"/>
  <c r="V78" i="16" l="1"/>
  <c r="W73" i="16"/>
  <c r="W76" i="16" s="1"/>
  <c r="W78" i="16" s="1"/>
  <c r="H84" i="12"/>
  <c r="C84" i="12" s="1"/>
  <c r="H77" i="12"/>
  <c r="T76" i="12"/>
  <c r="S77" i="12"/>
  <c r="T73" i="12"/>
  <c r="S73" i="12"/>
  <c r="E25" i="7"/>
  <c r="E26" i="7"/>
  <c r="I18" i="7" s="1"/>
  <c r="G25" i="7"/>
  <c r="X73" i="16" l="1"/>
  <c r="X76" i="16" s="1"/>
  <c r="S81" i="12"/>
  <c r="S85" i="12"/>
  <c r="T84" i="12"/>
  <c r="T81" i="12"/>
  <c r="C85" i="12"/>
  <c r="H85" i="12"/>
  <c r="E27" i="7"/>
  <c r="E61" i="7" s="1"/>
  <c r="E63" i="7" s="1"/>
  <c r="X78" i="16" l="1"/>
  <c r="Y73" i="16"/>
  <c r="Y76" i="16" s="1"/>
  <c r="AI73" i="16" s="1"/>
  <c r="AI76" i="16" s="1"/>
  <c r="AI78" i="16" s="1"/>
  <c r="C92" i="12"/>
  <c r="C93" i="12" s="1"/>
  <c r="E80" i="7"/>
  <c r="I72" i="7" s="1"/>
  <c r="E79" i="7"/>
  <c r="G79" i="7"/>
  <c r="I21" i="7"/>
  <c r="J22" i="7" s="1"/>
  <c r="Z73" i="16" l="1"/>
  <c r="Z76" i="16" s="1"/>
  <c r="AJ73" i="16" s="1"/>
  <c r="AJ76" i="16" s="1"/>
  <c r="AJ78" i="16" s="1"/>
  <c r="Y78" i="16"/>
  <c r="H100" i="12"/>
  <c r="C100" i="12" s="1"/>
  <c r="T92" i="12"/>
  <c r="S93" i="12"/>
  <c r="T89" i="12"/>
  <c r="S89" i="12"/>
  <c r="H93" i="12"/>
  <c r="E81" i="7"/>
  <c r="Z78" i="16" l="1"/>
  <c r="AA73" i="16"/>
  <c r="AA76" i="16" s="1"/>
  <c r="T94" i="12"/>
  <c r="S97" i="12"/>
  <c r="C101" i="12"/>
  <c r="E7" i="14" s="1"/>
  <c r="E24" i="14" s="1"/>
  <c r="S101" i="12"/>
  <c r="T97" i="12"/>
  <c r="T100" i="12"/>
  <c r="H101" i="12"/>
  <c r="E98" i="7"/>
  <c r="I90" i="7" s="1"/>
  <c r="G97" i="7"/>
  <c r="E97" i="7"/>
  <c r="I75" i="7"/>
  <c r="J76" i="7" s="1"/>
  <c r="AC73" i="16" l="1"/>
  <c r="AC76" i="16" s="1"/>
  <c r="AM73" i="16" s="1"/>
  <c r="AM76" i="16" s="1"/>
  <c r="AM78" i="16" s="1"/>
  <c r="AK73" i="16"/>
  <c r="AK76" i="16" s="1"/>
  <c r="AK78" i="16" s="1"/>
  <c r="AB73" i="16"/>
  <c r="AB76" i="16" s="1"/>
  <c r="AL73" i="16" s="1"/>
  <c r="AL76" i="16" s="1"/>
  <c r="AL78" i="16" s="1"/>
  <c r="AA78" i="16"/>
  <c r="I16" i="14"/>
  <c r="J15" i="14"/>
  <c r="G23" i="14"/>
  <c r="E23" i="14"/>
  <c r="T102" i="12"/>
  <c r="E99" i="7"/>
  <c r="AE73" i="16" l="1"/>
  <c r="AE76" i="16" s="1"/>
  <c r="AE78" i="16" s="1"/>
  <c r="AC78" i="16"/>
  <c r="AG73" i="16"/>
  <c r="AG76" i="16" s="1"/>
  <c r="AG78" i="16" s="1"/>
  <c r="AH73" i="16"/>
  <c r="AH76" i="16" s="1"/>
  <c r="AH78" i="16" s="1"/>
  <c r="AB78" i="16"/>
  <c r="AD73" i="16"/>
  <c r="AD76" i="16" s="1"/>
  <c r="I17" i="14"/>
  <c r="J17" i="14"/>
  <c r="E25" i="14"/>
  <c r="G115" i="7"/>
  <c r="E116" i="7"/>
  <c r="I108" i="7" s="1"/>
  <c r="E115" i="7"/>
  <c r="I93" i="7"/>
  <c r="J94" i="7" s="1"/>
  <c r="C1485" i="5"/>
  <c r="C1010" i="3"/>
  <c r="C1066" i="6"/>
  <c r="AD78" i="16" l="1"/>
  <c r="AF73" i="16"/>
  <c r="AF76" i="16" s="1"/>
  <c r="AF78" i="16" s="1"/>
  <c r="E42" i="14"/>
  <c r="E41" i="14"/>
  <c r="I35" i="14" s="1"/>
  <c r="G41" i="14"/>
  <c r="J19" i="14"/>
  <c r="I19" i="14"/>
  <c r="E117" i="7"/>
  <c r="N12" i="6"/>
  <c r="N20" i="6" s="1"/>
  <c r="N29" i="6" s="1"/>
  <c r="M12" i="6"/>
  <c r="M20" i="6" s="1"/>
  <c r="M29" i="6" s="1"/>
  <c r="G42" i="14" l="1"/>
  <c r="I34" i="14"/>
  <c r="J33" i="14"/>
  <c r="E43" i="14"/>
  <c r="J35" i="14"/>
  <c r="J20" i="14"/>
  <c r="G133" i="7"/>
  <c r="E134" i="7"/>
  <c r="I126" i="7" s="1"/>
  <c r="I111" i="7"/>
  <c r="J112" i="7" s="1"/>
  <c r="E133" i="7"/>
  <c r="G12" i="6"/>
  <c r="F12" i="6"/>
  <c r="J37" i="14" l="1"/>
  <c r="I37" i="14"/>
  <c r="E135" i="7"/>
  <c r="G20" i="6"/>
  <c r="F20" i="6"/>
  <c r="P355" i="7"/>
  <c r="F1" i="5"/>
  <c r="J38" i="14" l="1"/>
  <c r="E152" i="7"/>
  <c r="I144" i="7" s="1"/>
  <c r="E151" i="7"/>
  <c r="G151" i="7"/>
  <c r="I129" i="7"/>
  <c r="J130" i="7" s="1"/>
  <c r="F29" i="6"/>
  <c r="F38" i="6"/>
  <c r="F47" i="6" s="1"/>
  <c r="F56" i="6" s="1"/>
  <c r="F65" i="6" s="1"/>
  <c r="F74" i="6" s="1"/>
  <c r="F83" i="6" s="1"/>
  <c r="F92" i="6" s="1"/>
  <c r="F101" i="6" s="1"/>
  <c r="G29" i="6"/>
  <c r="G38" i="6"/>
  <c r="G47" i="6" s="1"/>
  <c r="G56" i="6" s="1"/>
  <c r="G65" i="6" s="1"/>
  <c r="G74" i="6" s="1"/>
  <c r="G83" i="6" s="1"/>
  <c r="G92" i="6" s="1"/>
  <c r="G101" i="6" s="1"/>
  <c r="G110" i="6" s="1"/>
  <c r="G119" i="6" s="1"/>
  <c r="G128" i="6" s="1"/>
  <c r="G132" i="6" s="1"/>
  <c r="G141" i="6" s="1"/>
  <c r="G150" i="6" s="1"/>
  <c r="I44" i="5"/>
  <c r="G159" i="6" l="1"/>
  <c r="G161" i="6" s="1"/>
  <c r="F110" i="6"/>
  <c r="F119" i="6" s="1"/>
  <c r="F128" i="6" s="1"/>
  <c r="F132" i="6" s="1"/>
  <c r="F141" i="6" s="1"/>
  <c r="F150" i="6" s="1"/>
  <c r="E153" i="7"/>
  <c r="I43" i="5"/>
  <c r="I42" i="5"/>
  <c r="I40" i="5"/>
  <c r="F159" i="6" l="1"/>
  <c r="F161" i="6" s="1"/>
  <c r="E169" i="7"/>
  <c r="E170" i="7"/>
  <c r="I162" i="7" s="1"/>
  <c r="I147" i="7"/>
  <c r="J148" i="7" s="1"/>
  <c r="G169" i="7"/>
  <c r="I41" i="5"/>
  <c r="E171" i="7" l="1"/>
  <c r="I37" i="5"/>
  <c r="G34" i="5"/>
  <c r="I39" i="5"/>
  <c r="E188" i="7" l="1"/>
  <c r="I180" i="7" s="1"/>
  <c r="E187" i="7"/>
  <c r="I165" i="7"/>
  <c r="J166" i="7" s="1"/>
  <c r="G187" i="7"/>
  <c r="I45" i="5"/>
  <c r="H53" i="5" s="1"/>
  <c r="G45" i="5"/>
  <c r="I32" i="5"/>
  <c r="I53" i="5" s="1"/>
  <c r="E11" i="30" s="1"/>
  <c r="E8" i="30" l="1"/>
  <c r="E189" i="7"/>
  <c r="I33" i="5"/>
  <c r="I46" i="5"/>
  <c r="G47" i="5"/>
  <c r="E205" i="7" l="1"/>
  <c r="E206" i="7"/>
  <c r="I183" i="7"/>
  <c r="J184" i="7" s="1"/>
  <c r="G205" i="7"/>
  <c r="K39" i="5"/>
  <c r="C51" i="14" l="1"/>
  <c r="E51" i="14" s="1"/>
  <c r="M39" i="5"/>
  <c r="C50" i="14"/>
  <c r="E50" i="14" s="1"/>
  <c r="M38" i="5"/>
  <c r="E207" i="7"/>
  <c r="E223" i="7" s="1"/>
  <c r="I198" i="7"/>
  <c r="K40" i="5"/>
  <c r="M40" i="5" s="1"/>
  <c r="C49" i="14" l="1"/>
  <c r="E49" i="14" s="1"/>
  <c r="M37" i="5"/>
  <c r="G223" i="7"/>
  <c r="I201" i="7"/>
  <c r="J202" i="7" s="1"/>
  <c r="E224" i="7"/>
  <c r="I216" i="7" s="1"/>
  <c r="M28" i="5"/>
  <c r="M29" i="5" s="1"/>
  <c r="C48" i="14" l="1"/>
  <c r="M36" i="5"/>
  <c r="M43" i="5" s="1"/>
  <c r="J53" i="5" s="1"/>
  <c r="E225" i="7"/>
  <c r="K43" i="5"/>
  <c r="K5" i="5" s="1"/>
  <c r="K9" i="5" s="1"/>
  <c r="K53" i="5"/>
  <c r="E20" i="30" s="1"/>
  <c r="L53" i="5" l="1"/>
  <c r="E17" i="30"/>
  <c r="J61" i="5"/>
  <c r="I219" i="7"/>
  <c r="J220" i="7" s="1"/>
  <c r="C57" i="14"/>
  <c r="C59" i="14" s="1"/>
  <c r="E48" i="14"/>
  <c r="E57" i="14" s="1"/>
  <c r="E60" i="14" s="1"/>
  <c r="G241" i="7"/>
  <c r="E241" i="7"/>
  <c r="E242" i="7"/>
  <c r="I234" i="7" s="1"/>
  <c r="L5" i="5"/>
  <c r="M44" i="5"/>
  <c r="K45" i="5"/>
  <c r="L28" i="18" l="1"/>
  <c r="K28" i="18"/>
  <c r="G59" i="14"/>
  <c r="E59" i="14"/>
  <c r="E243" i="7"/>
  <c r="H11" i="5"/>
  <c r="L11" i="5" s="1"/>
  <c r="H10" i="5"/>
  <c r="K10" i="5" l="1"/>
  <c r="H12" i="5"/>
  <c r="H14" i="5" s="1"/>
  <c r="K20" i="18"/>
  <c r="L20" i="18"/>
  <c r="I53" i="14"/>
  <c r="E61" i="14"/>
  <c r="J53" i="14"/>
  <c r="I52" i="14"/>
  <c r="J51" i="14"/>
  <c r="I237" i="7"/>
  <c r="J238" i="7" s="1"/>
  <c r="G261" i="7"/>
  <c r="H61" i="14"/>
  <c r="I52" i="5" l="1"/>
  <c r="I55" i="5" s="1"/>
  <c r="E13" i="30"/>
  <c r="I55" i="14"/>
  <c r="J55" i="14"/>
  <c r="J14" i="5"/>
  <c r="E22" i="30" s="1"/>
  <c r="AC7" i="16" l="1"/>
  <c r="J56" i="14"/>
  <c r="E120" i="3"/>
  <c r="K52" i="5"/>
  <c r="K55" i="5" s="1"/>
  <c r="J15" i="5"/>
  <c r="D7" i="16" l="1"/>
  <c r="C7" i="16"/>
  <c r="AA10" i="16"/>
  <c r="E155" i="6"/>
  <c r="B9" i="13"/>
  <c r="E11" i="3"/>
  <c r="E19" i="3" s="1"/>
  <c r="K12" i="5"/>
  <c r="H52" i="5" s="1"/>
  <c r="L9" i="5"/>
  <c r="L12" i="5" s="1"/>
  <c r="J52" i="5" s="1"/>
  <c r="C10" i="16" l="1"/>
  <c r="D10" i="16"/>
  <c r="L52" i="5"/>
  <c r="H55" i="5"/>
  <c r="E27" i="3"/>
  <c r="D9" i="13" s="1"/>
  <c r="C9" i="13"/>
  <c r="L14" i="5"/>
  <c r="E19" i="30" s="1"/>
  <c r="J55" i="5"/>
  <c r="H15" i="5"/>
  <c r="K14" i="5"/>
  <c r="E10" i="30" s="1"/>
  <c r="L16" i="18" l="1"/>
  <c r="L55" i="5"/>
  <c r="D155" i="6"/>
  <c r="C155" i="6" s="1"/>
  <c r="E35" i="3"/>
  <c r="C124" i="6"/>
  <c r="S127" i="6" s="1"/>
  <c r="C106" i="6"/>
  <c r="T109" i="6" s="1"/>
  <c r="C115" i="6"/>
  <c r="C88" i="6"/>
  <c r="T91" i="6" s="1"/>
  <c r="C70" i="6"/>
  <c r="T73" i="6" s="1"/>
  <c r="C52" i="6"/>
  <c r="S55" i="6" s="1"/>
  <c r="C25" i="6"/>
  <c r="C16" i="6"/>
  <c r="K56" i="5"/>
  <c r="L15" i="5"/>
  <c r="L54" i="5"/>
  <c r="K16" i="18" l="1"/>
  <c r="K5" i="18"/>
  <c r="D120" i="3"/>
  <c r="C120" i="3" s="1"/>
  <c r="E43" i="3"/>
  <c r="E9" i="13"/>
  <c r="S158" i="6"/>
  <c r="T176" i="6" s="1"/>
  <c r="T158" i="6"/>
  <c r="T127" i="6"/>
  <c r="C146" i="6"/>
  <c r="S149" i="6" s="1"/>
  <c r="C101" i="3"/>
  <c r="R104" i="3" s="1"/>
  <c r="C137" i="6"/>
  <c r="S109" i="6"/>
  <c r="C85" i="3"/>
  <c r="Q88" i="3" s="1"/>
  <c r="C93" i="3"/>
  <c r="S118" i="6"/>
  <c r="T118" i="6"/>
  <c r="C77" i="3"/>
  <c r="S91" i="6"/>
  <c r="C97" i="6"/>
  <c r="S100" i="6" s="1"/>
  <c r="C61" i="3"/>
  <c r="R64" i="3" s="1"/>
  <c r="T55" i="6"/>
  <c r="S73" i="6"/>
  <c r="C53" i="3"/>
  <c r="C79" i="6"/>
  <c r="C45" i="3"/>
  <c r="C29" i="3"/>
  <c r="Q32" i="3" s="1"/>
  <c r="C61" i="6"/>
  <c r="C43" i="6"/>
  <c r="C13" i="3"/>
  <c r="C21" i="3"/>
  <c r="C34" i="6"/>
  <c r="S37" i="6" s="1"/>
  <c r="T19" i="6"/>
  <c r="S19" i="6"/>
  <c r="I56" i="5"/>
  <c r="G59" i="5" s="1"/>
  <c r="L56" i="5"/>
  <c r="C9" i="16" l="1"/>
  <c r="D9" i="16"/>
  <c r="L5" i="18"/>
  <c r="E51" i="3"/>
  <c r="F9" i="13"/>
  <c r="Q104" i="3"/>
  <c r="Q123" i="3"/>
  <c r="R139" i="3" s="1"/>
  <c r="R123" i="3"/>
  <c r="T149" i="6"/>
  <c r="C112" i="3"/>
  <c r="T140" i="6"/>
  <c r="S140" i="6"/>
  <c r="R88" i="3"/>
  <c r="R96" i="3"/>
  <c r="Q96" i="3"/>
  <c r="Q64" i="3"/>
  <c r="Q80" i="3"/>
  <c r="R80" i="3"/>
  <c r="T100" i="6"/>
  <c r="C69" i="3"/>
  <c r="R72" i="3" s="1"/>
  <c r="T82" i="6"/>
  <c r="S82" i="6"/>
  <c r="Q56" i="3"/>
  <c r="R56" i="3"/>
  <c r="R32" i="3"/>
  <c r="Q48" i="3"/>
  <c r="R48" i="3"/>
  <c r="C37" i="3"/>
  <c r="T64" i="6"/>
  <c r="S64" i="6"/>
  <c r="S46" i="6"/>
  <c r="T46" i="6"/>
  <c r="R24" i="3"/>
  <c r="Q24" i="3"/>
  <c r="R16" i="3"/>
  <c r="C37" i="6"/>
  <c r="T34" i="6" s="1"/>
  <c r="Q16" i="3"/>
  <c r="E59" i="3" l="1"/>
  <c r="G9" i="13"/>
  <c r="Q115" i="3"/>
  <c r="R115" i="3"/>
  <c r="Q72" i="3"/>
  <c r="R40" i="3"/>
  <c r="Q40" i="3"/>
  <c r="B8" i="13"/>
  <c r="B10" i="13" s="1"/>
  <c r="D11" i="3"/>
  <c r="D19" i="3" s="1"/>
  <c r="E67" i="3" l="1"/>
  <c r="H9" i="13"/>
  <c r="D27" i="3"/>
  <c r="C8" i="13"/>
  <c r="C10" i="13" s="1"/>
  <c r="E75" i="3" l="1"/>
  <c r="I9" i="13"/>
  <c r="D35" i="3"/>
  <c r="D8" i="13"/>
  <c r="D10" i="13" s="1"/>
  <c r="E12" i="6"/>
  <c r="E20" i="6" s="1"/>
  <c r="E109" i="3" l="1"/>
  <c r="E83" i="3"/>
  <c r="J9" i="13"/>
  <c r="D43" i="3"/>
  <c r="E8" i="13"/>
  <c r="E10" i="13" s="1"/>
  <c r="E38" i="6"/>
  <c r="E47" i="6" s="1"/>
  <c r="B15" i="13"/>
  <c r="E29" i="6"/>
  <c r="E91" i="3" l="1"/>
  <c r="K9" i="13"/>
  <c r="C15" i="13"/>
  <c r="D51" i="3"/>
  <c r="F8" i="13"/>
  <c r="F10" i="13" s="1"/>
  <c r="E56" i="6"/>
  <c r="D15" i="13"/>
  <c r="F11" i="3"/>
  <c r="D12" i="6"/>
  <c r="D20" i="6" s="1"/>
  <c r="Q38" i="16" l="1"/>
  <c r="Q40" i="16" s="1"/>
  <c r="D59" i="3"/>
  <c r="G8" i="13"/>
  <c r="G10" i="13" s="1"/>
  <c r="E99" i="3"/>
  <c r="L9" i="13"/>
  <c r="E15" i="13"/>
  <c r="E65" i="6"/>
  <c r="E74" i="6" s="1"/>
  <c r="D38" i="6"/>
  <c r="D47" i="6" s="1"/>
  <c r="B14" i="13"/>
  <c r="B16" i="13" s="1"/>
  <c r="D29" i="6"/>
  <c r="Q43" i="16" l="1"/>
  <c r="D67" i="3"/>
  <c r="H8" i="13"/>
  <c r="H10" i="13" s="1"/>
  <c r="N8" i="13"/>
  <c r="E107" i="3"/>
  <c r="M9" i="13"/>
  <c r="G15" i="13"/>
  <c r="E83" i="6"/>
  <c r="E92" i="6" s="1"/>
  <c r="E101" i="6" s="1"/>
  <c r="E131" i="6" s="1"/>
  <c r="F15" i="13"/>
  <c r="C14" i="13"/>
  <c r="C16" i="13" s="1"/>
  <c r="D56" i="6"/>
  <c r="D14" i="13"/>
  <c r="D16" i="13" s="1"/>
  <c r="E9" i="10"/>
  <c r="F19" i="3"/>
  <c r="Q45" i="16" l="1"/>
  <c r="R38" i="16"/>
  <c r="R40" i="16" s="1"/>
  <c r="E110" i="3"/>
  <c r="E118" i="3" s="1"/>
  <c r="D75" i="3"/>
  <c r="I8" i="13"/>
  <c r="I10" i="13" s="1"/>
  <c r="E110" i="6"/>
  <c r="I15" i="13"/>
  <c r="J15" i="13"/>
  <c r="H15" i="13"/>
  <c r="E14" i="13"/>
  <c r="E16" i="13" s="1"/>
  <c r="D65" i="6"/>
  <c r="D74" i="6" s="1"/>
  <c r="E10" i="10"/>
  <c r="E30" i="10" s="1"/>
  <c r="C18" i="3"/>
  <c r="C19" i="3" s="1"/>
  <c r="E126" i="3" l="1"/>
  <c r="E128" i="3" s="1"/>
  <c r="D109" i="3"/>
  <c r="D83" i="3"/>
  <c r="J8" i="13"/>
  <c r="J10" i="13" s="1"/>
  <c r="K15" i="13"/>
  <c r="E119" i="6"/>
  <c r="G14" i="13"/>
  <c r="G16" i="13" s="1"/>
  <c r="D83" i="6"/>
  <c r="D92" i="6" s="1"/>
  <c r="D101" i="6" s="1"/>
  <c r="F14" i="13"/>
  <c r="F16" i="13" s="1"/>
  <c r="E29" i="10"/>
  <c r="G29" i="10"/>
  <c r="R17" i="3"/>
  <c r="R18" i="3"/>
  <c r="Q18" i="3"/>
  <c r="D91" i="3" l="1"/>
  <c r="K8" i="13"/>
  <c r="K10" i="13" s="1"/>
  <c r="D110" i="6"/>
  <c r="D119" i="6" s="1"/>
  <c r="D131" i="6"/>
  <c r="L15" i="13"/>
  <c r="E128" i="6"/>
  <c r="E132" i="6" s="1"/>
  <c r="E141" i="6" s="1"/>
  <c r="I14" i="13"/>
  <c r="I16" i="13" s="1"/>
  <c r="J14" i="13"/>
  <c r="J16" i="13" s="1"/>
  <c r="H14" i="13"/>
  <c r="H16" i="13" s="1"/>
  <c r="E31" i="10"/>
  <c r="E33" i="10" s="1"/>
  <c r="E50" i="10" s="1"/>
  <c r="E51" i="10" s="1"/>
  <c r="Q15" i="3"/>
  <c r="F27" i="3"/>
  <c r="R15" i="3"/>
  <c r="J23" i="10"/>
  <c r="R43" i="16" l="1"/>
  <c r="S38" i="16" s="1"/>
  <c r="K14" i="13"/>
  <c r="K16" i="13" s="1"/>
  <c r="E150" i="6"/>
  <c r="E159" i="6" s="1"/>
  <c r="E161" i="6" s="1"/>
  <c r="D99" i="3"/>
  <c r="L8" i="13"/>
  <c r="L10" i="13" s="1"/>
  <c r="M15" i="13"/>
  <c r="L14" i="13"/>
  <c r="L16" i="13" s="1"/>
  <c r="D128" i="6"/>
  <c r="D132" i="6" s="1"/>
  <c r="D141" i="6" s="1"/>
  <c r="E52" i="10"/>
  <c r="J43" i="10"/>
  <c r="R19" i="3"/>
  <c r="C26" i="3"/>
  <c r="C27" i="3" s="1"/>
  <c r="R45" i="16" l="1"/>
  <c r="S40" i="16"/>
  <c r="D150" i="6"/>
  <c r="D107" i="3"/>
  <c r="M8" i="13"/>
  <c r="M10" i="13" s="1"/>
  <c r="M14" i="13"/>
  <c r="M16" i="13" s="1"/>
  <c r="E53" i="10"/>
  <c r="I42" i="10" s="1"/>
  <c r="G52" i="10"/>
  <c r="F35" i="3"/>
  <c r="F43" i="3" s="1"/>
  <c r="Q23" i="3"/>
  <c r="Q26" i="3"/>
  <c r="R26" i="3"/>
  <c r="R25" i="3"/>
  <c r="S43" i="16" l="1"/>
  <c r="S45" i="16" s="1"/>
  <c r="D159" i="6"/>
  <c r="D161" i="6" s="1"/>
  <c r="D110" i="3"/>
  <c r="D118" i="3" s="1"/>
  <c r="E54" i="10"/>
  <c r="C34" i="3"/>
  <c r="C35" i="3" s="1"/>
  <c r="J41" i="10"/>
  <c r="R23" i="3"/>
  <c r="R27" i="3" s="1"/>
  <c r="T38" i="16" l="1"/>
  <c r="D126" i="3"/>
  <c r="D128" i="3" s="1"/>
  <c r="I45" i="10"/>
  <c r="J46" i="10" s="1"/>
  <c r="E72" i="10"/>
  <c r="J64" i="10" s="1"/>
  <c r="R34" i="3"/>
  <c r="Q34" i="3"/>
  <c r="R33" i="3"/>
  <c r="T40" i="16" l="1"/>
  <c r="E73" i="10"/>
  <c r="E74" i="10"/>
  <c r="I63" i="10" s="1"/>
  <c r="C42" i="3"/>
  <c r="C43" i="3" s="1"/>
  <c r="F51" i="3" s="1"/>
  <c r="G73" i="10"/>
  <c r="Q31" i="3"/>
  <c r="R31" i="3"/>
  <c r="T43" i="16" l="1"/>
  <c r="T45" i="16" s="1"/>
  <c r="E75" i="10"/>
  <c r="I66" i="10" s="1"/>
  <c r="Q42" i="3"/>
  <c r="R42" i="3"/>
  <c r="R41" i="3"/>
  <c r="J62" i="10"/>
  <c r="R35" i="3"/>
  <c r="U38" i="16" l="1"/>
  <c r="U40" i="16" s="1"/>
  <c r="E95" i="10"/>
  <c r="I84" i="10" s="1"/>
  <c r="E94" i="10"/>
  <c r="J67" i="10"/>
  <c r="C50" i="3"/>
  <c r="C51" i="3" s="1"/>
  <c r="F59" i="3" s="1"/>
  <c r="G94" i="10"/>
  <c r="R39" i="3"/>
  <c r="Q39" i="3"/>
  <c r="U43" i="16" l="1"/>
  <c r="V38" i="16" s="1"/>
  <c r="V40" i="16" s="1"/>
  <c r="E96" i="10"/>
  <c r="I87" i="10" s="1"/>
  <c r="R49" i="3"/>
  <c r="Q50" i="3"/>
  <c r="R50" i="3"/>
  <c r="R43" i="3"/>
  <c r="J83" i="10"/>
  <c r="H12" i="6"/>
  <c r="U45" i="16" l="1"/>
  <c r="V43" i="16"/>
  <c r="V45" i="16" s="1"/>
  <c r="G115" i="10"/>
  <c r="E116" i="10"/>
  <c r="J104" i="10" s="1"/>
  <c r="E115" i="10"/>
  <c r="C58" i="3"/>
  <c r="C59" i="3" s="1"/>
  <c r="R47" i="3"/>
  <c r="Q47" i="3"/>
  <c r="J88" i="10"/>
  <c r="H20" i="6"/>
  <c r="H38" i="6" s="1"/>
  <c r="W38" i="16" l="1"/>
  <c r="W40" i="16" s="1"/>
  <c r="F67" i="3"/>
  <c r="I105" i="10"/>
  <c r="E117" i="10"/>
  <c r="E137" i="10" s="1"/>
  <c r="R57" i="3"/>
  <c r="R58" i="3"/>
  <c r="Q58" i="3"/>
  <c r="R51" i="3"/>
  <c r="C19" i="6"/>
  <c r="W43" i="16" l="1"/>
  <c r="G136" i="10"/>
  <c r="C66" i="3"/>
  <c r="C67" i="3" s="1"/>
  <c r="F75" i="3" s="1"/>
  <c r="F109" i="3" s="1"/>
  <c r="C109" i="3" s="1"/>
  <c r="I108" i="10"/>
  <c r="J109" i="10" s="1"/>
  <c r="E136" i="10"/>
  <c r="E138" i="10" s="1"/>
  <c r="J125" i="10"/>
  <c r="I126" i="10"/>
  <c r="R55" i="3"/>
  <c r="Q55" i="3"/>
  <c r="S16" i="6"/>
  <c r="T20" i="6"/>
  <c r="S20" i="6"/>
  <c r="S21" i="6"/>
  <c r="W45" i="16" l="1"/>
  <c r="X38" i="16"/>
  <c r="X40" i="16" s="1"/>
  <c r="Q113" i="3"/>
  <c r="E265" i="10"/>
  <c r="G157" i="10"/>
  <c r="E157" i="10"/>
  <c r="E158" i="10"/>
  <c r="I129" i="10"/>
  <c r="J130" i="10" s="1"/>
  <c r="Q66" i="3"/>
  <c r="R66" i="3"/>
  <c r="R65" i="3"/>
  <c r="R59" i="3"/>
  <c r="C12" i="6"/>
  <c r="X43" i="16" l="1"/>
  <c r="Y38" i="16" s="1"/>
  <c r="Y40" i="16" s="1"/>
  <c r="C74" i="3"/>
  <c r="E159" i="10"/>
  <c r="E179" i="10" s="1"/>
  <c r="J146" i="10"/>
  <c r="I147" i="10"/>
  <c r="R63" i="3"/>
  <c r="Q63" i="3"/>
  <c r="C20" i="6"/>
  <c r="C38" i="6" s="1"/>
  <c r="X45" i="16" l="1"/>
  <c r="C75" i="3"/>
  <c r="R73" i="3"/>
  <c r="E178" i="10"/>
  <c r="I150" i="10"/>
  <c r="J151" i="10" s="1"/>
  <c r="G178" i="10"/>
  <c r="Q74" i="3"/>
  <c r="R74" i="3"/>
  <c r="R67" i="3"/>
  <c r="H46" i="6"/>
  <c r="H47" i="6" s="1"/>
  <c r="T16" i="6"/>
  <c r="T22" i="6" s="1"/>
  <c r="Y43" i="16" l="1"/>
  <c r="Z38" i="16" s="1"/>
  <c r="F83" i="3"/>
  <c r="E180" i="10"/>
  <c r="E199" i="10" s="1"/>
  <c r="I168" i="10"/>
  <c r="J167" i="10"/>
  <c r="R71" i="3"/>
  <c r="Q71" i="3"/>
  <c r="C46" i="6"/>
  <c r="C47" i="6" s="1"/>
  <c r="C28" i="6"/>
  <c r="S38" i="6" s="1"/>
  <c r="T40" i="6" s="1"/>
  <c r="H29" i="6"/>
  <c r="Y45" i="16" l="1"/>
  <c r="Z40" i="16"/>
  <c r="I171" i="10"/>
  <c r="J172" i="10" s="1"/>
  <c r="G199" i="10"/>
  <c r="E200" i="10"/>
  <c r="C82" i="3"/>
  <c r="C83" i="3" s="1"/>
  <c r="R75" i="3"/>
  <c r="H55" i="6"/>
  <c r="S47" i="6"/>
  <c r="T47" i="6"/>
  <c r="S48" i="6"/>
  <c r="C29" i="6"/>
  <c r="Z43" i="16" l="1"/>
  <c r="Z45" i="16" s="1"/>
  <c r="E201" i="10"/>
  <c r="E221" i="10" s="1"/>
  <c r="J188" i="10"/>
  <c r="I189" i="10"/>
  <c r="Q82" i="3"/>
  <c r="R82" i="3"/>
  <c r="R81" i="3"/>
  <c r="C55" i="6"/>
  <c r="H56" i="6"/>
  <c r="S43" i="6"/>
  <c r="T43" i="6"/>
  <c r="AA38" i="16" l="1"/>
  <c r="AA40" i="16" s="1"/>
  <c r="I192" i="10"/>
  <c r="J193" i="10" s="1"/>
  <c r="G220" i="10"/>
  <c r="E220" i="10"/>
  <c r="C90" i="3"/>
  <c r="F91" i="3"/>
  <c r="Q79" i="3"/>
  <c r="R79" i="3"/>
  <c r="C56" i="6"/>
  <c r="H64" i="6" s="1"/>
  <c r="H65" i="6" s="1"/>
  <c r="H74" i="6" s="1"/>
  <c r="S56" i="6"/>
  <c r="T56" i="6"/>
  <c r="S57" i="6"/>
  <c r="T49" i="6"/>
  <c r="T31" i="6"/>
  <c r="AA43" i="16" l="1"/>
  <c r="E222" i="10"/>
  <c r="E242" i="10" s="1"/>
  <c r="I210" i="10"/>
  <c r="J209" i="10"/>
  <c r="Q90" i="3"/>
  <c r="R90" i="3"/>
  <c r="R89" i="3"/>
  <c r="C91" i="3"/>
  <c r="R83" i="3"/>
  <c r="C64" i="6"/>
  <c r="C65" i="6" s="1"/>
  <c r="S52" i="6"/>
  <c r="T52" i="6"/>
  <c r="AA45" i="16" l="1"/>
  <c r="AB38" i="16"/>
  <c r="I213" i="10"/>
  <c r="J214" i="10" s="1"/>
  <c r="G241" i="10"/>
  <c r="E241" i="10"/>
  <c r="R87" i="3"/>
  <c r="Q87" i="3"/>
  <c r="T65" i="6"/>
  <c r="T66" i="6"/>
  <c r="S66" i="6"/>
  <c r="S65" i="6"/>
  <c r="C73" i="6"/>
  <c r="C74" i="6" s="1"/>
  <c r="S61" i="6"/>
  <c r="T61" i="6"/>
  <c r="T58" i="6"/>
  <c r="AB40" i="16" l="1"/>
  <c r="AB43" i="16" s="1"/>
  <c r="E243" i="10"/>
  <c r="E263" i="10" s="1"/>
  <c r="I231" i="10"/>
  <c r="J230" i="10"/>
  <c r="C98" i="3"/>
  <c r="F99" i="3"/>
  <c r="N9" i="13" s="1"/>
  <c r="N10" i="13" s="1"/>
  <c r="R91" i="3"/>
  <c r="T74" i="6"/>
  <c r="S75" i="6"/>
  <c r="T75" i="6"/>
  <c r="S74" i="6"/>
  <c r="T67" i="6"/>
  <c r="D40" i="16" l="1"/>
  <c r="D43" i="16" s="1"/>
  <c r="C40" i="16"/>
  <c r="C43" i="16" s="1"/>
  <c r="I234" i="10"/>
  <c r="J235" i="10" s="1"/>
  <c r="G262" i="10"/>
  <c r="E262" i="10"/>
  <c r="Q98" i="3"/>
  <c r="R98" i="3"/>
  <c r="R97" i="3"/>
  <c r="C99" i="3"/>
  <c r="C82" i="6"/>
  <c r="C83" i="6" s="1"/>
  <c r="H83" i="6"/>
  <c r="S70" i="6"/>
  <c r="T70" i="6"/>
  <c r="AB45" i="16" l="1"/>
  <c r="AC38" i="16"/>
  <c r="AC40" i="16" s="1"/>
  <c r="AC43" i="16" s="1"/>
  <c r="E264" i="10"/>
  <c r="J251" i="10"/>
  <c r="I252" i="10"/>
  <c r="R95" i="3"/>
  <c r="Q95" i="3"/>
  <c r="C91" i="6"/>
  <c r="C92" i="6" s="1"/>
  <c r="H100" i="6" s="1"/>
  <c r="S84" i="6"/>
  <c r="T83" i="6"/>
  <c r="S83" i="6"/>
  <c r="T84" i="6"/>
  <c r="T76" i="6"/>
  <c r="AC45" i="16" l="1"/>
  <c r="AD38" i="16"/>
  <c r="E266" i="10"/>
  <c r="G285" i="10" s="1"/>
  <c r="I255" i="10"/>
  <c r="J256" i="10" s="1"/>
  <c r="C106" i="3"/>
  <c r="F107" i="3"/>
  <c r="F110" i="3" s="1"/>
  <c r="F118" i="3" s="1"/>
  <c r="R99" i="3"/>
  <c r="C100" i="6"/>
  <c r="C101" i="6" s="1"/>
  <c r="H92" i="6"/>
  <c r="S88" i="6"/>
  <c r="T88" i="6"/>
  <c r="T92" i="6"/>
  <c r="S93" i="6"/>
  <c r="T93" i="6"/>
  <c r="S92" i="6"/>
  <c r="S79" i="6"/>
  <c r="T79" i="6"/>
  <c r="AD40" i="16" l="1"/>
  <c r="E286" i="10"/>
  <c r="I275" i="10" s="1"/>
  <c r="E285" i="10"/>
  <c r="Q106" i="3"/>
  <c r="R106" i="3"/>
  <c r="R105" i="3"/>
  <c r="C107" i="3"/>
  <c r="C110" i="3" s="1"/>
  <c r="C109" i="6"/>
  <c r="H101" i="6"/>
  <c r="H131" i="6" s="1"/>
  <c r="T101" i="6"/>
  <c r="S101" i="6"/>
  <c r="S102" i="6"/>
  <c r="T102" i="6"/>
  <c r="T94" i="6"/>
  <c r="T85" i="6"/>
  <c r="AD43" i="16" l="1"/>
  <c r="E287" i="10"/>
  <c r="J274" i="10"/>
  <c r="C131" i="6"/>
  <c r="E244" i="7" s="1"/>
  <c r="E245" i="7" s="1"/>
  <c r="Q103" i="3"/>
  <c r="R103" i="3"/>
  <c r="C110" i="6"/>
  <c r="T106" i="6" s="1"/>
  <c r="T110" i="6"/>
  <c r="H110" i="6"/>
  <c r="S111" i="6"/>
  <c r="S97" i="6"/>
  <c r="T97" i="6"/>
  <c r="AE38" i="16" l="1"/>
  <c r="AD45" i="16"/>
  <c r="E261" i="7"/>
  <c r="I255" i="7" s="1"/>
  <c r="E262" i="7"/>
  <c r="E307" i="10"/>
  <c r="E306" i="10"/>
  <c r="I278" i="10"/>
  <c r="G306" i="10"/>
  <c r="J278" i="10"/>
  <c r="C117" i="3"/>
  <c r="S138" i="6"/>
  <c r="R107" i="3"/>
  <c r="C118" i="6"/>
  <c r="C119" i="6" s="1"/>
  <c r="S106" i="6"/>
  <c r="T103" i="6"/>
  <c r="AE40" i="16" l="1"/>
  <c r="J255" i="7"/>
  <c r="G279" i="7"/>
  <c r="J279" i="10"/>
  <c r="H261" i="7"/>
  <c r="I254" i="7"/>
  <c r="J253" i="7"/>
  <c r="E263" i="7"/>
  <c r="E280" i="7" s="1"/>
  <c r="I296" i="10"/>
  <c r="J295" i="10"/>
  <c r="E308" i="10"/>
  <c r="C118" i="3"/>
  <c r="F125" i="3" s="1"/>
  <c r="F126" i="3" s="1"/>
  <c r="F128" i="3" s="1"/>
  <c r="R116" i="3"/>
  <c r="R117" i="3"/>
  <c r="Q117" i="3"/>
  <c r="H127" i="6"/>
  <c r="C127" i="6" s="1"/>
  <c r="C128" i="6" s="1"/>
  <c r="C132" i="6" s="1"/>
  <c r="H119" i="6"/>
  <c r="S115" i="6"/>
  <c r="T115" i="6"/>
  <c r="T119" i="6"/>
  <c r="S120" i="6"/>
  <c r="T112" i="6"/>
  <c r="H308" i="10"/>
  <c r="AE43" i="16" l="1"/>
  <c r="H279" i="7"/>
  <c r="I257" i="7"/>
  <c r="I272" i="7"/>
  <c r="J271" i="7"/>
  <c r="J257" i="7"/>
  <c r="E279" i="7"/>
  <c r="G297" i="7" s="1"/>
  <c r="I299" i="10"/>
  <c r="J299" i="10"/>
  <c r="R114" i="3"/>
  <c r="Q114" i="3"/>
  <c r="T128" i="6"/>
  <c r="S129" i="6"/>
  <c r="H128" i="6"/>
  <c r="H132" i="6" s="1"/>
  <c r="T121" i="6"/>
  <c r="AF38" i="16" l="1"/>
  <c r="AF40" i="16" s="1"/>
  <c r="AE45" i="16"/>
  <c r="I273" i="7"/>
  <c r="J273" i="7"/>
  <c r="E281" i="7"/>
  <c r="E298" i="7" s="1"/>
  <c r="H297" i="7" s="1"/>
  <c r="J258" i="7"/>
  <c r="J300" i="10"/>
  <c r="C125" i="3"/>
  <c r="C126" i="3" s="1"/>
  <c r="C128" i="3" s="1"/>
  <c r="R118" i="3"/>
  <c r="H141" i="6"/>
  <c r="T124" i="6"/>
  <c r="S124" i="6"/>
  <c r="AF43" i="16" l="1"/>
  <c r="E297" i="7"/>
  <c r="J291" i="7" s="1"/>
  <c r="J275" i="7"/>
  <c r="I275" i="7"/>
  <c r="I290" i="7"/>
  <c r="J289" i="7"/>
  <c r="C130" i="3"/>
  <c r="R131" i="3"/>
  <c r="R122" i="3"/>
  <c r="Q138" i="3" s="1"/>
  <c r="Q125" i="3"/>
  <c r="R141" i="3" s="1"/>
  <c r="R124" i="3"/>
  <c r="R125" i="3"/>
  <c r="C140" i="6"/>
  <c r="T130" i="6"/>
  <c r="AG38" i="16" l="1"/>
  <c r="AG40" i="16" s="1"/>
  <c r="AG43" i="16" s="1"/>
  <c r="AF45" i="16"/>
  <c r="E299" i="7"/>
  <c r="J293" i="7" s="1"/>
  <c r="I291" i="7"/>
  <c r="J276" i="7"/>
  <c r="R134" i="3"/>
  <c r="R142" i="3"/>
  <c r="Q122" i="3"/>
  <c r="R126" i="3" s="1"/>
  <c r="C141" i="6"/>
  <c r="H150" i="6" s="1"/>
  <c r="T141" i="6"/>
  <c r="S142" i="6"/>
  <c r="AG45" i="16" l="1"/>
  <c r="AH38" i="16"/>
  <c r="AH40" i="16" s="1"/>
  <c r="AH43" i="16" s="1"/>
  <c r="AI38" i="16" s="1"/>
  <c r="I293" i="7"/>
  <c r="J294" i="7" s="1"/>
  <c r="T137" i="6"/>
  <c r="S137" i="6"/>
  <c r="H299" i="7"/>
  <c r="AI40" i="16" l="1"/>
  <c r="AI43" i="16"/>
  <c r="AH45" i="16"/>
  <c r="T143" i="6"/>
  <c r="C149" i="6"/>
  <c r="AI45" i="16" l="1"/>
  <c r="AJ38" i="16"/>
  <c r="AJ40" i="16" s="1"/>
  <c r="C150" i="6"/>
  <c r="H158" i="6" s="1"/>
  <c r="T150" i="6"/>
  <c r="S151" i="6"/>
  <c r="AJ43" i="16" l="1"/>
  <c r="T146" i="6"/>
  <c r="S146" i="6"/>
  <c r="AJ45" i="16" l="1"/>
  <c r="AK38" i="16"/>
  <c r="AK40" i="16" s="1"/>
  <c r="C158" i="6"/>
  <c r="C159" i="6" s="1"/>
  <c r="C161" i="6" s="1"/>
  <c r="C163" i="6" s="1"/>
  <c r="H159" i="6"/>
  <c r="H161" i="6" s="1"/>
  <c r="T152" i="6"/>
  <c r="AK43" i="16" l="1"/>
  <c r="S160" i="6"/>
  <c r="T178" i="6" s="1"/>
  <c r="T159" i="6"/>
  <c r="AK45" i="16" l="1"/>
  <c r="AL38" i="16"/>
  <c r="T155" i="6"/>
  <c r="S155" i="6"/>
  <c r="AL40" i="16" l="1"/>
  <c r="S173" i="6"/>
  <c r="T161" i="6"/>
  <c r="AL43" i="16" l="1"/>
  <c r="AM38" i="16"/>
  <c r="AL45" i="16"/>
  <c r="T179" i="6"/>
  <c r="AM40" i="16" l="1"/>
  <c r="AS37" i="16" s="1"/>
  <c r="L17" i="18"/>
  <c r="K19" i="18"/>
  <c r="AM43" i="16" l="1"/>
  <c r="AM45" i="16" s="1"/>
  <c r="K7" i="18"/>
  <c r="AS36" i="16"/>
  <c r="AT37" i="16"/>
  <c r="L7" i="18" s="1"/>
  <c r="AT35" i="16"/>
  <c r="L15" i="18"/>
  <c r="K15" i="18"/>
  <c r="K18" i="18"/>
  <c r="L19" i="18"/>
  <c r="K6" i="18" l="1"/>
  <c r="AT41" i="16"/>
  <c r="L13" i="18"/>
  <c r="K14" i="18"/>
  <c r="F1" i="24" l="1"/>
  <c r="F1" i="26"/>
  <c r="Q5" i="16" l="1"/>
  <c r="F1" i="25"/>
  <c r="C1" i="27"/>
  <c r="Q8" i="16" l="1"/>
  <c r="Q13" i="16" s="1"/>
  <c r="F1" i="27"/>
  <c r="C1" i="28"/>
  <c r="Q15" i="16" l="1"/>
  <c r="R5" i="16"/>
  <c r="R8" i="16" s="1"/>
  <c r="C1" i="29"/>
  <c r="F1" i="29" s="1"/>
  <c r="F1" i="28"/>
  <c r="L25" i="18" l="1"/>
  <c r="L27" i="18"/>
  <c r="K27" i="18"/>
  <c r="R13" i="16"/>
  <c r="S5" i="16" s="1"/>
  <c r="S8" i="16" s="1"/>
  <c r="K26" i="18" l="1"/>
  <c r="R15" i="16"/>
  <c r="S13" i="16" l="1"/>
  <c r="T5" i="16" l="1"/>
  <c r="T8" i="16" s="1"/>
  <c r="S15" i="16"/>
  <c r="T13" i="16" l="1"/>
  <c r="T15" i="16" s="1"/>
  <c r="U5" i="16" l="1"/>
  <c r="U8" i="16" s="1"/>
  <c r="U13" i="16" l="1"/>
  <c r="V5" i="16" s="1"/>
  <c r="V8" i="16" s="1"/>
  <c r="AA11" i="16" s="1"/>
  <c r="D11" i="16" s="1"/>
  <c r="U15" i="16" l="1"/>
  <c r="C11" i="16"/>
  <c r="V13" i="16" l="1"/>
  <c r="W5" i="16" l="1"/>
  <c r="V15" i="16"/>
  <c r="W8" i="16" l="1"/>
  <c r="W13" i="16" l="1"/>
  <c r="W15" i="16" s="1"/>
  <c r="X5" i="16" l="1"/>
  <c r="X8" i="16" s="1"/>
  <c r="X13" i="16" l="1"/>
  <c r="Y5" i="16" s="1"/>
  <c r="X15" i="16" l="1"/>
  <c r="Y8" i="16"/>
  <c r="Y13" i="16" l="1"/>
  <c r="Y15" i="16" s="1"/>
  <c r="Z5" i="16" l="1"/>
  <c r="Z8" i="16" s="1"/>
  <c r="Z13" i="16" l="1"/>
  <c r="AA5" i="16" s="1"/>
  <c r="AA8" i="16" s="1"/>
  <c r="Z15" i="16" l="1"/>
  <c r="AA13" i="16"/>
  <c r="AA15" i="16" l="1"/>
  <c r="AB5" i="16"/>
  <c r="AB8" i="16" l="1"/>
  <c r="D8" i="16" l="1"/>
  <c r="D13" i="16" s="1"/>
  <c r="C8" i="16"/>
  <c r="C13" i="16" s="1"/>
  <c r="AB13" i="16"/>
  <c r="AC5" i="16" s="1"/>
  <c r="AC8" i="16" s="1"/>
  <c r="AC13" i="16" s="1"/>
  <c r="AC15" i="16" l="1"/>
  <c r="AD5" i="16"/>
  <c r="AD8" i="16" s="1"/>
  <c r="AB15" i="16"/>
  <c r="AD13" i="16" l="1"/>
  <c r="AE5" i="16" l="1"/>
  <c r="AE8" i="16" s="1"/>
  <c r="AE13" i="16" s="1"/>
  <c r="AD15" i="16"/>
  <c r="AF5" i="16" l="1"/>
  <c r="AF8" i="16" s="1"/>
  <c r="AF13" i="16" s="1"/>
  <c r="AE15" i="16"/>
  <c r="AF15" i="16" l="1"/>
  <c r="AG5" i="16"/>
  <c r="AG8" i="16" s="1"/>
  <c r="AG13" i="16" l="1"/>
  <c r="AH5" i="16" l="1"/>
  <c r="AH8" i="16"/>
  <c r="AH13" i="16" s="1"/>
  <c r="AI5" i="16" s="1"/>
  <c r="AI8" i="16" s="1"/>
  <c r="AG15" i="16"/>
  <c r="AH15" i="16" l="1"/>
  <c r="AI13" i="16" l="1"/>
  <c r="AI15" i="16" l="1"/>
  <c r="AJ5" i="16"/>
  <c r="AJ8" i="16" s="1"/>
  <c r="AJ13" i="16" l="1"/>
  <c r="AJ15" i="16" l="1"/>
  <c r="AK5" i="16"/>
  <c r="AK8" i="16" s="1"/>
  <c r="AK13" i="16" l="1"/>
  <c r="AL5" i="16" s="1"/>
  <c r="AL8" i="16" s="1"/>
  <c r="AK15" i="16" l="1"/>
  <c r="AL13" i="16"/>
  <c r="AM5" i="16" l="1"/>
  <c r="AM8" i="16" s="1"/>
  <c r="AL15" i="16"/>
  <c r="AS6" i="16" l="1"/>
  <c r="AS7" i="16"/>
  <c r="K4" i="18" s="1"/>
  <c r="AT7" i="16"/>
  <c r="L4" i="18" s="1"/>
  <c r="AT5" i="16"/>
  <c r="AM15" i="16"/>
  <c r="L2" i="18" l="1"/>
  <c r="L32" i="18" s="1"/>
  <c r="I61" i="27"/>
  <c r="I61" i="5"/>
  <c r="I61" i="19"/>
  <c r="I61" i="29"/>
  <c r="K3" i="18"/>
  <c r="K32" i="18" s="1"/>
  <c r="H61" i="29"/>
  <c r="H61" i="20"/>
  <c r="H61" i="22"/>
  <c r="H61" i="27"/>
  <c r="H61" i="19"/>
  <c r="H61" i="5"/>
  <c r="H61" i="24"/>
  <c r="H61" i="23"/>
  <c r="I61" i="23"/>
  <c r="H61" i="26"/>
  <c r="H61" i="25"/>
  <c r="H61" i="21"/>
  <c r="AT11" i="16"/>
  <c r="I61" i="24" s="1"/>
  <c r="I62" i="29" l="1"/>
  <c r="I61" i="25"/>
  <c r="I62" i="25" s="1"/>
  <c r="I61" i="21"/>
  <c r="I62" i="21" s="1"/>
  <c r="I62" i="5"/>
  <c r="I61" i="26"/>
  <c r="I62" i="26" s="1"/>
  <c r="I62" i="19"/>
  <c r="I62" i="24"/>
  <c r="I61" i="22"/>
  <c r="I62" i="22" s="1"/>
  <c r="I62" i="23"/>
  <c r="I62" i="27"/>
  <c r="I61" i="20"/>
  <c r="I62" i="20" s="1"/>
</calcChain>
</file>

<file path=xl/comments1.xml><?xml version="1.0" encoding="utf-8"?>
<comments xmlns="http://schemas.openxmlformats.org/spreadsheetml/2006/main">
  <authors>
    <author>Berg, Jenny</author>
  </authors>
  <commentList>
    <comment ref="D22" authorId="0" shapeId="0">
      <text>
        <r>
          <rPr>
            <b/>
            <sz val="9"/>
            <color indexed="81"/>
            <rFont val="Tahoma"/>
            <family val="2"/>
          </rPr>
          <t>Berg, Jenny:</t>
        </r>
        <r>
          <rPr>
            <sz val="9"/>
            <color indexed="81"/>
            <rFont val="Tahoma"/>
            <family val="2"/>
          </rPr>
          <t xml:space="preserve">
Rate Error Correction - Jan
Int Correction - Feb &amp; Mar</t>
        </r>
      </text>
    </comment>
  </commentList>
</comments>
</file>

<file path=xl/comments10.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H12" authorId="1" shapeId="0">
      <text>
        <r>
          <rPr>
            <b/>
            <sz val="9"/>
            <color indexed="81"/>
            <rFont val="Tahoma"/>
            <family val="2"/>
          </rPr>
          <t>Berg, Jenny:</t>
        </r>
        <r>
          <rPr>
            <sz val="9"/>
            <color indexed="81"/>
            <rFont val="Tahoma"/>
            <family val="2"/>
          </rPr>
          <t xml:space="preserve">
see if this amount is still a negative cost…like july and aug '17.</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1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12.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M28"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32"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 ref="M43"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45"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List>
</comments>
</file>

<file path=xl/comments13.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14.xml><?xml version="1.0" encoding="utf-8"?>
<comments xmlns="http://schemas.openxmlformats.org/spreadsheetml/2006/main">
  <authors>
    <author>Berg, Jenny</author>
  </authors>
  <commentList>
    <comment ref="D3" authorId="0" shapeId="0">
      <text>
        <r>
          <rPr>
            <b/>
            <sz val="9"/>
            <color indexed="81"/>
            <rFont val="Tahoma"/>
            <family val="2"/>
          </rPr>
          <t>Berg, Jenny:</t>
        </r>
        <r>
          <rPr>
            <sz val="9"/>
            <color indexed="81"/>
            <rFont val="Tahoma"/>
            <family val="2"/>
          </rPr>
          <t xml:space="preserve">
Beginning 201701</t>
        </r>
      </text>
    </comment>
    <comment ref="AC7" authorId="0" shapeId="0">
      <text>
        <r>
          <rPr>
            <b/>
            <sz val="9"/>
            <color indexed="81"/>
            <rFont val="Tahoma"/>
            <family val="2"/>
          </rPr>
          <t>Berg, Jenny:</t>
        </r>
        <r>
          <rPr>
            <sz val="9"/>
            <color indexed="81"/>
            <rFont val="Tahoma"/>
            <family val="2"/>
          </rPr>
          <t xml:space="preserve">
updated 4/25/18</t>
        </r>
      </text>
    </comment>
    <comment ref="O8" authorId="0" shapeId="0">
      <text>
        <r>
          <rPr>
            <b/>
            <sz val="9"/>
            <color indexed="81"/>
            <rFont val="Tahoma"/>
            <family val="2"/>
          </rPr>
          <t xml:space="preserve">MGG9990:
</t>
        </r>
        <r>
          <rPr>
            <sz val="9"/>
            <color indexed="81"/>
            <rFont val="Tahoma"/>
            <family val="2"/>
          </rPr>
          <t>Interest Calculation Includes Transfer in beginning balance</t>
        </r>
      </text>
    </comment>
    <comment ref="AA8" authorId="0" shapeId="0">
      <text>
        <r>
          <rPr>
            <b/>
            <sz val="9"/>
            <color indexed="81"/>
            <rFont val="Tahoma"/>
            <family val="2"/>
          </rPr>
          <t xml:space="preserve">MGG9990:
</t>
        </r>
        <r>
          <rPr>
            <sz val="9"/>
            <color indexed="81"/>
            <rFont val="Tahoma"/>
            <family val="2"/>
          </rPr>
          <t>Interest Calculation Includes Transfer in beginning balance</t>
        </r>
      </text>
    </comment>
    <comment ref="AM8" authorId="0" shapeId="0">
      <text>
        <r>
          <rPr>
            <b/>
            <sz val="9"/>
            <color indexed="81"/>
            <rFont val="Tahoma"/>
            <family val="2"/>
          </rPr>
          <t>Berg, Jenny:</t>
        </r>
        <r>
          <rPr>
            <sz val="9"/>
            <color indexed="81"/>
            <rFont val="Tahoma"/>
            <family val="2"/>
          </rPr>
          <t xml:space="preserve">
Interest calculation already includes credit transfer in beginning balance, so also pick up debit transfer amounts.  This will allow for no impact on interest calculation.  Will be included in amortization section.</t>
        </r>
      </text>
    </comment>
    <comment ref="O12" authorId="0" shapeId="0">
      <text>
        <r>
          <rPr>
            <b/>
            <sz val="9"/>
            <color indexed="81"/>
            <rFont val="Tahoma"/>
            <family val="2"/>
          </rPr>
          <t>Berg, Jenny:</t>
        </r>
        <r>
          <rPr>
            <sz val="9"/>
            <color indexed="81"/>
            <rFont val="Tahoma"/>
            <family val="2"/>
          </rPr>
          <t xml:space="preserve">
"plug" to get to Ryan's balance of $14,182,183.96</t>
        </r>
      </text>
    </comment>
    <comment ref="AA12" authorId="0" shapeId="0">
      <text>
        <r>
          <rPr>
            <b/>
            <sz val="9"/>
            <color indexed="81"/>
            <rFont val="Tahoma"/>
            <family val="2"/>
          </rPr>
          <t>Berg, Jenny:</t>
        </r>
        <r>
          <rPr>
            <sz val="9"/>
            <color indexed="81"/>
            <rFont val="Tahoma"/>
            <family val="2"/>
          </rPr>
          <t xml:space="preserve">
Dec/Jan Rate Schedule 146 difference per Rates
Added in order to tie to Annette's balance of $14,771,212.55</t>
        </r>
      </text>
    </comment>
    <comment ref="J14" authorId="0" shapeId="0">
      <text>
        <r>
          <rPr>
            <b/>
            <sz val="9"/>
            <color indexed="81"/>
            <rFont val="Tahoma"/>
            <family val="2"/>
          </rPr>
          <t>Berg, Jenny:</t>
        </r>
        <r>
          <rPr>
            <sz val="9"/>
            <color indexed="81"/>
            <rFont val="Tahoma"/>
            <family val="2"/>
          </rPr>
          <t xml:space="preserve">
Ryan's balance = 
$14,182,183.96</t>
        </r>
      </text>
    </comment>
    <comment ref="V14" authorId="0" shapeId="0">
      <text>
        <r>
          <rPr>
            <b/>
            <sz val="9"/>
            <color indexed="81"/>
            <rFont val="Tahoma"/>
            <family val="2"/>
          </rPr>
          <t>Berg, Jenny:</t>
        </r>
        <r>
          <rPr>
            <sz val="9"/>
            <color indexed="81"/>
            <rFont val="Tahoma"/>
            <family val="2"/>
          </rPr>
          <t xml:space="preserve">
Annette's balance = $14,771,212.55.
Difference = $35.15 and noted under Misc Adjustments in November.</t>
        </r>
      </text>
    </comment>
    <comment ref="O39" authorId="0" shapeId="0">
      <text>
        <r>
          <rPr>
            <b/>
            <sz val="9"/>
            <color indexed="81"/>
            <rFont val="Tahoma"/>
            <family val="2"/>
          </rPr>
          <t>Berg, Jenny:</t>
        </r>
        <r>
          <rPr>
            <sz val="9"/>
            <color indexed="81"/>
            <rFont val="Tahoma"/>
            <family val="2"/>
          </rPr>
          <t xml:space="preserve">
Amortization of Commodity &amp; Demand…increases in '16 b/c of change in rate from .02571 to .09174</t>
        </r>
      </text>
    </comment>
    <comment ref="P39" authorId="0" shapeId="0">
      <text>
        <r>
          <rPr>
            <b/>
            <sz val="9"/>
            <color indexed="81"/>
            <rFont val="Tahoma"/>
            <family val="2"/>
          </rPr>
          <t>Berg, Jenny:</t>
        </r>
        <r>
          <rPr>
            <sz val="9"/>
            <color indexed="81"/>
            <rFont val="Tahoma"/>
            <family val="2"/>
          </rPr>
          <t xml:space="preserve">
Amortization of Commodity &amp; Demand</t>
        </r>
      </text>
    </comment>
    <comment ref="AA39" authorId="0" shapeId="0">
      <text>
        <r>
          <rPr>
            <b/>
            <sz val="9"/>
            <color indexed="81"/>
            <rFont val="Tahoma"/>
            <family val="2"/>
          </rPr>
          <t>Berg, Jenny:</t>
        </r>
        <r>
          <rPr>
            <sz val="9"/>
            <color indexed="81"/>
            <rFont val="Tahoma"/>
            <family val="2"/>
          </rPr>
          <t xml:space="preserve">
Amortization of Commodity &amp; Demand…</t>
        </r>
      </text>
    </comment>
    <comment ref="AB39" authorId="0" shapeId="0">
      <text>
        <r>
          <rPr>
            <b/>
            <sz val="9"/>
            <color indexed="81"/>
            <rFont val="Tahoma"/>
            <family val="2"/>
          </rPr>
          <t>Berg, Jenny:</t>
        </r>
        <r>
          <rPr>
            <sz val="9"/>
            <color indexed="81"/>
            <rFont val="Tahoma"/>
            <family val="2"/>
          </rPr>
          <t xml:space="preserve">
Amortization of Commodity &amp; Demand</t>
        </r>
      </text>
    </comment>
    <comment ref="AC39" authorId="0" shapeId="0">
      <text>
        <r>
          <rPr>
            <b/>
            <sz val="9"/>
            <color indexed="81"/>
            <rFont val="Tahoma"/>
            <family val="2"/>
          </rPr>
          <t>Berg, Jenny:</t>
        </r>
        <r>
          <rPr>
            <sz val="9"/>
            <color indexed="81"/>
            <rFont val="Tahoma"/>
            <family val="2"/>
          </rPr>
          <t xml:space="preserve">
Amortization of Commodity &amp; Demand</t>
        </r>
      </text>
    </comment>
    <comment ref="AD39" authorId="0" shapeId="0">
      <text>
        <r>
          <rPr>
            <b/>
            <sz val="9"/>
            <color indexed="81"/>
            <rFont val="Tahoma"/>
            <family val="2"/>
          </rPr>
          <t>Berg, Jenny:</t>
        </r>
        <r>
          <rPr>
            <sz val="9"/>
            <color indexed="81"/>
            <rFont val="Tahoma"/>
            <family val="2"/>
          </rPr>
          <t xml:space="preserve">
Amortization of Commodity &amp; Demand</t>
        </r>
      </text>
    </comment>
    <comment ref="AE39" authorId="0" shapeId="0">
      <text>
        <r>
          <rPr>
            <b/>
            <sz val="9"/>
            <color indexed="81"/>
            <rFont val="Tahoma"/>
            <family val="2"/>
          </rPr>
          <t>Berg, Jenny:</t>
        </r>
        <r>
          <rPr>
            <sz val="9"/>
            <color indexed="81"/>
            <rFont val="Tahoma"/>
            <family val="2"/>
          </rPr>
          <t xml:space="preserve">
Amortization of Commodity &amp; Demand</t>
        </r>
      </text>
    </comment>
    <comment ref="AF39" authorId="0" shapeId="0">
      <text>
        <r>
          <rPr>
            <b/>
            <sz val="9"/>
            <color indexed="81"/>
            <rFont val="Tahoma"/>
            <family val="2"/>
          </rPr>
          <t>Berg, Jenny:</t>
        </r>
        <r>
          <rPr>
            <sz val="9"/>
            <color indexed="81"/>
            <rFont val="Tahoma"/>
            <family val="2"/>
          </rPr>
          <t xml:space="preserve">
Amortization of Commodity &amp; Demand</t>
        </r>
      </text>
    </comment>
    <comment ref="AG39" authorId="0" shapeId="0">
      <text>
        <r>
          <rPr>
            <b/>
            <sz val="9"/>
            <color indexed="81"/>
            <rFont val="Tahoma"/>
            <family val="2"/>
          </rPr>
          <t>Berg, Jenny:</t>
        </r>
        <r>
          <rPr>
            <sz val="9"/>
            <color indexed="81"/>
            <rFont val="Tahoma"/>
            <family val="2"/>
          </rPr>
          <t xml:space="preserve">
Amortization of Commodity &amp; Demand</t>
        </r>
      </text>
    </comment>
    <comment ref="AH39" authorId="0" shapeId="0">
      <text>
        <r>
          <rPr>
            <b/>
            <sz val="9"/>
            <color indexed="81"/>
            <rFont val="Tahoma"/>
            <family val="2"/>
          </rPr>
          <t>Berg, Jenny:</t>
        </r>
        <r>
          <rPr>
            <sz val="9"/>
            <color indexed="81"/>
            <rFont val="Tahoma"/>
            <family val="2"/>
          </rPr>
          <t xml:space="preserve">
Amortization of Commodity &amp; Demand</t>
        </r>
      </text>
    </comment>
    <comment ref="AI39" authorId="0" shapeId="0">
      <text>
        <r>
          <rPr>
            <b/>
            <sz val="9"/>
            <color indexed="81"/>
            <rFont val="Tahoma"/>
            <family val="2"/>
          </rPr>
          <t>Berg, Jenny:</t>
        </r>
        <r>
          <rPr>
            <sz val="9"/>
            <color indexed="81"/>
            <rFont val="Tahoma"/>
            <family val="2"/>
          </rPr>
          <t xml:space="preserve">
Amortization of Commodity &amp; Demand</t>
        </r>
      </text>
    </comment>
    <comment ref="AJ39" authorId="0" shapeId="0">
      <text>
        <r>
          <rPr>
            <b/>
            <sz val="9"/>
            <color indexed="81"/>
            <rFont val="Tahoma"/>
            <family val="2"/>
          </rPr>
          <t>Berg, Jenny:</t>
        </r>
        <r>
          <rPr>
            <sz val="9"/>
            <color indexed="81"/>
            <rFont val="Tahoma"/>
            <family val="2"/>
          </rPr>
          <t xml:space="preserve">
Amortization of Commodity &amp; Demand</t>
        </r>
      </text>
    </comment>
    <comment ref="AK39" authorId="0" shapeId="0">
      <text>
        <r>
          <rPr>
            <b/>
            <sz val="9"/>
            <color indexed="81"/>
            <rFont val="Tahoma"/>
            <family val="2"/>
          </rPr>
          <t>Berg, Jenny:</t>
        </r>
        <r>
          <rPr>
            <sz val="9"/>
            <color indexed="81"/>
            <rFont val="Tahoma"/>
            <family val="2"/>
          </rPr>
          <t xml:space="preserve">
Amortization of Commodity &amp; Demand</t>
        </r>
      </text>
    </comment>
    <comment ref="AL39" authorId="0" shapeId="0">
      <text>
        <r>
          <rPr>
            <b/>
            <sz val="9"/>
            <color indexed="81"/>
            <rFont val="Tahoma"/>
            <family val="2"/>
          </rPr>
          <t>Berg, Jenny:</t>
        </r>
        <r>
          <rPr>
            <sz val="9"/>
            <color indexed="81"/>
            <rFont val="Tahoma"/>
            <family val="2"/>
          </rPr>
          <t xml:space="preserve">
Amortization of Commodity &amp; Demand</t>
        </r>
      </text>
    </comment>
    <comment ref="AM39" authorId="0" shapeId="0">
      <text>
        <r>
          <rPr>
            <b/>
            <sz val="9"/>
            <color indexed="81"/>
            <rFont val="Tahoma"/>
            <family val="2"/>
          </rPr>
          <t>Berg, Jenny:</t>
        </r>
        <r>
          <rPr>
            <sz val="9"/>
            <color indexed="81"/>
            <rFont val="Tahoma"/>
            <family val="2"/>
          </rPr>
          <t xml:space="preserve">
Amortization of Commodity &amp; Demand</t>
        </r>
      </text>
    </comment>
    <comment ref="O40" authorId="0" shapeId="0">
      <text>
        <r>
          <rPr>
            <b/>
            <sz val="9"/>
            <color indexed="81"/>
            <rFont val="Tahoma"/>
            <family val="2"/>
          </rPr>
          <t>Berg, Jenny:</t>
        </r>
        <r>
          <rPr>
            <sz val="9"/>
            <color indexed="81"/>
            <rFont val="Tahoma"/>
            <family val="2"/>
          </rPr>
          <t xml:space="preserve">
interest calculation</t>
        </r>
      </text>
    </comment>
    <comment ref="P40" authorId="0" shapeId="0">
      <text>
        <r>
          <rPr>
            <b/>
            <sz val="9"/>
            <color indexed="81"/>
            <rFont val="Tahoma"/>
            <family val="2"/>
          </rPr>
          <t>Berg, Jenny:</t>
        </r>
        <r>
          <rPr>
            <sz val="9"/>
            <color indexed="81"/>
            <rFont val="Tahoma"/>
            <family val="2"/>
          </rPr>
          <t xml:space="preserve">
interest calculation</t>
        </r>
      </text>
    </comment>
    <comment ref="AA40" authorId="0" shapeId="0">
      <text>
        <r>
          <rPr>
            <b/>
            <sz val="9"/>
            <color indexed="81"/>
            <rFont val="Tahoma"/>
            <family val="2"/>
          </rPr>
          <t>Berg, Jenny:</t>
        </r>
        <r>
          <rPr>
            <sz val="9"/>
            <color indexed="81"/>
            <rFont val="Tahoma"/>
            <family val="2"/>
          </rPr>
          <t xml:space="preserve">
interest calculation</t>
        </r>
      </text>
    </comment>
    <comment ref="AB40" authorId="0" shapeId="0">
      <text>
        <r>
          <rPr>
            <b/>
            <sz val="9"/>
            <color indexed="81"/>
            <rFont val="Tahoma"/>
            <family val="2"/>
          </rPr>
          <t>Berg, Jenny:</t>
        </r>
        <r>
          <rPr>
            <sz val="9"/>
            <color indexed="81"/>
            <rFont val="Tahoma"/>
            <family val="2"/>
          </rPr>
          <t xml:space="preserve">
interest calculation</t>
        </r>
      </text>
    </comment>
    <comment ref="O41" authorId="0" shapeId="0">
      <text>
        <r>
          <rPr>
            <b/>
            <sz val="9"/>
            <color indexed="81"/>
            <rFont val="Tahoma"/>
            <family val="2"/>
          </rPr>
          <t>Berg, Jenny:</t>
        </r>
        <r>
          <rPr>
            <sz val="9"/>
            <color indexed="81"/>
            <rFont val="Tahoma"/>
            <family val="2"/>
          </rPr>
          <t xml:space="preserve">
Ryan's balance </t>
        </r>
      </text>
    </comment>
    <comment ref="AA41" authorId="0" shapeId="0">
      <text>
        <r>
          <rPr>
            <b/>
            <sz val="9"/>
            <color indexed="81"/>
            <rFont val="Tahoma"/>
            <family val="2"/>
          </rPr>
          <t>Berg, Jenny:</t>
        </r>
        <r>
          <rPr>
            <sz val="9"/>
            <color indexed="81"/>
            <rFont val="Tahoma"/>
            <family val="2"/>
          </rPr>
          <t xml:space="preserve">
Annette's balance </t>
        </r>
      </text>
    </comment>
    <comment ref="AM41" authorId="0" shapeId="0">
      <text>
        <r>
          <rPr>
            <b/>
            <sz val="9"/>
            <color indexed="81"/>
            <rFont val="Tahoma"/>
            <family val="2"/>
          </rPr>
          <t>Berg, Jenny:</t>
        </r>
        <r>
          <rPr>
            <sz val="9"/>
            <color indexed="81"/>
            <rFont val="Tahoma"/>
            <family val="2"/>
          </rPr>
          <t xml:space="preserve">
Balance transfer from 191010…matches Annette's balance.</t>
        </r>
      </text>
    </comment>
    <comment ref="O42" authorId="0" shapeId="0">
      <text>
        <r>
          <rPr>
            <b/>
            <sz val="9"/>
            <color indexed="81"/>
            <rFont val="Tahoma"/>
            <family val="2"/>
          </rPr>
          <t>Berg, Jenny:</t>
        </r>
        <r>
          <rPr>
            <sz val="9"/>
            <color indexed="81"/>
            <rFont val="Tahoma"/>
            <family val="2"/>
          </rPr>
          <t xml:space="preserve">
refund on "November 2016 Transfers" spreadsheet</t>
        </r>
      </text>
    </comment>
    <comment ref="AA42" authorId="0" shapeId="0">
      <text>
        <r>
          <rPr>
            <b/>
            <sz val="9"/>
            <color indexed="81"/>
            <rFont val="Tahoma"/>
            <family val="2"/>
          </rPr>
          <t>Berg, Jenny:</t>
        </r>
        <r>
          <rPr>
            <sz val="9"/>
            <color indexed="81"/>
            <rFont val="Tahoma"/>
            <family val="2"/>
          </rPr>
          <t xml:space="preserve">
refund on Temporary Refunds/Charges Rate Spreadsheet</t>
        </r>
      </text>
    </comment>
    <comment ref="AB42" authorId="0" shapeId="0">
      <text>
        <r>
          <rPr>
            <b/>
            <sz val="9"/>
            <color indexed="81"/>
            <rFont val="Tahoma"/>
            <family val="2"/>
          </rPr>
          <t>Berg, Jenny:</t>
        </r>
        <r>
          <rPr>
            <sz val="9"/>
            <color indexed="81"/>
            <rFont val="Tahoma"/>
            <family val="2"/>
          </rPr>
          <t xml:space="preserve">
moved from Nov column b/c actually booked in Dec and interest should reflect this.  The $459.10 is getting picked up in Jan'18.</t>
        </r>
      </text>
    </comment>
    <comment ref="AD42" authorId="0" shapeId="0">
      <text>
        <r>
          <rPr>
            <b/>
            <sz val="9"/>
            <color indexed="81"/>
            <rFont val="Tahoma"/>
            <family val="2"/>
          </rPr>
          <t>Berg, Jenny:</t>
        </r>
        <r>
          <rPr>
            <sz val="9"/>
            <color indexed="81"/>
            <rFont val="Tahoma"/>
            <family val="2"/>
          </rPr>
          <t xml:space="preserve">
to correct for $130,571.12 being too high - picked up wrong column on Annette's spreadsheet.</t>
        </r>
      </text>
    </comment>
    <comment ref="AM42" authorId="0" shapeId="0">
      <text>
        <r>
          <rPr>
            <b/>
            <sz val="9"/>
            <color indexed="81"/>
            <rFont val="Tahoma"/>
            <family val="2"/>
          </rPr>
          <t>Berg, Jenny:</t>
        </r>
        <r>
          <rPr>
            <sz val="9"/>
            <color indexed="81"/>
            <rFont val="Tahoma"/>
            <family val="2"/>
          </rPr>
          <t xml:space="preserve">
Large Customer Refund </t>
        </r>
      </text>
    </comment>
    <comment ref="O74" authorId="0" shapeId="0">
      <text>
        <r>
          <rPr>
            <b/>
            <sz val="9"/>
            <color indexed="81"/>
            <rFont val="Tahoma"/>
            <family val="2"/>
          </rPr>
          <t>Berg, Jenny:</t>
        </r>
        <r>
          <rPr>
            <sz val="9"/>
            <color indexed="81"/>
            <rFont val="Tahoma"/>
            <family val="2"/>
          </rPr>
          <t xml:space="preserve">
JP Amortization</t>
        </r>
      </text>
    </comment>
    <comment ref="P74" authorId="0" shapeId="0">
      <text>
        <r>
          <rPr>
            <b/>
            <sz val="9"/>
            <color indexed="81"/>
            <rFont val="Tahoma"/>
            <family val="2"/>
          </rPr>
          <t>Berg, Jenny:</t>
        </r>
        <r>
          <rPr>
            <sz val="9"/>
            <color indexed="81"/>
            <rFont val="Tahoma"/>
            <family val="2"/>
          </rPr>
          <t xml:space="preserve">
JP Amortization</t>
        </r>
      </text>
    </comment>
    <comment ref="AA74" authorId="0" shapeId="0">
      <text>
        <r>
          <rPr>
            <b/>
            <sz val="9"/>
            <color indexed="81"/>
            <rFont val="Tahoma"/>
            <family val="2"/>
          </rPr>
          <t>Berg, Jenny:</t>
        </r>
        <r>
          <rPr>
            <sz val="9"/>
            <color indexed="81"/>
            <rFont val="Tahoma"/>
            <family val="2"/>
          </rPr>
          <t xml:space="preserve">
Add October unbilled reversal…and then move remaining balance to 426500-ZZ-ZZ</t>
        </r>
      </text>
    </comment>
    <comment ref="Q75" authorId="0" shapeId="0">
      <text>
        <r>
          <rPr>
            <b/>
            <sz val="9"/>
            <color indexed="81"/>
            <rFont val="Tahoma"/>
            <family val="2"/>
          </rPr>
          <t>Berg, Jenny:</t>
        </r>
        <r>
          <rPr>
            <sz val="9"/>
            <color indexed="81"/>
            <rFont val="Tahoma"/>
            <family val="2"/>
          </rPr>
          <t xml:space="preserve">
Correction to backwards sign on $298 last month...</t>
        </r>
      </text>
    </comment>
    <comment ref="AB76" authorId="0" shapeId="0">
      <text>
        <r>
          <rPr>
            <b/>
            <sz val="9"/>
            <color indexed="81"/>
            <rFont val="Tahoma"/>
            <family val="2"/>
          </rPr>
          <t>Berg, Jenny:</t>
        </r>
        <r>
          <rPr>
            <sz val="9"/>
            <color indexed="81"/>
            <rFont val="Tahoma"/>
            <family val="2"/>
          </rPr>
          <t xml:space="preserve">
No more entry</t>
        </r>
      </text>
    </comment>
    <comment ref="AC76" authorId="0" shapeId="0">
      <text>
        <r>
          <rPr>
            <b/>
            <sz val="9"/>
            <color indexed="81"/>
            <rFont val="Tahoma"/>
            <family val="2"/>
          </rPr>
          <t>Berg, Jenny:</t>
        </r>
        <r>
          <rPr>
            <sz val="9"/>
            <color indexed="81"/>
            <rFont val="Tahoma"/>
            <family val="2"/>
          </rPr>
          <t xml:space="preserve">
No more entry</t>
        </r>
      </text>
    </comment>
    <comment ref="AD76" authorId="0" shapeId="0">
      <text>
        <r>
          <rPr>
            <b/>
            <sz val="9"/>
            <color indexed="81"/>
            <rFont val="Tahoma"/>
            <family val="2"/>
          </rPr>
          <t>Berg, Jenny:</t>
        </r>
        <r>
          <rPr>
            <sz val="9"/>
            <color indexed="81"/>
            <rFont val="Tahoma"/>
            <family val="2"/>
          </rPr>
          <t xml:space="preserve">
No more entry</t>
        </r>
      </text>
    </comment>
    <comment ref="AE76" authorId="0" shapeId="0">
      <text>
        <r>
          <rPr>
            <b/>
            <sz val="9"/>
            <color indexed="81"/>
            <rFont val="Tahoma"/>
            <family val="2"/>
          </rPr>
          <t>Berg, Jenny:</t>
        </r>
        <r>
          <rPr>
            <sz val="9"/>
            <color indexed="81"/>
            <rFont val="Tahoma"/>
            <family val="2"/>
          </rPr>
          <t xml:space="preserve">
No more entry</t>
        </r>
      </text>
    </comment>
    <comment ref="AF76" authorId="0" shapeId="0">
      <text>
        <r>
          <rPr>
            <b/>
            <sz val="9"/>
            <color indexed="81"/>
            <rFont val="Tahoma"/>
            <family val="2"/>
          </rPr>
          <t>Berg, Jenny:</t>
        </r>
        <r>
          <rPr>
            <sz val="9"/>
            <color indexed="81"/>
            <rFont val="Tahoma"/>
            <family val="2"/>
          </rPr>
          <t xml:space="preserve">
No more entry</t>
        </r>
      </text>
    </comment>
    <comment ref="AG76" authorId="0" shapeId="0">
      <text>
        <r>
          <rPr>
            <b/>
            <sz val="9"/>
            <color indexed="81"/>
            <rFont val="Tahoma"/>
            <family val="2"/>
          </rPr>
          <t>Berg, Jenny:</t>
        </r>
        <r>
          <rPr>
            <sz val="9"/>
            <color indexed="81"/>
            <rFont val="Tahoma"/>
            <family val="2"/>
          </rPr>
          <t xml:space="preserve">
No more entry</t>
        </r>
      </text>
    </comment>
    <comment ref="AH76" authorId="0" shapeId="0">
      <text>
        <r>
          <rPr>
            <b/>
            <sz val="9"/>
            <color indexed="81"/>
            <rFont val="Tahoma"/>
            <family val="2"/>
          </rPr>
          <t>Berg, Jenny:</t>
        </r>
        <r>
          <rPr>
            <sz val="9"/>
            <color indexed="81"/>
            <rFont val="Tahoma"/>
            <family val="2"/>
          </rPr>
          <t xml:space="preserve">
No more entry</t>
        </r>
      </text>
    </comment>
    <comment ref="AI76" authorId="0" shapeId="0">
      <text>
        <r>
          <rPr>
            <b/>
            <sz val="9"/>
            <color indexed="81"/>
            <rFont val="Tahoma"/>
            <family val="2"/>
          </rPr>
          <t>Berg, Jenny:</t>
        </r>
        <r>
          <rPr>
            <sz val="9"/>
            <color indexed="81"/>
            <rFont val="Tahoma"/>
            <family val="2"/>
          </rPr>
          <t xml:space="preserve">
No more entry</t>
        </r>
      </text>
    </comment>
    <comment ref="AJ76" authorId="0" shapeId="0">
      <text>
        <r>
          <rPr>
            <b/>
            <sz val="9"/>
            <color indexed="81"/>
            <rFont val="Tahoma"/>
            <family val="2"/>
          </rPr>
          <t>Berg, Jenny:</t>
        </r>
        <r>
          <rPr>
            <sz val="9"/>
            <color indexed="81"/>
            <rFont val="Tahoma"/>
            <family val="2"/>
          </rPr>
          <t xml:space="preserve">
No more entry</t>
        </r>
      </text>
    </comment>
    <comment ref="AK76" authorId="0" shapeId="0">
      <text>
        <r>
          <rPr>
            <b/>
            <sz val="9"/>
            <color indexed="81"/>
            <rFont val="Tahoma"/>
            <family val="2"/>
          </rPr>
          <t>Berg, Jenny:</t>
        </r>
        <r>
          <rPr>
            <sz val="9"/>
            <color indexed="81"/>
            <rFont val="Tahoma"/>
            <family val="2"/>
          </rPr>
          <t xml:space="preserve">
No more entry</t>
        </r>
      </text>
    </comment>
    <comment ref="AL76" authorId="0" shapeId="0">
      <text>
        <r>
          <rPr>
            <b/>
            <sz val="9"/>
            <color indexed="81"/>
            <rFont val="Tahoma"/>
            <family val="2"/>
          </rPr>
          <t>Berg, Jenny:</t>
        </r>
        <r>
          <rPr>
            <sz val="9"/>
            <color indexed="81"/>
            <rFont val="Tahoma"/>
            <family val="2"/>
          </rPr>
          <t xml:space="preserve">
No more entry</t>
        </r>
      </text>
    </comment>
    <comment ref="AM76" authorId="0" shapeId="0">
      <text>
        <r>
          <rPr>
            <b/>
            <sz val="9"/>
            <color indexed="81"/>
            <rFont val="Tahoma"/>
            <family val="2"/>
          </rPr>
          <t>Berg, Jenny:</t>
        </r>
        <r>
          <rPr>
            <sz val="9"/>
            <color indexed="81"/>
            <rFont val="Tahoma"/>
            <family val="2"/>
          </rPr>
          <t xml:space="preserve">
No more entry</t>
        </r>
      </text>
    </comment>
    <comment ref="Z77" authorId="0" shapeId="0">
      <text>
        <r>
          <rPr>
            <b/>
            <sz val="9"/>
            <color indexed="81"/>
            <rFont val="Tahoma"/>
            <family val="2"/>
          </rPr>
          <t>Berg, Jenny:</t>
        </r>
        <r>
          <rPr>
            <sz val="9"/>
            <color indexed="81"/>
            <rFont val="Tahoma"/>
            <family val="2"/>
          </rPr>
          <t xml:space="preserve">
In November write off to 426500-ZZ-ZZ… </t>
        </r>
      </text>
    </comment>
  </commentList>
</comments>
</file>

<file path=xl/comments15.xml><?xml version="1.0" encoding="utf-8"?>
<comments xmlns="http://schemas.openxmlformats.org/spreadsheetml/2006/main">
  <authors>
    <author>CGroome</author>
  </authors>
  <commentList>
    <comment ref="E25" authorId="0" shapeId="0">
      <text>
        <r>
          <rPr>
            <b/>
            <sz val="8"/>
            <color indexed="81"/>
            <rFont val="Tahoma"/>
            <family val="2"/>
          </rPr>
          <t>CGroome:</t>
        </r>
        <r>
          <rPr>
            <sz val="8"/>
            <color indexed="81"/>
            <rFont val="Tahoma"/>
            <family val="2"/>
          </rPr>
          <t xml:space="preserve">
Once a year, Craig B. will supply $ (Large customer refund)</t>
        </r>
      </text>
    </comment>
    <comment ref="E48" authorId="0" shapeId="0">
      <text>
        <r>
          <rPr>
            <b/>
            <sz val="8"/>
            <color indexed="81"/>
            <rFont val="Tahoma"/>
            <family val="2"/>
          </rPr>
          <t>CGroome:</t>
        </r>
        <r>
          <rPr>
            <sz val="8"/>
            <color indexed="81"/>
            <rFont val="Tahoma"/>
            <family val="2"/>
          </rPr>
          <t xml:space="preserve">
Once a year, Craig B. will supply $ (Large customer refund)</t>
        </r>
      </text>
    </comment>
    <comment ref="E69" authorId="0" shapeId="0">
      <text>
        <r>
          <rPr>
            <b/>
            <sz val="8"/>
            <color indexed="81"/>
            <rFont val="Tahoma"/>
            <family val="2"/>
          </rPr>
          <t>CGroome:</t>
        </r>
        <r>
          <rPr>
            <sz val="8"/>
            <color indexed="81"/>
            <rFont val="Tahoma"/>
            <family val="2"/>
          </rPr>
          <t xml:space="preserve">
Once a year, Craig B. will supply $ (Large customer refund)</t>
        </r>
      </text>
    </comment>
    <comment ref="E90" authorId="0" shapeId="0">
      <text>
        <r>
          <rPr>
            <b/>
            <sz val="8"/>
            <color indexed="81"/>
            <rFont val="Tahoma"/>
            <family val="2"/>
          </rPr>
          <t>CGroome:</t>
        </r>
        <r>
          <rPr>
            <sz val="8"/>
            <color indexed="81"/>
            <rFont val="Tahoma"/>
            <family val="2"/>
          </rPr>
          <t xml:space="preserve">
Once a year, Craig B. will supply $ (Large customer refund)</t>
        </r>
      </text>
    </comment>
    <comment ref="E111" authorId="0" shapeId="0">
      <text>
        <r>
          <rPr>
            <b/>
            <sz val="8"/>
            <color indexed="81"/>
            <rFont val="Tahoma"/>
            <family val="2"/>
          </rPr>
          <t>CGroome:</t>
        </r>
        <r>
          <rPr>
            <sz val="8"/>
            <color indexed="81"/>
            <rFont val="Tahoma"/>
            <family val="2"/>
          </rPr>
          <t xml:space="preserve">
Once a year, Craig B. will supply $ (Large customer refund)</t>
        </r>
      </text>
    </comment>
    <comment ref="E132" authorId="0" shapeId="0">
      <text>
        <r>
          <rPr>
            <b/>
            <sz val="8"/>
            <color indexed="81"/>
            <rFont val="Tahoma"/>
            <family val="2"/>
          </rPr>
          <t>CGroome:</t>
        </r>
        <r>
          <rPr>
            <sz val="8"/>
            <color indexed="81"/>
            <rFont val="Tahoma"/>
            <family val="2"/>
          </rPr>
          <t xml:space="preserve">
Once a year, Craig B. will supply $ (Large customer refund)</t>
        </r>
      </text>
    </comment>
    <comment ref="E153" authorId="0" shapeId="0">
      <text>
        <r>
          <rPr>
            <b/>
            <sz val="8"/>
            <color indexed="81"/>
            <rFont val="Tahoma"/>
            <family val="2"/>
          </rPr>
          <t>CGroome:</t>
        </r>
        <r>
          <rPr>
            <sz val="8"/>
            <color indexed="81"/>
            <rFont val="Tahoma"/>
            <family val="2"/>
          </rPr>
          <t xml:space="preserve">
Once a year, Craig B. will supply $ (Large customer refund)</t>
        </r>
      </text>
    </comment>
    <comment ref="E174" authorId="0" shapeId="0">
      <text>
        <r>
          <rPr>
            <b/>
            <sz val="8"/>
            <color indexed="81"/>
            <rFont val="Tahoma"/>
            <family val="2"/>
          </rPr>
          <t>CGroome:</t>
        </r>
        <r>
          <rPr>
            <sz val="8"/>
            <color indexed="81"/>
            <rFont val="Tahoma"/>
            <family val="2"/>
          </rPr>
          <t xml:space="preserve">
Once a year, Craig B. will supply $ (Large customer refund)</t>
        </r>
      </text>
    </comment>
    <comment ref="E195" authorId="0" shapeId="0">
      <text>
        <r>
          <rPr>
            <b/>
            <sz val="8"/>
            <color indexed="81"/>
            <rFont val="Tahoma"/>
            <family val="2"/>
          </rPr>
          <t>CGroome:</t>
        </r>
        <r>
          <rPr>
            <sz val="8"/>
            <color indexed="81"/>
            <rFont val="Tahoma"/>
            <family val="2"/>
          </rPr>
          <t xml:space="preserve">
Once a year, Craig B. will supply $ (Large customer refund)</t>
        </r>
      </text>
    </comment>
    <comment ref="E216" authorId="0" shapeId="0">
      <text>
        <r>
          <rPr>
            <b/>
            <sz val="8"/>
            <color indexed="81"/>
            <rFont val="Tahoma"/>
            <family val="2"/>
          </rPr>
          <t>CGroome:</t>
        </r>
        <r>
          <rPr>
            <sz val="8"/>
            <color indexed="81"/>
            <rFont val="Tahoma"/>
            <family val="2"/>
          </rPr>
          <t xml:space="preserve">
Once a year, Craig B. will supply $ (Large customer refund)</t>
        </r>
      </text>
    </comment>
    <comment ref="E237" authorId="0" shapeId="0">
      <text>
        <r>
          <rPr>
            <b/>
            <sz val="8"/>
            <color indexed="81"/>
            <rFont val="Tahoma"/>
            <family val="2"/>
          </rPr>
          <t>CGroome:</t>
        </r>
        <r>
          <rPr>
            <sz val="8"/>
            <color indexed="81"/>
            <rFont val="Tahoma"/>
            <family val="2"/>
          </rPr>
          <t xml:space="preserve">
Once a year, Craig B. will supply $ (Large customer refund)</t>
        </r>
      </text>
    </comment>
    <comment ref="E258" authorId="0" shapeId="0">
      <text>
        <r>
          <rPr>
            <b/>
            <sz val="8"/>
            <color indexed="81"/>
            <rFont val="Tahoma"/>
            <family val="2"/>
          </rPr>
          <t>CGroome:</t>
        </r>
        <r>
          <rPr>
            <sz val="8"/>
            <color indexed="81"/>
            <rFont val="Tahoma"/>
            <family val="2"/>
          </rPr>
          <t xml:space="preserve">
Once a year, Craig B. will supply $ (Large customer refund)</t>
        </r>
      </text>
    </comment>
    <comment ref="E281" authorId="0" shapeId="0">
      <text>
        <r>
          <rPr>
            <b/>
            <sz val="8"/>
            <color indexed="81"/>
            <rFont val="Tahoma"/>
            <family val="2"/>
          </rPr>
          <t>CGroome:</t>
        </r>
        <r>
          <rPr>
            <sz val="8"/>
            <color indexed="81"/>
            <rFont val="Tahoma"/>
            <family val="2"/>
          </rPr>
          <t xml:space="preserve">
Once a year, Craig B. will supply $ (Large customer refund)</t>
        </r>
      </text>
    </comment>
    <comment ref="E302" authorId="0" shapeId="0">
      <text>
        <r>
          <rPr>
            <b/>
            <sz val="8"/>
            <color indexed="81"/>
            <rFont val="Tahoma"/>
            <family val="2"/>
          </rPr>
          <t>CGroome:</t>
        </r>
        <r>
          <rPr>
            <sz val="8"/>
            <color indexed="81"/>
            <rFont val="Tahoma"/>
            <family val="2"/>
          </rPr>
          <t xml:space="preserve">
Once a year, Craig B. will supply $ (Large customer refund)</t>
        </r>
      </text>
    </comment>
  </commentList>
</comments>
</file>

<file path=xl/comments2.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C30" authorId="1" shapeId="0">
      <text>
        <r>
          <rPr>
            <b/>
            <sz val="9"/>
            <color indexed="81"/>
            <rFont val="Tahoma"/>
            <family val="2"/>
          </rPr>
          <t>Berg, Jenny:</t>
        </r>
        <r>
          <rPr>
            <sz val="9"/>
            <color indexed="81"/>
            <rFont val="Tahoma"/>
            <family val="2"/>
          </rPr>
          <t xml:space="preserve">
adjust for penny rounding</t>
        </r>
      </text>
    </comment>
    <comment ref="H31" authorId="1" shapeId="0">
      <text>
        <r>
          <rPr>
            <b/>
            <sz val="9"/>
            <color indexed="81"/>
            <rFont val="Tahoma"/>
            <family val="2"/>
          </rPr>
          <t>Berg, Jenny:</t>
        </r>
        <r>
          <rPr>
            <sz val="9"/>
            <color indexed="81"/>
            <rFont val="Tahoma"/>
            <family val="2"/>
          </rPr>
          <t xml:space="preserve">
was .0054
found and corrected 4/25/18… dollars corrected in April Entry</t>
        </r>
      </text>
    </comment>
  </commentList>
</comments>
</file>

<file path=xl/comments3.xml><?xml version="1.0" encoding="utf-8"?>
<comments xmlns="http://schemas.openxmlformats.org/spreadsheetml/2006/main">
  <authors>
    <author>Berg, Jenny</author>
    <author>MGG9990</author>
  </authors>
  <commentList>
    <comment ref="A3" authorId="0" shapeId="0">
      <text>
        <r>
          <rPr>
            <b/>
            <sz val="9"/>
            <color indexed="81"/>
            <rFont val="Tahoma"/>
            <family val="2"/>
          </rPr>
          <t>Berg, Jenny:</t>
        </r>
        <r>
          <rPr>
            <sz val="9"/>
            <color indexed="81"/>
            <rFont val="Tahoma"/>
            <family val="2"/>
          </rPr>
          <t xml:space="preserve">
Transportation = amount of capacity in the pipeline.</t>
        </r>
      </text>
    </comment>
    <comment ref="I5" authorId="1" shapeId="0">
      <text>
        <r>
          <rPr>
            <sz val="8"/>
            <color indexed="81"/>
            <rFont val="Tahoma"/>
            <family val="2"/>
          </rPr>
          <t>Updated once per year; email (5 Day Peak Allocator) to be provided by rates with a memo on the allocation %. Usually changes effective Nov. 1.</t>
        </r>
      </text>
    </comment>
  </commentList>
</comments>
</file>

<file path=xl/comments4.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5.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6.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7.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8.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9.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sharedStrings.xml><?xml version="1.0" encoding="utf-8"?>
<sst xmlns="http://schemas.openxmlformats.org/spreadsheetml/2006/main" count="5137" uniqueCount="349">
  <si>
    <t>State of Washington</t>
  </si>
  <si>
    <t>Balance</t>
  </si>
  <si>
    <t>Commodity</t>
  </si>
  <si>
    <t>Demand</t>
  </si>
  <si>
    <t>Interest</t>
  </si>
  <si>
    <t>NWP/PGT</t>
  </si>
  <si>
    <t>Capacity</t>
  </si>
  <si>
    <t>Deferral</t>
  </si>
  <si>
    <t>Refund</t>
  </si>
  <si>
    <t>Charges</t>
  </si>
  <si>
    <t>Tracker transfer</t>
  </si>
  <si>
    <t>Tracker Transfer</t>
  </si>
  <si>
    <t xml:space="preserve"> Interest</t>
  </si>
  <si>
    <t>Avista Corporation</t>
  </si>
  <si>
    <t>Misc</t>
  </si>
  <si>
    <t>Recap of Account 191010 GD WA</t>
  </si>
  <si>
    <t>Acct 191010</t>
  </si>
  <si>
    <t>191010 GD WA</t>
  </si>
  <si>
    <t>dr</t>
  </si>
  <si>
    <t>cr</t>
  </si>
  <si>
    <t>805120 GD WA</t>
  </si>
  <si>
    <t>Total</t>
  </si>
  <si>
    <t>Rates</t>
  </si>
  <si>
    <t>Amortization</t>
  </si>
  <si>
    <t>Schedule</t>
  </si>
  <si>
    <t>J0URNAL ENTRY</t>
  </si>
  <si>
    <t>805110 GD WA</t>
  </si>
  <si>
    <t>191000 GD WA</t>
  </si>
  <si>
    <t>Total Interest Income</t>
  </si>
  <si>
    <t xml:space="preserve">Total Interest Expense </t>
  </si>
  <si>
    <t>NWP Capacity Release</t>
  </si>
  <si>
    <t xml:space="preserve">NWP Variable </t>
  </si>
  <si>
    <t>System</t>
  </si>
  <si>
    <t>PGA</t>
  </si>
  <si>
    <t>Revenue</t>
  </si>
  <si>
    <t>Washington</t>
  </si>
  <si>
    <t>Rate</t>
  </si>
  <si>
    <t>Schedule 101</t>
  </si>
  <si>
    <t>Schedule 111</t>
  </si>
  <si>
    <t>Schedule 112</t>
  </si>
  <si>
    <t>Schedule 121</t>
  </si>
  <si>
    <t>Schedule 122</t>
  </si>
  <si>
    <t>Schedule 131</t>
  </si>
  <si>
    <t>Schedule 132</t>
  </si>
  <si>
    <t>Imbalance Cost Washington</t>
  </si>
  <si>
    <t>Imbalance Cost Idaho</t>
  </si>
  <si>
    <t>State of Idaho</t>
  </si>
  <si>
    <t>Analysis of Account 191010 GD ID</t>
  </si>
  <si>
    <t>Contract</t>
  </si>
  <si>
    <t>Cascade</t>
  </si>
  <si>
    <t>Off-Sys Sales</t>
  </si>
  <si>
    <t>Off-System Sales</t>
  </si>
  <si>
    <t>Admin &amp; Gen</t>
  </si>
  <si>
    <t>Marg-Commod</t>
  </si>
  <si>
    <t>Marg-Capacity</t>
  </si>
  <si>
    <t>Releases</t>
  </si>
  <si>
    <t>Ending Balance</t>
  </si>
  <si>
    <t xml:space="preserve">Interest </t>
  </si>
  <si>
    <t>191010 GD ID</t>
  </si>
  <si>
    <t>805120 GD ID</t>
  </si>
  <si>
    <t>805110 GD ID</t>
  </si>
  <si>
    <t>132J</t>
  </si>
  <si>
    <t>191000 GD ID</t>
  </si>
  <si>
    <t>Idaho</t>
  </si>
  <si>
    <t xml:space="preserve">Washington/Idaho Gas Costs </t>
  </si>
  <si>
    <t>Allocated to</t>
  </si>
  <si>
    <t xml:space="preserve">Commodity </t>
  </si>
  <si>
    <t xml:space="preserve">Allocated to </t>
  </si>
  <si>
    <t>Cost</t>
  </si>
  <si>
    <t xml:space="preserve">Total </t>
  </si>
  <si>
    <t xml:space="preserve">Idaho </t>
  </si>
  <si>
    <t>Amount to be Deferred</t>
  </si>
  <si>
    <t>Expense Calculation</t>
  </si>
  <si>
    <t>Deferral Calculation</t>
  </si>
  <si>
    <t>Schedule 146</t>
  </si>
  <si>
    <t>419600 GD WA</t>
  </si>
  <si>
    <t>431600 GD WA</t>
  </si>
  <si>
    <t>419600 GD ID</t>
  </si>
  <si>
    <t>431600 GD ID</t>
  </si>
  <si>
    <t>WA deferral</t>
  </si>
  <si>
    <t>Deferral exp</t>
  </si>
  <si>
    <t>ID deferral</t>
  </si>
  <si>
    <t>Interest Income</t>
  </si>
  <si>
    <t xml:space="preserve">Interest Expense </t>
  </si>
  <si>
    <t>Current Mo Deferrals</t>
  </si>
  <si>
    <t>Interest %</t>
  </si>
  <si>
    <t>Adjustments</t>
  </si>
  <si>
    <t>Subtotal</t>
  </si>
  <si>
    <t xml:space="preserve">NWP Fixed </t>
  </si>
  <si>
    <t>GTN Fixed</t>
  </si>
  <si>
    <t xml:space="preserve">GTN Variable </t>
  </si>
  <si>
    <t>GTN Capacity Release</t>
  </si>
  <si>
    <t>ANG Total</t>
  </si>
  <si>
    <t>WEI (Duke) Total</t>
  </si>
  <si>
    <t>Commodity Purchases (Natural Gas)</t>
  </si>
  <si>
    <t xml:space="preserve">Total Net Gas Costs </t>
  </si>
  <si>
    <t>Counterparty Invoice Total</t>
  </si>
  <si>
    <t>Total WA Amortization Expense</t>
  </si>
  <si>
    <t>WA Recoverable Gas Costs</t>
  </si>
  <si>
    <t>Total ID Amortization Expense</t>
  </si>
  <si>
    <t>ID Recoverable Gas Costs</t>
  </si>
  <si>
    <t>Volumes</t>
  </si>
  <si>
    <t>check</t>
  </si>
  <si>
    <t>Totals from above</t>
  </si>
  <si>
    <t xml:space="preserve"> Current Unrecovered PGA Deferred</t>
  </si>
  <si>
    <t>Large Customer</t>
  </si>
  <si>
    <t>WA CURR UNRECOV PGA DEFERRED</t>
  </si>
  <si>
    <t>ID CURR UNRECOV PGA DEFERRED</t>
  </si>
  <si>
    <t xml:space="preserve">Balance Sheet </t>
  </si>
  <si>
    <t>PGA Deferral Revenue from above</t>
  </si>
  <si>
    <r>
      <t>Demand (Transportation)</t>
    </r>
    <r>
      <rPr>
        <b/>
        <sz val="12"/>
        <color indexed="8"/>
        <rFont val="Arial"/>
        <family val="2"/>
      </rPr>
      <t xml:space="preserve"> Costs</t>
    </r>
  </si>
  <si>
    <r>
      <t>Total Demand</t>
    </r>
    <r>
      <rPr>
        <b/>
        <sz val="12"/>
        <color indexed="8"/>
        <rFont val="Arial"/>
        <family val="2"/>
      </rPr>
      <t xml:space="preserve"> Costs from Purchase Journals</t>
    </r>
  </si>
  <si>
    <t>WA/ID Buy/Sell Transportation Recovery</t>
  </si>
  <si>
    <t>less variable costs charged to Commodity</t>
  </si>
  <si>
    <t>Total Demand Costs to be Allocated</t>
  </si>
  <si>
    <t>804000 GD AN</t>
  </si>
  <si>
    <t xml:space="preserve">Total Demand Costs </t>
  </si>
  <si>
    <t>804001 GD AN</t>
  </si>
  <si>
    <t>plus variable costs from Demand</t>
  </si>
  <si>
    <t>Total Commodity Costs to be Allocated</t>
  </si>
  <si>
    <t>808100/808200 GD AN</t>
  </si>
  <si>
    <t>WA Imbalance</t>
  </si>
  <si>
    <t>ID Imbalance</t>
  </si>
  <si>
    <t>Total Commodity Costs from Purchase Journals</t>
  </si>
  <si>
    <t>WA/ID Off System Revenue</t>
  </si>
  <si>
    <t>Total Deferred Commodity Costs:</t>
  </si>
  <si>
    <t>DEMAND</t>
  </si>
  <si>
    <t xml:space="preserve">Total Demand </t>
  </si>
  <si>
    <t>COMMODITY</t>
  </si>
  <si>
    <t>Commodity Physical</t>
  </si>
  <si>
    <t>Broker Fees</t>
  </si>
  <si>
    <t>Financial Settlements</t>
  </si>
  <si>
    <t>804600 GD AN</t>
  </si>
  <si>
    <t>Total Commodity</t>
  </si>
  <si>
    <t>WASHINGTON</t>
  </si>
  <si>
    <t>IDAHO</t>
  </si>
  <si>
    <t>Total Deferral Expenses from above</t>
  </si>
  <si>
    <t>GST</t>
  </si>
  <si>
    <t>Total Commodity Costs before refund</t>
  </si>
  <si>
    <r>
      <t xml:space="preserve">Total Current Demand Costs </t>
    </r>
    <r>
      <rPr>
        <b/>
        <sz val="12"/>
        <rFont val="Arial"/>
        <family val="2"/>
      </rPr>
      <t>(excluding refund)</t>
    </r>
  </si>
  <si>
    <t>NWP Total (excluding Refund)</t>
  </si>
  <si>
    <t>WA 191000 Recoverable Gas Costs Amortized</t>
  </si>
  <si>
    <t>ID 191000 Recoverable Gas Costs Amortized</t>
  </si>
  <si>
    <t xml:space="preserve">Valley Hospital </t>
  </si>
  <si>
    <t>Terasen</t>
  </si>
  <si>
    <t xml:space="preserve">  Current Month Estimate</t>
  </si>
  <si>
    <t>Cochrane Credit</t>
  </si>
  <si>
    <t>811000 GD AN</t>
  </si>
  <si>
    <t>Misc Adjustment</t>
  </si>
  <si>
    <t>Questar</t>
  </si>
  <si>
    <t>Thermal Transport</t>
  </si>
  <si>
    <t>Spokane Rock Products</t>
  </si>
  <si>
    <t>804017 GD AN</t>
  </si>
  <si>
    <t>Foreign Exchange Hedge Activity</t>
  </si>
  <si>
    <t>Interest Revenue</t>
  </si>
  <si>
    <t>804010 GD AN</t>
  </si>
  <si>
    <t>Large Customer Refund</t>
  </si>
  <si>
    <t xml:space="preserve">Adjustments </t>
  </si>
  <si>
    <t>interest check</t>
  </si>
  <si>
    <t>Check</t>
  </si>
  <si>
    <t>From DJ 430</t>
  </si>
  <si>
    <t>Adj</t>
  </si>
  <si>
    <t>Def Rev Calc</t>
  </si>
  <si>
    <t>Spectra Westcoast Fixed</t>
  </si>
  <si>
    <t>Spectra Westcoast Variable</t>
  </si>
  <si>
    <t>Transcanada Foothills (BC System) Fixed</t>
  </si>
  <si>
    <t>Transcanada Foothills (BC System) Variable</t>
  </si>
  <si>
    <t>Intracompany Transportation Optimization</t>
  </si>
  <si>
    <t>FAFB Commodity for Anderson Elementary/Lignetics (semi-annual)</t>
  </si>
  <si>
    <t>WA/ID Gas Purchased from Interstate Asphalt (Annual)</t>
  </si>
  <si>
    <t>Analysis of Account 191000 GD ID</t>
  </si>
  <si>
    <t>Recovered PGA Deferred</t>
  </si>
  <si>
    <t>Analysis of Account 191000 GD WA</t>
  </si>
  <si>
    <t>WA Total</t>
  </si>
  <si>
    <t>ID Total</t>
  </si>
  <si>
    <t>Debits</t>
  </si>
  <si>
    <t>Credits</t>
  </si>
  <si>
    <t>Storage (Injections)/Withdrawals</t>
  </si>
  <si>
    <t>Interco Purchase from Thermal</t>
  </si>
  <si>
    <t>804730 GD AN</t>
  </si>
  <si>
    <t xml:space="preserve">NOVA Fixed charges </t>
  </si>
  <si>
    <t>(overcollected)/undercollected</t>
  </si>
  <si>
    <t>(rebate)/surcharge</t>
  </si>
  <si>
    <t>NOVA (AB System) Fixed</t>
  </si>
  <si>
    <t>NOVA (AB System) Variable</t>
  </si>
  <si>
    <t>NOVA Total</t>
  </si>
  <si>
    <t xml:space="preserve">Third party capacity release </t>
  </si>
  <si>
    <t>Manual Calc</t>
  </si>
  <si>
    <t>Other capacity release credit</t>
  </si>
  <si>
    <t>Other Pipeline Fixed charges</t>
  </si>
  <si>
    <t>495028 GD AN</t>
  </si>
  <si>
    <t>Avista Corp. - Resource Accounting</t>
  </si>
  <si>
    <t>Date of Graphs</t>
  </si>
  <si>
    <t>$ in Millions:  (+) Rebate; (-) Surcharge</t>
  </si>
  <si>
    <t>Washington Deferral</t>
  </si>
  <si>
    <t>WA 191025 WA GRC JACKSON PRAIRIE DEFERRAL</t>
  </si>
  <si>
    <t>WA GRC Jackson Prairie Deferral</t>
  </si>
  <si>
    <t>191025 GD WA</t>
  </si>
  <si>
    <t>Current Month Amortization</t>
  </si>
  <si>
    <t>Original</t>
  </si>
  <si>
    <t>Amortization of JP Deferral</t>
  </si>
  <si>
    <t>Analysis of Account 191015 GD ID</t>
  </si>
  <si>
    <t>ID Deferral Holdback</t>
  </si>
  <si>
    <t>Acct 191015</t>
  </si>
  <si>
    <t>Balance 10/1/12</t>
  </si>
  <si>
    <t>Tracker Transfer 191015</t>
  </si>
  <si>
    <t>Tracker Transfer 191000</t>
  </si>
  <si>
    <t>191015 GD ID</t>
  </si>
  <si>
    <t>Tracker Transfer 10/1/12</t>
  </si>
  <si>
    <t>ID Holdback</t>
  </si>
  <si>
    <t>Balance 11/1/12</t>
  </si>
  <si>
    <t>2012 Deferral Transfer</t>
  </si>
  <si>
    <t>Tracker Transfer 11/1/12</t>
  </si>
  <si>
    <t>CORRECTED</t>
  </si>
  <si>
    <t>J0URNAL ENTRY - ORIGINAL</t>
  </si>
  <si>
    <t>J0URNAL ENTRY CORRECTION - book 12/31</t>
  </si>
  <si>
    <t>ID CURR UNRECOV PGA DEFERRED - ORIGINALLY RECORDED</t>
  </si>
  <si>
    <t>ID CURR UNRECOV PGA DEFERRED Correcting Entry CORRECTING booked 12/31</t>
  </si>
  <si>
    <t>Correcting Adjustment for 12/2012</t>
  </si>
  <si>
    <t>11-30-2012 - Corrected</t>
  </si>
  <si>
    <t>M Checmical Accrual</t>
  </si>
  <si>
    <t>Idaho Deferral (With Holdback)</t>
  </si>
  <si>
    <t>Mizuho Broker Fees</t>
  </si>
  <si>
    <t>Balance 10/1/13</t>
  </si>
  <si>
    <t>SEE ID AMORT 191015 TAB FOR AMORTIZATION BEGINNING 10/1/2013</t>
  </si>
  <si>
    <t>10/1/2013 Tracker Transfer</t>
  </si>
  <si>
    <t>10/1/13 Balance</t>
  </si>
  <si>
    <t>10/1/2013 Balance</t>
  </si>
  <si>
    <t>805111 GD ID</t>
  </si>
  <si>
    <t>= Var = Correction of rate used 10/2013 close</t>
  </si>
  <si>
    <t>PGA Tracker Transfer</t>
  </si>
  <si>
    <t>Balance 11/1/2013</t>
  </si>
  <si>
    <t>2013 Deferral Transfer</t>
  </si>
  <si>
    <t>Adjusted 11/1/2013 Balance</t>
  </si>
  <si>
    <t>Demand Allocation Correction NSJ</t>
  </si>
  <si>
    <t>WA CURR UNRECOV PGA DEFERRED - CORRECTED</t>
  </si>
  <si>
    <t>WA CURR UNRECOV PGA DEFERRED - ORIGINALLY RECORDED IN DJ431</t>
  </si>
  <si>
    <t>WA CURR UNRECOV PGA DEFERRED - CORRECTING ENTRY</t>
  </si>
  <si>
    <t>ID CURR UNRECOV PGA DEFERRED - CORRECTED</t>
  </si>
  <si>
    <t>ID CURR UNRECOV PGA DEFERRED - ORIGINALLY RECORDED IN DJ431</t>
  </si>
  <si>
    <t>ID CURR UNRECOV PGA DEFERRED - CORRECTING ENTRY</t>
  </si>
  <si>
    <t>Adjusted Ending Balance</t>
  </si>
  <si>
    <t>GL Wand Check</t>
  </si>
  <si>
    <t>Variance</t>
  </si>
  <si>
    <t>GL CHECK</t>
  </si>
  <si>
    <t>O</t>
  </si>
  <si>
    <t>2012-2013 PGA Deferral Balances</t>
  </si>
  <si>
    <t>NSJ025</t>
  </si>
  <si>
    <t>YTD</t>
  </si>
  <si>
    <t>PGA YTD</t>
  </si>
  <si>
    <t>Beginning Balance</t>
  </si>
  <si>
    <t>Demand Deferral</t>
  </si>
  <si>
    <t>Month</t>
  </si>
  <si>
    <t>Interest Rate</t>
  </si>
  <si>
    <t>Interest (Rev/Expense)</t>
  </si>
  <si>
    <t>PGA Transfer</t>
  </si>
  <si>
    <t>GLW Check</t>
  </si>
  <si>
    <t>Cumulative
Balance</t>
  </si>
  <si>
    <t>Commodity Adjustment</t>
  </si>
  <si>
    <t>Demand Adjustment</t>
  </si>
  <si>
    <t>Interest Adjustment</t>
  </si>
  <si>
    <t>Blue Text = Drag Formula to next month and copy/paste value in prior month</t>
  </si>
  <si>
    <t>Washington Current Deferral</t>
  </si>
  <si>
    <t>Washington Amortization</t>
  </si>
  <si>
    <t>Calendar Sales Check</t>
  </si>
  <si>
    <t>*Misc Adjustments*</t>
  </si>
  <si>
    <t>Project or GL entry</t>
  </si>
  <si>
    <t>Project</t>
  </si>
  <si>
    <t>Task</t>
  </si>
  <si>
    <t>Expenditure Type</t>
  </si>
  <si>
    <t>Organization</t>
  </si>
  <si>
    <t>Company</t>
  </si>
  <si>
    <t>FERC</t>
  </si>
  <si>
    <t>Service Code</t>
  </si>
  <si>
    <t>Rate Making Jurisdiction</t>
  </si>
  <si>
    <t>Statistical Indicator</t>
  </si>
  <si>
    <t>Quantity</t>
  </si>
  <si>
    <t>Credit (GL Only entries)</t>
  </si>
  <si>
    <t>Comments</t>
  </si>
  <si>
    <t>G</t>
  </si>
  <si>
    <t>GD</t>
  </si>
  <si>
    <t>WA</t>
  </si>
  <si>
    <t>DL</t>
  </si>
  <si>
    <t>GL</t>
  </si>
  <si>
    <t>WA Deferral Interest Income</t>
  </si>
  <si>
    <t>WA Deferral Interest Expense</t>
  </si>
  <si>
    <t>WA Deferral</t>
  </si>
  <si>
    <t>WA Deferral Expense</t>
  </si>
  <si>
    <t>WA Amortization Interest Income</t>
  </si>
  <si>
    <t>WA Amortization Interest Expense</t>
  </si>
  <si>
    <t>WA Amortization</t>
  </si>
  <si>
    <t>WA Amortization Expense</t>
  </si>
  <si>
    <t>WA Amortization JP</t>
  </si>
  <si>
    <t>WA Amortization Expense JP</t>
  </si>
  <si>
    <t>JET Entry</t>
  </si>
  <si>
    <t>Update JE date to pull current month values</t>
  </si>
  <si>
    <t>483000/483600/483730</t>
  </si>
  <si>
    <t>Idaho PGA Costs</t>
  </si>
  <si>
    <t>Washington PGA Costs</t>
  </si>
  <si>
    <t>2013-2014 PGA Costs</t>
  </si>
  <si>
    <t>Actual</t>
  </si>
  <si>
    <t>PGA Rate</t>
  </si>
  <si>
    <t>PGA Budget</t>
  </si>
  <si>
    <t>Deferral Check</t>
  </si>
  <si>
    <t>M Chemical Accrual</t>
  </si>
  <si>
    <t>Schedule 102</t>
  </si>
  <si>
    <t>MAIN CALC</t>
  </si>
  <si>
    <t>Main Calc</t>
  </si>
  <si>
    <t>Wells Fargo Journal DJ 473</t>
  </si>
  <si>
    <t>Commodity Deferral</t>
  </si>
  <si>
    <t>Volume - Commodity &amp; Demand</t>
  </si>
  <si>
    <t>Volume - Demand only</t>
  </si>
  <si>
    <t>Deferred Exchange Revenue</t>
  </si>
  <si>
    <t>Other Capacity Release credit</t>
  </si>
  <si>
    <t>(   ) = Rebate</t>
  </si>
  <si>
    <t>Merchandise Processing Fee DJ 467</t>
  </si>
  <si>
    <t>804018 GD AN</t>
  </si>
  <si>
    <t>cost to allocate is negative…</t>
  </si>
  <si>
    <t>ZZ</t>
  </si>
  <si>
    <t>NO MORE ENTRY</t>
  </si>
  <si>
    <t>n/a</t>
  </si>
  <si>
    <t>Month Ending</t>
  </si>
  <si>
    <t>Prior Period Adjustments</t>
  </si>
  <si>
    <t>GL WAND BALANCES</t>
  </si>
  <si>
    <t>MONTHLY RECON</t>
  </si>
  <si>
    <t>201701</t>
  </si>
  <si>
    <t>201702</t>
  </si>
  <si>
    <t>201703</t>
  </si>
  <si>
    <t>201704</t>
  </si>
  <si>
    <t>201705</t>
  </si>
  <si>
    <t>201706</t>
  </si>
  <si>
    <t>201707</t>
  </si>
  <si>
    <t>201708</t>
  </si>
  <si>
    <t>201709</t>
  </si>
  <si>
    <t>201710</t>
  </si>
  <si>
    <t>201711</t>
  </si>
  <si>
    <t>201712</t>
  </si>
  <si>
    <t>201801</t>
  </si>
  <si>
    <t>201802</t>
  </si>
  <si>
    <t>201803</t>
  </si>
  <si>
    <t>Accounts 191010</t>
  </si>
  <si>
    <t>191010 - Current Unrecovered PGA Deferral</t>
  </si>
  <si>
    <t>Accounts 191000</t>
  </si>
  <si>
    <t>191000 - Recoverable Gas Costs Amortized</t>
  </si>
  <si>
    <t>Annual xfer of balance per PGA to 191000</t>
  </si>
  <si>
    <t>Annual xfer of balance per PGA to 191010</t>
  </si>
  <si>
    <t>201804</t>
  </si>
  <si>
    <t>201805</t>
  </si>
  <si>
    <t>201806</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</si>
</sst>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m/yy"/>
    <numFmt numFmtId="165" formatCode="0.000%"/>
    <numFmt numFmtId="166" formatCode="0.0000%"/>
    <numFmt numFmtId="167" formatCode="_(* #,##0.000_);_(* \(#,##0.000\);_(* &quot;-&quot;??_);_(@_)"/>
    <numFmt numFmtId="168" formatCode="General_)"/>
    <numFmt numFmtId="169" formatCode="0_)"/>
    <numFmt numFmtId="170" formatCode="&quot;$&quot;#,##0.00000_);\(&quot;$&quot;#,##0.00000\)"/>
    <numFmt numFmtId="171" formatCode="#,##0.00000_);\(#,##0.00000\)"/>
    <numFmt numFmtId="172" formatCode="mm/dd/yy_)"/>
    <numFmt numFmtId="173" formatCode="mm/dd/yy"/>
    <numFmt numFmtId="174" formatCode="#,##0.0000_);\(#,##0.0000\)"/>
    <numFmt numFmtId="175" formatCode="[$-409]mmm/yy;@"/>
    <numFmt numFmtId="176" formatCode="#,##0.0000_);[Red]\(#,##0.0000\)"/>
    <numFmt numFmtId="177" formatCode="_(&quot;$&quot;* #,##0.00000_);_(&quot;$&quot;* \(#,##0.00000\);_(&quot;$&quot;* &quot;-&quot;??_);_(@_)"/>
    <numFmt numFmtId="178" formatCode="&quot;$&quot;#,##0.00000_);[Red]\(&quot;$&quot;#,##0.00000\)"/>
    <numFmt numFmtId="179" formatCode="&quot;$&quot;#,##0.0_);\(&quot;$&quot;#,##0.0\)"/>
    <numFmt numFmtId="180" formatCode="&quot;$&quot;#,##0\ ;\(&quot;$&quot;#,##0\)"/>
    <numFmt numFmtId="181" formatCode="_(* #,##0.00_);_(* \(#,##0.00\);_(* &quot;-&quot;_);_(@_)"/>
    <numFmt numFmtId="182" formatCode="00000000"/>
    <numFmt numFmtId="183" formatCode="000"/>
    <numFmt numFmtId="184" formatCode="0.0000000"/>
  </numFmts>
  <fonts count="62">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0"/>
      <color indexed="12"/>
      <name val="Helv"/>
    </font>
    <font>
      <b/>
      <sz val="10"/>
      <name val="Helv"/>
    </font>
    <font>
      <sz val="8"/>
      <color indexed="81"/>
      <name val="Tahoma"/>
      <family val="2"/>
    </font>
    <font>
      <b/>
      <sz val="8"/>
      <color indexed="81"/>
      <name val="Tahoma"/>
      <family val="2"/>
    </font>
    <font>
      <sz val="10"/>
      <name val="Helv"/>
    </font>
    <font>
      <sz val="12"/>
      <name val="Arial"/>
      <family val="2"/>
    </font>
    <font>
      <b/>
      <sz val="12"/>
      <name val="Arial"/>
      <family val="2"/>
    </font>
    <font>
      <b/>
      <sz val="12"/>
      <color indexed="10"/>
      <name val="Arial"/>
      <family val="2"/>
    </font>
    <font>
      <sz val="12"/>
      <color indexed="10"/>
      <name val="Arial"/>
      <family val="2"/>
    </font>
    <font>
      <i/>
      <sz val="12"/>
      <name val="Arial"/>
      <family val="2"/>
    </font>
    <font>
      <b/>
      <sz val="12"/>
      <color indexed="12"/>
      <name val="Arial"/>
      <family val="2"/>
    </font>
    <font>
      <sz val="10"/>
      <name val="Arial"/>
      <family val="2"/>
    </font>
    <font>
      <sz val="10"/>
      <name val="Helv"/>
    </font>
    <font>
      <sz val="12"/>
      <color indexed="12"/>
      <name val="Arial"/>
      <family val="2"/>
    </font>
    <font>
      <b/>
      <sz val="12"/>
      <color indexed="8"/>
      <name val="Arial"/>
      <family val="2"/>
    </font>
    <font>
      <b/>
      <sz val="12"/>
      <color indexed="14"/>
      <name val="Arial"/>
      <family val="2"/>
    </font>
    <font>
      <sz val="12"/>
      <color indexed="9"/>
      <name val="Arial"/>
      <family val="2"/>
    </font>
    <font>
      <b/>
      <sz val="12"/>
      <color indexed="17"/>
      <name val="Arial"/>
      <family val="2"/>
    </font>
    <font>
      <sz val="12"/>
      <color indexed="10"/>
      <name val="Times New Roman"/>
      <family val="1"/>
    </font>
    <font>
      <b/>
      <sz val="12"/>
      <color rgb="FF008000"/>
      <name val="Arial"/>
      <family val="2"/>
    </font>
    <font>
      <sz val="12"/>
      <color theme="0"/>
      <name val="Arial"/>
      <family val="2"/>
    </font>
    <font>
      <b/>
      <sz val="12"/>
      <color rgb="FF0000FF"/>
      <name val="Arial"/>
      <family val="2"/>
    </font>
    <font>
      <b/>
      <sz val="18"/>
      <name val="Helv"/>
    </font>
    <font>
      <b/>
      <sz val="16"/>
      <name val="Helv"/>
    </font>
    <font>
      <sz val="10"/>
      <color rgb="FF0000FF"/>
      <name val="Helv"/>
    </font>
    <font>
      <sz val="11"/>
      <color theme="1"/>
      <name val="Calibri"/>
      <family val="2"/>
    </font>
    <font>
      <b/>
      <sz val="12"/>
      <color theme="1"/>
      <name val="Calibri"/>
      <family val="2"/>
    </font>
    <font>
      <sz val="8"/>
      <name val="Arial"/>
      <family val="2"/>
    </font>
    <font>
      <sz val="10"/>
      <color theme="1"/>
      <name val="Arial"/>
      <family val="2"/>
    </font>
    <font>
      <sz val="10"/>
      <name val="Arial"/>
      <family val="2"/>
    </font>
    <font>
      <sz val="12"/>
      <name val="Times New Roman"/>
      <family val="1"/>
    </font>
    <font>
      <sz val="10"/>
      <name val="Arial"/>
      <family val="2"/>
    </font>
    <font>
      <sz val="12"/>
      <color rgb="FFFF0000"/>
      <name val="Arial"/>
      <family val="2"/>
    </font>
    <font>
      <b/>
      <sz val="11"/>
      <color theme="1"/>
      <name val="Calibri"/>
      <family val="2"/>
      <scheme val="minor"/>
    </font>
    <font>
      <i/>
      <sz val="12"/>
      <color rgb="FF0000FF"/>
      <name val="Helv"/>
    </font>
    <font>
      <sz val="12"/>
      <name val="Helv"/>
    </font>
    <font>
      <b/>
      <sz val="12"/>
      <name val="Helv"/>
    </font>
    <font>
      <sz val="12"/>
      <color rgb="FF0000FF"/>
      <name val="Helv"/>
    </font>
    <font>
      <sz val="11"/>
      <name val="Calibri"/>
      <family val="2"/>
      <scheme val="minor"/>
    </font>
    <font>
      <b/>
      <sz val="12"/>
      <name val="Calibri"/>
      <family val="2"/>
      <scheme val="minor"/>
    </font>
    <font>
      <b/>
      <sz val="12"/>
      <color rgb="FF0000FF"/>
      <name val="Helv"/>
    </font>
    <font>
      <sz val="9"/>
      <color indexed="81"/>
      <name val="Tahoma"/>
      <family val="2"/>
    </font>
    <font>
      <b/>
      <sz val="9"/>
      <color indexed="81"/>
      <name val="Tahoma"/>
      <family val="2"/>
    </font>
    <font>
      <b/>
      <sz val="12"/>
      <color theme="0"/>
      <name val="Arial"/>
      <family val="2"/>
    </font>
    <font>
      <b/>
      <i/>
      <sz val="12"/>
      <name val="Helv"/>
    </font>
    <font>
      <b/>
      <sz val="11"/>
      <name val="Arial"/>
      <family val="2"/>
    </font>
    <font>
      <b/>
      <sz val="14"/>
      <name val="Geneva"/>
    </font>
    <font>
      <strike/>
      <sz val="10"/>
      <name val="Arial"/>
      <family val="2"/>
    </font>
    <font>
      <b/>
      <sz val="10"/>
      <name val="Arial"/>
      <family val="2"/>
    </font>
    <font>
      <sz val="9"/>
      <name val="Arial"/>
      <family val="2"/>
    </font>
    <font>
      <b/>
      <sz val="9"/>
      <name val="Arial"/>
      <family val="2"/>
    </font>
    <font>
      <sz val="9"/>
      <color rgb="FF0000FF"/>
      <name val="Arial"/>
      <family val="2"/>
    </font>
  </fonts>
  <fills count="18">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99"/>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44">
    <xf numFmtId="39" fontId="0" fillId="0" borderId="0"/>
    <xf numFmtId="40" fontId="9" fillId="0" borderId="0" applyFont="0" applyFill="0" applyBorder="0" applyAlignment="0" applyProtection="0"/>
    <xf numFmtId="8" fontId="9" fillId="0" borderId="0" applyFont="0" applyFill="0" applyBorder="0" applyAlignment="0" applyProtection="0"/>
    <xf numFmtId="0" fontId="28" fillId="2" borderId="0"/>
    <xf numFmtId="9" fontId="9" fillId="0" borderId="0" applyFont="0" applyFill="0" applyBorder="0" applyAlignment="0" applyProtection="0"/>
    <xf numFmtId="43" fontId="2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3" fontId="37" fillId="0" borderId="0" applyFont="0" applyFill="0" applyBorder="0" applyAlignment="0" applyProtection="0"/>
    <xf numFmtId="44" fontId="3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180" fontId="37" fillId="0" borderId="0" applyFont="0" applyFill="0" applyBorder="0" applyAlignment="0" applyProtection="0"/>
    <xf numFmtId="0" fontId="37" fillId="0" borderId="0" applyFont="0" applyFill="0" applyBorder="0" applyAlignment="0" applyProtection="0"/>
    <xf numFmtId="2" fontId="37" fillId="0" borderId="0" applyFont="0" applyFill="0" applyBorder="0" applyAlignment="0" applyProtection="0"/>
    <xf numFmtId="0" fontId="37" fillId="0" borderId="0"/>
    <xf numFmtId="0" fontId="38" fillId="0" borderId="0"/>
    <xf numFmtId="0" fontId="21" fillId="0" borderId="0"/>
    <xf numFmtId="0" fontId="21" fillId="0" borderId="0"/>
    <xf numFmtId="0" fontId="21" fillId="0" borderId="0"/>
    <xf numFmtId="0" fontId="8" fillId="0" borderId="0"/>
    <xf numFmtId="0" fontId="21" fillId="0" borderId="0"/>
    <xf numFmtId="9" fontId="21" fillId="0" borderId="0" applyFont="0" applyFill="0" applyBorder="0" applyAlignment="0" applyProtection="0"/>
    <xf numFmtId="10" fontId="37" fillId="0" borderId="0" applyFont="0" applyFill="0" applyBorder="0" applyAlignment="0" applyProtection="0"/>
    <xf numFmtId="9" fontId="3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0" fontId="39" fillId="0" borderId="0"/>
    <xf numFmtId="0" fontId="40" fillId="0" borderId="0"/>
    <xf numFmtId="0" fontId="9" fillId="0" borderId="0"/>
    <xf numFmtId="43" fontId="2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1" fillId="0" borderId="0"/>
    <xf numFmtId="0" fontId="41" fillId="0" borderId="0"/>
    <xf numFmtId="43"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38"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6" fillId="0" borderId="0"/>
    <xf numFmtId="43" fontId="6"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43" fillId="0" borderId="29" applyNumberFormat="0" applyFill="0" applyAlignment="0" applyProtection="0"/>
    <xf numFmtId="43" fontId="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39"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700">
    <xf numFmtId="39" fontId="0" fillId="0" borderId="0" xfId="0"/>
    <xf numFmtId="39" fontId="15" fillId="0" borderId="0" xfId="0" applyFont="1"/>
    <xf numFmtId="39" fontId="16" fillId="0" borderId="0" xfId="0" applyFont="1"/>
    <xf numFmtId="14" fontId="16" fillId="0" borderId="0" xfId="0" applyNumberFormat="1" applyFont="1"/>
    <xf numFmtId="43" fontId="17" fillId="0" borderId="0" xfId="0" applyNumberFormat="1" applyFont="1" applyFill="1"/>
    <xf numFmtId="39" fontId="15" fillId="0" borderId="0" xfId="0" applyFont="1" applyBorder="1"/>
    <xf numFmtId="39" fontId="15" fillId="0" borderId="0" xfId="0" applyFont="1" applyAlignment="1">
      <alignment horizontal="center"/>
    </xf>
    <xf numFmtId="39" fontId="15" fillId="0" borderId="0" xfId="0" applyFont="1" applyFill="1" applyBorder="1"/>
    <xf numFmtId="7" fontId="15" fillId="0" borderId="0" xfId="0" applyNumberFormat="1" applyFont="1" applyFill="1" applyBorder="1"/>
    <xf numFmtId="39" fontId="16" fillId="0" borderId="0" xfId="0" applyFont="1" applyAlignment="1">
      <alignment horizontal="right"/>
    </xf>
    <xf numFmtId="7" fontId="15" fillId="0" borderId="0" xfId="4" applyNumberFormat="1" applyFont="1" applyFill="1" applyBorder="1"/>
    <xf numFmtId="39" fontId="16" fillId="0" borderId="0" xfId="0" applyFont="1" applyFill="1" applyBorder="1"/>
    <xf numFmtId="39" fontId="16" fillId="0" borderId="0" xfId="0" applyFont="1" applyFill="1" applyBorder="1" applyAlignment="1">
      <alignment horizontal="center"/>
    </xf>
    <xf numFmtId="39" fontId="16" fillId="0" borderId="2" xfId="0" applyFont="1" applyFill="1" applyBorder="1" applyAlignment="1">
      <alignment horizontal="center"/>
    </xf>
    <xf numFmtId="39" fontId="17" fillId="0" borderId="4" xfId="0" applyFont="1" applyBorder="1"/>
    <xf numFmtId="39" fontId="15" fillId="0" borderId="0" xfId="0" applyFont="1" applyAlignment="1">
      <alignment horizontal="right"/>
    </xf>
    <xf numFmtId="39" fontId="16" fillId="0" borderId="0" xfId="0" applyFont="1" applyBorder="1"/>
    <xf numFmtId="37" fontId="16" fillId="0" borderId="0" xfId="0" applyNumberFormat="1" applyFont="1" applyAlignment="1">
      <alignment horizontal="center"/>
    </xf>
    <xf numFmtId="37" fontId="16" fillId="0" borderId="5" xfId="0" applyNumberFormat="1" applyFont="1" applyBorder="1" applyAlignment="1">
      <alignment horizontal="center"/>
    </xf>
    <xf numFmtId="39" fontId="10" fillId="0" borderId="0" xfId="0" applyFont="1" applyFill="1" applyBorder="1"/>
    <xf numFmtId="39" fontId="16" fillId="0" borderId="0" xfId="0" applyFont="1" applyAlignment="1">
      <alignment horizontal="left"/>
    </xf>
    <xf numFmtId="165" fontId="23" fillId="0" borderId="0" xfId="0" applyNumberFormat="1" applyFont="1" applyBorder="1" applyProtection="1"/>
    <xf numFmtId="39" fontId="15" fillId="0" borderId="0" xfId="0" applyFont="1" applyAlignment="1">
      <alignment horizontal="left"/>
    </xf>
    <xf numFmtId="165" fontId="18" fillId="0" borderId="0" xfId="0" applyNumberFormat="1" applyFont="1" applyProtection="1">
      <protection locked="0"/>
    </xf>
    <xf numFmtId="165" fontId="23" fillId="0" borderId="0" xfId="0" applyNumberFormat="1" applyFont="1" applyProtection="1">
      <protection locked="0"/>
    </xf>
    <xf numFmtId="165" fontId="15" fillId="0" borderId="0" xfId="0" applyNumberFormat="1" applyFont="1" applyProtection="1"/>
    <xf numFmtId="165" fontId="15" fillId="0" borderId="0" xfId="0" applyNumberFormat="1" applyFont="1" applyProtection="1">
      <protection locked="0"/>
    </xf>
    <xf numFmtId="170" fontId="15" fillId="0" borderId="0" xfId="0" applyNumberFormat="1" applyFont="1" applyProtection="1"/>
    <xf numFmtId="5" fontId="15" fillId="0" borderId="0" xfId="0" applyNumberFormat="1" applyFont="1" applyProtection="1"/>
    <xf numFmtId="17" fontId="16" fillId="0" borderId="17" xfId="0" applyNumberFormat="1" applyFont="1" applyBorder="1"/>
    <xf numFmtId="39" fontId="15" fillId="3" borderId="0" xfId="0" applyFont="1" applyFill="1"/>
    <xf numFmtId="5" fontId="16" fillId="0" borderId="0" xfId="0" applyNumberFormat="1" applyFont="1" applyFill="1" applyAlignment="1">
      <alignment horizontal="center"/>
    </xf>
    <xf numFmtId="5" fontId="15" fillId="0" borderId="0" xfId="0" applyNumberFormat="1" applyFont="1" applyFill="1"/>
    <xf numFmtId="17" fontId="16" fillId="3" borderId="0" xfId="0" applyNumberFormat="1" applyFont="1" applyFill="1"/>
    <xf numFmtId="5" fontId="16" fillId="3" borderId="0" xfId="0" applyNumberFormat="1" applyFont="1" applyFill="1" applyAlignment="1">
      <alignment horizontal="center"/>
    </xf>
    <xf numFmtId="5" fontId="15" fillId="3" borderId="0" xfId="0" applyNumberFormat="1" applyFont="1" applyFill="1"/>
    <xf numFmtId="7" fontId="15" fillId="3" borderId="0" xfId="0" applyNumberFormat="1" applyFont="1" applyFill="1"/>
    <xf numFmtId="7" fontId="15" fillId="3" borderId="0" xfId="0" applyNumberFormat="1" applyFont="1" applyFill="1" applyBorder="1"/>
    <xf numFmtId="39" fontId="15" fillId="0" borderId="0" xfId="0" applyFont="1" applyFill="1"/>
    <xf numFmtId="39" fontId="15" fillId="3" borderId="0" xfId="0" applyNumberFormat="1" applyFont="1" applyFill="1"/>
    <xf numFmtId="7" fontId="19" fillId="3" borderId="0" xfId="0" applyNumberFormat="1" applyFont="1" applyFill="1"/>
    <xf numFmtId="172" fontId="15" fillId="0" borderId="0" xfId="0" applyNumberFormat="1" applyFont="1" applyProtection="1"/>
    <xf numFmtId="39" fontId="15" fillId="0" borderId="0" xfId="0" applyNumberFormat="1" applyFont="1" applyProtection="1"/>
    <xf numFmtId="39" fontId="15" fillId="3" borderId="0" xfId="0" applyNumberFormat="1" applyFont="1" applyFill="1" applyBorder="1"/>
    <xf numFmtId="39" fontId="20" fillId="0" borderId="0" xfId="0" applyFont="1"/>
    <xf numFmtId="8" fontId="15" fillId="3" borderId="0" xfId="2" applyFont="1" applyFill="1" applyBorder="1"/>
    <xf numFmtId="39" fontId="15" fillId="0" borderId="9" xfId="0" applyFont="1" applyBorder="1"/>
    <xf numFmtId="39" fontId="15" fillId="0" borderId="16" xfId="0" applyFont="1" applyBorder="1"/>
    <xf numFmtId="43" fontId="15" fillId="0" borderId="0" xfId="0" applyNumberFormat="1" applyFont="1" applyFill="1" applyBorder="1"/>
    <xf numFmtId="39" fontId="15" fillId="0" borderId="9" xfId="0" applyFont="1" applyFill="1" applyBorder="1"/>
    <xf numFmtId="39" fontId="16" fillId="0" borderId="0" xfId="0" applyFont="1" applyFill="1"/>
    <xf numFmtId="164" fontId="16" fillId="0" borderId="0" xfId="0" applyNumberFormat="1" applyFont="1" applyAlignment="1">
      <alignment horizontal="left"/>
    </xf>
    <xf numFmtId="166" fontId="15" fillId="0" borderId="0" xfId="4" applyNumberFormat="1" applyFont="1"/>
    <xf numFmtId="164" fontId="15" fillId="0" borderId="0" xfId="0" applyNumberFormat="1" applyFont="1"/>
    <xf numFmtId="164" fontId="16" fillId="0" borderId="0" xfId="0" applyNumberFormat="1" applyFont="1" applyAlignment="1">
      <alignment horizontal="center"/>
    </xf>
    <xf numFmtId="39" fontId="16" fillId="0" borderId="0" xfId="0" applyFont="1" applyAlignment="1">
      <alignment horizontal="center"/>
    </xf>
    <xf numFmtId="39" fontId="16" fillId="0" borderId="0" xfId="0" applyFont="1" applyBorder="1" applyAlignment="1">
      <alignment horizontal="center"/>
    </xf>
    <xf numFmtId="166" fontId="16" fillId="0" borderId="0" xfId="4" applyNumberFormat="1" applyFont="1" applyFill="1"/>
    <xf numFmtId="164" fontId="20" fillId="0" borderId="0" xfId="0" applyNumberFormat="1" applyFont="1" applyFill="1" applyAlignment="1" applyProtection="1">
      <alignment horizontal="left"/>
      <protection locked="0"/>
    </xf>
    <xf numFmtId="39" fontId="16" fillId="0" borderId="0" xfId="0" applyFont="1" applyFill="1" applyAlignment="1">
      <alignment horizontal="left"/>
    </xf>
    <xf numFmtId="39" fontId="20" fillId="0" borderId="0" xfId="0" applyFont="1" applyFill="1" applyProtection="1">
      <protection locked="0"/>
    </xf>
    <xf numFmtId="164" fontId="16" fillId="0" borderId="0" xfId="0" applyNumberFormat="1" applyFont="1" applyFill="1"/>
    <xf numFmtId="164" fontId="16" fillId="0" borderId="0" xfId="0" applyNumberFormat="1" applyFont="1"/>
    <xf numFmtId="39" fontId="16" fillId="0" borderId="9" xfId="0" applyFont="1" applyBorder="1"/>
    <xf numFmtId="39" fontId="16" fillId="0" borderId="9" xfId="0" applyFont="1" applyFill="1" applyBorder="1"/>
    <xf numFmtId="39" fontId="15" fillId="0" borderId="0" xfId="0" applyFont="1" applyFill="1" applyBorder="1" applyAlignment="1">
      <alignment horizontal="right"/>
    </xf>
    <xf numFmtId="39" fontId="15" fillId="0" borderId="0" xfId="0" applyFont="1" applyFill="1" applyAlignment="1">
      <alignment horizontal="right"/>
    </xf>
    <xf numFmtId="39" fontId="15" fillId="0" borderId="0" xfId="0" applyFont="1" applyBorder="1" applyAlignment="1">
      <alignment horizontal="right"/>
    </xf>
    <xf numFmtId="8" fontId="16" fillId="0" borderId="0" xfId="2" applyFont="1" applyFill="1" applyBorder="1"/>
    <xf numFmtId="39" fontId="21" fillId="0" borderId="0" xfId="0" applyFont="1"/>
    <xf numFmtId="37" fontId="16" fillId="0" borderId="0" xfId="0" applyNumberFormat="1" applyFont="1" applyAlignment="1">
      <alignment horizontal="left"/>
    </xf>
    <xf numFmtId="37" fontId="16" fillId="0" borderId="0" xfId="0" applyNumberFormat="1" applyFont="1" applyBorder="1" applyAlignment="1">
      <alignment horizontal="center"/>
    </xf>
    <xf numFmtId="14" fontId="16" fillId="0" borderId="0" xfId="0" applyNumberFormat="1" applyFont="1" applyBorder="1" applyAlignment="1">
      <alignment horizontal="center"/>
    </xf>
    <xf numFmtId="39" fontId="16" fillId="0" borderId="18" xfId="0" applyFont="1" applyBorder="1" applyAlignment="1">
      <alignment horizontal="left"/>
    </xf>
    <xf numFmtId="39" fontId="15" fillId="0" borderId="19" xfId="0" applyFont="1" applyBorder="1" applyAlignment="1">
      <alignment horizontal="center"/>
    </xf>
    <xf numFmtId="39" fontId="16" fillId="0" borderId="19" xfId="0" applyFont="1" applyBorder="1" applyAlignment="1">
      <alignment horizontal="center"/>
    </xf>
    <xf numFmtId="173" fontId="20" fillId="0" borderId="19" xfId="0" applyNumberFormat="1" applyFont="1" applyFill="1" applyBorder="1" applyAlignment="1">
      <alignment horizontal="center"/>
    </xf>
    <xf numFmtId="43" fontId="16" fillId="0" borderId="8" xfId="0" applyNumberFormat="1" applyFont="1" applyBorder="1"/>
    <xf numFmtId="37" fontId="16" fillId="0" borderId="19" xfId="0" applyNumberFormat="1" applyFont="1" applyBorder="1" applyAlignment="1">
      <alignment horizontal="center"/>
    </xf>
    <xf numFmtId="39" fontId="16" fillId="0" borderId="19" xfId="0" applyFont="1" applyBorder="1"/>
    <xf numFmtId="14" fontId="16" fillId="0" borderId="19" xfId="0" applyNumberFormat="1" applyFont="1" applyBorder="1"/>
    <xf numFmtId="43" fontId="16" fillId="0" borderId="20" xfId="0" applyNumberFormat="1" applyFont="1" applyBorder="1"/>
    <xf numFmtId="39" fontId="16" fillId="0" borderId="0" xfId="0" applyNumberFormat="1" applyFont="1" applyAlignment="1">
      <alignment horizontal="left" vertical="top"/>
    </xf>
    <xf numFmtId="39" fontId="15" fillId="0" borderId="0" xfId="0" applyNumberFormat="1" applyFont="1" applyAlignment="1">
      <alignment horizontal="left" vertical="top"/>
    </xf>
    <xf numFmtId="39" fontId="15" fillId="0" borderId="0" xfId="0" applyNumberFormat="1" applyFont="1" applyAlignment="1">
      <alignment horizontal="center" vertical="top"/>
    </xf>
    <xf numFmtId="39" fontId="16" fillId="0" borderId="0" xfId="0" applyFont="1" applyFill="1" applyBorder="1" applyAlignment="1">
      <alignment horizontal="left"/>
    </xf>
    <xf numFmtId="39" fontId="15" fillId="0" borderId="0" xfId="0" applyFont="1" applyFill="1" applyBorder="1" applyAlignment="1">
      <alignment horizontal="center"/>
    </xf>
    <xf numFmtId="39" fontId="20" fillId="0" borderId="0" xfId="0" applyFont="1" applyFill="1"/>
    <xf numFmtId="39" fontId="22" fillId="0" borderId="0" xfId="0" applyFont="1" applyFill="1" applyBorder="1"/>
    <xf numFmtId="39" fontId="22" fillId="0" borderId="8" xfId="0" applyFont="1" applyFill="1" applyBorder="1"/>
    <xf numFmtId="14" fontId="16" fillId="0" borderId="0" xfId="0" applyNumberFormat="1" applyFont="1" applyFill="1"/>
    <xf numFmtId="164" fontId="14" fillId="0" borderId="0" xfId="0" quotePrefix="1" applyNumberFormat="1" applyFont="1" applyFill="1" applyBorder="1"/>
    <xf numFmtId="39" fontId="21" fillId="0" borderId="0" xfId="0" applyFont="1" applyFill="1" applyBorder="1"/>
    <xf numFmtId="39" fontId="22" fillId="0" borderId="11" xfId="0" applyFont="1" applyFill="1" applyBorder="1"/>
    <xf numFmtId="39" fontId="22" fillId="0" borderId="17" xfId="0" applyFont="1" applyFill="1" applyBorder="1"/>
    <xf numFmtId="37" fontId="16" fillId="0" borderId="0" xfId="0" applyNumberFormat="1" applyFont="1" applyFill="1" applyAlignment="1">
      <alignment horizontal="center"/>
    </xf>
    <xf numFmtId="174" fontId="15" fillId="0" borderId="0" xfId="0" applyNumberFormat="1" applyFont="1"/>
    <xf numFmtId="7" fontId="15" fillId="0" borderId="3" xfId="0" applyNumberFormat="1" applyFont="1" applyFill="1" applyBorder="1"/>
    <xf numFmtId="39" fontId="15" fillId="0" borderId="8" xfId="0" applyFont="1" applyFill="1" applyBorder="1"/>
    <xf numFmtId="9" fontId="20" fillId="0" borderId="0" xfId="4" applyFont="1" applyFill="1" applyAlignment="1">
      <alignment horizontal="center"/>
    </xf>
    <xf numFmtId="44" fontId="15" fillId="0" borderId="0" xfId="0" applyNumberFormat="1" applyFont="1" applyFill="1" applyBorder="1"/>
    <xf numFmtId="44" fontId="16" fillId="5" borderId="0" xfId="0" applyNumberFormat="1" applyFont="1" applyFill="1" applyBorder="1"/>
    <xf numFmtId="39" fontId="16" fillId="0" borderId="10" xfId="0" applyFont="1" applyFill="1" applyBorder="1"/>
    <xf numFmtId="164" fontId="16" fillId="0" borderId="0" xfId="0" applyNumberFormat="1" applyFont="1" applyFill="1" applyAlignment="1">
      <alignment horizontal="left"/>
    </xf>
    <xf numFmtId="164" fontId="16" fillId="0" borderId="0" xfId="0" applyNumberFormat="1" applyFont="1" applyFill="1" applyAlignment="1" applyProtection="1">
      <alignment horizontal="left"/>
      <protection locked="0"/>
    </xf>
    <xf numFmtId="39" fontId="17" fillId="0" borderId="0" xfId="0" applyFont="1" applyFill="1"/>
    <xf numFmtId="39" fontId="25" fillId="0" borderId="0" xfId="0" applyFont="1" applyFill="1" applyAlignment="1">
      <alignment horizontal="center"/>
    </xf>
    <xf numFmtId="43" fontId="15" fillId="0" borderId="6" xfId="0" applyNumberFormat="1" applyFont="1" applyFill="1" applyBorder="1"/>
    <xf numFmtId="7" fontId="15" fillId="0" borderId="2" xfId="0" applyNumberFormat="1" applyFont="1" applyFill="1" applyBorder="1"/>
    <xf numFmtId="167" fontId="15" fillId="0" borderId="8" xfId="0" applyNumberFormat="1" applyFont="1" applyFill="1" applyBorder="1"/>
    <xf numFmtId="43" fontId="15" fillId="0" borderId="5" xfId="0" applyNumberFormat="1" applyFont="1" applyFill="1" applyBorder="1"/>
    <xf numFmtId="39" fontId="22" fillId="0" borderId="6" xfId="0" applyFont="1" applyFill="1" applyBorder="1"/>
    <xf numFmtId="39" fontId="22" fillId="0" borderId="0" xfId="0" applyFont="1" applyFill="1" applyBorder="1" applyAlignment="1">
      <alignment horizontal="right"/>
    </xf>
    <xf numFmtId="39" fontId="16" fillId="0" borderId="1" xfId="0" applyFont="1" applyFill="1" applyBorder="1"/>
    <xf numFmtId="37" fontId="15" fillId="0" borderId="0" xfId="0" applyNumberFormat="1" applyFont="1" applyFill="1" applyBorder="1" applyProtection="1"/>
    <xf numFmtId="44" fontId="16" fillId="0" borderId="0" xfId="2" applyNumberFormat="1" applyFont="1" applyFill="1" applyBorder="1" applyProtection="1"/>
    <xf numFmtId="39" fontId="22" fillId="0" borderId="5" xfId="0" applyFont="1" applyFill="1" applyBorder="1" applyAlignment="1">
      <alignment horizontal="right"/>
    </xf>
    <xf numFmtId="39" fontId="22" fillId="0" borderId="3" xfId="0" applyFont="1" applyFill="1" applyBorder="1" applyAlignment="1">
      <alignment horizontal="right"/>
    </xf>
    <xf numFmtId="39" fontId="22" fillId="0" borderId="5" xfId="0" applyFont="1" applyFill="1" applyBorder="1"/>
    <xf numFmtId="7" fontId="16" fillId="0" borderId="9" xfId="0" applyNumberFormat="1" applyFont="1" applyFill="1" applyBorder="1"/>
    <xf numFmtId="39" fontId="26" fillId="5" borderId="0" xfId="0" applyFont="1" applyFill="1"/>
    <xf numFmtId="171" fontId="20" fillId="0" borderId="0" xfId="0" applyNumberFormat="1" applyFont="1" applyFill="1" applyAlignment="1">
      <alignment horizontal="right"/>
    </xf>
    <xf numFmtId="44" fontId="27" fillId="0" borderId="0" xfId="0" applyNumberFormat="1" applyFont="1" applyFill="1" applyBorder="1"/>
    <xf numFmtId="17" fontId="16" fillId="0" borderId="0" xfId="0" applyNumberFormat="1" applyFont="1" applyFill="1" applyBorder="1" applyAlignment="1">
      <alignment horizontal="left"/>
    </xf>
    <xf numFmtId="8" fontId="15" fillId="0" borderId="0" xfId="2" applyFont="1" applyFill="1"/>
    <xf numFmtId="44" fontId="16" fillId="3" borderId="23" xfId="0" applyNumberFormat="1" applyFont="1" applyFill="1" applyBorder="1"/>
    <xf numFmtId="39" fontId="16" fillId="0" borderId="14" xfId="0" applyFont="1" applyFill="1" applyBorder="1" applyAlignment="1">
      <alignment horizontal="center"/>
    </xf>
    <xf numFmtId="39" fontId="16" fillId="0" borderId="3" xfId="0" applyFont="1" applyFill="1" applyBorder="1" applyAlignment="1">
      <alignment horizontal="center"/>
    </xf>
    <xf numFmtId="39" fontId="16" fillId="0" borderId="6" xfId="0" applyFont="1" applyFill="1" applyBorder="1" applyAlignment="1">
      <alignment horizontal="center"/>
    </xf>
    <xf numFmtId="39" fontId="16" fillId="0" borderId="1" xfId="0" applyFont="1" applyFill="1" applyBorder="1" applyAlignment="1">
      <alignment horizontal="center"/>
    </xf>
    <xf numFmtId="39" fontId="16" fillId="0" borderId="4" xfId="0" applyFont="1" applyFill="1" applyBorder="1" applyAlignment="1">
      <alignment horizontal="center"/>
    </xf>
    <xf numFmtId="39" fontId="16" fillId="0" borderId="5" xfId="0" applyFont="1" applyFill="1" applyBorder="1" applyAlignment="1">
      <alignment horizontal="center"/>
    </xf>
    <xf numFmtId="44" fontId="16" fillId="0" borderId="15" xfId="2" applyNumberFormat="1" applyFont="1" applyFill="1" applyBorder="1" applyProtection="1"/>
    <xf numFmtId="10" fontId="16" fillId="0" borderId="0" xfId="4" applyNumberFormat="1" applyFont="1" applyFill="1"/>
    <xf numFmtId="10" fontId="27" fillId="0" borderId="0" xfId="4" applyNumberFormat="1" applyFont="1" applyFill="1"/>
    <xf numFmtId="44" fontId="15" fillId="4" borderId="0" xfId="0" applyNumberFormat="1" applyFont="1" applyFill="1" applyBorder="1"/>
    <xf numFmtId="171" fontId="20" fillId="0" borderId="0" xfId="0" applyNumberFormat="1" applyFont="1" applyFill="1"/>
    <xf numFmtId="37" fontId="16" fillId="0" borderId="0" xfId="0" applyNumberFormat="1" applyFont="1" applyFill="1" applyBorder="1" applyAlignment="1">
      <alignment horizontal="center"/>
    </xf>
    <xf numFmtId="14" fontId="16" fillId="0" borderId="0" xfId="0" applyNumberFormat="1" applyFont="1" applyFill="1" applyBorder="1"/>
    <xf numFmtId="39" fontId="16" fillId="0" borderId="4" xfId="0" applyFont="1" applyFill="1" applyBorder="1"/>
    <xf numFmtId="37" fontId="16" fillId="0" borderId="5" xfId="0" applyNumberFormat="1" applyFont="1" applyFill="1" applyBorder="1" applyAlignment="1">
      <alignment horizontal="center"/>
    </xf>
    <xf numFmtId="37" fontId="16" fillId="0" borderId="0" xfId="0" applyNumberFormat="1" applyFont="1" applyFill="1" applyAlignment="1">
      <alignment horizontal="left"/>
    </xf>
    <xf numFmtId="39" fontId="16" fillId="0" borderId="0" xfId="0" applyFont="1" applyFill="1" applyAlignment="1">
      <alignment horizontal="right"/>
    </xf>
    <xf numFmtId="17" fontId="15" fillId="0" borderId="0" xfId="0" applyNumberFormat="1" applyFont="1" applyFill="1" applyBorder="1"/>
    <xf numFmtId="0" fontId="15" fillId="0" borderId="0" xfId="0" applyNumberFormat="1" applyFont="1"/>
    <xf numFmtId="17" fontId="16" fillId="0" borderId="10" xfId="0" applyNumberFormat="1" applyFont="1" applyBorder="1"/>
    <xf numFmtId="17" fontId="16" fillId="0" borderId="5" xfId="0" applyNumberFormat="1" applyFont="1" applyFill="1" applyBorder="1" applyAlignment="1">
      <alignment horizontal="left"/>
    </xf>
    <xf numFmtId="39" fontId="15" fillId="0" borderId="5" xfId="0" applyFont="1" applyFill="1" applyBorder="1"/>
    <xf numFmtId="39" fontId="15" fillId="0" borderId="11" xfId="0" applyFont="1" applyFill="1" applyBorder="1"/>
    <xf numFmtId="39" fontId="16" fillId="0" borderId="12" xfId="0" applyFont="1" applyFill="1" applyBorder="1" applyAlignment="1">
      <alignment horizontal="center"/>
    </xf>
    <xf numFmtId="39" fontId="16" fillId="0" borderId="13" xfId="0" applyFont="1" applyFill="1" applyBorder="1" applyAlignment="1">
      <alignment horizontal="center"/>
    </xf>
    <xf numFmtId="39" fontId="15" fillId="0" borderId="1" xfId="0" applyFont="1" applyFill="1" applyBorder="1"/>
    <xf numFmtId="39" fontId="15" fillId="0" borderId="2" xfId="0" applyFont="1" applyFill="1" applyBorder="1"/>
    <xf numFmtId="39" fontId="15" fillId="0" borderId="7" xfId="0" applyFont="1" applyFill="1" applyBorder="1"/>
    <xf numFmtId="39" fontId="15" fillId="0" borderId="4" xfId="0" applyFont="1" applyFill="1" applyBorder="1"/>
    <xf numFmtId="39" fontId="23" fillId="0" borderId="0" xfId="0" applyFont="1" applyFill="1"/>
    <xf numFmtId="43" fontId="16" fillId="0" borderId="9" xfId="0" applyNumberFormat="1" applyFont="1" applyFill="1" applyBorder="1"/>
    <xf numFmtId="39" fontId="15" fillId="5" borderId="0" xfId="0" applyNumberFormat="1" applyFont="1" applyFill="1"/>
    <xf numFmtId="39" fontId="16" fillId="0" borderId="22" xfId="0" applyFont="1" applyFill="1" applyBorder="1"/>
    <xf numFmtId="37" fontId="15" fillId="0" borderId="22" xfId="0" applyNumberFormat="1" applyFont="1" applyFill="1" applyBorder="1"/>
    <xf numFmtId="44" fontId="16" fillId="0" borderId="22" xfId="0" applyNumberFormat="1" applyFont="1" applyFill="1" applyBorder="1"/>
    <xf numFmtId="39" fontId="16" fillId="6" borderId="0" xfId="0" applyFont="1" applyFill="1"/>
    <xf numFmtId="169" fontId="16" fillId="0" borderId="14" xfId="0" applyNumberFormat="1" applyFont="1" applyFill="1" applyBorder="1" applyAlignment="1" applyProtection="1">
      <alignment horizontal="center"/>
    </xf>
    <xf numFmtId="169" fontId="16" fillId="0" borderId="15" xfId="0" applyNumberFormat="1" applyFont="1" applyFill="1" applyBorder="1" applyAlignment="1" applyProtection="1">
      <alignment horizontal="center"/>
    </xf>
    <xf numFmtId="39" fontId="16" fillId="0" borderId="15" xfId="0" applyFont="1" applyFill="1" applyBorder="1" applyAlignment="1">
      <alignment horizontal="center"/>
    </xf>
    <xf numFmtId="39" fontId="16" fillId="0" borderId="16" xfId="0" applyFont="1" applyFill="1" applyBorder="1" applyAlignment="1">
      <alignment horizontal="center"/>
    </xf>
    <xf numFmtId="168" fontId="15" fillId="0" borderId="0" xfId="0" applyNumberFormat="1" applyFont="1" applyFill="1" applyAlignment="1" applyProtection="1">
      <alignment horizontal="left"/>
    </xf>
    <xf numFmtId="44" fontId="15" fillId="0" borderId="0" xfId="0" applyNumberFormat="1" applyFont="1" applyFill="1" applyProtection="1">
      <protection locked="0"/>
    </xf>
    <xf numFmtId="44" fontId="15" fillId="0" borderId="0" xfId="0" applyNumberFormat="1" applyFont="1" applyFill="1"/>
    <xf numFmtId="39" fontId="15" fillId="0" borderId="0" xfId="0" applyFont="1" applyFill="1" applyAlignment="1">
      <alignment horizontal="left"/>
    </xf>
    <xf numFmtId="44" fontId="15" fillId="0" borderId="9" xfId="0" applyNumberFormat="1" applyFont="1" applyFill="1" applyBorder="1" applyProtection="1">
      <protection locked="0"/>
    </xf>
    <xf numFmtId="39" fontId="18" fillId="0" borderId="0" xfId="0" applyFont="1" applyFill="1"/>
    <xf numFmtId="39" fontId="18" fillId="0" borderId="0" xfId="0" applyFont="1" applyFill="1" applyAlignment="1">
      <alignment horizontal="right"/>
    </xf>
    <xf numFmtId="44" fontId="18" fillId="0" borderId="0" xfId="0" applyNumberFormat="1" applyFont="1" applyFill="1" applyAlignment="1" applyProtection="1">
      <alignment horizontal="center"/>
    </xf>
    <xf numFmtId="44" fontId="15" fillId="0" borderId="0" xfId="0" applyNumberFormat="1" applyFont="1" applyFill="1" applyProtection="1"/>
    <xf numFmtId="168" fontId="16" fillId="0" borderId="0" xfId="0" applyNumberFormat="1" applyFont="1" applyFill="1" applyAlignment="1" applyProtection="1">
      <alignment horizontal="left"/>
    </xf>
    <xf numFmtId="44" fontId="16" fillId="0" borderId="22" xfId="0" applyNumberFormat="1" applyFont="1" applyFill="1" applyBorder="1" applyProtection="1">
      <protection locked="0"/>
    </xf>
    <xf numFmtId="49" fontId="15" fillId="0" borderId="0" xfId="0" applyNumberFormat="1" applyFont="1" applyFill="1" applyProtection="1"/>
    <xf numFmtId="176" fontId="18" fillId="0" borderId="0" xfId="1" applyNumberFormat="1" applyFont="1" applyFill="1"/>
    <xf numFmtId="7" fontId="18" fillId="0" borderId="0" xfId="0" applyNumberFormat="1" applyFont="1" applyFill="1" applyAlignment="1" applyProtection="1">
      <alignment horizontal="center"/>
    </xf>
    <xf numFmtId="7" fontId="15" fillId="0" borderId="0" xfId="0" applyNumberFormat="1" applyFont="1" applyFill="1" applyProtection="1"/>
    <xf numFmtId="37" fontId="15" fillId="0" borderId="22" xfId="0" applyNumberFormat="1" applyFont="1" applyFill="1" applyBorder="1" applyProtection="1"/>
    <xf numFmtId="171" fontId="23" fillId="0" borderId="0" xfId="0" applyNumberFormat="1" applyFont="1" applyFill="1" applyBorder="1" applyAlignment="1" applyProtection="1">
      <alignment horizontal="center"/>
      <protection locked="0"/>
    </xf>
    <xf numFmtId="7" fontId="18" fillId="0" borderId="0" xfId="0" applyNumberFormat="1" applyFont="1" applyFill="1" applyBorder="1" applyAlignment="1" applyProtection="1">
      <alignment horizontal="center"/>
    </xf>
    <xf numFmtId="39" fontId="16" fillId="0" borderId="7" xfId="0" applyFont="1" applyFill="1" applyBorder="1"/>
    <xf numFmtId="39" fontId="16" fillId="0" borderId="8" xfId="0" applyFont="1" applyFill="1" applyBorder="1" applyAlignment="1">
      <alignment horizontal="center"/>
    </xf>
    <xf numFmtId="39" fontId="15" fillId="0" borderId="7" xfId="0" applyFont="1" applyFill="1" applyBorder="1" applyAlignment="1">
      <alignment horizontal="left"/>
    </xf>
    <xf numFmtId="171" fontId="15" fillId="0" borderId="0" xfId="0" applyNumberFormat="1" applyFont="1" applyFill="1" applyBorder="1" applyAlignment="1" applyProtection="1">
      <alignment horizontal="left"/>
      <protection locked="0"/>
    </xf>
    <xf numFmtId="39" fontId="15" fillId="0" borderId="4" xfId="0" applyFont="1" applyFill="1" applyBorder="1" applyAlignment="1">
      <alignment horizontal="left"/>
    </xf>
    <xf numFmtId="171" fontId="15" fillId="0" borderId="5" xfId="0" applyNumberFormat="1" applyFont="1" applyFill="1" applyBorder="1" applyAlignment="1" applyProtection="1">
      <alignment horizontal="left"/>
      <protection locked="0"/>
    </xf>
    <xf numFmtId="8" fontId="16" fillId="0" borderId="8" xfId="2" applyFont="1" applyFill="1" applyBorder="1"/>
    <xf numFmtId="8" fontId="15" fillId="0" borderId="0" xfId="2" applyFont="1" applyFill="1" applyBorder="1"/>
    <xf numFmtId="8" fontId="15" fillId="0" borderId="7" xfId="2" applyFont="1" applyFill="1" applyBorder="1"/>
    <xf numFmtId="165" fontId="15" fillId="0" borderId="0" xfId="4" applyNumberFormat="1" applyFont="1" applyFill="1" applyBorder="1"/>
    <xf numFmtId="39" fontId="16" fillId="0" borderId="4" xfId="0" applyFont="1" applyFill="1" applyBorder="1" applyAlignment="1">
      <alignment horizontal="left"/>
    </xf>
    <xf numFmtId="39" fontId="16" fillId="0" borderId="16" xfId="0" applyFont="1" applyFill="1" applyBorder="1"/>
    <xf numFmtId="44" fontId="15" fillId="0" borderId="8" xfId="2" applyNumberFormat="1" applyFont="1" applyFill="1" applyBorder="1"/>
    <xf numFmtId="44" fontId="16" fillId="0" borderId="21" xfId="2" applyNumberFormat="1" applyFont="1" applyFill="1" applyBorder="1"/>
    <xf numFmtId="8" fontId="15" fillId="0" borderId="8" xfId="2" applyFont="1" applyFill="1" applyBorder="1"/>
    <xf numFmtId="39" fontId="16" fillId="0" borderId="7" xfId="0" applyFont="1" applyFill="1" applyBorder="1" applyAlignment="1">
      <alignment horizontal="right"/>
    </xf>
    <xf numFmtId="39" fontId="15" fillId="0" borderId="7" xfId="0" applyFont="1" applyFill="1" applyBorder="1" applyAlignment="1">
      <alignment horizontal="right"/>
    </xf>
    <xf numFmtId="39" fontId="16" fillId="0" borderId="15" xfId="0" applyFont="1" applyFill="1" applyBorder="1"/>
    <xf numFmtId="39" fontId="15" fillId="6" borderId="0" xfId="0" applyFont="1" applyFill="1"/>
    <xf numFmtId="39" fontId="16" fillId="6" borderId="9" xfId="0" applyFont="1" applyFill="1" applyBorder="1"/>
    <xf numFmtId="2" fontId="15" fillId="5" borderId="0" xfId="0" applyNumberFormat="1" applyFont="1" applyFill="1"/>
    <xf numFmtId="39" fontId="15" fillId="0" borderId="3" xfId="0" applyFont="1" applyFill="1" applyBorder="1"/>
    <xf numFmtId="37" fontId="29" fillId="0" borderId="0" xfId="0" applyNumberFormat="1" applyFont="1" applyFill="1" applyAlignment="1">
      <alignment horizontal="right"/>
    </xf>
    <xf numFmtId="44" fontId="16" fillId="0" borderId="0" xfId="0" applyNumberFormat="1" applyFont="1" applyFill="1"/>
    <xf numFmtId="0" fontId="15" fillId="0" borderId="0" xfId="0" applyNumberFormat="1" applyFont="1" applyFill="1" applyBorder="1"/>
    <xf numFmtId="0" fontId="15" fillId="0" borderId="9" xfId="0" applyNumberFormat="1" applyFont="1" applyFill="1" applyBorder="1"/>
    <xf numFmtId="0" fontId="15" fillId="0" borderId="0" xfId="0" applyNumberFormat="1" applyFont="1" applyFill="1" applyBorder="1" applyAlignment="1">
      <alignment horizontal="left"/>
    </xf>
    <xf numFmtId="0" fontId="15" fillId="0" borderId="0" xfId="0" applyNumberFormat="1" applyFont="1" applyFill="1"/>
    <xf numFmtId="44" fontId="16" fillId="0" borderId="7" xfId="2" applyNumberFormat="1" applyFont="1" applyFill="1" applyBorder="1" applyProtection="1"/>
    <xf numFmtId="44" fontId="15" fillId="4" borderId="24" xfId="0" applyNumberFormat="1" applyFont="1" applyFill="1" applyBorder="1"/>
    <xf numFmtId="39" fontId="15" fillId="0" borderId="25" xfId="0" applyFont="1" applyBorder="1"/>
    <xf numFmtId="177" fontId="15" fillId="0" borderId="6" xfId="0" applyNumberFormat="1" applyFont="1" applyFill="1" applyBorder="1" applyAlignment="1">
      <alignment horizontal="right"/>
    </xf>
    <xf numFmtId="177" fontId="15" fillId="0" borderId="8" xfId="0" applyNumberFormat="1" applyFont="1" applyFill="1" applyBorder="1"/>
    <xf numFmtId="178" fontId="15" fillId="0" borderId="6" xfId="2" applyNumberFormat="1" applyFont="1" applyFill="1" applyBorder="1"/>
    <xf numFmtId="39" fontId="15" fillId="0" borderId="0" xfId="0" applyFont="1" applyFill="1" applyBorder="1" applyAlignment="1">
      <alignment horizontal="center"/>
    </xf>
    <xf numFmtId="17" fontId="31" fillId="0" borderId="7" xfId="0" applyNumberFormat="1" applyFont="1" applyFill="1" applyBorder="1"/>
    <xf numFmtId="171" fontId="31" fillId="0" borderId="0" xfId="0" applyNumberFormat="1" applyFont="1" applyFill="1" applyAlignment="1">
      <alignment horizontal="right"/>
    </xf>
    <xf numFmtId="39" fontId="16" fillId="6" borderId="0" xfId="0" applyFont="1" applyFill="1" applyBorder="1"/>
    <xf numFmtId="7" fontId="15" fillId="0" borderId="8" xfId="4" applyNumberFormat="1" applyFont="1" applyFill="1" applyBorder="1"/>
    <xf numFmtId="7" fontId="15" fillId="0" borderId="8" xfId="0" applyNumberFormat="1" applyFont="1" applyFill="1" applyBorder="1"/>
    <xf numFmtId="37" fontId="31" fillId="0" borderId="0" xfId="0" applyNumberFormat="1" applyFont="1" applyFill="1"/>
    <xf numFmtId="10" fontId="31" fillId="0" borderId="0" xfId="0" applyNumberFormat="1" applyFont="1" applyFill="1" applyAlignment="1">
      <alignment horizontal="right"/>
    </xf>
    <xf numFmtId="8" fontId="31" fillId="0" borderId="9" xfId="2" applyFont="1" applyFill="1" applyBorder="1"/>
    <xf numFmtId="39" fontId="22" fillId="0" borderId="8" xfId="0" applyFont="1" applyFill="1" applyBorder="1" applyAlignment="1">
      <alignment horizontal="right"/>
    </xf>
    <xf numFmtId="39" fontId="15" fillId="0" borderId="17" xfId="0" applyFont="1" applyBorder="1"/>
    <xf numFmtId="39" fontId="15" fillId="0" borderId="0" xfId="0" applyFont="1" applyFill="1" applyBorder="1" applyAlignment="1">
      <alignment horizontal="center"/>
    </xf>
    <xf numFmtId="37" fontId="30" fillId="0" borderId="0" xfId="0" applyNumberFormat="1" applyFont="1" applyFill="1" applyBorder="1"/>
    <xf numFmtId="37" fontId="31" fillId="0" borderId="0" xfId="0" applyNumberFormat="1" applyFont="1" applyFill="1" applyBorder="1" applyProtection="1"/>
    <xf numFmtId="37" fontId="31" fillId="0" borderId="5" xfId="0" applyNumberFormat="1" applyFont="1" applyFill="1" applyBorder="1" applyProtection="1"/>
    <xf numFmtId="171" fontId="31" fillId="0" borderId="0" xfId="0" applyNumberFormat="1" applyFont="1" applyFill="1" applyBorder="1" applyAlignment="1" applyProtection="1">
      <alignment horizontal="center"/>
      <protection locked="0"/>
    </xf>
    <xf numFmtId="44" fontId="31" fillId="0" borderId="10" xfId="2" applyNumberFormat="1" applyFont="1" applyFill="1" applyBorder="1" applyProtection="1"/>
    <xf numFmtId="44" fontId="31" fillId="0" borderId="11" xfId="2" applyNumberFormat="1" applyFont="1" applyFill="1" applyBorder="1" applyProtection="1"/>
    <xf numFmtId="44" fontId="31" fillId="0" borderId="17" xfId="2" applyNumberFormat="1" applyFont="1" applyFill="1" applyBorder="1" applyProtection="1"/>
    <xf numFmtId="10" fontId="20" fillId="0" borderId="0" xfId="4" applyNumberFormat="1" applyFont="1" applyFill="1"/>
    <xf numFmtId="171" fontId="31" fillId="0" borderId="0" xfId="0" applyNumberFormat="1" applyFont="1" applyFill="1" applyAlignment="1">
      <alignment horizontal="center"/>
    </xf>
    <xf numFmtId="39" fontId="30" fillId="0" borderId="0" xfId="0" applyFont="1"/>
    <xf numFmtId="39" fontId="27" fillId="6" borderId="0" xfId="0" applyFont="1" applyFill="1" applyProtection="1">
      <protection locked="0"/>
    </xf>
    <xf numFmtId="39" fontId="20" fillId="6" borderId="0" xfId="0" applyFont="1" applyFill="1" applyProtection="1">
      <protection locked="0"/>
    </xf>
    <xf numFmtId="39" fontId="20" fillId="6" borderId="0" xfId="0" applyFont="1" applyFill="1"/>
    <xf numFmtId="39" fontId="29" fillId="6" borderId="0" xfId="0" applyNumberFormat="1" applyFont="1" applyFill="1" applyAlignment="1">
      <alignment horizontal="right"/>
    </xf>
    <xf numFmtId="39" fontId="27" fillId="6" borderId="0" xfId="0" applyFont="1" applyFill="1"/>
    <xf numFmtId="2" fontId="15" fillId="0" borderId="0" xfId="0" applyNumberFormat="1" applyFont="1" applyFill="1" applyBorder="1" applyAlignment="1">
      <alignment horizontal="right"/>
    </xf>
    <xf numFmtId="39" fontId="16" fillId="7" borderId="0" xfId="0" applyFont="1" applyFill="1"/>
    <xf numFmtId="39" fontId="27" fillId="7" borderId="0" xfId="0" applyFont="1" applyFill="1" applyProtection="1">
      <protection locked="0"/>
    </xf>
    <xf numFmtId="39" fontId="20" fillId="7" borderId="0" xfId="0" applyFont="1" applyFill="1" applyProtection="1">
      <protection locked="0"/>
    </xf>
    <xf numFmtId="39" fontId="20" fillId="7" borderId="0" xfId="0" applyFont="1" applyFill="1"/>
    <xf numFmtId="37" fontId="20" fillId="7" borderId="0" xfId="0" applyNumberFormat="1" applyFont="1" applyFill="1"/>
    <xf numFmtId="37" fontId="27" fillId="7" borderId="0" xfId="0" applyNumberFormat="1" applyFont="1" applyFill="1" applyBorder="1" applyAlignment="1" applyProtection="1">
      <alignment horizontal="center"/>
    </xf>
    <xf numFmtId="37" fontId="20" fillId="7" borderId="0" xfId="0" applyNumberFormat="1" applyFont="1" applyFill="1" applyAlignment="1">
      <alignment horizontal="right"/>
    </xf>
    <xf numFmtId="37" fontId="15" fillId="7" borderId="22" xfId="0" applyNumberFormat="1" applyFont="1" applyFill="1" applyBorder="1"/>
    <xf numFmtId="37" fontId="31" fillId="7" borderId="0" xfId="0" applyNumberFormat="1" applyFont="1" applyFill="1"/>
    <xf numFmtId="164" fontId="15" fillId="6" borderId="0" xfId="0" applyNumberFormat="1" applyFont="1" applyFill="1"/>
    <xf numFmtId="44" fontId="15" fillId="6" borderId="0" xfId="0" applyNumberFormat="1" applyFont="1" applyFill="1" applyBorder="1"/>
    <xf numFmtId="39" fontId="16" fillId="6" borderId="22" xfId="0" applyFont="1" applyFill="1" applyBorder="1"/>
    <xf numFmtId="39" fontId="16" fillId="6" borderId="0" xfId="0" applyFont="1" applyFill="1" applyAlignment="1">
      <alignment horizontal="right"/>
    </xf>
    <xf numFmtId="7" fontId="15" fillId="4" borderId="0" xfId="0" applyNumberFormat="1" applyFont="1" applyFill="1" applyBorder="1"/>
    <xf numFmtId="44" fontId="16" fillId="0" borderId="26" xfId="2" applyNumberFormat="1" applyFont="1" applyFill="1" applyBorder="1" applyProtection="1"/>
    <xf numFmtId="38" fontId="27" fillId="0" borderId="0" xfId="1" applyNumberFormat="1" applyFont="1" applyFill="1" applyBorder="1" applyProtection="1"/>
    <xf numFmtId="38" fontId="15" fillId="0" borderId="0" xfId="1" applyNumberFormat="1" applyFont="1" applyFill="1" applyBorder="1" applyProtection="1"/>
    <xf numFmtId="38" fontId="27" fillId="0" borderId="9" xfId="1" applyNumberFormat="1" applyFont="1" applyFill="1" applyBorder="1" applyProtection="1"/>
    <xf numFmtId="39" fontId="11" fillId="0" borderId="0" xfId="0" applyFont="1" applyFill="1" applyBorder="1"/>
    <xf numFmtId="175" fontId="34" fillId="8" borderId="0" xfId="0" applyNumberFormat="1" applyFont="1" applyFill="1"/>
    <xf numFmtId="39" fontId="11" fillId="0" borderId="0" xfId="0" applyFont="1"/>
    <xf numFmtId="39" fontId="0" fillId="0" borderId="27" xfId="0" applyBorder="1"/>
    <xf numFmtId="39" fontId="0" fillId="0" borderId="27" xfId="0" applyBorder="1" applyAlignment="1">
      <alignment horizontal="center"/>
    </xf>
    <xf numFmtId="179" fontId="0" fillId="0" borderId="0" xfId="1" applyNumberFormat="1" applyFont="1"/>
    <xf numFmtId="39" fontId="11" fillId="0" borderId="27" xfId="0" applyFont="1" applyBorder="1"/>
    <xf numFmtId="179" fontId="11" fillId="0" borderId="27" xfId="1" applyNumberFormat="1" applyFont="1" applyBorder="1"/>
    <xf numFmtId="38" fontId="15" fillId="0" borderId="0" xfId="1" applyNumberFormat="1" applyFont="1"/>
    <xf numFmtId="0" fontId="36" fillId="0" borderId="0" xfId="6" applyFont="1"/>
    <xf numFmtId="0" fontId="35" fillId="0" borderId="0" xfId="6"/>
    <xf numFmtId="37" fontId="16" fillId="0" borderId="0" xfId="6" applyNumberFormat="1" applyFont="1" applyFill="1" applyBorder="1" applyAlignment="1">
      <alignment horizontal="center"/>
    </xf>
    <xf numFmtId="39" fontId="16" fillId="0" borderId="0" xfId="6" applyNumberFormat="1" applyFont="1" applyFill="1" applyBorder="1" applyAlignment="1">
      <alignment horizontal="center"/>
    </xf>
    <xf numFmtId="14" fontId="16" fillId="0" borderId="0" xfId="6" applyNumberFormat="1" applyFont="1" applyFill="1" applyBorder="1"/>
    <xf numFmtId="43" fontId="16" fillId="0" borderId="8" xfId="6" applyNumberFormat="1" applyFont="1" applyBorder="1"/>
    <xf numFmtId="39" fontId="16" fillId="0" borderId="4" xfId="6" applyNumberFormat="1" applyFont="1" applyFill="1" applyBorder="1"/>
    <xf numFmtId="37" fontId="16" fillId="0" borderId="5" xfId="6" applyNumberFormat="1" applyFont="1" applyFill="1" applyBorder="1" applyAlignment="1">
      <alignment horizontal="center"/>
    </xf>
    <xf numFmtId="39" fontId="16" fillId="0" borderId="5" xfId="6" applyNumberFormat="1" applyFont="1" applyFill="1" applyBorder="1" applyAlignment="1">
      <alignment horizontal="center"/>
    </xf>
    <xf numFmtId="39" fontId="16" fillId="0" borderId="6" xfId="6" applyNumberFormat="1" applyFont="1" applyFill="1" applyBorder="1" applyAlignment="1">
      <alignment horizontal="center"/>
    </xf>
    <xf numFmtId="39" fontId="16" fillId="0" borderId="0" xfId="6" applyNumberFormat="1" applyFont="1" applyFill="1"/>
    <xf numFmtId="37" fontId="16" fillId="0" borderId="0" xfId="6" applyNumberFormat="1" applyFont="1" applyFill="1" applyAlignment="1">
      <alignment horizontal="center"/>
    </xf>
    <xf numFmtId="37" fontId="29" fillId="0" borderId="0" xfId="6" applyNumberFormat="1" applyFont="1" applyFill="1" applyAlignment="1">
      <alignment horizontal="right"/>
    </xf>
    <xf numFmtId="171" fontId="31" fillId="0" borderId="0" xfId="6" applyNumberFormat="1" applyFont="1" applyFill="1" applyBorder="1" applyAlignment="1" applyProtection="1">
      <alignment horizontal="center"/>
      <protection locked="0"/>
    </xf>
    <xf numFmtId="44" fontId="15" fillId="0" borderId="0" xfId="6" applyNumberFormat="1" applyFont="1" applyFill="1"/>
    <xf numFmtId="17" fontId="16" fillId="0" borderId="0" xfId="6" applyNumberFormat="1" applyFont="1" applyFill="1" applyBorder="1" applyAlignment="1">
      <alignment horizontal="left"/>
    </xf>
    <xf numFmtId="39" fontId="15" fillId="0" borderId="0" xfId="6" applyNumberFormat="1" applyFont="1" applyFill="1"/>
    <xf numFmtId="39" fontId="16" fillId="0" borderId="23" xfId="6" applyNumberFormat="1" applyFont="1" applyFill="1" applyBorder="1"/>
    <xf numFmtId="39" fontId="15" fillId="0" borderId="23" xfId="6" applyNumberFormat="1" applyFont="1" applyFill="1" applyBorder="1"/>
    <xf numFmtId="39" fontId="16" fillId="0" borderId="23" xfId="6" applyNumberFormat="1" applyFont="1" applyFill="1" applyBorder="1" applyAlignment="1">
      <alignment horizontal="center"/>
    </xf>
    <xf numFmtId="39" fontId="15" fillId="0" borderId="7" xfId="6" applyNumberFormat="1" applyFont="1" applyFill="1" applyBorder="1"/>
    <xf numFmtId="39" fontId="15" fillId="0" borderId="0" xfId="6" applyNumberFormat="1" applyFont="1" applyFill="1" applyBorder="1"/>
    <xf numFmtId="44" fontId="15" fillId="0" borderId="0" xfId="6" applyNumberFormat="1" applyFont="1" applyFill="1" applyBorder="1"/>
    <xf numFmtId="43" fontId="15" fillId="0" borderId="8" xfId="8" applyFont="1" applyFill="1" applyBorder="1"/>
    <xf numFmtId="39" fontId="15" fillId="0" borderId="4" xfId="6" applyNumberFormat="1" applyFont="1" applyFill="1" applyBorder="1"/>
    <xf numFmtId="39" fontId="15" fillId="0" borderId="5" xfId="6" applyNumberFormat="1" applyFont="1" applyFill="1" applyBorder="1"/>
    <xf numFmtId="43" fontId="15" fillId="0" borderId="5" xfId="6" applyNumberFormat="1" applyFont="1" applyFill="1" applyBorder="1"/>
    <xf numFmtId="43" fontId="15" fillId="0" borderId="6" xfId="6" applyNumberFormat="1" applyFont="1" applyFill="1" applyBorder="1"/>
    <xf numFmtId="44" fontId="15" fillId="4" borderId="0" xfId="6" applyNumberFormat="1" applyFont="1" applyFill="1" applyBorder="1"/>
    <xf numFmtId="44" fontId="15" fillId="0" borderId="9" xfId="6" applyNumberFormat="1" applyFont="1" applyFill="1" applyBorder="1"/>
    <xf numFmtId="37" fontId="15" fillId="0" borderId="22" xfId="6" applyNumberFormat="1" applyFont="1" applyFill="1" applyBorder="1"/>
    <xf numFmtId="39" fontId="16" fillId="0" borderId="0" xfId="6" applyNumberFormat="1" applyFont="1" applyFill="1" applyAlignment="1">
      <alignment horizontal="right"/>
    </xf>
    <xf numFmtId="44" fontId="16" fillId="0" borderId="0" xfId="6" applyNumberFormat="1" applyFont="1" applyFill="1"/>
    <xf numFmtId="37" fontId="30" fillId="0" borderId="0" xfId="6" applyNumberFormat="1" applyFont="1" applyFill="1" applyBorder="1"/>
    <xf numFmtId="14" fontId="16" fillId="0" borderId="0" xfId="6" applyNumberFormat="1" applyFont="1" applyFill="1"/>
    <xf numFmtId="43" fontId="16" fillId="0" borderId="0" xfId="6" applyNumberFormat="1" applyFont="1" applyFill="1" applyBorder="1"/>
    <xf numFmtId="37" fontId="31" fillId="9" borderId="0" xfId="6" applyNumberFormat="1" applyFont="1" applyFill="1"/>
    <xf numFmtId="44" fontId="16" fillId="7" borderId="0" xfId="0" applyNumberFormat="1" applyFont="1" applyFill="1" applyBorder="1"/>
    <xf numFmtId="44" fontId="27" fillId="7" borderId="0" xfId="0" applyNumberFormat="1" applyFont="1" applyFill="1" applyBorder="1"/>
    <xf numFmtId="8" fontId="27" fillId="7" borderId="0" xfId="0" applyNumberFormat="1" applyFont="1" applyFill="1" applyBorder="1"/>
    <xf numFmtId="8" fontId="27" fillId="7" borderId="9" xfId="0" applyNumberFormat="1" applyFont="1" applyFill="1" applyBorder="1"/>
    <xf numFmtId="39" fontId="16" fillId="7" borderId="0" xfId="0" applyFont="1" applyFill="1" applyBorder="1"/>
    <xf numFmtId="37" fontId="30" fillId="7" borderId="0" xfId="0" applyNumberFormat="1" applyFont="1" applyFill="1" applyBorder="1"/>
    <xf numFmtId="39" fontId="15" fillId="0" borderId="4" xfId="0" applyFont="1" applyBorder="1"/>
    <xf numFmtId="39" fontId="15" fillId="0" borderId="6" xfId="0" applyFont="1" applyBorder="1"/>
    <xf numFmtId="181" fontId="15" fillId="0" borderId="0" xfId="0" applyNumberFormat="1" applyFont="1"/>
    <xf numFmtId="181" fontId="16" fillId="0" borderId="20" xfId="0" applyNumberFormat="1" applyFont="1" applyBorder="1" applyAlignment="1">
      <alignment horizontal="center"/>
    </xf>
    <xf numFmtId="181" fontId="16" fillId="0" borderId="8" xfId="0" applyNumberFormat="1" applyFont="1" applyBorder="1" applyAlignment="1">
      <alignment horizontal="center"/>
    </xf>
    <xf numFmtId="181" fontId="16" fillId="0" borderId="6" xfId="0" applyNumberFormat="1" applyFont="1" applyFill="1" applyBorder="1" applyAlignment="1">
      <alignment horizontal="center"/>
    </xf>
    <xf numFmtId="181" fontId="15" fillId="0" borderId="0" xfId="0" applyNumberFormat="1" applyFont="1" applyFill="1"/>
    <xf numFmtId="181" fontId="31" fillId="0" borderId="9" xfId="0" applyNumberFormat="1" applyFont="1" applyFill="1" applyBorder="1"/>
    <xf numFmtId="181" fontId="16" fillId="0" borderId="0" xfId="0" applyNumberFormat="1" applyFont="1" applyFill="1"/>
    <xf numFmtId="181" fontId="15" fillId="0" borderId="9" xfId="0" applyNumberFormat="1" applyFont="1" applyFill="1" applyBorder="1"/>
    <xf numFmtId="181" fontId="16" fillId="0" borderId="9" xfId="0" applyNumberFormat="1" applyFont="1" applyFill="1" applyBorder="1"/>
    <xf numFmtId="181" fontId="16" fillId="0" borderId="22" xfId="0" applyNumberFormat="1" applyFont="1" applyFill="1" applyBorder="1"/>
    <xf numFmtId="7" fontId="15" fillId="6" borderId="0" xfId="0" applyNumberFormat="1" applyFont="1" applyFill="1" applyBorder="1"/>
    <xf numFmtId="39" fontId="15" fillId="0" borderId="0" xfId="0" applyFont="1"/>
    <xf numFmtId="39" fontId="15" fillId="0" borderId="11" xfId="0" applyFont="1" applyBorder="1"/>
    <xf numFmtId="39" fontId="15" fillId="0" borderId="0" xfId="0" applyFont="1" applyFill="1"/>
    <xf numFmtId="39" fontId="14" fillId="0" borderId="7" xfId="0" applyFont="1" applyFill="1" applyBorder="1"/>
    <xf numFmtId="39" fontId="21" fillId="0" borderId="0" xfId="0" applyFont="1" applyFill="1" applyBorder="1"/>
    <xf numFmtId="39" fontId="11" fillId="0" borderId="10" xfId="0" applyFont="1" applyFill="1" applyBorder="1"/>
    <xf numFmtId="39" fontId="21" fillId="0" borderId="8" xfId="0" applyFont="1" applyFill="1" applyBorder="1"/>
    <xf numFmtId="44" fontId="15" fillId="4" borderId="0" xfId="0" applyNumberFormat="1" applyFont="1" applyFill="1" applyBorder="1"/>
    <xf numFmtId="164" fontId="14" fillId="0" borderId="0" xfId="0" applyNumberFormat="1" applyFont="1" applyFill="1" applyBorder="1"/>
    <xf numFmtId="9" fontId="14" fillId="0" borderId="7" xfId="0" applyNumberFormat="1" applyFont="1" applyFill="1" applyBorder="1"/>
    <xf numFmtId="164" fontId="14" fillId="0" borderId="5" xfId="0" quotePrefix="1" applyNumberFormat="1" applyFont="1" applyFill="1" applyBorder="1"/>
    <xf numFmtId="39" fontId="21" fillId="0" borderId="7" xfId="0" applyFont="1" applyFill="1" applyBorder="1"/>
    <xf numFmtId="39" fontId="21" fillId="0" borderId="4" xfId="0" applyFont="1" applyFill="1" applyBorder="1"/>
    <xf numFmtId="39" fontId="14" fillId="0" borderId="0" xfId="0" applyFont="1" applyFill="1" applyBorder="1"/>
    <xf numFmtId="39" fontId="14" fillId="0" borderId="1" xfId="0" applyFont="1" applyFill="1" applyBorder="1"/>
    <xf numFmtId="164" fontId="14" fillId="0" borderId="2" xfId="0" applyNumberFormat="1" applyFont="1" applyFill="1" applyBorder="1"/>
    <xf numFmtId="39" fontId="0" fillId="0" borderId="7" xfId="0" applyFill="1" applyBorder="1"/>
    <xf numFmtId="164" fontId="0" fillId="0" borderId="0" xfId="0" applyNumberFormat="1" applyFill="1" applyBorder="1"/>
    <xf numFmtId="39" fontId="15" fillId="0" borderId="10" xfId="0" applyNumberFormat="1" applyFont="1" applyFill="1" applyBorder="1"/>
    <xf numFmtId="7" fontId="31" fillId="7" borderId="0" xfId="0" applyNumberFormat="1" applyFont="1" applyFill="1" applyBorder="1"/>
    <xf numFmtId="7" fontId="15" fillId="0" borderId="0" xfId="1" applyNumberFormat="1" applyFont="1"/>
    <xf numFmtId="39" fontId="27" fillId="7" borderId="0" xfId="0" applyFont="1" applyFill="1" applyBorder="1" applyProtection="1">
      <protection locked="0"/>
    </xf>
    <xf numFmtId="39" fontId="20" fillId="7" borderId="0" xfId="0" applyFont="1" applyFill="1" applyBorder="1" applyProtection="1">
      <protection locked="0"/>
    </xf>
    <xf numFmtId="39" fontId="20" fillId="7" borderId="0" xfId="0" applyFont="1" applyFill="1" applyBorder="1"/>
    <xf numFmtId="164" fontId="15" fillId="7" borderId="0" xfId="0" applyNumberFormat="1" applyFont="1" applyFill="1" applyBorder="1"/>
    <xf numFmtId="39" fontId="15" fillId="7" borderId="0" xfId="0" applyFont="1" applyFill="1" applyBorder="1"/>
    <xf numFmtId="39" fontId="11" fillId="7" borderId="0" xfId="0" applyFont="1" applyFill="1" applyBorder="1"/>
    <xf numFmtId="164" fontId="20" fillId="7" borderId="0" xfId="0" applyNumberFormat="1" applyFont="1" applyFill="1" applyBorder="1" applyAlignment="1" applyProtection="1">
      <alignment horizontal="left"/>
      <protection locked="0"/>
    </xf>
    <xf numFmtId="39" fontId="16" fillId="7" borderId="0" xfId="0" applyFont="1" applyFill="1" applyBorder="1" applyAlignment="1">
      <alignment horizontal="left"/>
    </xf>
    <xf numFmtId="39" fontId="25" fillId="7" borderId="0" xfId="0" applyFont="1" applyFill="1" applyBorder="1" applyAlignment="1">
      <alignment horizontal="center"/>
    </xf>
    <xf numFmtId="39" fontId="14" fillId="7" borderId="0" xfId="0" applyFont="1" applyFill="1" applyBorder="1"/>
    <xf numFmtId="164" fontId="14" fillId="7" borderId="0" xfId="0" applyNumberFormat="1" applyFont="1" applyFill="1" applyBorder="1"/>
    <xf numFmtId="39" fontId="22" fillId="7" borderId="0" xfId="0" applyFont="1" applyFill="1" applyBorder="1" applyAlignment="1">
      <alignment horizontal="right"/>
    </xf>
    <xf numFmtId="164" fontId="16" fillId="7" borderId="0" xfId="0" applyNumberFormat="1" applyFont="1" applyFill="1" applyBorder="1"/>
    <xf numFmtId="39" fontId="0" fillId="7" borderId="0" xfId="0" applyFill="1" applyBorder="1"/>
    <xf numFmtId="164" fontId="0" fillId="7" borderId="0" xfId="0" applyNumberFormat="1" applyFill="1" applyBorder="1"/>
    <xf numFmtId="39" fontId="17" fillId="7" borderId="0" xfId="0" applyFont="1" applyFill="1" applyBorder="1"/>
    <xf numFmtId="9" fontId="14" fillId="7" borderId="0" xfId="0" applyNumberFormat="1" applyFont="1" applyFill="1" applyBorder="1"/>
    <xf numFmtId="39" fontId="22" fillId="7" borderId="0" xfId="0" applyFont="1" applyFill="1" applyBorder="1"/>
    <xf numFmtId="9" fontId="20" fillId="7" borderId="0" xfId="4" applyFont="1" applyFill="1" applyBorder="1" applyAlignment="1">
      <alignment horizontal="center"/>
    </xf>
    <xf numFmtId="39" fontId="21" fillId="7" borderId="0" xfId="0" applyFont="1" applyFill="1" applyBorder="1"/>
    <xf numFmtId="164" fontId="16" fillId="7" borderId="0" xfId="0" applyNumberFormat="1" applyFont="1" applyFill="1" applyBorder="1" applyAlignment="1" applyProtection="1">
      <alignment horizontal="left"/>
      <protection locked="0"/>
    </xf>
    <xf numFmtId="164" fontId="14" fillId="7" borderId="0" xfId="0" quotePrefix="1" applyNumberFormat="1" applyFont="1" applyFill="1" applyBorder="1"/>
    <xf numFmtId="44" fontId="15" fillId="7" borderId="0" xfId="0" applyNumberFormat="1" applyFont="1" applyFill="1" applyBorder="1"/>
    <xf numFmtId="7" fontId="15" fillId="7" borderId="0" xfId="0" applyNumberFormat="1" applyFont="1" applyFill="1" applyBorder="1"/>
    <xf numFmtId="39" fontId="15" fillId="7" borderId="0" xfId="0" applyFont="1" applyFill="1" applyBorder="1" applyAlignment="1">
      <alignment horizontal="left" indent="2"/>
    </xf>
    <xf numFmtId="39" fontId="16" fillId="7" borderId="0" xfId="0" applyFont="1" applyFill="1" applyBorder="1" applyAlignment="1">
      <alignment horizontal="center"/>
    </xf>
    <xf numFmtId="39" fontId="14" fillId="7" borderId="0" xfId="0" applyFont="1" applyFill="1" applyBorder="1" applyAlignment="1">
      <alignment horizontal="right"/>
    </xf>
    <xf numFmtId="40" fontId="15" fillId="7" borderId="0" xfId="1" applyFont="1" applyFill="1" applyBorder="1"/>
    <xf numFmtId="164" fontId="15" fillId="7" borderId="0" xfId="0" applyNumberFormat="1" applyFont="1" applyFill="1"/>
    <xf numFmtId="39" fontId="16" fillId="7" borderId="9" xfId="0" applyFont="1" applyFill="1" applyBorder="1"/>
    <xf numFmtId="39" fontId="15" fillId="7" borderId="0" xfId="0" applyFont="1" applyFill="1"/>
    <xf numFmtId="39" fontId="16" fillId="7" borderId="22" xfId="0" applyFont="1" applyFill="1" applyBorder="1"/>
    <xf numFmtId="39" fontId="15" fillId="0" borderId="0" xfId="0" applyFont="1"/>
    <xf numFmtId="39" fontId="15" fillId="0" borderId="0" xfId="0" applyFont="1" applyFill="1"/>
    <xf numFmtId="39" fontId="15" fillId="5" borderId="1" xfId="0" applyFont="1" applyFill="1" applyBorder="1"/>
    <xf numFmtId="39" fontId="15" fillId="5" borderId="3" xfId="0" applyFont="1" applyFill="1" applyBorder="1"/>
    <xf numFmtId="39" fontId="16" fillId="6" borderId="0" xfId="0" applyFont="1" applyFill="1" applyBorder="1"/>
    <xf numFmtId="171" fontId="31" fillId="0" borderId="0" xfId="0" applyNumberFormat="1" applyFont="1" applyFill="1" applyBorder="1" applyAlignment="1" applyProtection="1">
      <alignment horizontal="center"/>
      <protection locked="0"/>
    </xf>
    <xf numFmtId="39" fontId="16" fillId="6" borderId="22" xfId="0" applyFont="1" applyFill="1" applyBorder="1"/>
    <xf numFmtId="39" fontId="22" fillId="0" borderId="6" xfId="0" applyFont="1" applyFill="1" applyBorder="1" applyAlignment="1">
      <alignment horizontal="right"/>
    </xf>
    <xf numFmtId="39" fontId="0" fillId="0" borderId="1" xfId="0" applyFill="1" applyBorder="1"/>
    <xf numFmtId="164" fontId="0" fillId="0" borderId="2" xfId="0" applyNumberFormat="1" applyFill="1" applyBorder="1"/>
    <xf numFmtId="181" fontId="15" fillId="0" borderId="3" xfId="4" applyNumberFormat="1" applyFont="1" applyFill="1" applyBorder="1"/>
    <xf numFmtId="181" fontId="15" fillId="0" borderId="0" xfId="4" applyNumberFormat="1" applyFont="1" applyFill="1" applyBorder="1"/>
    <xf numFmtId="39" fontId="15" fillId="0" borderId="0" xfId="0" applyFont="1" applyFill="1" applyBorder="1" applyAlignment="1">
      <alignment horizontal="center"/>
    </xf>
    <xf numFmtId="39" fontId="42" fillId="0" borderId="0" xfId="0" applyNumberFormat="1" applyFont="1"/>
    <xf numFmtId="39" fontId="15" fillId="0" borderId="0" xfId="0" applyFont="1" applyFill="1" applyBorder="1" applyAlignment="1">
      <alignment horizontal="center"/>
    </xf>
    <xf numFmtId="17" fontId="16" fillId="6" borderId="5" xfId="0" applyNumberFormat="1" applyFont="1" applyFill="1" applyBorder="1" applyAlignment="1">
      <alignment horizontal="left"/>
    </xf>
    <xf numFmtId="39" fontId="15" fillId="6" borderId="5" xfId="0" applyFont="1" applyFill="1" applyBorder="1"/>
    <xf numFmtId="39" fontId="16" fillId="6" borderId="10" xfId="0" applyFont="1" applyFill="1" applyBorder="1"/>
    <xf numFmtId="39" fontId="15" fillId="6" borderId="11" xfId="0" applyFont="1" applyFill="1" applyBorder="1"/>
    <xf numFmtId="39" fontId="16" fillId="6" borderId="12" xfId="0" applyFont="1" applyFill="1" applyBorder="1" applyAlignment="1">
      <alignment horizontal="center"/>
    </xf>
    <xf numFmtId="39" fontId="16" fillId="6" borderId="13" xfId="0" applyFont="1" applyFill="1" applyBorder="1" applyAlignment="1">
      <alignment horizontal="center"/>
    </xf>
    <xf numFmtId="39" fontId="15" fillId="6" borderId="1" xfId="0" applyFont="1" applyFill="1" applyBorder="1"/>
    <xf numFmtId="39" fontId="15" fillId="6" borderId="2" xfId="0" applyFont="1" applyFill="1" applyBorder="1"/>
    <xf numFmtId="7" fontId="15" fillId="6" borderId="2" xfId="0" applyNumberFormat="1" applyFont="1" applyFill="1" applyBorder="1"/>
    <xf numFmtId="181" fontId="15" fillId="6" borderId="3" xfId="4" applyNumberFormat="1" applyFont="1" applyFill="1" applyBorder="1"/>
    <xf numFmtId="39" fontId="15" fillId="6" borderId="7" xfId="0" applyFont="1" applyFill="1" applyBorder="1"/>
    <xf numFmtId="39" fontId="15" fillId="6" borderId="0" xfId="0" applyFont="1" applyFill="1" applyBorder="1"/>
    <xf numFmtId="181" fontId="15" fillId="6" borderId="0" xfId="4" applyNumberFormat="1" applyFont="1" applyFill="1" applyBorder="1"/>
    <xf numFmtId="7" fontId="15" fillId="6" borderId="8" xfId="4" applyNumberFormat="1" applyFont="1" applyFill="1" applyBorder="1"/>
    <xf numFmtId="39" fontId="15" fillId="6" borderId="8" xfId="0" applyFont="1" applyFill="1" applyBorder="1"/>
    <xf numFmtId="167" fontId="15" fillId="6" borderId="8" xfId="0" applyNumberFormat="1" applyFont="1" applyFill="1" applyBorder="1"/>
    <xf numFmtId="39" fontId="15" fillId="6" borderId="4" xfId="0" applyFont="1" applyFill="1" applyBorder="1"/>
    <xf numFmtId="43" fontId="15" fillId="6" borderId="5" xfId="0" applyNumberFormat="1" applyFont="1" applyFill="1" applyBorder="1"/>
    <xf numFmtId="7" fontId="15" fillId="6" borderId="6" xfId="0" applyNumberFormat="1" applyFont="1" applyFill="1" applyBorder="1"/>
    <xf numFmtId="39" fontId="11" fillId="6" borderId="10" xfId="0" applyFont="1" applyFill="1" applyBorder="1"/>
    <xf numFmtId="39" fontId="15" fillId="6" borderId="17" xfId="0" applyFont="1" applyFill="1" applyBorder="1"/>
    <xf numFmtId="164" fontId="20" fillId="6" borderId="0" xfId="0" applyNumberFormat="1" applyFont="1" applyFill="1" applyAlignment="1" applyProtection="1">
      <alignment horizontal="left"/>
      <protection locked="0"/>
    </xf>
    <xf numFmtId="39" fontId="16" fillId="6" borderId="0" xfId="0" applyFont="1" applyFill="1" applyAlignment="1">
      <alignment horizontal="left"/>
    </xf>
    <xf numFmtId="39" fontId="25" fillId="6" borderId="0" xfId="0" applyFont="1" applyFill="1" applyAlignment="1">
      <alignment horizontal="center"/>
    </xf>
    <xf numFmtId="39" fontId="14" fillId="6" borderId="1" xfId="0" applyFont="1" applyFill="1" applyBorder="1"/>
    <xf numFmtId="164" fontId="14" fillId="6" borderId="2" xfId="0" applyNumberFormat="1" applyFont="1" applyFill="1" applyBorder="1"/>
    <xf numFmtId="39" fontId="22" fillId="6" borderId="0" xfId="0" applyFont="1" applyFill="1" applyBorder="1" applyAlignment="1">
      <alignment horizontal="right"/>
    </xf>
    <xf numFmtId="39" fontId="22" fillId="6" borderId="3" xfId="0" applyFont="1" applyFill="1" applyBorder="1" applyAlignment="1">
      <alignment horizontal="right"/>
    </xf>
    <xf numFmtId="164" fontId="16" fillId="6" borderId="0" xfId="0" applyNumberFormat="1" applyFont="1" applyFill="1"/>
    <xf numFmtId="39" fontId="0" fillId="6" borderId="7" xfId="0" applyFill="1" applyBorder="1"/>
    <xf numFmtId="164" fontId="0" fillId="6" borderId="0" xfId="0" applyNumberFormat="1" applyFill="1" applyBorder="1"/>
    <xf numFmtId="39" fontId="22" fillId="6" borderId="8" xfId="0" applyFont="1" applyFill="1" applyBorder="1" applyAlignment="1">
      <alignment horizontal="right"/>
    </xf>
    <xf numFmtId="39" fontId="17" fillId="6" borderId="0" xfId="0" applyFont="1" applyFill="1"/>
    <xf numFmtId="9" fontId="20" fillId="6" borderId="0" xfId="4" applyFont="1" applyFill="1" applyAlignment="1">
      <alignment horizontal="center"/>
    </xf>
    <xf numFmtId="9" fontId="14" fillId="6" borderId="7" xfId="0" applyNumberFormat="1" applyFont="1" applyFill="1" applyBorder="1"/>
    <xf numFmtId="164" fontId="14" fillId="6" borderId="0" xfId="0" applyNumberFormat="1" applyFont="1" applyFill="1" applyBorder="1"/>
    <xf numFmtId="39" fontId="22" fillId="6" borderId="0" xfId="0" applyFont="1" applyFill="1" applyBorder="1"/>
    <xf numFmtId="39" fontId="22" fillId="6" borderId="8" xfId="0" applyFont="1" applyFill="1" applyBorder="1"/>
    <xf numFmtId="164" fontId="16" fillId="6" borderId="0" xfId="0" applyNumberFormat="1" applyFont="1" applyFill="1" applyAlignment="1" applyProtection="1">
      <alignment horizontal="left"/>
      <protection locked="0"/>
    </xf>
    <xf numFmtId="39" fontId="21" fillId="6" borderId="7" xfId="0" applyFont="1" applyFill="1" applyBorder="1"/>
    <xf numFmtId="39" fontId="21" fillId="6" borderId="4" xfId="0" applyFont="1" applyFill="1" applyBorder="1"/>
    <xf numFmtId="164" fontId="14" fillId="6" borderId="5" xfId="0" quotePrefix="1" applyNumberFormat="1" applyFont="1" applyFill="1" applyBorder="1"/>
    <xf numFmtId="39" fontId="22" fillId="6" borderId="5" xfId="0" applyFont="1" applyFill="1" applyBorder="1"/>
    <xf numFmtId="39" fontId="22" fillId="6" borderId="6" xfId="0" applyFont="1" applyFill="1" applyBorder="1"/>
    <xf numFmtId="14" fontId="16" fillId="0" borderId="0" xfId="0" applyNumberFormat="1" applyFont="1" applyFill="1" applyAlignment="1">
      <alignment horizontal="right"/>
    </xf>
    <xf numFmtId="39" fontId="16" fillId="0" borderId="0" xfId="0" applyNumberFormat="1" applyFont="1" applyFill="1"/>
    <xf numFmtId="166" fontId="16" fillId="0" borderId="0" xfId="4" applyNumberFormat="1" applyFont="1" applyFill="1" applyAlignment="1">
      <alignment horizontal="center"/>
    </xf>
    <xf numFmtId="39" fontId="15" fillId="0" borderId="0" xfId="0" applyFont="1" applyFill="1" applyBorder="1" applyAlignment="1">
      <alignment horizontal="center"/>
    </xf>
    <xf numFmtId="0" fontId="36" fillId="0" borderId="0" xfId="6" applyFont="1" applyAlignment="1">
      <alignment horizontal="left"/>
    </xf>
    <xf numFmtId="39" fontId="15" fillId="0" borderId="0" xfId="0" applyFont="1" applyFill="1" applyBorder="1" applyAlignment="1">
      <alignment horizontal="center"/>
    </xf>
    <xf numFmtId="39" fontId="15" fillId="0" borderId="23" xfId="0" applyNumberFormat="1"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164" fontId="15" fillId="6" borderId="0" xfId="0" applyNumberFormat="1" applyFont="1" applyFill="1" applyBorder="1"/>
    <xf numFmtId="40" fontId="15" fillId="0" borderId="8" xfId="1" applyFont="1" applyFill="1" applyBorder="1"/>
    <xf numFmtId="17" fontId="16" fillId="0" borderId="0" xfId="0" applyNumberFormat="1" applyFont="1" applyFill="1" applyBorder="1" applyAlignment="1">
      <alignment horizontal="right"/>
    </xf>
    <xf numFmtId="40" fontId="15" fillId="0" borderId="5" xfId="1" applyFont="1" applyFill="1" applyBorder="1"/>
    <xf numFmtId="181" fontId="16" fillId="6" borderId="0" xfId="0" applyNumberFormat="1" applyFont="1" applyFill="1" applyBorder="1"/>
    <xf numFmtId="181" fontId="16" fillId="6" borderId="22" xfId="0" applyNumberFormat="1" applyFont="1" applyFill="1" applyBorder="1"/>
    <xf numFmtId="0" fontId="15" fillId="0" borderId="8" xfId="2" applyNumberFormat="1" applyFont="1" applyFill="1" applyBorder="1"/>
    <xf numFmtId="39" fontId="15" fillId="0" borderId="0" xfId="0" applyFont="1" applyFill="1" applyBorder="1" applyAlignment="1">
      <alignment horizontal="center"/>
    </xf>
    <xf numFmtId="39" fontId="15" fillId="0" borderId="0" xfId="0" quotePrefix="1" applyFont="1" applyFill="1" applyBorder="1"/>
    <xf numFmtId="40" fontId="15" fillId="0" borderId="2" xfId="1" applyFont="1" applyFill="1" applyBorder="1"/>
    <xf numFmtId="40" fontId="15" fillId="0" borderId="3" xfId="1" applyFont="1" applyFill="1" applyBorder="1"/>
    <xf numFmtId="40" fontId="15" fillId="0" borderId="0" xfId="1" applyFont="1" applyFill="1" applyBorder="1"/>
    <xf numFmtId="40" fontId="15" fillId="0" borderId="6" xfId="1" applyFont="1" applyFill="1" applyBorder="1"/>
    <xf numFmtId="39" fontId="15" fillId="0" borderId="0" xfId="0" applyFont="1" applyFill="1" applyBorder="1" applyAlignment="1">
      <alignment horizontal="center"/>
    </xf>
    <xf numFmtId="39" fontId="15" fillId="7" borderId="0" xfId="0" applyFont="1" applyFill="1" applyAlignment="1">
      <alignment horizontal="center"/>
    </xf>
    <xf numFmtId="39" fontId="16" fillId="0" borderId="28" xfId="0" applyFont="1" applyFill="1" applyBorder="1"/>
    <xf numFmtId="39" fontId="16" fillId="10" borderId="0" xfId="0" applyFont="1" applyFill="1" applyBorder="1" applyAlignment="1">
      <alignment horizontal="right"/>
    </xf>
    <xf numFmtId="39" fontId="16" fillId="10" borderId="0" xfId="0" applyFont="1" applyFill="1" applyBorder="1"/>
    <xf numFmtId="0" fontId="16" fillId="10" borderId="0" xfId="0" applyNumberFormat="1" applyFont="1" applyFill="1" applyBorder="1"/>
    <xf numFmtId="39" fontId="44" fillId="7" borderId="0" xfId="0" applyFont="1" applyFill="1"/>
    <xf numFmtId="39" fontId="45" fillId="7" borderId="0" xfId="0" applyFont="1" applyFill="1" applyAlignment="1">
      <alignment horizontal="right"/>
    </xf>
    <xf numFmtId="39" fontId="45" fillId="7" borderId="0" xfId="0" applyFont="1" applyFill="1"/>
    <xf numFmtId="39" fontId="46" fillId="7" borderId="0" xfId="0" applyFont="1" applyFill="1"/>
    <xf numFmtId="0" fontId="46" fillId="7" borderId="0" xfId="0" applyNumberFormat="1" applyFont="1" applyFill="1"/>
    <xf numFmtId="39" fontId="46" fillId="7" borderId="0" xfId="0" applyFont="1" applyFill="1" applyAlignment="1">
      <alignment horizontal="right"/>
    </xf>
    <xf numFmtId="39" fontId="46" fillId="7" borderId="0" xfId="0" applyFont="1" applyFill="1" applyAlignment="1">
      <alignment horizontal="center"/>
    </xf>
    <xf numFmtId="39" fontId="46" fillId="7" borderId="0" xfId="0" applyFont="1" applyFill="1" applyAlignment="1">
      <alignment horizontal="center" wrapText="1"/>
    </xf>
    <xf numFmtId="10" fontId="45" fillId="7" borderId="0" xfId="4" applyNumberFormat="1" applyFont="1" applyFill="1"/>
    <xf numFmtId="39" fontId="47" fillId="7" borderId="0" xfId="0" applyFont="1" applyFill="1"/>
    <xf numFmtId="38" fontId="45" fillId="7" borderId="0" xfId="1" applyNumberFormat="1" applyFont="1" applyFill="1"/>
    <xf numFmtId="171" fontId="45" fillId="7" borderId="0" xfId="0" applyNumberFormat="1" applyFont="1" applyFill="1"/>
    <xf numFmtId="39" fontId="45" fillId="7" borderId="0" xfId="0" applyFont="1" applyFill="1" applyAlignment="1">
      <alignment horizontal="center"/>
    </xf>
    <xf numFmtId="40" fontId="45" fillId="7" borderId="0" xfId="1" applyNumberFormat="1" applyFont="1" applyFill="1"/>
    <xf numFmtId="171" fontId="45" fillId="7" borderId="0" xfId="0" applyNumberFormat="1" applyFont="1" applyFill="1" applyAlignment="1">
      <alignment horizontal="center"/>
    </xf>
    <xf numFmtId="39" fontId="15" fillId="7" borderId="1" xfId="0" applyFont="1" applyFill="1" applyBorder="1"/>
    <xf numFmtId="39" fontId="15" fillId="7" borderId="2" xfId="0" applyFont="1" applyFill="1" applyBorder="1"/>
    <xf numFmtId="39" fontId="15" fillId="7" borderId="7" xfId="0" applyFont="1" applyFill="1" applyBorder="1"/>
    <xf numFmtId="40" fontId="15" fillId="7" borderId="8" xfId="1" applyFont="1" applyFill="1" applyBorder="1"/>
    <xf numFmtId="39" fontId="15" fillId="7" borderId="4" xfId="0" applyFont="1" applyFill="1" applyBorder="1"/>
    <xf numFmtId="40" fontId="15" fillId="7" borderId="5" xfId="1" applyFont="1" applyFill="1" applyBorder="1"/>
    <xf numFmtId="0" fontId="48" fillId="0" borderId="0" xfId="69" applyFont="1" applyFill="1" applyBorder="1" applyAlignment="1">
      <alignment horizontal="center"/>
    </xf>
    <xf numFmtId="182" fontId="48" fillId="0" borderId="0" xfId="69" applyNumberFormat="1" applyFont="1" applyFill="1" applyBorder="1" applyAlignment="1">
      <alignment horizontal="left"/>
    </xf>
    <xf numFmtId="0" fontId="48" fillId="0" borderId="0" xfId="69" applyFont="1" applyFill="1" applyBorder="1"/>
    <xf numFmtId="183" fontId="48" fillId="0" borderId="0" xfId="69" applyNumberFormat="1" applyFont="1" applyFill="1" applyBorder="1" applyAlignment="1">
      <alignment horizontal="left"/>
    </xf>
    <xf numFmtId="43" fontId="48" fillId="0" borderId="0" xfId="74" applyFont="1" applyFill="1" applyBorder="1" applyAlignment="1">
      <alignment horizontal="center"/>
    </xf>
    <xf numFmtId="0" fontId="5" fillId="0" borderId="0" xfId="69" applyFont="1" applyBorder="1" applyAlignment="1">
      <alignment horizontal="center"/>
    </xf>
    <xf numFmtId="0" fontId="5" fillId="0" borderId="0" xfId="69" applyFont="1" applyBorder="1"/>
    <xf numFmtId="0" fontId="48" fillId="0" borderId="0" xfId="69" applyNumberFormat="1" applyFont="1" applyFill="1" applyBorder="1" applyAlignment="1">
      <alignment horizontal="center"/>
    </xf>
    <xf numFmtId="43" fontId="0" fillId="0" borderId="0" xfId="74" applyFont="1" applyFill="1" applyBorder="1" applyAlignment="1">
      <alignment horizontal="center"/>
    </xf>
    <xf numFmtId="0" fontId="46" fillId="7" borderId="1" xfId="0" applyNumberFormat="1" applyFont="1" applyFill="1" applyBorder="1"/>
    <xf numFmtId="39" fontId="45" fillId="7" borderId="2" xfId="0" applyFont="1" applyFill="1" applyBorder="1"/>
    <xf numFmtId="39" fontId="45" fillId="7" borderId="3" xfId="0" applyFont="1" applyFill="1" applyBorder="1"/>
    <xf numFmtId="39" fontId="45" fillId="7" borderId="4" xfId="0" applyFont="1" applyFill="1" applyBorder="1"/>
    <xf numFmtId="39" fontId="45" fillId="7" borderId="5" xfId="0" applyFont="1" applyFill="1" applyBorder="1"/>
    <xf numFmtId="39" fontId="45" fillId="7" borderId="6" xfId="0" applyFont="1" applyFill="1" applyBorder="1"/>
    <xf numFmtId="40" fontId="15" fillId="7" borderId="2" xfId="1" applyFont="1" applyFill="1" applyBorder="1"/>
    <xf numFmtId="40" fontId="15" fillId="7" borderId="3" xfId="1" applyFont="1" applyFill="1" applyBorder="1"/>
    <xf numFmtId="40" fontId="15" fillId="7" borderId="6" xfId="1" applyFont="1" applyFill="1" applyBorder="1"/>
    <xf numFmtId="0" fontId="46" fillId="7" borderId="10" xfId="0" applyNumberFormat="1" applyFont="1" applyFill="1" applyBorder="1"/>
    <xf numFmtId="39" fontId="45" fillId="7" borderId="11" xfId="0" applyFont="1" applyFill="1" applyBorder="1"/>
    <xf numFmtId="39" fontId="45" fillId="7" borderId="17" xfId="0" applyFont="1" applyFill="1" applyBorder="1"/>
    <xf numFmtId="0" fontId="45" fillId="7" borderId="0" xfId="0" applyNumberFormat="1" applyFont="1" applyFill="1"/>
    <xf numFmtId="0" fontId="45" fillId="7" borderId="2" xfId="0" applyNumberFormat="1" applyFont="1" applyFill="1" applyBorder="1"/>
    <xf numFmtId="0" fontId="15" fillId="7" borderId="2" xfId="0" applyNumberFormat="1" applyFont="1" applyFill="1" applyBorder="1"/>
    <xf numFmtId="0" fontId="15" fillId="7" borderId="0" xfId="0" applyNumberFormat="1" applyFont="1" applyFill="1" applyBorder="1"/>
    <xf numFmtId="0" fontId="15" fillId="7" borderId="5" xfId="0" applyNumberFormat="1" applyFont="1" applyFill="1" applyBorder="1"/>
    <xf numFmtId="0" fontId="45" fillId="7" borderId="5" xfId="0" applyNumberFormat="1" applyFont="1" applyFill="1" applyBorder="1"/>
    <xf numFmtId="0" fontId="45" fillId="7" borderId="11" xfId="0" applyNumberFormat="1" applyFont="1" applyFill="1" applyBorder="1"/>
    <xf numFmtId="39" fontId="5" fillId="0" borderId="0" xfId="69" applyNumberFormat="1" applyFont="1" applyAlignment="1"/>
    <xf numFmtId="0" fontId="31" fillId="0" borderId="0" xfId="0" applyNumberFormat="1" applyFont="1" applyFill="1" applyAlignment="1">
      <alignment horizontal="center"/>
    </xf>
    <xf numFmtId="0" fontId="16" fillId="0" borderId="0" xfId="0" applyNumberFormat="1" applyFont="1" applyFill="1" applyAlignment="1">
      <alignment horizontal="center"/>
    </xf>
    <xf numFmtId="39" fontId="46" fillId="7" borderId="0" xfId="0" applyFont="1" applyFill="1" applyAlignment="1"/>
    <xf numFmtId="40" fontId="45" fillId="7" borderId="0" xfId="0" applyNumberFormat="1" applyFont="1" applyFill="1"/>
    <xf numFmtId="39" fontId="15" fillId="0" borderId="0" xfId="0" applyFont="1" applyFill="1" applyBorder="1" applyAlignment="1">
      <alignment horizontal="center"/>
    </xf>
    <xf numFmtId="39" fontId="49" fillId="7" borderId="29" xfId="73" applyNumberFormat="1" applyFont="1" applyFill="1"/>
    <xf numFmtId="37" fontId="49" fillId="7" borderId="29" xfId="73" applyNumberFormat="1" applyFont="1" applyFill="1"/>
    <xf numFmtId="37" fontId="45" fillId="7" borderId="0" xfId="0" applyNumberFormat="1" applyFont="1" applyFill="1"/>
    <xf numFmtId="0" fontId="50" fillId="7" borderId="1" xfId="0" applyNumberFormat="1" applyFont="1" applyFill="1" applyBorder="1"/>
    <xf numFmtId="7" fontId="0" fillId="0" borderId="0" xfId="1" applyNumberFormat="1" applyFont="1"/>
    <xf numFmtId="39" fontId="48" fillId="0" borderId="0" xfId="0" applyNumberFormat="1" applyFont="1" applyFill="1"/>
    <xf numFmtId="39" fontId="0" fillId="0" borderId="27" xfId="0" applyBorder="1" applyAlignment="1">
      <alignment horizontal="center"/>
    </xf>
    <xf numFmtId="39" fontId="0" fillId="0" borderId="27" xfId="0" applyBorder="1" applyAlignment="1">
      <alignment horizontal="center"/>
    </xf>
    <xf numFmtId="39" fontId="0" fillId="0" borderId="0" xfId="0"/>
    <xf numFmtId="39" fontId="0" fillId="0" borderId="27" xfId="0" applyBorder="1" applyAlignment="1">
      <alignment horizontal="center"/>
    </xf>
    <xf numFmtId="39" fontId="42" fillId="0" borderId="0" xfId="0" applyNumberFormat="1" applyFont="1" applyAlignment="1">
      <alignment horizontal="right"/>
    </xf>
    <xf numFmtId="39" fontId="53" fillId="0" borderId="0" xfId="0" applyFont="1"/>
    <xf numFmtId="39" fontId="53" fillId="0" borderId="0" xfId="0" applyFont="1" applyFill="1"/>
    <xf numFmtId="39" fontId="47" fillId="0" borderId="0" xfId="0" applyFont="1" applyFill="1"/>
    <xf numFmtId="0" fontId="15" fillId="0" borderId="5" xfId="0" applyNumberFormat="1" applyFont="1" applyFill="1" applyBorder="1"/>
    <xf numFmtId="39" fontId="3" fillId="0" borderId="0" xfId="69" applyNumberFormat="1" applyFont="1" applyAlignment="1"/>
    <xf numFmtId="39" fontId="45" fillId="0" borderId="0" xfId="0" applyFont="1" applyFill="1"/>
    <xf numFmtId="39" fontId="45" fillId="7" borderId="0" xfId="0" applyFont="1" applyFill="1" applyBorder="1"/>
    <xf numFmtId="0" fontId="45" fillId="7" borderId="0" xfId="0" applyNumberFormat="1" applyFont="1" applyFill="1" applyBorder="1"/>
    <xf numFmtId="37" fontId="45" fillId="0" borderId="0" xfId="0" applyNumberFormat="1" applyFont="1" applyFill="1"/>
    <xf numFmtId="38" fontId="45" fillId="0" borderId="0" xfId="1" applyNumberFormat="1" applyFont="1" applyFill="1"/>
    <xf numFmtId="171" fontId="45" fillId="0" borderId="0" xfId="0" applyNumberFormat="1" applyFont="1" applyFill="1"/>
    <xf numFmtId="39" fontId="45" fillId="0" borderId="0" xfId="0" applyFont="1" applyFill="1" applyAlignment="1">
      <alignment horizontal="right"/>
    </xf>
    <xf numFmtId="44" fontId="27" fillId="0" borderId="9" xfId="0" applyNumberFormat="1" applyFont="1" applyFill="1" applyBorder="1"/>
    <xf numFmtId="178" fontId="15" fillId="0" borderId="0" xfId="2" applyNumberFormat="1" applyFont="1" applyFill="1" applyBorder="1"/>
    <xf numFmtId="8" fontId="27" fillId="0" borderId="0" xfId="0" applyNumberFormat="1" applyFont="1" applyFill="1" applyBorder="1"/>
    <xf numFmtId="8" fontId="27" fillId="0" borderId="9" xfId="0" applyNumberFormat="1" applyFont="1" applyFill="1" applyBorder="1"/>
    <xf numFmtId="44" fontId="27" fillId="11" borderId="0" xfId="0" applyNumberFormat="1" applyFont="1" applyFill="1" applyBorder="1"/>
    <xf numFmtId="44" fontId="27" fillId="11" borderId="9" xfId="0" applyNumberFormat="1" applyFont="1" applyFill="1" applyBorder="1"/>
    <xf numFmtId="38" fontId="27" fillId="11" borderId="0" xfId="1" applyNumberFormat="1" applyFont="1" applyFill="1" applyBorder="1" applyProtection="1"/>
    <xf numFmtId="38" fontId="27" fillId="12" borderId="0" xfId="1" applyNumberFormat="1" applyFont="1" applyFill="1" applyBorder="1" applyProtection="1"/>
    <xf numFmtId="39" fontId="46" fillId="7" borderId="0" xfId="0" applyFont="1" applyFill="1" applyBorder="1"/>
    <xf numFmtId="38" fontId="45" fillId="7" borderId="0" xfId="1" applyNumberFormat="1" applyFont="1" applyFill="1" applyBorder="1"/>
    <xf numFmtId="44" fontId="16" fillId="0" borderId="0" xfId="0" applyNumberFormat="1" applyFont="1" applyFill="1" applyBorder="1"/>
    <xf numFmtId="39" fontId="15" fillId="0" borderId="0" xfId="0" applyFont="1" applyFill="1" applyBorder="1" applyAlignment="1">
      <alignment horizontal="center"/>
    </xf>
    <xf numFmtId="44" fontId="27" fillId="12" borderId="0" xfId="0" applyNumberFormat="1" applyFont="1" applyFill="1" applyBorder="1"/>
    <xf numFmtId="44" fontId="27" fillId="12" borderId="9" xfId="0" applyNumberFormat="1" applyFont="1" applyFill="1" applyBorder="1"/>
    <xf numFmtId="10" fontId="45" fillId="0" borderId="0" xfId="4" applyNumberFormat="1" applyFont="1" applyFill="1"/>
    <xf numFmtId="0" fontId="46" fillId="0" borderId="0" xfId="0" applyNumberFormat="1" applyFont="1" applyFill="1"/>
    <xf numFmtId="38" fontId="15" fillId="0" borderId="9" xfId="1" applyNumberFormat="1" applyFont="1" applyFill="1" applyBorder="1" applyProtection="1"/>
    <xf numFmtId="39" fontId="15" fillId="0" borderId="0" xfId="0" applyFont="1" applyFill="1" applyBorder="1" applyAlignment="1">
      <alignment horizontal="center"/>
    </xf>
    <xf numFmtId="39" fontId="45" fillId="13" borderId="0" xfId="0" applyFont="1" applyFill="1"/>
    <xf numFmtId="39" fontId="45" fillId="12" borderId="0" xfId="0" applyFont="1" applyFill="1"/>
    <xf numFmtId="39" fontId="47" fillId="10" borderId="0" xfId="0" applyFont="1" applyFill="1"/>
    <xf numFmtId="39" fontId="15" fillId="0" borderId="0" xfId="0" applyFont="1" applyFill="1" applyBorder="1" applyAlignment="1">
      <alignment horizontal="center"/>
    </xf>
    <xf numFmtId="44" fontId="16" fillId="11" borderId="0" xfId="0" applyNumberFormat="1" applyFont="1" applyFill="1" applyBorder="1"/>
    <xf numFmtId="44" fontId="15" fillId="11" borderId="0" xfId="0" applyNumberFormat="1" applyFont="1" applyFill="1" applyBorder="1"/>
    <xf numFmtId="38" fontId="15" fillId="11" borderId="0" xfId="1" applyNumberFormat="1" applyFont="1" applyFill="1" applyBorder="1" applyProtection="1"/>
    <xf numFmtId="38" fontId="27" fillId="11" borderId="9" xfId="1" applyNumberFormat="1" applyFont="1" applyFill="1" applyBorder="1" applyProtection="1"/>
    <xf numFmtId="44" fontId="15" fillId="11" borderId="8" xfId="2" applyNumberFormat="1" applyFont="1" applyFill="1" applyBorder="1"/>
    <xf numFmtId="39" fontId="45" fillId="15" borderId="0" xfId="0" applyFont="1" applyFill="1"/>
    <xf numFmtId="39" fontId="49" fillId="7" borderId="31" xfId="73" applyNumberFormat="1" applyFont="1" applyFill="1" applyBorder="1"/>
    <xf numFmtId="39" fontId="45" fillId="13" borderId="32" xfId="0" applyFont="1" applyFill="1" applyBorder="1"/>
    <xf numFmtId="39" fontId="45" fillId="12" borderId="33" xfId="0" applyFont="1" applyFill="1" applyBorder="1"/>
    <xf numFmtId="39" fontId="45" fillId="10" borderId="33" xfId="0" applyFont="1" applyFill="1" applyBorder="1"/>
    <xf numFmtId="39" fontId="45" fillId="14" borderId="34" xfId="0" applyFont="1" applyFill="1" applyBorder="1"/>
    <xf numFmtId="39" fontId="45" fillId="15" borderId="30" xfId="0" applyFont="1" applyFill="1" applyBorder="1"/>
    <xf numFmtId="39" fontId="49" fillId="0" borderId="29" xfId="73" applyNumberFormat="1" applyFont="1" applyFill="1"/>
    <xf numFmtId="10" fontId="16" fillId="11" borderId="0" xfId="4" applyNumberFormat="1" applyFont="1" applyFill="1" applyAlignment="1">
      <alignment horizontal="center"/>
    </xf>
    <xf numFmtId="171" fontId="45" fillId="11" borderId="0" xfId="0" applyNumberFormat="1" applyFont="1" applyFill="1" applyAlignment="1">
      <alignment horizontal="center"/>
    </xf>
    <xf numFmtId="10" fontId="45" fillId="11" borderId="0" xfId="4" applyNumberFormat="1" applyFont="1" applyFill="1"/>
    <xf numFmtId="171" fontId="31" fillId="11" borderId="0" xfId="0" applyNumberFormat="1" applyFont="1" applyFill="1" applyBorder="1" applyAlignment="1" applyProtection="1">
      <alignment horizontal="center"/>
      <protection locked="0"/>
    </xf>
    <xf numFmtId="37" fontId="45" fillId="11" borderId="0" xfId="0" applyNumberFormat="1" applyFont="1" applyFill="1"/>
    <xf numFmtId="38" fontId="45" fillId="11" borderId="0" xfId="1" applyNumberFormat="1" applyFont="1" applyFill="1"/>
    <xf numFmtId="39" fontId="45" fillId="7" borderId="10" xfId="0"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7" fontId="31" fillId="12" borderId="0" xfId="0" applyNumberFormat="1" applyFont="1" applyFill="1" applyBorder="1"/>
    <xf numFmtId="38" fontId="15" fillId="12" borderId="0" xfId="1" applyNumberFormat="1" applyFont="1" applyFill="1" applyBorder="1" applyProtection="1"/>
    <xf numFmtId="38" fontId="27" fillId="12" borderId="9" xfId="1" applyNumberFormat="1" applyFont="1" applyFill="1" applyBorder="1" applyProtection="1"/>
    <xf numFmtId="7" fontId="31" fillId="0" borderId="0" xfId="0" applyNumberFormat="1"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39" fontId="45" fillId="10" borderId="0" xfId="0" applyFont="1" applyFill="1"/>
    <xf numFmtId="39" fontId="45" fillId="14" borderId="0" xfId="0" applyFont="1" applyFill="1"/>
    <xf numFmtId="39" fontId="45" fillId="13" borderId="33" xfId="0" applyFont="1" applyFill="1" applyBorder="1"/>
    <xf numFmtId="39" fontId="47" fillId="15" borderId="0" xfId="0" applyFont="1" applyFill="1"/>
    <xf numFmtId="39" fontId="45" fillId="15" borderId="33" xfId="0"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0" fontId="54" fillId="7" borderId="11" xfId="0" applyNumberFormat="1" applyFont="1" applyFill="1" applyBorder="1"/>
    <xf numFmtId="37" fontId="49" fillId="0" borderId="29" xfId="73" applyNumberFormat="1" applyFont="1" applyFill="1"/>
    <xf numFmtId="39" fontId="46" fillId="0" borderId="0" xfId="0" applyFont="1" applyFill="1" applyAlignment="1"/>
    <xf numFmtId="39" fontId="45" fillId="10" borderId="0" xfId="0" applyFont="1" applyFill="1" applyBorder="1"/>
    <xf numFmtId="39" fontId="45" fillId="6" borderId="0" xfId="0" applyFont="1" applyFill="1"/>
    <xf numFmtId="39" fontId="15" fillId="0" borderId="0" xfId="0" applyFont="1" applyFill="1" applyBorder="1" applyAlignment="1">
      <alignment horizontal="center"/>
    </xf>
    <xf numFmtId="171" fontId="31" fillId="12" borderId="0" xfId="0" applyNumberFormat="1" applyFont="1" applyFill="1" applyBorder="1" applyAlignment="1" applyProtection="1">
      <alignment horizontal="center"/>
      <protection locked="0"/>
    </xf>
    <xf numFmtId="171" fontId="45" fillId="11" borderId="0" xfId="0" applyNumberFormat="1" applyFont="1" applyFill="1" applyAlignment="1">
      <alignment horizontal="right"/>
    </xf>
    <xf numFmtId="171" fontId="45" fillId="0" borderId="0" xfId="0" applyNumberFormat="1" applyFont="1" applyFill="1" applyAlignment="1">
      <alignment horizontal="right"/>
    </xf>
    <xf numFmtId="39" fontId="15" fillId="0" borderId="0" xfId="0" applyFont="1" applyFill="1" applyBorder="1" applyAlignment="1">
      <alignment horizontal="center"/>
    </xf>
    <xf numFmtId="39" fontId="15" fillId="0" borderId="0" xfId="0" applyFont="1" applyFill="1" applyBorder="1" applyAlignment="1">
      <alignment horizontal="center"/>
    </xf>
    <xf numFmtId="164" fontId="55" fillId="0" borderId="0" xfId="93" applyNumberFormat="1" applyFont="1" applyAlignment="1">
      <alignment horizontal="left"/>
    </xf>
    <xf numFmtId="0" fontId="15" fillId="0" borderId="0" xfId="93" applyFont="1"/>
    <xf numFmtId="39" fontId="45" fillId="0" borderId="0" xfId="137" applyFont="1" applyFill="1" applyBorder="1"/>
    <xf numFmtId="164" fontId="56" fillId="0" borderId="0" xfId="93" applyNumberFormat="1" applyFont="1" applyAlignment="1">
      <alignment horizontal="left"/>
    </xf>
    <xf numFmtId="0" fontId="21" fillId="0" borderId="0" xfId="93"/>
    <xf numFmtId="39" fontId="14" fillId="0" borderId="0" xfId="137" applyFill="1" applyBorder="1"/>
    <xf numFmtId="0" fontId="57" fillId="0" borderId="0" xfId="138" applyFont="1" applyFill="1" applyBorder="1"/>
    <xf numFmtId="0" fontId="1" fillId="0" borderId="0" xfId="138"/>
    <xf numFmtId="0" fontId="1" fillId="0" borderId="0" xfId="138" applyFill="1" applyBorder="1"/>
    <xf numFmtId="184" fontId="21" fillId="0" borderId="0" xfId="138" applyNumberFormat="1" applyFont="1" applyFill="1" applyBorder="1" applyAlignment="1"/>
    <xf numFmtId="0" fontId="15" fillId="0" borderId="0" xfId="138" applyFont="1"/>
    <xf numFmtId="0" fontId="58" fillId="0" borderId="32" xfId="138" applyFont="1" applyBorder="1" applyAlignment="1">
      <alignment horizontal="center" wrapText="1"/>
    </xf>
    <xf numFmtId="0" fontId="58" fillId="0" borderId="30" xfId="138" applyFont="1" applyBorder="1" applyAlignment="1">
      <alignment horizontal="center" wrapText="1"/>
    </xf>
    <xf numFmtId="0" fontId="58" fillId="0" borderId="0" xfId="138" applyFont="1" applyFill="1" applyBorder="1" applyAlignment="1">
      <alignment horizontal="center" wrapText="1"/>
    </xf>
    <xf numFmtId="0" fontId="58" fillId="0" borderId="34" xfId="138" applyFont="1" applyBorder="1" applyAlignment="1">
      <alignment horizontal="center" wrapText="1"/>
    </xf>
    <xf numFmtId="0" fontId="58" fillId="16" borderId="30" xfId="138" applyFont="1" applyFill="1" applyBorder="1" applyAlignment="1">
      <alignment horizontal="center" wrapText="1"/>
    </xf>
    <xf numFmtId="14" fontId="58" fillId="0" borderId="30" xfId="138" quotePrefix="1" applyNumberFormat="1" applyFont="1" applyFill="1" applyBorder="1" applyAlignment="1">
      <alignment horizontal="right"/>
    </xf>
    <xf numFmtId="43" fontId="59" fillId="0" borderId="30" xfId="139" applyFont="1" applyFill="1" applyBorder="1"/>
    <xf numFmtId="43" fontId="59" fillId="16" borderId="30" xfId="139" applyFont="1" applyFill="1" applyBorder="1"/>
    <xf numFmtId="43" fontId="60" fillId="16" borderId="30" xfId="139" applyFont="1" applyFill="1" applyBorder="1"/>
    <xf numFmtId="165" fontId="61" fillId="8" borderId="30" xfId="140" applyNumberFormat="1" applyFont="1" applyFill="1" applyBorder="1"/>
    <xf numFmtId="165" fontId="61" fillId="0" borderId="0" xfId="140" applyNumberFormat="1" applyFont="1" applyFill="1" applyBorder="1"/>
    <xf numFmtId="43" fontId="61" fillId="8" borderId="30" xfId="139" applyFont="1" applyFill="1" applyBorder="1"/>
    <xf numFmtId="43" fontId="61" fillId="0" borderId="0" xfId="139" applyFont="1" applyFill="1" applyBorder="1"/>
    <xf numFmtId="14" fontId="58" fillId="0" borderId="35" xfId="138" quotePrefix="1" applyNumberFormat="1" applyFont="1" applyFill="1" applyBorder="1" applyAlignment="1">
      <alignment horizontal="right"/>
    </xf>
    <xf numFmtId="165" fontId="61" fillId="8" borderId="35" xfId="140" applyNumberFormat="1" applyFont="1" applyFill="1" applyBorder="1"/>
    <xf numFmtId="43" fontId="61" fillId="8" borderId="35" xfId="139" applyFont="1" applyFill="1" applyBorder="1"/>
    <xf numFmtId="43" fontId="59" fillId="0" borderId="35" xfId="139" applyFont="1" applyFill="1" applyBorder="1"/>
    <xf numFmtId="43" fontId="59" fillId="16" borderId="35" xfId="139" applyFont="1" applyFill="1" applyBorder="1"/>
    <xf numFmtId="43" fontId="60" fillId="16" borderId="35" xfId="139" applyFont="1" applyFill="1" applyBorder="1"/>
    <xf numFmtId="14" fontId="58" fillId="0" borderId="34" xfId="138" quotePrefix="1" applyNumberFormat="1" applyFont="1" applyFill="1" applyBorder="1" applyAlignment="1">
      <alignment horizontal="right"/>
    </xf>
    <xf numFmtId="165" fontId="61" fillId="8" borderId="34" xfId="140" applyNumberFormat="1" applyFont="1" applyFill="1" applyBorder="1"/>
    <xf numFmtId="43" fontId="61" fillId="8" borderId="34" xfId="139" applyFont="1" applyFill="1" applyBorder="1"/>
    <xf numFmtId="43" fontId="59" fillId="0" borderId="34" xfId="139" applyFont="1" applyFill="1" applyBorder="1"/>
    <xf numFmtId="0" fontId="21" fillId="0" borderId="0" xfId="138" applyFont="1" applyFill="1" applyBorder="1"/>
    <xf numFmtId="43" fontId="21" fillId="0" borderId="0" xfId="139" applyFont="1" applyFill="1" applyBorder="1"/>
    <xf numFmtId="1" fontId="15" fillId="0" borderId="0" xfId="63" applyNumberFormat="1" applyFont="1" applyFill="1" applyBorder="1" applyAlignment="1">
      <alignment horizontal="left"/>
    </xf>
    <xf numFmtId="0" fontId="1" fillId="0" borderId="0" xfId="138" applyFont="1"/>
    <xf numFmtId="43" fontId="15" fillId="0" borderId="0" xfId="138" applyNumberFormat="1" applyFont="1"/>
    <xf numFmtId="0" fontId="58" fillId="16" borderId="34" xfId="138" applyFont="1" applyFill="1" applyBorder="1" applyAlignment="1">
      <alignment horizontal="center" wrapText="1"/>
    </xf>
    <xf numFmtId="0" fontId="58" fillId="0" borderId="0" xfId="138" applyFont="1" applyFill="1" applyBorder="1" applyAlignment="1"/>
    <xf numFmtId="0" fontId="58" fillId="0" borderId="9" xfId="138" applyFont="1" applyFill="1" applyBorder="1" applyAlignment="1"/>
    <xf numFmtId="184" fontId="21" fillId="0" borderId="9" xfId="138" applyNumberFormat="1" applyFont="1" applyFill="1" applyBorder="1" applyAlignment="1"/>
    <xf numFmtId="40" fontId="59" fillId="0" borderId="0" xfId="1" applyFont="1"/>
    <xf numFmtId="171" fontId="31" fillId="6" borderId="0" xfId="0" applyNumberFormat="1" applyFont="1" applyFill="1" applyBorder="1" applyAlignment="1" applyProtection="1">
      <alignment horizontal="center"/>
      <protection locked="0"/>
    </xf>
    <xf numFmtId="39" fontId="15" fillId="0" borderId="0" xfId="0" applyFont="1" applyFill="1" applyBorder="1" applyAlignment="1">
      <alignment horizontal="center"/>
    </xf>
    <xf numFmtId="44" fontId="16" fillId="12" borderId="0" xfId="0" applyNumberFormat="1" applyFont="1" applyFill="1" applyBorder="1"/>
    <xf numFmtId="39" fontId="45" fillId="17" borderId="1" xfId="0" applyFont="1" applyFill="1" applyBorder="1"/>
    <xf numFmtId="39" fontId="45" fillId="17" borderId="2" xfId="0" applyFont="1" applyFill="1" applyBorder="1"/>
    <xf numFmtId="39" fontId="45" fillId="17" borderId="3" xfId="0" applyFont="1" applyFill="1" applyBorder="1"/>
    <xf numFmtId="39" fontId="45" fillId="10" borderId="7" xfId="0" applyFont="1" applyFill="1" applyBorder="1"/>
    <xf numFmtId="39" fontId="45" fillId="10" borderId="8" xfId="0" applyFont="1" applyFill="1" applyBorder="1"/>
    <xf numFmtId="39" fontId="47" fillId="14" borderId="4" xfId="0" applyFont="1" applyFill="1" applyBorder="1"/>
    <xf numFmtId="39" fontId="47" fillId="14" borderId="5" xfId="0" applyFont="1" applyFill="1" applyBorder="1"/>
    <xf numFmtId="39" fontId="47" fillId="14" borderId="6" xfId="0" applyFont="1" applyFill="1" applyBorder="1"/>
    <xf numFmtId="39" fontId="45" fillId="17" borderId="0" xfId="0" applyFont="1" applyFill="1"/>
    <xf numFmtId="44" fontId="15" fillId="12" borderId="8" xfId="2" applyNumberFormat="1" applyFont="1" applyFill="1" applyBorder="1"/>
    <xf numFmtId="39" fontId="11" fillId="0" borderId="0" xfId="0" applyFont="1" applyAlignment="1">
      <alignment horizontal="center"/>
    </xf>
    <xf numFmtId="39" fontId="32" fillId="0" borderId="0" xfId="0" applyFont="1" applyAlignment="1">
      <alignment horizontal="center"/>
    </xf>
    <xf numFmtId="39" fontId="0" fillId="0" borderId="0" xfId="0" applyAlignment="1">
      <alignment horizontal="center"/>
    </xf>
    <xf numFmtId="39" fontId="33" fillId="0" borderId="0" xfId="0" applyFont="1" applyAlignment="1">
      <alignment horizontal="center"/>
    </xf>
    <xf numFmtId="0" fontId="58" fillId="0" borderId="10" xfId="138" applyFont="1" applyFill="1" applyBorder="1" applyAlignment="1">
      <alignment horizontal="center"/>
    </xf>
    <xf numFmtId="0" fontId="58" fillId="0" borderId="11" xfId="138" applyFont="1" applyFill="1" applyBorder="1" applyAlignment="1">
      <alignment horizontal="center"/>
    </xf>
    <xf numFmtId="0" fontId="58" fillId="0" borderId="17" xfId="138" applyFont="1" applyFill="1" applyBorder="1" applyAlignment="1">
      <alignment horizontal="center"/>
    </xf>
    <xf numFmtId="39" fontId="15" fillId="0" borderId="0" xfId="0" applyFont="1" applyFill="1" applyBorder="1" applyAlignment="1">
      <alignment horizontal="center"/>
    </xf>
    <xf numFmtId="39" fontId="15" fillId="0" borderId="8" xfId="0" applyFont="1" applyFill="1" applyBorder="1" applyAlignment="1">
      <alignment horizontal="center"/>
    </xf>
    <xf numFmtId="39" fontId="16" fillId="0" borderId="10" xfId="0" applyFont="1" applyFill="1" applyBorder="1" applyAlignment="1">
      <alignment horizontal="center"/>
    </xf>
    <xf numFmtId="39" fontId="16" fillId="0" borderId="11" xfId="0" applyFont="1" applyFill="1" applyBorder="1" applyAlignment="1">
      <alignment horizontal="center"/>
    </xf>
    <xf numFmtId="39" fontId="16" fillId="0" borderId="17" xfId="0" applyFont="1" applyFill="1" applyBorder="1" applyAlignment="1">
      <alignment horizontal="center"/>
    </xf>
    <xf numFmtId="164" fontId="16" fillId="6" borderId="0" xfId="0" applyNumberFormat="1" applyFont="1" applyFill="1" applyAlignment="1">
      <alignment horizontal="center"/>
    </xf>
    <xf numFmtId="39" fontId="16" fillId="0" borderId="18" xfId="6" applyNumberFormat="1" applyFont="1" applyBorder="1" applyAlignment="1">
      <alignment horizontal="left"/>
    </xf>
    <xf numFmtId="39" fontId="16" fillId="0" borderId="19" xfId="6" applyNumberFormat="1" applyFont="1" applyBorder="1" applyAlignment="1">
      <alignment horizontal="left"/>
    </xf>
    <xf numFmtId="39" fontId="16" fillId="0" borderId="20" xfId="6" applyNumberFormat="1" applyFont="1" applyBorder="1" applyAlignment="1">
      <alignment horizontal="left"/>
    </xf>
    <xf numFmtId="39" fontId="15" fillId="0" borderId="2" xfId="0" applyFont="1" applyFill="1" applyBorder="1" applyAlignment="1">
      <alignment horizontal="left" vertical="top" wrapText="1"/>
    </xf>
    <xf numFmtId="39" fontId="15" fillId="0" borderId="0" xfId="0" applyFont="1" applyFill="1" applyAlignment="1">
      <alignment horizontal="left" vertical="top" wrapText="1"/>
    </xf>
  </cellXfs>
  <cellStyles count="144">
    <cellStyle name="Comma" xfId="1" builtinId="3"/>
    <cellStyle name="Comma 2" xfId="8"/>
    <cellStyle name="Comma 2 2" xfId="43"/>
    <cellStyle name="Comma 2 3" xfId="55"/>
    <cellStyle name="Comma 3" xfId="5"/>
    <cellStyle name="Comma 3 2" xfId="64"/>
    <cellStyle name="Comma 4" xfId="9"/>
    <cellStyle name="Comma 4 2" xfId="44"/>
    <cellStyle name="Comma 4 2 2" xfId="84"/>
    <cellStyle name="Comma 4 2 2 2" xfId="126"/>
    <cellStyle name="Comma 4 2 3" xfId="105"/>
    <cellStyle name="Comma 4 3" xfId="75"/>
    <cellStyle name="Comma 4 3 2" xfId="117"/>
    <cellStyle name="Comma 4 4" xfId="96"/>
    <cellStyle name="Comma 4 5" xfId="139"/>
    <cellStyle name="Comma 5" xfId="10"/>
    <cellStyle name="Comma 5 2" xfId="142"/>
    <cellStyle name="Comma 6" xfId="70"/>
    <cellStyle name="Comma 6 2" xfId="74"/>
    <cellStyle name="Comma 6 2 2" xfId="116"/>
    <cellStyle name="Comma 6 3" xfId="95"/>
    <cellStyle name="Comma 6 3 2" xfId="136"/>
    <cellStyle name="Comma 6 4" xfId="115"/>
    <cellStyle name="Comma0" xfId="11"/>
    <cellStyle name="Currency" xfId="2" builtinId="4"/>
    <cellStyle name="Currency 2" xfId="7"/>
    <cellStyle name="Currency 2 2" xfId="57"/>
    <cellStyle name="Currency 2 3" xfId="56"/>
    <cellStyle name="Currency 3" xfId="12"/>
    <cellStyle name="Currency 3 2" xfId="66"/>
    <cellStyle name="Currency 3 3" xfId="58"/>
    <cellStyle name="Currency 4" xfId="13"/>
    <cellStyle name="Currency 4 2" xfId="14"/>
    <cellStyle name="Currency 4 2 2" xfId="46"/>
    <cellStyle name="Currency 4 2 2 2" xfId="86"/>
    <cellStyle name="Currency 4 2 2 2 2" xfId="128"/>
    <cellStyle name="Currency 4 2 2 3" xfId="107"/>
    <cellStyle name="Currency 4 2 3" xfId="77"/>
    <cellStyle name="Currency 4 2 3 2" xfId="119"/>
    <cellStyle name="Currency 4 2 4" xfId="98"/>
    <cellStyle name="Currency 4 3" xfId="45"/>
    <cellStyle name="Currency 4 3 2" xfId="85"/>
    <cellStyle name="Currency 4 3 2 2" xfId="127"/>
    <cellStyle name="Currency 4 3 3" xfId="106"/>
    <cellStyle name="Currency 4 4" xfId="68"/>
    <cellStyle name="Currency 4 5" xfId="76"/>
    <cellStyle name="Currency 4 5 2" xfId="118"/>
    <cellStyle name="Currency 4 6" xfId="97"/>
    <cellStyle name="Currency 5" xfId="15"/>
    <cellStyle name="Currency 6" xfId="16"/>
    <cellStyle name="Currency 6 2" xfId="17"/>
    <cellStyle name="Currency 7" xfId="18"/>
    <cellStyle name="Currency 7 2" xfId="47"/>
    <cellStyle name="Currency 7 2 2" xfId="87"/>
    <cellStyle name="Currency 7 2 2 2" xfId="129"/>
    <cellStyle name="Currency 7 2 3" xfId="108"/>
    <cellStyle name="Currency 7 3" xfId="78"/>
    <cellStyle name="Currency 7 3 2" xfId="120"/>
    <cellStyle name="Currency 7 4" xfId="99"/>
    <cellStyle name="Currency 8" xfId="71"/>
    <cellStyle name="Currency0" xfId="19"/>
    <cellStyle name="Date" xfId="20"/>
    <cellStyle name="Fixed" xfId="21"/>
    <cellStyle name="Manual-Input" xfId="3"/>
    <cellStyle name="Normal" xfId="0" builtinId="0"/>
    <cellStyle name="Normal 10" xfId="42"/>
    <cellStyle name="Normal 11" xfId="54"/>
    <cellStyle name="Normal 11 2" xfId="93"/>
    <cellStyle name="Normal 12" xfId="69"/>
    <cellStyle name="Normal 12 2" xfId="94"/>
    <cellStyle name="Normal 12 2 2" xfId="135"/>
    <cellStyle name="Normal 12 3" xfId="114"/>
    <cellStyle name="Normal 2" xfId="6"/>
    <cellStyle name="Normal 2 2" xfId="41"/>
    <cellStyle name="Normal 2 3" xfId="59"/>
    <cellStyle name="Normal 3" xfId="22"/>
    <cellStyle name="Normal 3 2" xfId="65"/>
    <cellStyle name="Normal 4" xfId="23"/>
    <cellStyle name="Normal 4 2" xfId="63"/>
    <cellStyle name="Normal 5" xfId="24"/>
    <cellStyle name="Normal 5 2" xfId="138"/>
    <cellStyle name="Normal 6" xfId="25"/>
    <cellStyle name="Normal 6 2" xfId="26"/>
    <cellStyle name="Normal 6 3" xfId="141"/>
    <cellStyle name="Normal 7" xfId="27"/>
    <cellStyle name="Normal 7 2" xfId="48"/>
    <cellStyle name="Normal 7 2 2" xfId="88"/>
    <cellStyle name="Normal 7 2 2 2" xfId="130"/>
    <cellStyle name="Normal 7 2 3" xfId="109"/>
    <cellStyle name="Normal 7 3" xfId="79"/>
    <cellStyle name="Normal 7 3 2" xfId="121"/>
    <cellStyle name="Normal 7 4" xfId="100"/>
    <cellStyle name="Normal 8" xfId="28"/>
    <cellStyle name="Normal 9" xfId="40"/>
    <cellStyle name="Normal 9 2" xfId="53"/>
    <cellStyle name="Normal_02-06 WA-Id Deferral &amp; Amort" xfId="137"/>
    <cellStyle name="Percent" xfId="4" builtinId="5"/>
    <cellStyle name="Percent 10" xfId="72"/>
    <cellStyle name="Percent 2" xfId="29"/>
    <cellStyle name="Percent 2 2" xfId="61"/>
    <cellStyle name="Percent 2 3" xfId="60"/>
    <cellStyle name="Percent 2 4" xfId="140"/>
    <cellStyle name="Percent 3" xfId="30"/>
    <cellStyle name="Percent 3 2" xfId="67"/>
    <cellStyle name="Percent 3 3" xfId="62"/>
    <cellStyle name="Percent 3 4" xfId="143"/>
    <cellStyle name="Percent 4" xfId="31"/>
    <cellStyle name="Percent 5" xfId="32"/>
    <cellStyle name="Percent 5 2" xfId="33"/>
    <cellStyle name="Percent 5 2 2" xfId="34"/>
    <cellStyle name="Percent 5 2 2 2" xfId="51"/>
    <cellStyle name="Percent 5 2 2 2 2" xfId="91"/>
    <cellStyle name="Percent 5 2 2 2 2 2" xfId="133"/>
    <cellStyle name="Percent 5 2 2 2 3" xfId="112"/>
    <cellStyle name="Percent 5 2 2 3" xfId="82"/>
    <cellStyle name="Percent 5 2 2 3 2" xfId="124"/>
    <cellStyle name="Percent 5 2 2 4" xfId="103"/>
    <cellStyle name="Percent 5 2 3" xfId="50"/>
    <cellStyle name="Percent 5 2 3 2" xfId="90"/>
    <cellStyle name="Percent 5 2 3 2 2" xfId="132"/>
    <cellStyle name="Percent 5 2 3 3" xfId="111"/>
    <cellStyle name="Percent 5 2 4" xfId="81"/>
    <cellStyle name="Percent 5 2 4 2" xfId="123"/>
    <cellStyle name="Percent 5 2 5" xfId="102"/>
    <cellStyle name="Percent 5 3" xfId="49"/>
    <cellStyle name="Percent 5 3 2" xfId="89"/>
    <cellStyle name="Percent 5 3 2 2" xfId="131"/>
    <cellStyle name="Percent 5 3 3" xfId="110"/>
    <cellStyle name="Percent 5 4" xfId="80"/>
    <cellStyle name="Percent 5 4 2" xfId="122"/>
    <cellStyle name="Percent 5 5" xfId="101"/>
    <cellStyle name="Percent 6" xfId="35"/>
    <cellStyle name="Percent 7" xfId="36"/>
    <cellStyle name="Percent 7 2" xfId="37"/>
    <cellStyle name="Percent 8" xfId="38"/>
    <cellStyle name="Percent 8 2" xfId="52"/>
    <cellStyle name="Percent 8 2 2" xfId="92"/>
    <cellStyle name="Percent 8 2 2 2" xfId="134"/>
    <cellStyle name="Percent 8 2 3" xfId="113"/>
    <cellStyle name="Percent 8 3" xfId="83"/>
    <cellStyle name="Percent 8 3 2" xfId="125"/>
    <cellStyle name="Percent 8 4" xfId="104"/>
    <cellStyle name="Percent 9" xfId="39"/>
    <cellStyle name="Total" xfId="73" builtinId="25"/>
  </cellStyles>
  <dxfs count="295">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CC66"/>
      <color rgb="FF66FF33"/>
      <color rgb="FF0000FF"/>
      <color rgb="FF008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customXml" Target="../customXml/item10.xml"/><Relationship Id="rId47" Type="http://schemas.openxmlformats.org/officeDocument/2006/relationships/customXml" Target="../customXml/item15.xml"/><Relationship Id="rId63" Type="http://schemas.openxmlformats.org/officeDocument/2006/relationships/customXml" Target="../customXml/item31.xml"/><Relationship Id="rId68" Type="http://schemas.openxmlformats.org/officeDocument/2006/relationships/customXml" Target="../customXml/item36.xml"/><Relationship Id="rId84" Type="http://schemas.openxmlformats.org/officeDocument/2006/relationships/customXml" Target="../customXml/item52.xml"/><Relationship Id="rId89" Type="http://schemas.openxmlformats.org/officeDocument/2006/relationships/customXml" Target="../customXml/item5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calcChain" Target="calcChain.xml"/><Relationship Id="rId37" Type="http://schemas.openxmlformats.org/officeDocument/2006/relationships/customXml" Target="../customXml/item5.xml"/><Relationship Id="rId53" Type="http://schemas.openxmlformats.org/officeDocument/2006/relationships/customXml" Target="../customXml/item21.xml"/><Relationship Id="rId58" Type="http://schemas.openxmlformats.org/officeDocument/2006/relationships/customXml" Target="../customXml/item26.xml"/><Relationship Id="rId74" Type="http://schemas.openxmlformats.org/officeDocument/2006/relationships/customXml" Target="../customXml/item42.xml"/><Relationship Id="rId79" Type="http://schemas.openxmlformats.org/officeDocument/2006/relationships/customXml" Target="../customXml/item47.xml"/><Relationship Id="rId5" Type="http://schemas.openxmlformats.org/officeDocument/2006/relationships/worksheet" Target="worksheets/sheet5.xml"/><Relationship Id="rId90" Type="http://schemas.openxmlformats.org/officeDocument/2006/relationships/customXml" Target="../customXml/item58.xml"/><Relationship Id="rId95" Type="http://schemas.openxmlformats.org/officeDocument/2006/relationships/customXml" Target="../customXml/item63.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customXml" Target="../customXml/item11.xml"/><Relationship Id="rId48" Type="http://schemas.openxmlformats.org/officeDocument/2006/relationships/customXml" Target="../customXml/item16.xml"/><Relationship Id="rId64" Type="http://schemas.openxmlformats.org/officeDocument/2006/relationships/customXml" Target="../customXml/item32.xml"/><Relationship Id="rId69" Type="http://schemas.openxmlformats.org/officeDocument/2006/relationships/customXml" Target="../customXml/item37.xml"/><Relationship Id="rId8" Type="http://schemas.openxmlformats.org/officeDocument/2006/relationships/worksheet" Target="worksheets/sheet8.xml"/><Relationship Id="rId51" Type="http://schemas.openxmlformats.org/officeDocument/2006/relationships/customXml" Target="../customXml/item19.xml"/><Relationship Id="rId72" Type="http://schemas.openxmlformats.org/officeDocument/2006/relationships/customXml" Target="../customXml/item40.xml"/><Relationship Id="rId80" Type="http://schemas.openxmlformats.org/officeDocument/2006/relationships/customXml" Target="../customXml/item48.xml"/><Relationship Id="rId85" Type="http://schemas.openxmlformats.org/officeDocument/2006/relationships/customXml" Target="../customXml/item53.xml"/><Relationship Id="rId93"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59" Type="http://schemas.openxmlformats.org/officeDocument/2006/relationships/customXml" Target="../customXml/item27.xml"/><Relationship Id="rId67" Type="http://schemas.openxmlformats.org/officeDocument/2006/relationships/customXml" Target="../customXml/item35.xml"/><Relationship Id="rId20" Type="http://schemas.openxmlformats.org/officeDocument/2006/relationships/worksheet" Target="worksheets/sheet20.xml"/><Relationship Id="rId41" Type="http://schemas.openxmlformats.org/officeDocument/2006/relationships/customXml" Target="../customXml/item9.xml"/><Relationship Id="rId54" Type="http://schemas.openxmlformats.org/officeDocument/2006/relationships/customXml" Target="../customXml/item22.xml"/><Relationship Id="rId62" Type="http://schemas.openxmlformats.org/officeDocument/2006/relationships/customXml" Target="../customXml/item30.xml"/><Relationship Id="rId70" Type="http://schemas.openxmlformats.org/officeDocument/2006/relationships/customXml" Target="../customXml/item38.xml"/><Relationship Id="rId75" Type="http://schemas.openxmlformats.org/officeDocument/2006/relationships/customXml" Target="../customXml/item43.xml"/><Relationship Id="rId83" Type="http://schemas.openxmlformats.org/officeDocument/2006/relationships/customXml" Target="../customXml/item51.xml"/><Relationship Id="rId88" Type="http://schemas.openxmlformats.org/officeDocument/2006/relationships/customXml" Target="../customXml/item56.xml"/><Relationship Id="rId91"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4.xml"/><Relationship Id="rId49" Type="http://schemas.openxmlformats.org/officeDocument/2006/relationships/customXml" Target="../customXml/item17.xml"/><Relationship Id="rId57" Type="http://schemas.openxmlformats.org/officeDocument/2006/relationships/customXml" Target="../customXml/item25.xml"/><Relationship Id="rId10" Type="http://schemas.openxmlformats.org/officeDocument/2006/relationships/worksheet" Target="worksheets/sheet10.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60" Type="http://schemas.openxmlformats.org/officeDocument/2006/relationships/customXml" Target="../customXml/item28.xml"/><Relationship Id="rId65" Type="http://schemas.openxmlformats.org/officeDocument/2006/relationships/customXml" Target="../customXml/item33.xml"/><Relationship Id="rId73" Type="http://schemas.openxmlformats.org/officeDocument/2006/relationships/customXml" Target="../customXml/item41.xml"/><Relationship Id="rId78" Type="http://schemas.openxmlformats.org/officeDocument/2006/relationships/customXml" Target="../customXml/item46.xml"/><Relationship Id="rId81" Type="http://schemas.openxmlformats.org/officeDocument/2006/relationships/customXml" Target="../customXml/item49.xml"/><Relationship Id="rId86" Type="http://schemas.openxmlformats.org/officeDocument/2006/relationships/customXml" Target="../customXml/item54.xml"/><Relationship Id="rId94"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ustomXml" Target="../customXml/item7.xml"/><Relationship Id="rId34" Type="http://schemas.openxmlformats.org/officeDocument/2006/relationships/customXml" Target="../customXml/item2.xml"/><Relationship Id="rId50" Type="http://schemas.openxmlformats.org/officeDocument/2006/relationships/customXml" Target="../customXml/item18.xml"/><Relationship Id="rId55" Type="http://schemas.openxmlformats.org/officeDocument/2006/relationships/customXml" Target="../customXml/item23.xml"/><Relationship Id="rId76" Type="http://schemas.openxmlformats.org/officeDocument/2006/relationships/customXml" Target="../customXml/item44.xml"/><Relationship Id="rId7" Type="http://schemas.openxmlformats.org/officeDocument/2006/relationships/worksheet" Target="worksheets/sheet7.xml"/><Relationship Id="rId71" Type="http://schemas.openxmlformats.org/officeDocument/2006/relationships/customXml" Target="../customXml/item39.xml"/><Relationship Id="rId92" Type="http://schemas.openxmlformats.org/officeDocument/2006/relationships/customXml" Target="../customXml/item60.xml"/><Relationship Id="rId2" Type="http://schemas.openxmlformats.org/officeDocument/2006/relationships/worksheet" Target="worksheets/sheet2.xml"/><Relationship Id="rId29"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customXml" Target="../customXml/item8.xml"/><Relationship Id="rId45" Type="http://schemas.openxmlformats.org/officeDocument/2006/relationships/customXml" Target="../customXml/item13.xml"/><Relationship Id="rId66" Type="http://schemas.openxmlformats.org/officeDocument/2006/relationships/customXml" Target="../customXml/item34.xml"/><Relationship Id="rId87" Type="http://schemas.openxmlformats.org/officeDocument/2006/relationships/customXml" Target="../customXml/item55.xml"/><Relationship Id="rId61" Type="http://schemas.openxmlformats.org/officeDocument/2006/relationships/customXml" Target="../customXml/item29.xml"/><Relationship Id="rId82" Type="http://schemas.openxmlformats.org/officeDocument/2006/relationships/customXml" Target="../customXml/item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styles" Target="styles.xml"/><Relationship Id="rId35" Type="http://schemas.openxmlformats.org/officeDocument/2006/relationships/customXml" Target="../customXml/item3.xml"/><Relationship Id="rId56" Type="http://schemas.openxmlformats.org/officeDocument/2006/relationships/customXml" Target="../customXml/item24.xml"/><Relationship Id="rId77" Type="http://schemas.openxmlformats.org/officeDocument/2006/relationships/customXml" Target="../customXml/item4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Washington </a:t>
            </a:r>
            <a:endParaRPr lang="en-US" sz="1800" baseline="0"/>
          </a:p>
        </c:rich>
      </c:tx>
      <c:overlay val="0"/>
    </c:title>
    <c:autoTitleDeleted val="0"/>
    <c:plotArea>
      <c:layout>
        <c:manualLayout>
          <c:layoutTarget val="inner"/>
          <c:xMode val="edge"/>
          <c:yMode val="edge"/>
          <c:x val="4.6396582122003933E-2"/>
          <c:y val="4.7804438524449114E-2"/>
          <c:w val="0.89767419371909363"/>
          <c:h val="0.87406888904368474"/>
        </c:manualLayout>
      </c:layout>
      <c:barChart>
        <c:barDir val="col"/>
        <c:grouping val="stacked"/>
        <c:varyColors val="0"/>
        <c:ser>
          <c:idx val="0"/>
          <c:order val="0"/>
          <c:tx>
            <c:strRef>
              <c:f>'PGA Graphs 2012-13'!$A$8</c:f>
              <c:strCache>
                <c:ptCount val="1"/>
                <c:pt idx="0">
                  <c:v>Commodity</c:v>
                </c:pt>
              </c:strCache>
            </c:strRef>
          </c:tx>
          <c:spPr>
            <a:solidFill>
              <a:srgbClr val="008000"/>
            </a:solidFill>
            <a:ln>
              <a:solidFill>
                <a:sysClr val="windowText" lastClr="000000"/>
              </a:solidFill>
            </a:ln>
          </c:spPr>
          <c:invertIfNegative val="0"/>
          <c:dLbls>
            <c:dLbl>
              <c:idx val="0"/>
              <c:layout>
                <c:manualLayout>
                  <c:x val="0"/>
                  <c:y val="-3.9557880513114242E-2"/>
                </c:manualLayout>
              </c:layout>
              <c:spPr/>
              <c:txPr>
                <a:bodyPr/>
                <a:lstStyle/>
                <a:p>
                  <a:pPr>
                    <a:defRPr sz="9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2012-13'!$C$8:$N$8</c:f>
              <c:numCache>
                <c:formatCode>"$"#,##0.0_);\("$"#,##0.0\)</c:formatCode>
                <c:ptCount val="12"/>
                <c:pt idx="0">
                  <c:v>0.90240319623620857</c:v>
                </c:pt>
                <c:pt idx="1">
                  <c:v>-0.24153536134178891</c:v>
                </c:pt>
                <c:pt idx="2">
                  <c:v>1.612370665690211</c:v>
                </c:pt>
                <c:pt idx="3">
                  <c:v>0.64834278387021227</c:v>
                </c:pt>
                <c:pt idx="4">
                  <c:v>0.33671900480321282</c:v>
                </c:pt>
                <c:pt idx="5">
                  <c:v>0.63119416496921332</c:v>
                </c:pt>
                <c:pt idx="6">
                  <c:v>1.2090547576992148</c:v>
                </c:pt>
                <c:pt idx="7">
                  <c:v>1.3830479967132137</c:v>
                </c:pt>
                <c:pt idx="8">
                  <c:v>1.8775711130472124</c:v>
                </c:pt>
                <c:pt idx="9">
                  <c:v>2.5238373414722122</c:v>
                </c:pt>
                <c:pt idx="10">
                  <c:v>3.3385260271402131</c:v>
                </c:pt>
                <c:pt idx="11">
                  <c:v>-6.0831075290700021</c:v>
                </c:pt>
              </c:numCache>
            </c:numRef>
          </c:val>
        </c:ser>
        <c:ser>
          <c:idx val="1"/>
          <c:order val="1"/>
          <c:tx>
            <c:strRef>
              <c:f>'PGA Graphs 2012-13'!$A$9</c:f>
              <c:strCache>
                <c:ptCount val="1"/>
                <c:pt idx="0">
                  <c:v>Demand</c:v>
                </c:pt>
              </c:strCache>
            </c:strRef>
          </c:tx>
          <c:spPr>
            <a:solidFill>
              <a:srgbClr val="92D050"/>
            </a:solidFill>
            <a:ln>
              <a:solidFill>
                <a:sysClr val="windowText" lastClr="000000"/>
              </a:solidFill>
            </a:ln>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2012-13'!$C$9:$N$9</c:f>
              <c:numCache>
                <c:formatCode>"$"#,##0.0_);\("$"#,##0.0\)</c:formatCode>
                <c:ptCount val="12"/>
                <c:pt idx="0">
                  <c:v>-3.8730244701439993</c:v>
                </c:pt>
                <c:pt idx="1">
                  <c:v>-3.0674777859969997</c:v>
                </c:pt>
                <c:pt idx="2">
                  <c:v>-1.6934499394870002</c:v>
                </c:pt>
                <c:pt idx="3">
                  <c:v>-0.95669013858100027</c:v>
                </c:pt>
                <c:pt idx="4">
                  <c:v>-0.56131225301100107</c:v>
                </c:pt>
                <c:pt idx="5">
                  <c:v>-0.69541010451100072</c:v>
                </c:pt>
                <c:pt idx="6">
                  <c:v>-1.5643559408390004</c:v>
                </c:pt>
                <c:pt idx="7">
                  <c:v>-2.5778206653800004</c:v>
                </c:pt>
                <c:pt idx="8">
                  <c:v>-3.8494386956210014</c:v>
                </c:pt>
                <c:pt idx="9">
                  <c:v>-5.0597053680260018</c:v>
                </c:pt>
                <c:pt idx="10">
                  <c:v>-6.0831075290700021</c:v>
                </c:pt>
                <c:pt idx="11">
                  <c:v>3.1801240000000015E-2</c:v>
                </c:pt>
              </c:numCache>
            </c:numRef>
          </c:val>
        </c:ser>
        <c:dLbls>
          <c:showLegendKey val="0"/>
          <c:showVal val="0"/>
          <c:showCatName val="0"/>
          <c:showSerName val="0"/>
          <c:showPercent val="0"/>
          <c:showBubbleSize val="0"/>
        </c:dLbls>
        <c:gapWidth val="23"/>
        <c:overlap val="100"/>
        <c:axId val="483971208"/>
        <c:axId val="483973952"/>
      </c:barChart>
      <c:lineChart>
        <c:grouping val="standard"/>
        <c:varyColors val="0"/>
        <c:ser>
          <c:idx val="2"/>
          <c:order val="2"/>
          <c:tx>
            <c:strRef>
              <c:f>'PGA Graphs 2012-13'!$A$10</c:f>
              <c:strCache>
                <c:ptCount val="1"/>
                <c:pt idx="0">
                  <c:v>Total</c:v>
                </c:pt>
              </c:strCache>
            </c:strRef>
          </c:tx>
          <c:spPr>
            <a:ln>
              <a:noFill/>
            </a:ln>
          </c:spPr>
          <c:marker>
            <c:symbol val="none"/>
          </c:marker>
          <c:dLbls>
            <c:dLbl>
              <c:idx val="0"/>
              <c:layout>
                <c:manualLayout>
                  <c:x val="-4.7766573430354023E-2"/>
                  <c:y val="8.2711931981965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956730203654163E-2"/>
                  <c:y val="4.31540514688517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147077332839927E-2"/>
                  <c:y val="0.1330583253622975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64597079407894E-2"/>
                  <c:y val="7.55195900704906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54753852707972E-2"/>
                  <c:y val="5.753873529180240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374249950222123E-2"/>
                  <c:y val="6.83272481590151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956730203654163E-2"/>
                  <c:y val="9.70966158049164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147077332839927E-2"/>
                  <c:y val="0.1078851286721297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4564597079407894E-2"/>
                  <c:y val="0.13665449631803064"/>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5.2601612923489499E-2"/>
                  <c:y val="0.18340471874262568"/>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9791769696789723E-2"/>
                  <c:y val="0.1150774705836047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3386219541039524E-2"/>
                  <c:y val="-5.0346393380327092E-2"/>
                </c:manualLayout>
              </c:layout>
              <c:showLegendKey val="0"/>
              <c:showVal val="1"/>
              <c:showCatName val="0"/>
              <c:showSerName val="0"/>
              <c:showPercent val="0"/>
              <c:showBubbleSize val="0"/>
              <c:extLst>
                <c:ext xmlns:c15="http://schemas.microsoft.com/office/drawing/2012/chart" uri="{CE6537A1-D6FC-4f65-9D91-7224C49458BB}"/>
              </c:extLst>
            </c:dLbl>
            <c:numFmt formatCode="&quot;$&quot;#,##0.0"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2012-13'!$C$10:$N$10</c:f>
              <c:numCache>
                <c:formatCode>"$"#,##0.0_);\("$"#,##0.0\)</c:formatCode>
                <c:ptCount val="12"/>
                <c:pt idx="0">
                  <c:v>-2.9706212739077906</c:v>
                </c:pt>
                <c:pt idx="1">
                  <c:v>-3.3090131473387885</c:v>
                </c:pt>
                <c:pt idx="2">
                  <c:v>-8.1079273796789142E-2</c:v>
                </c:pt>
                <c:pt idx="3">
                  <c:v>-0.308347354710788</c:v>
                </c:pt>
                <c:pt idx="4">
                  <c:v>-0.22459324820778825</c:v>
                </c:pt>
                <c:pt idx="5">
                  <c:v>-6.4215939541787392E-2</c:v>
                </c:pt>
                <c:pt idx="6">
                  <c:v>-0.35530118313978565</c:v>
                </c:pt>
                <c:pt idx="7">
                  <c:v>-1.1947726686667868</c:v>
                </c:pt>
                <c:pt idx="8">
                  <c:v>-1.971867582573789</c:v>
                </c:pt>
                <c:pt idx="9">
                  <c:v>-2.5358680265537896</c:v>
                </c:pt>
                <c:pt idx="10">
                  <c:v>-2.744581501929789</c:v>
                </c:pt>
                <c:pt idx="11">
                  <c:v>-6.051306289070002</c:v>
                </c:pt>
              </c:numCache>
            </c:numRef>
          </c:val>
          <c:smooth val="0"/>
        </c:ser>
        <c:dLbls>
          <c:showLegendKey val="0"/>
          <c:showVal val="0"/>
          <c:showCatName val="0"/>
          <c:showSerName val="0"/>
          <c:showPercent val="0"/>
          <c:showBubbleSize val="0"/>
        </c:dLbls>
        <c:marker val="1"/>
        <c:smooth val="0"/>
        <c:axId val="483971208"/>
        <c:axId val="483973952"/>
      </c:lineChart>
      <c:catAx>
        <c:axId val="483971208"/>
        <c:scaling>
          <c:orientation val="minMax"/>
        </c:scaling>
        <c:delete val="0"/>
        <c:axPos val="b"/>
        <c:numFmt formatCode="General" sourceLinked="1"/>
        <c:majorTickMark val="out"/>
        <c:minorTickMark val="none"/>
        <c:tickLblPos val="low"/>
        <c:spPr>
          <a:ln w="25400">
            <a:solidFill>
              <a:schemeClr val="tx1"/>
            </a:solidFill>
          </a:ln>
        </c:spPr>
        <c:txPr>
          <a:bodyPr/>
          <a:lstStyle/>
          <a:p>
            <a:pPr>
              <a:defRPr b="1"/>
            </a:pPr>
            <a:endParaRPr lang="en-US"/>
          </a:p>
        </c:txPr>
        <c:crossAx val="483973952"/>
        <c:crosses val="autoZero"/>
        <c:auto val="1"/>
        <c:lblAlgn val="ctr"/>
        <c:lblOffset val="10"/>
        <c:noMultiLvlLbl val="0"/>
      </c:catAx>
      <c:valAx>
        <c:axId val="483973952"/>
        <c:scaling>
          <c:orientation val="minMax"/>
          <c:max val="9"/>
          <c:min val="-5.5"/>
        </c:scaling>
        <c:delete val="0"/>
        <c:axPos val="r"/>
        <c:numFmt formatCode="&quot;$&quot;#,##0.0" sourceLinked="0"/>
        <c:majorTickMark val="out"/>
        <c:minorTickMark val="none"/>
        <c:tickLblPos val="none"/>
        <c:crossAx val="483971208"/>
        <c:crosses val="max"/>
        <c:crossBetween val="between"/>
      </c:valAx>
    </c:plotArea>
    <c:legend>
      <c:legendPos val="r"/>
      <c:legendEntry>
        <c:idx val="2"/>
        <c:delete val="1"/>
      </c:legendEntry>
      <c:layout>
        <c:manualLayout>
          <c:xMode val="edge"/>
          <c:yMode val="edge"/>
          <c:x val="0.70573721217717333"/>
          <c:y val="6.8211717627523899E-2"/>
          <c:w val="0.18659635681678463"/>
          <c:h val="0.1474684938613198"/>
        </c:manualLayout>
      </c:layout>
      <c:overlay val="0"/>
      <c:spPr>
        <a:solidFill>
          <a:schemeClr val="bg1"/>
        </a:solidFill>
        <a:ln w="25400">
          <a:solidFill>
            <a:sysClr val="windowText" lastClr="000000"/>
          </a:solidFill>
        </a:ln>
      </c:spPr>
      <c:txPr>
        <a:bodyPr/>
        <a:lstStyle/>
        <a:p>
          <a:pPr>
            <a:defRPr sz="1200" b="1"/>
          </a:pPr>
          <a:endParaRPr lang="en-US"/>
        </a:p>
      </c:txPr>
    </c:legend>
    <c:plotVisOnly val="1"/>
    <c:dispBlanksAs val="gap"/>
    <c:showDLblsOverMax val="0"/>
  </c:chart>
  <c:spPr>
    <a:ln w="31750">
      <a:solidFill>
        <a:sysClr val="windowText" lastClr="0000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Idaho (With Holdback)</a:t>
            </a:r>
            <a:endParaRPr lang="en-US" sz="1800" baseline="0"/>
          </a:p>
        </c:rich>
      </c:tx>
      <c:overlay val="0"/>
    </c:title>
    <c:autoTitleDeleted val="0"/>
    <c:plotArea>
      <c:layout>
        <c:manualLayout>
          <c:layoutTarget val="inner"/>
          <c:xMode val="edge"/>
          <c:yMode val="edge"/>
          <c:x val="3.6726533128107232E-2"/>
          <c:y val="4.4208267568710935E-2"/>
          <c:w val="0.88800420717924078"/>
          <c:h val="0.8417034691316001"/>
        </c:manualLayout>
      </c:layout>
      <c:barChart>
        <c:barDir val="col"/>
        <c:grouping val="stacked"/>
        <c:varyColors val="0"/>
        <c:ser>
          <c:idx val="0"/>
          <c:order val="0"/>
          <c:tx>
            <c:strRef>
              <c:f>'PGA Graphs 2012-13'!$A$14</c:f>
              <c:strCache>
                <c:ptCount val="1"/>
                <c:pt idx="0">
                  <c:v>Commodity</c:v>
                </c:pt>
              </c:strCache>
            </c:strRef>
          </c:tx>
          <c:spPr>
            <a:solidFill>
              <a:schemeClr val="bg2">
                <a:lumMod val="25000"/>
              </a:schemeClr>
            </a:solidFill>
            <a:ln>
              <a:solidFill>
                <a:sysClr val="windowText" lastClr="000000"/>
              </a:solidFill>
            </a:ln>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2012-13'!$B$14:$M$14</c:f>
              <c:numCache>
                <c:formatCode>"$"#,##0.0_);\("$"#,##0.0\)</c:formatCode>
                <c:ptCount val="12"/>
                <c:pt idx="0">
                  <c:v>2.1383911983473967</c:v>
                </c:pt>
                <c:pt idx="1">
                  <c:v>1.2444255776995812</c:v>
                </c:pt>
                <c:pt idx="2">
                  <c:v>0.87195540999758092</c:v>
                </c:pt>
                <c:pt idx="3">
                  <c:v>1.6660490220255828</c:v>
                </c:pt>
                <c:pt idx="4">
                  <c:v>1.2966995405455823</c:v>
                </c:pt>
                <c:pt idx="5">
                  <c:v>1.1561449650525837</c:v>
                </c:pt>
                <c:pt idx="6">
                  <c:v>1.2996516898465837</c:v>
                </c:pt>
                <c:pt idx="7">
                  <c:v>1.5610150065365844</c:v>
                </c:pt>
                <c:pt idx="8">
                  <c:v>1.6482739833225839</c:v>
                </c:pt>
                <c:pt idx="9">
                  <c:v>1.8954571715485831</c:v>
                </c:pt>
                <c:pt idx="10">
                  <c:v>2.2528616869035827</c:v>
                </c:pt>
                <c:pt idx="11">
                  <c:v>2.7080381318555831</c:v>
                </c:pt>
              </c:numCache>
            </c:numRef>
          </c:val>
        </c:ser>
        <c:ser>
          <c:idx val="1"/>
          <c:order val="1"/>
          <c:tx>
            <c:strRef>
              <c:f>'PGA Graphs 2012-13'!$A$15</c:f>
              <c:strCache>
                <c:ptCount val="1"/>
                <c:pt idx="0">
                  <c:v>Demand</c:v>
                </c:pt>
              </c:strCache>
            </c:strRef>
          </c:tx>
          <c:spPr>
            <a:solidFill>
              <a:schemeClr val="bg2">
                <a:lumMod val="75000"/>
              </a:schemeClr>
            </a:solidFill>
            <a:ln>
              <a:solidFill>
                <a:sysClr val="windowText" lastClr="000000"/>
              </a:solidFill>
            </a:ln>
          </c:spPr>
          <c:invertIfNegative val="0"/>
          <c:dLbls>
            <c:dLbl>
              <c:idx val="0"/>
              <c:delete val="1"/>
              <c:extLst>
                <c:ext xmlns:c15="http://schemas.microsoft.com/office/drawing/2012/chart" uri="{CE6537A1-D6FC-4f65-9D91-7224C49458BB}"/>
              </c:extLst>
            </c:dLbl>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2012-13'!$B$15:$M$15</c:f>
              <c:numCache>
                <c:formatCode>"$"#,##0.0_);\("$"#,##0.0\)</c:formatCode>
                <c:ptCount val="12"/>
                <c:pt idx="0">
                  <c:v>-0.82418407251353221</c:v>
                </c:pt>
                <c:pt idx="1">
                  <c:v>-0.80322416033553246</c:v>
                </c:pt>
                <c:pt idx="2">
                  <c:v>-0.39310178017253256</c:v>
                </c:pt>
                <c:pt idx="3">
                  <c:v>0.17129077183746722</c:v>
                </c:pt>
                <c:pt idx="4">
                  <c:v>0.35307272873146694</c:v>
                </c:pt>
                <c:pt idx="5">
                  <c:v>0.56382016840146643</c:v>
                </c:pt>
                <c:pt idx="6">
                  <c:v>0.53955121001146655</c:v>
                </c:pt>
                <c:pt idx="7">
                  <c:v>0.18205832733946647</c:v>
                </c:pt>
                <c:pt idx="8">
                  <c:v>-0.22184721294953361</c:v>
                </c:pt>
                <c:pt idx="9">
                  <c:v>-0.73848372468853407</c:v>
                </c:pt>
                <c:pt idx="10">
                  <c:v>-1.2085874236835343</c:v>
                </c:pt>
                <c:pt idx="11">
                  <c:v>-1.5854874293295345</c:v>
                </c:pt>
              </c:numCache>
            </c:numRef>
          </c:val>
        </c:ser>
        <c:dLbls>
          <c:showLegendKey val="0"/>
          <c:showVal val="0"/>
          <c:showCatName val="0"/>
          <c:showSerName val="0"/>
          <c:showPercent val="0"/>
          <c:showBubbleSize val="0"/>
        </c:dLbls>
        <c:gapWidth val="23"/>
        <c:overlap val="100"/>
        <c:axId val="483969640"/>
        <c:axId val="483972384"/>
      </c:barChart>
      <c:lineChart>
        <c:grouping val="standard"/>
        <c:varyColors val="0"/>
        <c:ser>
          <c:idx val="2"/>
          <c:order val="2"/>
          <c:tx>
            <c:strRef>
              <c:f>'PGA Graphs 2012-13'!$A$16</c:f>
              <c:strCache>
                <c:ptCount val="1"/>
                <c:pt idx="0">
                  <c:v>Total</c:v>
                </c:pt>
              </c:strCache>
            </c:strRef>
          </c:tx>
          <c:spPr>
            <a:ln>
              <a:noFill/>
            </a:ln>
          </c:spPr>
          <c:marker>
            <c:symbol val="none"/>
          </c:marker>
          <c:dLbls>
            <c:dLbl>
              <c:idx val="0"/>
              <c:layout>
                <c:manualLayout>
                  <c:x val="-4.5349053683786077E-2"/>
                  <c:y val="-0.1870011728614354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956730203654163E-2"/>
                  <c:y val="-0.2085779154327835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147015427135108E-2"/>
                  <c:y val="-3.23655386016388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147015427135108E-2"/>
                  <c:y val="-3.59617095573764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337214398659406E-2"/>
                  <c:y val="-3.596170955737645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956816455610824E-2"/>
                  <c:y val="-2.876936764590120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956816455610824E-2"/>
                  <c:y val="-3.23655386016388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147015427135108E-2"/>
                  <c:y val="-3.955788051311424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2147077332839927E-2"/>
                  <c:y val="-6.113490624754003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66573430354023E-2"/>
                  <c:y val="-0.1186736415393425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4956730203654163E-2"/>
                  <c:y val="-0.1654238639639317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8551220390617801E-2"/>
                  <c:y val="-0.21577025734425889"/>
                </c:manualLayout>
              </c:layout>
              <c:showLegendKey val="0"/>
              <c:showVal val="1"/>
              <c:showCatName val="0"/>
              <c:showSerName val="0"/>
              <c:showPercent val="0"/>
              <c:showBubbleSize val="0"/>
              <c:extLst>
                <c:ext xmlns:c15="http://schemas.microsoft.com/office/drawing/2012/chart" uri="{CE6537A1-D6FC-4f65-9D91-7224C49458BB}"/>
              </c:extLst>
            </c:dLbl>
            <c:numFmt formatCode="&quot;$&quot;#,##0.0"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2012-13'!$B$16:$M$16</c:f>
              <c:numCache>
                <c:formatCode>"$"#,##0.0_);\("$"#,##0.0\)</c:formatCode>
                <c:ptCount val="12"/>
                <c:pt idx="0">
                  <c:v>1.3142071258338643</c:v>
                </c:pt>
                <c:pt idx="1">
                  <c:v>0.44120141736404872</c:v>
                </c:pt>
                <c:pt idx="2">
                  <c:v>0.47885362982504837</c:v>
                </c:pt>
                <c:pt idx="3">
                  <c:v>1.83733979386305</c:v>
                </c:pt>
                <c:pt idx="4">
                  <c:v>1.6497722692770493</c:v>
                </c:pt>
                <c:pt idx="5">
                  <c:v>1.7199651334540502</c:v>
                </c:pt>
                <c:pt idx="6">
                  <c:v>1.8392028998580503</c:v>
                </c:pt>
                <c:pt idx="7">
                  <c:v>1.7430733338760509</c:v>
                </c:pt>
                <c:pt idx="8">
                  <c:v>1.4264267703730502</c:v>
                </c:pt>
                <c:pt idx="9">
                  <c:v>1.156973446860049</c:v>
                </c:pt>
                <c:pt idx="10">
                  <c:v>1.0442742632200483</c:v>
                </c:pt>
                <c:pt idx="11">
                  <c:v>1.1225507025260486</c:v>
                </c:pt>
              </c:numCache>
            </c:numRef>
          </c:val>
          <c:smooth val="0"/>
        </c:ser>
        <c:dLbls>
          <c:showLegendKey val="0"/>
          <c:showVal val="0"/>
          <c:showCatName val="0"/>
          <c:showSerName val="0"/>
          <c:showPercent val="0"/>
          <c:showBubbleSize val="0"/>
        </c:dLbls>
        <c:marker val="1"/>
        <c:smooth val="0"/>
        <c:axId val="483969640"/>
        <c:axId val="483972384"/>
      </c:lineChart>
      <c:catAx>
        <c:axId val="483969640"/>
        <c:scaling>
          <c:orientation val="minMax"/>
        </c:scaling>
        <c:delete val="0"/>
        <c:axPos val="b"/>
        <c:numFmt formatCode="General" sourceLinked="1"/>
        <c:majorTickMark val="out"/>
        <c:minorTickMark val="none"/>
        <c:tickLblPos val="low"/>
        <c:spPr>
          <a:ln w="25400">
            <a:solidFill>
              <a:schemeClr val="tx1"/>
            </a:solidFill>
          </a:ln>
        </c:spPr>
        <c:txPr>
          <a:bodyPr/>
          <a:lstStyle/>
          <a:p>
            <a:pPr>
              <a:defRPr b="1"/>
            </a:pPr>
            <a:endParaRPr lang="en-US"/>
          </a:p>
        </c:txPr>
        <c:crossAx val="483972384"/>
        <c:crosses val="autoZero"/>
        <c:auto val="1"/>
        <c:lblAlgn val="ctr"/>
        <c:lblOffset val="0"/>
        <c:noMultiLvlLbl val="0"/>
      </c:catAx>
      <c:valAx>
        <c:axId val="483972384"/>
        <c:scaling>
          <c:orientation val="minMax"/>
          <c:max val="6"/>
          <c:min val="-2"/>
        </c:scaling>
        <c:delete val="1"/>
        <c:axPos val="l"/>
        <c:numFmt formatCode="&quot;$&quot;#,##0.0" sourceLinked="0"/>
        <c:majorTickMark val="out"/>
        <c:minorTickMark val="none"/>
        <c:tickLblPos val="none"/>
        <c:crossAx val="483969640"/>
        <c:crosses val="autoZero"/>
        <c:crossBetween val="between"/>
      </c:valAx>
    </c:plotArea>
    <c:legend>
      <c:legendPos val="r"/>
      <c:legendEntry>
        <c:idx val="2"/>
        <c:delete val="1"/>
      </c:legendEntry>
      <c:layout>
        <c:manualLayout>
          <c:xMode val="edge"/>
          <c:yMode val="edge"/>
          <c:x val="0.72024233065654875"/>
          <c:y val="7.180788858326155E-2"/>
          <c:w val="0.24347564720049344"/>
          <c:h val="0.10607798197610629"/>
        </c:manualLayout>
      </c:layout>
      <c:overlay val="0"/>
      <c:spPr>
        <a:solidFill>
          <a:schemeClr val="bg1"/>
        </a:solidFill>
        <a:ln w="25400">
          <a:solidFill>
            <a:sysClr val="windowText" lastClr="000000"/>
          </a:solidFill>
        </a:ln>
      </c:spPr>
      <c:txPr>
        <a:bodyPr/>
        <a:lstStyle/>
        <a:p>
          <a:pPr>
            <a:defRPr sz="1200" b="1"/>
          </a:pPr>
          <a:endParaRPr lang="en-US"/>
        </a:p>
      </c:txPr>
    </c:legend>
    <c:plotVisOnly val="1"/>
    <c:dispBlanksAs val="gap"/>
    <c:showDLblsOverMax val="0"/>
  </c:chart>
  <c:spPr>
    <a:ln w="31750">
      <a:solidFill>
        <a:sysClr val="windowText" lastClr="000000"/>
      </a:solid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 PGA Commodity</a:t>
            </a:r>
          </a:p>
        </c:rich>
      </c:tx>
      <c:overlay val="0"/>
    </c:title>
    <c:autoTitleDeleted val="0"/>
    <c:plotArea>
      <c:layout/>
      <c:lineChart>
        <c:grouping val="standard"/>
        <c:varyColors val="0"/>
        <c:ser>
          <c:idx val="0"/>
          <c:order val="0"/>
          <c:tx>
            <c:strRef>
              <c:f>'PGA Graphs 2013-14'!$A$8</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2013-14'!$B$8:$N$8</c:f>
              <c:numCache>
                <c:formatCode>"$"#,##0.00_);\("$"#,##0.00\)</c:formatCode>
                <c:ptCount val="13"/>
                <c:pt idx="0">
                  <c:v>3.3051999999999997</c:v>
                </c:pt>
                <c:pt idx="1">
                  <c:v>3.6246661221178802</c:v>
                </c:pt>
                <c:pt idx="2">
                  <c:v>3.6234780920677898</c:v>
                </c:pt>
                <c:pt idx="3">
                  <c:v>2.1817000000000006</c:v>
                </c:pt>
                <c:pt idx="4">
                  <c:v>1.4844931785530684</c:v>
                </c:pt>
                <c:pt idx="5">
                  <c:v>1.6408659872789688</c:v>
                </c:pt>
                <c:pt idx="6">
                  <c:v>1.6408659872789688</c:v>
                </c:pt>
                <c:pt idx="7">
                  <c:v>1.6408659872789688</c:v>
                </c:pt>
                <c:pt idx="8">
                  <c:v>1.6408659872789688</c:v>
                </c:pt>
                <c:pt idx="9">
                  <c:v>1.6408659872789688</c:v>
                </c:pt>
                <c:pt idx="10">
                  <c:v>1.6408659872789688</c:v>
                </c:pt>
                <c:pt idx="11">
                  <c:v>1.6408659872789688</c:v>
                </c:pt>
                <c:pt idx="12">
                  <c:v>1.6408659872789688</c:v>
                </c:pt>
              </c:numCache>
            </c:numRef>
          </c:val>
          <c:smooth val="0"/>
        </c:ser>
        <c:ser>
          <c:idx val="2"/>
          <c:order val="1"/>
          <c:tx>
            <c:strRef>
              <c:f>'PGA Graphs 2013-14'!$A$9</c:f>
              <c:strCache>
                <c:ptCount val="1"/>
                <c:pt idx="0">
                  <c:v>PGA Budget</c:v>
                </c:pt>
              </c:strCache>
            </c:strRef>
          </c:tx>
          <c:marker>
            <c:symbol val="none"/>
          </c:marker>
          <c:val>
            <c:numRef>
              <c:f>'PGA Graphs 2013-14'!$B$9:$N$9</c:f>
              <c:numCache>
                <c:formatCode>"$"#,##0.00_);\("$"#,##0.00\)</c:formatCode>
                <c:ptCount val="13"/>
                <c:pt idx="0">
                  <c:v>3.5167999999999999</c:v>
                </c:pt>
                <c:pt idx="1">
                  <c:v>3.8812999999999995</c:v>
                </c:pt>
                <c:pt idx="2">
                  <c:v>3.6348000000000003</c:v>
                </c:pt>
                <c:pt idx="3">
                  <c:v>3.6143999999999998</c:v>
                </c:pt>
                <c:pt idx="4">
                  <c:v>3.6770000000000005</c:v>
                </c:pt>
                <c:pt idx="5">
                  <c:v>3.9145000000000003</c:v>
                </c:pt>
                <c:pt idx="6">
                  <c:v>3.3395999999999999</c:v>
                </c:pt>
                <c:pt idx="7">
                  <c:v>3.3895</c:v>
                </c:pt>
                <c:pt idx="8">
                  <c:v>3.3272000000000004</c:v>
                </c:pt>
                <c:pt idx="9">
                  <c:v>3.3701999999999996</c:v>
                </c:pt>
                <c:pt idx="10">
                  <c:v>3.3369</c:v>
                </c:pt>
                <c:pt idx="11">
                  <c:v>3.3742000000000001</c:v>
                </c:pt>
                <c:pt idx="12">
                  <c:v>3.5167999999999999</c:v>
                </c:pt>
              </c:numCache>
            </c:numRef>
          </c:val>
          <c:smooth val="0"/>
        </c:ser>
        <c:ser>
          <c:idx val="1"/>
          <c:order val="2"/>
          <c:tx>
            <c:strRef>
              <c:f>'PGA Graphs 2013-14'!$A$10</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2013-14'!$B$10:$N$10</c:f>
              <c:numCache>
                <c:formatCode>"$"#,##0.00_);\("$"#,##0.00\)</c:formatCode>
                <c:ptCount val="13"/>
                <c:pt idx="0">
                  <c:v>2.7800856064110402</c:v>
                </c:pt>
                <c:pt idx="1">
                  <c:v>3.4540440792083</c:v>
                </c:pt>
                <c:pt idx="2">
                  <c:v>3.1876161555634601</c:v>
                </c:pt>
                <c:pt idx="3">
                  <c:v>1.9109764729943237</c:v>
                </c:pt>
                <c:pt idx="4">
                  <c:v>2.0607503649396444</c:v>
                </c:pt>
                <c:pt idx="5">
                  <c:v>1.7605439757226338</c:v>
                </c:pt>
              </c:numCache>
            </c:numRef>
          </c:val>
          <c:smooth val="0"/>
        </c:ser>
        <c:dLbls>
          <c:showLegendKey val="0"/>
          <c:showVal val="0"/>
          <c:showCatName val="0"/>
          <c:showSerName val="0"/>
          <c:showPercent val="0"/>
          <c:showBubbleSize val="0"/>
        </c:dLbls>
        <c:smooth val="0"/>
        <c:axId val="483979048"/>
        <c:axId val="483979440"/>
      </c:lineChart>
      <c:catAx>
        <c:axId val="483979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83979440"/>
        <c:crosses val="autoZero"/>
        <c:auto val="1"/>
        <c:lblAlgn val="ctr"/>
        <c:lblOffset val="100"/>
        <c:noMultiLvlLbl val="0"/>
      </c:catAx>
      <c:valAx>
        <c:axId val="483979440"/>
        <c:scaling>
          <c:orientation val="minMax"/>
        </c:scaling>
        <c:delete val="0"/>
        <c:axPos val="l"/>
        <c:majorGridlines/>
        <c:numFmt formatCode="&quot;$&quot;#,##0.00_);\(&quot;$&quot;#,##0.00\)" sourceLinked="1"/>
        <c:majorTickMark val="out"/>
        <c:minorTickMark val="none"/>
        <c:tickLblPos val="nextTo"/>
        <c:crossAx val="483979048"/>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 PGA Demand</a:t>
            </a:r>
          </a:p>
        </c:rich>
      </c:tx>
      <c:overlay val="0"/>
    </c:title>
    <c:autoTitleDeleted val="0"/>
    <c:plotArea>
      <c:layout/>
      <c:lineChart>
        <c:grouping val="standard"/>
        <c:varyColors val="0"/>
        <c:ser>
          <c:idx val="0"/>
          <c:order val="0"/>
          <c:tx>
            <c:strRef>
              <c:f>'PGA Graphs 2013-14'!$A$11</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2013-14'!$B$11:$N$11</c:f>
              <c:numCache>
                <c:formatCode>"$"#,##0.00_);\("$"#,##0.00\)</c:formatCode>
                <c:ptCount val="13"/>
                <c:pt idx="0">
                  <c:v>0.86508677222961405</c:v>
                </c:pt>
                <c:pt idx="1">
                  <c:v>0.98017103319810395</c:v>
                </c:pt>
                <c:pt idx="2">
                  <c:v>0.99766447491792298</c:v>
                </c:pt>
                <c:pt idx="3">
                  <c:v>0.92847436019644525</c:v>
                </c:pt>
                <c:pt idx="4">
                  <c:v>0.98246968830434289</c:v>
                </c:pt>
                <c:pt idx="5">
                  <c:v>0.90898238183410318</c:v>
                </c:pt>
              </c:numCache>
            </c:numRef>
          </c:val>
          <c:smooth val="0"/>
        </c:ser>
        <c:ser>
          <c:idx val="2"/>
          <c:order val="1"/>
          <c:tx>
            <c:strRef>
              <c:f>'PGA Graphs 2013-14'!$A$12</c:f>
              <c:strCache>
                <c:ptCount val="1"/>
                <c:pt idx="0">
                  <c:v>PGA Budget</c:v>
                </c:pt>
              </c:strCache>
            </c:strRef>
          </c:tx>
          <c:marker>
            <c:symbol val="none"/>
          </c:marker>
          <c:val>
            <c:numRef>
              <c:f>'PGA Graphs 2013-14'!$B$12:$N$12</c:f>
              <c:numCache>
                <c:formatCode>"$"#,##0.00_);\("$"#,##0.00\)</c:formatCode>
                <c:ptCount val="13"/>
                <c:pt idx="0">
                  <c:v>1.4529330378220591</c:v>
                </c:pt>
                <c:pt idx="1">
                  <c:v>0.79431349782690841</c:v>
                </c:pt>
                <c:pt idx="2">
                  <c:v>0.60296290558547094</c:v>
                </c:pt>
                <c:pt idx="3">
                  <c:v>0.60895264158951812</c:v>
                </c:pt>
                <c:pt idx="4">
                  <c:v>0.60656225946654285</c:v>
                </c:pt>
                <c:pt idx="5">
                  <c:v>0.87532504655494603</c:v>
                </c:pt>
                <c:pt idx="6">
                  <c:v>1.1232232940560019</c:v>
                </c:pt>
                <c:pt idx="7">
                  <c:v>2.0020366178222502</c:v>
                </c:pt>
                <c:pt idx="8">
                  <c:v>2.9050208439006555</c:v>
                </c:pt>
                <c:pt idx="9">
                  <c:v>3.9176133126746118</c:v>
                </c:pt>
                <c:pt idx="10">
                  <c:v>3.8752231593583324</c:v>
                </c:pt>
                <c:pt idx="11">
                  <c:v>3.4387986026867114</c:v>
                </c:pt>
                <c:pt idx="12">
                  <c:v>1.4529330378220591</c:v>
                </c:pt>
              </c:numCache>
            </c:numRef>
          </c:val>
          <c:smooth val="0"/>
        </c:ser>
        <c:ser>
          <c:idx val="1"/>
          <c:order val="2"/>
          <c:tx>
            <c:strRef>
              <c:f>'PGA Graphs 2013-14'!$A$13</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2013-14'!$B$13:$N$13</c:f>
              <c:numCache>
                <c:formatCode>"$"#,##0.00_);\("$"#,##0.00\)</c:formatCode>
                <c:ptCount val="13"/>
                <c:pt idx="0">
                  <c:v>1.02504522593617</c:v>
                </c:pt>
                <c:pt idx="1">
                  <c:v>0.65827334268652904</c:v>
                </c:pt>
                <c:pt idx="2">
                  <c:v>0.51365176254981604</c:v>
                </c:pt>
                <c:pt idx="3">
                  <c:v>0.50045120250443931</c:v>
                </c:pt>
                <c:pt idx="4">
                  <c:v>0.47829937322915161</c:v>
                </c:pt>
                <c:pt idx="5">
                  <c:v>0.60308315586841887</c:v>
                </c:pt>
              </c:numCache>
            </c:numRef>
          </c:val>
          <c:smooth val="0"/>
        </c:ser>
        <c:dLbls>
          <c:showLegendKey val="0"/>
          <c:showVal val="0"/>
          <c:showCatName val="0"/>
          <c:showSerName val="0"/>
          <c:showPercent val="0"/>
          <c:showBubbleSize val="0"/>
        </c:dLbls>
        <c:smooth val="0"/>
        <c:axId val="483980616"/>
        <c:axId val="483981008"/>
      </c:lineChart>
      <c:catAx>
        <c:axId val="4839806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83981008"/>
        <c:crosses val="autoZero"/>
        <c:auto val="1"/>
        <c:lblAlgn val="ctr"/>
        <c:lblOffset val="100"/>
        <c:noMultiLvlLbl val="0"/>
      </c:catAx>
      <c:valAx>
        <c:axId val="483981008"/>
        <c:scaling>
          <c:orientation val="minMax"/>
        </c:scaling>
        <c:delete val="0"/>
        <c:axPos val="l"/>
        <c:majorGridlines/>
        <c:numFmt formatCode="&quot;$&quot;#,##0.00_);\(&quot;$&quot;#,##0.00\)" sourceLinked="1"/>
        <c:majorTickMark val="out"/>
        <c:minorTickMark val="none"/>
        <c:tickLblPos val="nextTo"/>
        <c:crossAx val="483980616"/>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 PGA Demand</a:t>
            </a:r>
          </a:p>
        </c:rich>
      </c:tx>
      <c:overlay val="0"/>
    </c:title>
    <c:autoTitleDeleted val="0"/>
    <c:plotArea>
      <c:layout/>
      <c:lineChart>
        <c:grouping val="standard"/>
        <c:varyColors val="0"/>
        <c:ser>
          <c:idx val="0"/>
          <c:order val="0"/>
          <c:tx>
            <c:strRef>
              <c:f>'PGA Graphs 2013-14'!$A$20</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2013-14'!$B$20:$N$20</c:f>
              <c:numCache>
                <c:formatCode>"$"#,##0.00_);\("$"#,##0.00\)</c:formatCode>
                <c:ptCount val="13"/>
                <c:pt idx="0">
                  <c:v>1.0742522128918399</c:v>
                </c:pt>
                <c:pt idx="1">
                  <c:v>1.0741263842636799</c:v>
                </c:pt>
                <c:pt idx="2">
                  <c:v>1.0744</c:v>
                </c:pt>
                <c:pt idx="3">
                  <c:v>1.0496999999999999</c:v>
                </c:pt>
                <c:pt idx="4">
                  <c:v>1.1157640072436985</c:v>
                </c:pt>
                <c:pt idx="5">
                  <c:v>1.0518903962583694</c:v>
                </c:pt>
                <c:pt idx="6">
                  <c:v>1.0497000000000001</c:v>
                </c:pt>
                <c:pt idx="7">
                  <c:v>1.0496999999999999</c:v>
                </c:pt>
                <c:pt idx="8">
                  <c:v>1.0497000000000001</c:v>
                </c:pt>
                <c:pt idx="9">
                  <c:v>1.0496999999999999</c:v>
                </c:pt>
                <c:pt idx="10">
                  <c:v>1.0496999999999999</c:v>
                </c:pt>
                <c:pt idx="11">
                  <c:v>1.0496999999999999</c:v>
                </c:pt>
                <c:pt idx="12">
                  <c:v>1.0496999999999999</c:v>
                </c:pt>
              </c:numCache>
            </c:numRef>
          </c:val>
          <c:smooth val="0"/>
        </c:ser>
        <c:ser>
          <c:idx val="2"/>
          <c:order val="1"/>
          <c:tx>
            <c:strRef>
              <c:f>'PGA Graphs 2013-14'!$A$21</c:f>
              <c:strCache>
                <c:ptCount val="1"/>
                <c:pt idx="0">
                  <c:v>PGA Budget</c:v>
                </c:pt>
              </c:strCache>
            </c:strRef>
          </c:tx>
          <c:marker>
            <c:symbol val="none"/>
          </c:marker>
          <c:val>
            <c:numRef>
              <c:f>'PGA Graphs 2013-14'!$B$21:$N$21</c:f>
              <c:numCache>
                <c:formatCode>"$"#,##0.00_);\("$"#,##0.00\)</c:formatCode>
                <c:ptCount val="13"/>
                <c:pt idx="0">
                  <c:v>1.2942886206113142</c:v>
                </c:pt>
                <c:pt idx="1">
                  <c:v>0.74518730633512642</c:v>
                </c:pt>
                <c:pt idx="2">
                  <c:v>0.58083452630008092</c:v>
                </c:pt>
                <c:pt idx="3">
                  <c:v>0.60843027300764696</c:v>
                </c:pt>
                <c:pt idx="4">
                  <c:v>0.68505702536755764</c:v>
                </c:pt>
                <c:pt idx="5">
                  <c:v>0.81792088296424315</c:v>
                </c:pt>
                <c:pt idx="6">
                  <c:v>1.0438035301560928</c:v>
                </c:pt>
                <c:pt idx="7">
                  <c:v>1.8765356717896455</c:v>
                </c:pt>
                <c:pt idx="8">
                  <c:v>2.5204558648798452</c:v>
                </c:pt>
                <c:pt idx="9">
                  <c:v>3.0722913458699082</c:v>
                </c:pt>
                <c:pt idx="10">
                  <c:v>3.0936566161461703</c:v>
                </c:pt>
                <c:pt idx="11">
                  <c:v>2.484887676291045</c:v>
                </c:pt>
                <c:pt idx="12">
                  <c:v>1.1747692347018237</c:v>
                </c:pt>
              </c:numCache>
            </c:numRef>
          </c:val>
          <c:smooth val="0"/>
        </c:ser>
        <c:ser>
          <c:idx val="1"/>
          <c:order val="2"/>
          <c:tx>
            <c:strRef>
              <c:f>'PGA Graphs 2013-14'!$A$22</c:f>
              <c:strCache>
                <c:ptCount val="1"/>
                <c:pt idx="0">
                  <c:v>Actual</c:v>
                </c:pt>
              </c:strCache>
            </c:strRef>
          </c:tx>
          <c:marker>
            <c:symbol val="none"/>
          </c:marker>
          <c:cat>
            <c:numRef>
              <c:f>'PGA Graphs 2013-14'!$B$15:$N$15</c:f>
              <c:numCache>
                <c:formatCode>#,##0.00_);\(#,##0.00\)</c:formatCode>
                <c:ptCount val="13"/>
              </c:numCache>
            </c:numRef>
          </c:cat>
          <c:val>
            <c:numRef>
              <c:f>'PGA Graphs 2013-14'!$B$22:$N$22</c:f>
              <c:numCache>
                <c:formatCode>"$"#,##0.00_);\("$"#,##0.00\)</c:formatCode>
                <c:ptCount val="13"/>
                <c:pt idx="0">
                  <c:v>1.2115295970631399</c:v>
                </c:pt>
                <c:pt idx="1">
                  <c:v>0.708429666562987</c:v>
                </c:pt>
                <c:pt idx="2">
                  <c:v>0.54697005486642902</c:v>
                </c:pt>
                <c:pt idx="3">
                  <c:v>0.60168243200814919</c:v>
                </c:pt>
                <c:pt idx="4">
                  <c:v>0.51321777211373421</c:v>
                </c:pt>
                <c:pt idx="5">
                  <c:v>0.67676667496835818</c:v>
                </c:pt>
                <c:pt idx="6">
                  <c:v>0.93274455310206039</c:v>
                </c:pt>
                <c:pt idx="7">
                  <c:v>2.4703962205892962</c:v>
                </c:pt>
                <c:pt idx="8">
                  <c:v>2.333215471348093</c:v>
                </c:pt>
                <c:pt idx="9">
                  <c:v>2.8431266705308627</c:v>
                </c:pt>
                <c:pt idx="10">
                  <c:v>3.1050693516601919</c:v>
                </c:pt>
                <c:pt idx="11">
                  <c:v>2.1567304971058898</c:v>
                </c:pt>
                <c:pt idx="12">
                  <c:v>1.0026406856583154</c:v>
                </c:pt>
              </c:numCache>
            </c:numRef>
          </c:val>
          <c:smooth val="0"/>
        </c:ser>
        <c:dLbls>
          <c:showLegendKey val="0"/>
          <c:showVal val="0"/>
          <c:showCatName val="0"/>
          <c:showSerName val="0"/>
          <c:showPercent val="0"/>
          <c:showBubbleSize val="0"/>
        </c:dLbls>
        <c:smooth val="0"/>
        <c:axId val="483981792"/>
        <c:axId val="483982184"/>
      </c:lineChart>
      <c:catAx>
        <c:axId val="4839817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83982184"/>
        <c:crosses val="autoZero"/>
        <c:auto val="1"/>
        <c:lblAlgn val="ctr"/>
        <c:lblOffset val="100"/>
        <c:noMultiLvlLbl val="0"/>
      </c:catAx>
      <c:valAx>
        <c:axId val="483982184"/>
        <c:scaling>
          <c:orientation val="minMax"/>
        </c:scaling>
        <c:delete val="0"/>
        <c:axPos val="l"/>
        <c:majorGridlines/>
        <c:numFmt formatCode="&quot;$&quot;#,##0.00_);\(&quot;$&quot;#,##0.00\)" sourceLinked="1"/>
        <c:majorTickMark val="out"/>
        <c:minorTickMark val="none"/>
        <c:tickLblPos val="nextTo"/>
        <c:crossAx val="483981792"/>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t>
            </a:r>
            <a:r>
              <a:rPr lang="en-US" baseline="0"/>
              <a:t> PGA Commodity</a:t>
            </a:r>
            <a:endParaRPr lang="en-US"/>
          </a:p>
        </c:rich>
      </c:tx>
      <c:overlay val="0"/>
    </c:title>
    <c:autoTitleDeleted val="0"/>
    <c:plotArea>
      <c:layout/>
      <c:lineChart>
        <c:grouping val="standard"/>
        <c:varyColors val="0"/>
        <c:ser>
          <c:idx val="0"/>
          <c:order val="0"/>
          <c:tx>
            <c:strRef>
              <c:f>'PGA Graphs 2013-14'!$A$17</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2013-14'!$B$17:$N$17</c:f>
              <c:numCache>
                <c:formatCode>"$"#,##0.00_);\("$"#,##0.00\)</c:formatCode>
                <c:ptCount val="13"/>
                <c:pt idx="0">
                  <c:v>3.7138086914005299</c:v>
                </c:pt>
                <c:pt idx="1">
                  <c:v>3.71000032320786</c:v>
                </c:pt>
                <c:pt idx="2">
                  <c:v>3.7124000000000001</c:v>
                </c:pt>
                <c:pt idx="3">
                  <c:v>2.1724999999999999</c:v>
                </c:pt>
                <c:pt idx="4">
                  <c:v>1.4722145172786092</c:v>
                </c:pt>
                <c:pt idx="5">
                  <c:v>1.6266661960612308</c:v>
                </c:pt>
                <c:pt idx="6">
                  <c:v>1.6235999999999997</c:v>
                </c:pt>
                <c:pt idx="7">
                  <c:v>1.6236000000000004</c:v>
                </c:pt>
                <c:pt idx="8">
                  <c:v>1.6236000000000002</c:v>
                </c:pt>
                <c:pt idx="9">
                  <c:v>1.6236000000000002</c:v>
                </c:pt>
                <c:pt idx="10">
                  <c:v>1.6236000000000002</c:v>
                </c:pt>
                <c:pt idx="11">
                  <c:v>1.6236000000000002</c:v>
                </c:pt>
                <c:pt idx="12">
                  <c:v>1.6236000000000002</c:v>
                </c:pt>
              </c:numCache>
            </c:numRef>
          </c:val>
          <c:smooth val="0"/>
        </c:ser>
        <c:ser>
          <c:idx val="2"/>
          <c:order val="1"/>
          <c:tx>
            <c:strRef>
              <c:f>'PGA Graphs 2013-14'!$A$18</c:f>
              <c:strCache>
                <c:ptCount val="1"/>
                <c:pt idx="0">
                  <c:v>PGA Budget</c:v>
                </c:pt>
              </c:strCache>
            </c:strRef>
          </c:tx>
          <c:marker>
            <c:symbol val="none"/>
          </c:marker>
          <c:val>
            <c:numRef>
              <c:f>'PGA Graphs 2013-14'!$B$18:$N$18</c:f>
              <c:numCache>
                <c:formatCode>"$"#,##0.00_);\("$"#,##0.00\)</c:formatCode>
                <c:ptCount val="13"/>
                <c:pt idx="0">
                  <c:v>2.9957000000000003</c:v>
                </c:pt>
                <c:pt idx="1">
                  <c:v>3.9822000000000002</c:v>
                </c:pt>
                <c:pt idx="2">
                  <c:v>3.8203999999999998</c:v>
                </c:pt>
                <c:pt idx="3">
                  <c:v>3.7982</c:v>
                </c:pt>
                <c:pt idx="4">
                  <c:v>3.8423000000000003</c:v>
                </c:pt>
                <c:pt idx="5">
                  <c:v>4.0292000000000003</c:v>
                </c:pt>
                <c:pt idx="6">
                  <c:v>3.4569000000000001</c:v>
                </c:pt>
                <c:pt idx="7">
                  <c:v>3.5224000000000002</c:v>
                </c:pt>
                <c:pt idx="8">
                  <c:v>3.4592000000000001</c:v>
                </c:pt>
                <c:pt idx="9">
                  <c:v>3.4888000000000003</c:v>
                </c:pt>
                <c:pt idx="10">
                  <c:v>3.4600999999999997</c:v>
                </c:pt>
                <c:pt idx="11">
                  <c:v>3.4959000000000002</c:v>
                </c:pt>
                <c:pt idx="12">
                  <c:v>3.6281000000000003</c:v>
                </c:pt>
              </c:numCache>
            </c:numRef>
          </c:val>
          <c:smooth val="0"/>
        </c:ser>
        <c:ser>
          <c:idx val="1"/>
          <c:order val="2"/>
          <c:tx>
            <c:strRef>
              <c:f>'PGA Graphs 2013-14'!$A$19</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2013-14'!$B$19:$N$19</c:f>
              <c:numCache>
                <c:formatCode>"$"#,##0.00_);\("$"#,##0.00\)</c:formatCode>
                <c:ptCount val="13"/>
                <c:pt idx="0">
                  <c:v>2.76346512007138</c:v>
                </c:pt>
                <c:pt idx="1">
                  <c:v>3.4542924833702302</c:v>
                </c:pt>
                <c:pt idx="2">
                  <c:v>3.1868860970503601</c:v>
                </c:pt>
                <c:pt idx="3">
                  <c:v>1.9124975010616809</c:v>
                </c:pt>
                <c:pt idx="4">
                  <c:v>2.0592958211022916</c:v>
                </c:pt>
                <c:pt idx="5">
                  <c:v>1.7605908567523985</c:v>
                </c:pt>
                <c:pt idx="6">
                  <c:v>0.75256414460221688</c:v>
                </c:pt>
                <c:pt idx="7">
                  <c:v>-0.41598966812152832</c:v>
                </c:pt>
                <c:pt idx="8">
                  <c:v>-0.20363394226163323</c:v>
                </c:pt>
                <c:pt idx="9">
                  <c:v>-3.5288889202430829</c:v>
                </c:pt>
                <c:pt idx="10">
                  <c:v>-5.3246486156443691</c:v>
                </c:pt>
                <c:pt idx="11">
                  <c:v>-0.66031888397992256</c:v>
                </c:pt>
                <c:pt idx="12">
                  <c:v>-1.4101521193489974</c:v>
                </c:pt>
              </c:numCache>
            </c:numRef>
          </c:val>
          <c:smooth val="0"/>
        </c:ser>
        <c:dLbls>
          <c:showLegendKey val="0"/>
          <c:showVal val="0"/>
          <c:showCatName val="0"/>
          <c:showSerName val="0"/>
          <c:showPercent val="0"/>
          <c:showBubbleSize val="0"/>
        </c:dLbls>
        <c:smooth val="0"/>
        <c:axId val="366991360"/>
        <c:axId val="366990968"/>
      </c:lineChart>
      <c:catAx>
        <c:axId val="3669913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66990968"/>
        <c:crosses val="autoZero"/>
        <c:auto val="1"/>
        <c:lblAlgn val="ctr"/>
        <c:lblOffset val="100"/>
        <c:noMultiLvlLbl val="0"/>
      </c:catAx>
      <c:valAx>
        <c:axId val="366990968"/>
        <c:scaling>
          <c:orientation val="minMax"/>
        </c:scaling>
        <c:delete val="0"/>
        <c:axPos val="l"/>
        <c:majorGridlines/>
        <c:numFmt formatCode="&quot;$&quot;#,##0.00_);\(&quot;$&quot;#,##0.00\)" sourceLinked="1"/>
        <c:majorTickMark val="out"/>
        <c:minorTickMark val="none"/>
        <c:tickLblPos val="nextTo"/>
        <c:crossAx val="366991360"/>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542924</xdr:colOff>
      <xdr:row>16</xdr:row>
      <xdr:rowOff>104774</xdr:rowOff>
    </xdr:from>
    <xdr:to>
      <xdr:col>10</xdr:col>
      <xdr:colOff>514349</xdr:colOff>
      <xdr:row>63</xdr:row>
      <xdr:rowOff>85724</xdr:rowOff>
    </xdr:to>
    <xdr:sp macro="" textlink="">
      <xdr:nvSpPr>
        <xdr:cNvPr id="2" name="Rounded Rectangle 1"/>
        <xdr:cNvSpPr/>
      </xdr:nvSpPr>
      <xdr:spPr bwMode="auto">
        <a:xfrm>
          <a:off x="1790699" y="2962274"/>
          <a:ext cx="5543550" cy="7553325"/>
        </a:xfrm>
        <a:prstGeom prst="roundRect">
          <a:avLst>
            <a:gd name="adj" fmla="val 4192"/>
          </a:avLst>
        </a:prstGeom>
        <a:solidFill>
          <a:schemeClr val="bg1">
            <a:lumMod val="75000"/>
          </a:schemeClr>
        </a:solidFill>
        <a:ln w="444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47625</xdr:colOff>
      <xdr:row>17</xdr:row>
      <xdr:rowOff>76200</xdr:rowOff>
    </xdr:from>
    <xdr:to>
      <xdr:col>10</xdr:col>
      <xdr:colOff>347943</xdr:colOff>
      <xdr:row>39</xdr:row>
      <xdr:rowOff>45384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40</xdr:row>
      <xdr:rowOff>47625</xdr:rowOff>
    </xdr:from>
    <xdr:to>
      <xdr:col>10</xdr:col>
      <xdr:colOff>376518</xdr:colOff>
      <xdr:row>62</xdr:row>
      <xdr:rowOff>54909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0.92496</cdr:x>
      <cdr:y>0.09979</cdr:y>
    </cdr:from>
    <cdr:to>
      <cdr:x>0.99637</cdr:x>
      <cdr:y>0.94992</cdr:y>
    </cdr:to>
    <cdr:grpSp>
      <cdr:nvGrpSpPr>
        <cdr:cNvPr id="2" name="Group 1"/>
        <cdr:cNvGrpSpPr/>
      </cdr:nvGrpSpPr>
      <cdr:grpSpPr>
        <a:xfrm xmlns:a="http://schemas.openxmlformats.org/drawingml/2006/main">
          <a:off x="5102495" y="340085"/>
          <a:ext cx="393929" cy="2897250"/>
          <a:chOff x="0" y="-22224"/>
          <a:chExt cx="216754" cy="1954945"/>
        </a:xfrm>
        <a:solidFill xmlns:a="http://schemas.openxmlformats.org/drawingml/2006/main">
          <a:sysClr val="window" lastClr="FFFFFF">
            <a:lumMod val="85000"/>
          </a:sysClr>
        </a:solidFill>
      </cdr:grpSpPr>
      <cdr:sp macro="" textlink="">
        <cdr:nvSpPr>
          <cdr:cNvPr id="3"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4" name="Down Arrow 3"/>
          <cdr:cNvSpPr/>
        </cdr:nvSpPr>
        <cdr:spPr>
          <a:xfrm xmlns:a="http://schemas.openxmlformats.org/drawingml/2006/main">
            <a:off x="0" y="1099132"/>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userShapes>
</file>

<file path=xl/drawings/drawing3.xml><?xml version="1.0" encoding="utf-8"?>
<c:userShapes xmlns:c="http://schemas.openxmlformats.org/drawingml/2006/chart">
  <cdr:relSizeAnchor xmlns:cdr="http://schemas.openxmlformats.org/drawingml/2006/chartDrawing">
    <cdr:from>
      <cdr:x>0.92859</cdr:x>
      <cdr:y>0.35221</cdr:y>
    </cdr:from>
    <cdr:to>
      <cdr:x>1</cdr:x>
      <cdr:y>0.91755</cdr:y>
    </cdr:to>
    <cdr:grpSp>
      <cdr:nvGrpSpPr>
        <cdr:cNvPr id="2" name="Group 1"/>
        <cdr:cNvGrpSpPr/>
      </cdr:nvGrpSpPr>
      <cdr:grpSpPr>
        <a:xfrm xmlns:a="http://schemas.openxmlformats.org/drawingml/2006/main">
          <a:off x="5122519" y="1200307"/>
          <a:ext cx="393930" cy="1926640"/>
          <a:chOff x="0" y="-22224"/>
          <a:chExt cx="216754" cy="1979754"/>
        </a:xfrm>
        <a:solidFill xmlns:a="http://schemas.openxmlformats.org/drawingml/2006/main">
          <a:sysClr val="window" lastClr="FFFFFF">
            <a:lumMod val="85000"/>
          </a:sysClr>
        </a:solidFill>
      </cdr:grpSpPr>
      <cdr:sp macro="" textlink="">
        <cdr:nvSpPr>
          <cdr:cNvPr id="3"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4" name="Down Arrow 3"/>
          <cdr:cNvSpPr/>
        </cdr:nvSpPr>
        <cdr:spPr>
          <a:xfrm xmlns:a="http://schemas.openxmlformats.org/drawingml/2006/main">
            <a:off x="0" y="1123941"/>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dr:relSizeAnchor xmlns:cdr="http://schemas.openxmlformats.org/drawingml/2006/chartDrawing">
    <cdr:from>
      <cdr:x>0.92859</cdr:x>
      <cdr:y>0.35221</cdr:y>
    </cdr:from>
    <cdr:to>
      <cdr:x>1</cdr:x>
      <cdr:y>0.91755</cdr:y>
    </cdr:to>
    <cdr:grpSp>
      <cdr:nvGrpSpPr>
        <cdr:cNvPr id="5" name="Group 1"/>
        <cdr:cNvGrpSpPr/>
      </cdr:nvGrpSpPr>
      <cdr:grpSpPr>
        <a:xfrm xmlns:a="http://schemas.openxmlformats.org/drawingml/2006/main">
          <a:off x="5122519" y="1200307"/>
          <a:ext cx="393930" cy="1926640"/>
          <a:chOff x="0" y="-22224"/>
          <a:chExt cx="216754" cy="1979754"/>
        </a:xfrm>
        <a:solidFill xmlns:a="http://schemas.openxmlformats.org/drawingml/2006/main">
          <a:sysClr val="window" lastClr="FFFFFF">
            <a:lumMod val="85000"/>
          </a:sysClr>
        </a:solidFill>
      </cdr:grpSpPr>
      <cdr:sp macro="" textlink="">
        <cdr:nvSpPr>
          <cdr:cNvPr id="6"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7" name="Down Arrow 3"/>
          <cdr:cNvSpPr/>
        </cdr:nvSpPr>
        <cdr:spPr>
          <a:xfrm xmlns:a="http://schemas.openxmlformats.org/drawingml/2006/main">
            <a:off x="0" y="1123941"/>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userShapes>
</file>

<file path=xl/drawings/drawing4.xml><?xml version="1.0" encoding="utf-8"?>
<xdr:wsDr xmlns:xdr="http://schemas.openxmlformats.org/drawingml/2006/spreadsheetDrawing" xmlns:a="http://schemas.openxmlformats.org/drawingml/2006/main">
  <xdr:twoCellAnchor>
    <xdr:from>
      <xdr:col>0</xdr:col>
      <xdr:colOff>34697</xdr:colOff>
      <xdr:row>24</xdr:row>
      <xdr:rowOff>48745</xdr:rowOff>
    </xdr:from>
    <xdr:to>
      <xdr:col>14</xdr:col>
      <xdr:colOff>22412</xdr:colOff>
      <xdr:row>63</xdr:row>
      <xdr:rowOff>44825</xdr:rowOff>
    </xdr:to>
    <xdr:sp macro="" textlink="">
      <xdr:nvSpPr>
        <xdr:cNvPr id="2" name="Rounded Rectangle 1"/>
        <xdr:cNvSpPr/>
      </xdr:nvSpPr>
      <xdr:spPr bwMode="auto">
        <a:xfrm>
          <a:off x="34697" y="3455333"/>
          <a:ext cx="9243774" cy="6080874"/>
        </a:xfrm>
        <a:prstGeom prst="roundRect">
          <a:avLst>
            <a:gd name="adj" fmla="val 4192"/>
          </a:avLst>
        </a:prstGeom>
        <a:solidFill>
          <a:schemeClr val="bg1">
            <a:lumMod val="75000"/>
          </a:schemeClr>
        </a:solidFill>
        <a:ln w="444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78439</xdr:colOff>
      <xdr:row>25</xdr:row>
      <xdr:rowOff>78441</xdr:rowOff>
    </xdr:from>
    <xdr:to>
      <xdr:col>6</xdr:col>
      <xdr:colOff>324968</xdr:colOff>
      <xdr:row>43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67234</xdr:colOff>
      <xdr:row>43</xdr:row>
      <xdr:rowOff>156871</xdr:rowOff>
    </xdr:from>
    <xdr:to>
      <xdr:col>6</xdr:col>
      <xdr:colOff>313763</xdr:colOff>
      <xdr:row>61</xdr:row>
      <xdr:rowOff>112047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358587</xdr:colOff>
      <xdr:row>43</xdr:row>
      <xdr:rowOff>156872</xdr:rowOff>
    </xdr:from>
    <xdr:to>
      <xdr:col>13</xdr:col>
      <xdr:colOff>616323</xdr:colOff>
      <xdr:row>61</xdr:row>
      <xdr:rowOff>112048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369793</xdr:colOff>
      <xdr:row>25</xdr:row>
      <xdr:rowOff>78441</xdr:rowOff>
    </xdr:from>
    <xdr:to>
      <xdr:col>13</xdr:col>
      <xdr:colOff>627529</xdr:colOff>
      <xdr:row>43</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ural%20Gas%20Accounting\Gas%20Cost%20Data%20Bases\History\OR%20Gas%20Costs%201999-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Etemp\Temporary%20Internet%20Files\OLK2\Agency%20Capacity%20Relea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m84\c01m84\Power%20Deferrals\Power%20Deferral%20Journals\REC%20Deferral\2016%20DJ475%20WA%20REC%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gon Gas Costs - 1999"/>
      <sheetName val="Oregon Gas Costs - 2000"/>
      <sheetName val="Oregon Gas Costs - 2001"/>
      <sheetName val="Oregon Gas Costs - 2002"/>
      <sheetName val="Oregon Gas Costs - 2003"/>
      <sheetName val="Oregon Gas Costs - 2004 "/>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2001"/>
      <sheetName val="Jan 2001"/>
      <sheetName val="Dec 2000"/>
      <sheetName val="Nov 2000"/>
      <sheetName val="Oct 2000"/>
      <sheetName val="Sep 2000"/>
      <sheetName val="Sheet1"/>
      <sheetName val="Aug 2000"/>
      <sheetName val="Jul 2000"/>
      <sheetName val="Jun 2000"/>
      <sheetName val="May 2000"/>
      <sheetName val="April 2000"/>
      <sheetName val="Mar 2000"/>
      <sheetName val="Feb 2000"/>
      <sheetName val="Jan 2000"/>
      <sheetName val="Dec 99"/>
      <sheetName val="Nov 99"/>
      <sheetName val="Oct 99"/>
      <sheetName val="Sep 99"/>
      <sheetName val="Mar 2001 "/>
      <sheetName val="April 2001"/>
      <sheetName val="May 2001"/>
      <sheetName val="June 2001"/>
      <sheetName val="July 2001 "/>
      <sheetName val="Aug 01"/>
      <sheetName val="Sept 01"/>
      <sheetName val="Oct 01"/>
      <sheetName val="Nov 01"/>
      <sheetName val="Dec 01"/>
      <sheetName val="Jan 02"/>
      <sheetName val="Feb 2002"/>
      <sheetName val="Mar 02"/>
      <sheetName val="Apr 02"/>
      <sheetName val="May 02"/>
      <sheetName val="Jun 02"/>
      <sheetName val="Jul 02 "/>
      <sheetName val="Aug 02"/>
      <sheetName val="Sep 02"/>
      <sheetName val="Oct 02"/>
      <sheetName val="Nov 02"/>
      <sheetName val="Dec 02"/>
      <sheetName val="Jan 03"/>
      <sheetName val="Feb 03"/>
      <sheetName val="Mar 03"/>
      <sheetName val="Apr 03"/>
      <sheetName val="May 0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186322 WA REC - Amortizing"/>
      <sheetName val="186323 WA REC - Current"/>
      <sheetName val="186324 WA REC - Current 2"/>
      <sheetName val="Company Bands"/>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H51"/>
  <sheetViews>
    <sheetView workbookViewId="0">
      <selection sqref="A1:N64"/>
    </sheetView>
  </sheetViews>
  <sheetFormatPr defaultRowHeight="12.75"/>
  <cols>
    <col min="1" max="1" width="18.7109375" bestFit="1" customWidth="1"/>
    <col min="2" max="14" width="9.28515625" customWidth="1"/>
    <col min="16" max="16" width="2.42578125" customWidth="1"/>
    <col min="17" max="23" width="10.7109375" customWidth="1"/>
    <col min="24" max="24" width="5.7109375" customWidth="1"/>
  </cols>
  <sheetData>
    <row r="1" spans="1:34">
      <c r="C1" s="682" t="s">
        <v>191</v>
      </c>
      <c r="D1" s="682"/>
      <c r="E1" s="682"/>
      <c r="F1" s="682"/>
      <c r="G1" s="682"/>
      <c r="H1" s="682"/>
      <c r="I1" s="682"/>
      <c r="J1" s="682"/>
      <c r="K1" s="682"/>
      <c r="P1" s="684"/>
      <c r="Q1" s="684"/>
      <c r="R1" s="684"/>
      <c r="S1" s="684"/>
      <c r="T1" s="684"/>
      <c r="U1" s="684"/>
      <c r="V1" s="684"/>
      <c r="W1" s="684"/>
      <c r="X1" s="684"/>
    </row>
    <row r="2" spans="1:34" ht="23.25">
      <c r="C2" s="683" t="s">
        <v>246</v>
      </c>
      <c r="D2" s="683"/>
      <c r="E2" s="683"/>
      <c r="F2" s="683"/>
      <c r="G2" s="683"/>
      <c r="H2" s="683"/>
      <c r="I2" s="683"/>
      <c r="J2" s="683"/>
      <c r="K2" s="683"/>
      <c r="P2" s="682"/>
      <c r="Q2" s="682"/>
      <c r="R2" s="682"/>
      <c r="S2" s="682"/>
      <c r="T2" s="682"/>
      <c r="U2" s="682"/>
      <c r="V2" s="682"/>
      <c r="W2" s="682"/>
      <c r="X2" s="682"/>
      <c r="Z2" s="682"/>
      <c r="AA2" s="682"/>
      <c r="AB2" s="682"/>
      <c r="AC2" s="682"/>
      <c r="AD2" s="682"/>
      <c r="AE2" s="682"/>
      <c r="AF2" s="682"/>
      <c r="AG2" s="682"/>
      <c r="AH2" s="682"/>
    </row>
    <row r="3" spans="1:34" ht="23.25">
      <c r="C3" s="682" t="s">
        <v>193</v>
      </c>
      <c r="D3" s="682"/>
      <c r="E3" s="682"/>
      <c r="F3" s="682"/>
      <c r="G3" s="682"/>
      <c r="H3" s="682"/>
      <c r="I3" s="682"/>
      <c r="J3" s="682"/>
      <c r="K3" s="682"/>
      <c r="P3" s="683"/>
      <c r="Q3" s="683"/>
      <c r="R3" s="683"/>
      <c r="S3" s="683"/>
      <c r="T3" s="683"/>
      <c r="U3" s="683"/>
      <c r="V3" s="683"/>
      <c r="W3" s="683"/>
      <c r="X3" s="683"/>
      <c r="Z3" s="685"/>
      <c r="AA3" s="685"/>
      <c r="AB3" s="685"/>
      <c r="AC3" s="685"/>
      <c r="AD3" s="685"/>
      <c r="AE3" s="685"/>
      <c r="AF3" s="685"/>
      <c r="AG3" s="685"/>
      <c r="AH3" s="685"/>
    </row>
    <row r="4" spans="1:34">
      <c r="A4" t="s">
        <v>192</v>
      </c>
      <c r="B4" s="265">
        <v>41183</v>
      </c>
      <c r="C4" s="265">
        <v>41214</v>
      </c>
      <c r="D4" s="265">
        <v>41244</v>
      </c>
      <c r="E4" s="265">
        <v>41275</v>
      </c>
      <c r="F4" s="265">
        <v>41306</v>
      </c>
      <c r="G4" s="265">
        <v>41334</v>
      </c>
      <c r="H4" s="265">
        <v>41365</v>
      </c>
      <c r="I4" s="265">
        <v>41395</v>
      </c>
      <c r="J4" s="265">
        <v>41426</v>
      </c>
      <c r="K4" s="265">
        <v>41456</v>
      </c>
      <c r="L4" s="265">
        <v>41487</v>
      </c>
      <c r="M4" s="265">
        <v>41518</v>
      </c>
      <c r="N4" s="265">
        <v>41548</v>
      </c>
      <c r="P4" s="682"/>
      <c r="Q4" s="682"/>
      <c r="R4" s="682"/>
      <c r="S4" s="682"/>
      <c r="T4" s="682"/>
      <c r="U4" s="682"/>
      <c r="V4" s="682"/>
      <c r="W4" s="682"/>
      <c r="X4" s="682"/>
      <c r="Z4" s="682"/>
      <c r="AA4" s="682"/>
      <c r="AB4" s="682"/>
      <c r="AC4" s="682"/>
      <c r="AD4" s="682"/>
      <c r="AE4" s="682"/>
      <c r="AF4" s="682"/>
      <c r="AG4" s="682"/>
    </row>
    <row r="6" spans="1:34">
      <c r="A6" s="266" t="s">
        <v>194</v>
      </c>
    </row>
    <row r="7" spans="1:34">
      <c r="A7" s="267"/>
      <c r="B7" s="268" t="str">
        <f>TEXT(B4,"mmmmm-YY")</f>
        <v>O-12</v>
      </c>
      <c r="C7" s="268" t="str">
        <f>TEXT(C4,"mmmmm-YY")</f>
        <v>N-12</v>
      </c>
      <c r="D7" s="268" t="str">
        <f>TEXT(D4,"mmmmm")</f>
        <v>D</v>
      </c>
      <c r="E7" s="268" t="str">
        <f>TEXT(E4,"mmmmm-YY")</f>
        <v>J-13</v>
      </c>
      <c r="F7" s="268" t="str">
        <f>TEXT(F4,"mmmmm-YY")</f>
        <v>F-13</v>
      </c>
      <c r="G7" s="268" t="str">
        <f t="shared" ref="G7:N7" si="0">TEXT(G4,"mmmmm")</f>
        <v>M</v>
      </c>
      <c r="H7" s="268" t="str">
        <f t="shared" si="0"/>
        <v>A</v>
      </c>
      <c r="I7" s="268" t="str">
        <f t="shared" si="0"/>
        <v>M</v>
      </c>
      <c r="J7" s="268" t="str">
        <f t="shared" si="0"/>
        <v>J</v>
      </c>
      <c r="K7" s="268" t="str">
        <f t="shared" si="0"/>
        <v>J</v>
      </c>
      <c r="L7" s="268" t="str">
        <f t="shared" si="0"/>
        <v>A</v>
      </c>
      <c r="M7" s="268" t="str">
        <f t="shared" si="0"/>
        <v>S</v>
      </c>
      <c r="N7" s="268" t="str">
        <f t="shared" si="0"/>
        <v>O</v>
      </c>
    </row>
    <row r="8" spans="1:34">
      <c r="A8" t="s">
        <v>2</v>
      </c>
      <c r="B8" s="269">
        <f>'WA Def 191010'!D8/-1000000</f>
        <v>6.691252092754679</v>
      </c>
      <c r="C8" s="269">
        <f>'WA Def 191010'!D19/-1000000</f>
        <v>0.90240319623620857</v>
      </c>
      <c r="D8" s="269">
        <f>'WA Def 191010'!D27/-1000000</f>
        <v>-0.24153536134178891</v>
      </c>
      <c r="E8" s="269">
        <f>'WA Def 191010'!D35/-1000000</f>
        <v>1.612370665690211</v>
      </c>
      <c r="F8" s="269">
        <f>'WA Def 191010'!D43/-1000000</f>
        <v>0.64834278387021227</v>
      </c>
      <c r="G8" s="269">
        <f>'WA Def 191010'!D51/-1000000</f>
        <v>0.33671900480321282</v>
      </c>
      <c r="H8" s="269">
        <f>'WA Def 191010'!D59/-1000000</f>
        <v>0.63119416496921332</v>
      </c>
      <c r="I8" s="269">
        <f>'WA Def 191010'!D67/-1000000</f>
        <v>1.2090547576992148</v>
      </c>
      <c r="J8" s="269">
        <f>'WA Def 191010'!D75/-1000000</f>
        <v>1.3830479967132137</v>
      </c>
      <c r="K8" s="269">
        <f>'WA Def 191010'!D83/-1000000</f>
        <v>1.8775711130472124</v>
      </c>
      <c r="L8" s="269">
        <f>'WA Def 191010'!D91/-1000000</f>
        <v>2.5238373414722122</v>
      </c>
      <c r="M8" s="269">
        <f>'WA Def 191010'!D99/-1000000</f>
        <v>3.3385260271402131</v>
      </c>
      <c r="N8" s="269">
        <f>'WA Def 191010'!E99/-1000000</f>
        <v>-6.0831075290700021</v>
      </c>
    </row>
    <row r="9" spans="1:34">
      <c r="A9" t="s">
        <v>3</v>
      </c>
      <c r="B9" s="269">
        <f>'WA Def 191010'!E8/-1000000</f>
        <v>-0.80916936732299949</v>
      </c>
      <c r="C9" s="269">
        <f>'WA Def 191010'!E19/-1000000</f>
        <v>-3.8730244701439993</v>
      </c>
      <c r="D9" s="269">
        <f>'WA Def 191010'!E27/-1000000</f>
        <v>-3.0674777859969997</v>
      </c>
      <c r="E9" s="269">
        <f>'WA Def 191010'!E35/-1000000</f>
        <v>-1.6934499394870002</v>
      </c>
      <c r="F9" s="269">
        <f>'WA Def 191010'!E43/-1000000</f>
        <v>-0.95669013858100027</v>
      </c>
      <c r="G9" s="269">
        <f>'WA Def 191010'!E51/-1000000</f>
        <v>-0.56131225301100107</v>
      </c>
      <c r="H9" s="269">
        <f>'WA Def 191010'!E59/-1000000</f>
        <v>-0.69541010451100072</v>
      </c>
      <c r="I9" s="269">
        <f>'WA Def 191010'!E67/-1000000</f>
        <v>-1.5643559408390004</v>
      </c>
      <c r="J9" s="269">
        <f>'WA Def 191010'!E75/-1000000</f>
        <v>-2.5778206653800004</v>
      </c>
      <c r="K9" s="269">
        <f>'WA Def 191010'!E83/-1000000</f>
        <v>-3.8494386956210014</v>
      </c>
      <c r="L9" s="269">
        <f>'WA Def 191010'!E91/-1000000</f>
        <v>-5.0597053680260018</v>
      </c>
      <c r="M9" s="269">
        <f>'WA Def 191010'!E99/-1000000</f>
        <v>-6.0831075290700021</v>
      </c>
      <c r="N9" s="269">
        <f>'WA Def 191010'!F99/-1000000</f>
        <v>3.1801240000000015E-2</v>
      </c>
    </row>
    <row r="10" spans="1:34">
      <c r="A10" s="270" t="s">
        <v>21</v>
      </c>
      <c r="B10" s="271">
        <f>SUM(B8:B9)</f>
        <v>5.8820827254316796</v>
      </c>
      <c r="C10" s="271">
        <f>SUM(C8:C9)</f>
        <v>-2.9706212739077906</v>
      </c>
      <c r="D10" s="271">
        <f t="shared" ref="D10:N10" si="1">SUM(D8:D9)</f>
        <v>-3.3090131473387885</v>
      </c>
      <c r="E10" s="271">
        <f t="shared" si="1"/>
        <v>-8.1079273796789142E-2</v>
      </c>
      <c r="F10" s="271">
        <f t="shared" ref="F10" si="2">SUM(F8:F9)</f>
        <v>-0.308347354710788</v>
      </c>
      <c r="G10" s="271">
        <f t="shared" si="1"/>
        <v>-0.22459324820778825</v>
      </c>
      <c r="H10" s="271">
        <f t="shared" si="1"/>
        <v>-6.4215939541787392E-2</v>
      </c>
      <c r="I10" s="271">
        <f t="shared" si="1"/>
        <v>-0.35530118313978565</v>
      </c>
      <c r="J10" s="271">
        <f t="shared" si="1"/>
        <v>-1.1947726686667868</v>
      </c>
      <c r="K10" s="271">
        <f t="shared" ref="K10" si="3">SUM(K8:K9)</f>
        <v>-1.971867582573789</v>
      </c>
      <c r="L10" s="271">
        <f t="shared" si="1"/>
        <v>-2.5358680265537896</v>
      </c>
      <c r="M10" s="271">
        <f t="shared" ref="M10" si="4">SUM(M8:M9)</f>
        <v>-2.744581501929789</v>
      </c>
      <c r="N10" s="271">
        <f t="shared" si="1"/>
        <v>-6.051306289070002</v>
      </c>
    </row>
    <row r="12" spans="1:34">
      <c r="A12" s="266" t="s">
        <v>221</v>
      </c>
    </row>
    <row r="13" spans="1:34">
      <c r="A13" s="267"/>
      <c r="B13" s="268" t="str">
        <f>TEXT(B4,"mmmmm-YY")</f>
        <v>O-12</v>
      </c>
      <c r="C13" s="268" t="str">
        <f>TEXT(C4,"mmmmm")</f>
        <v>N</v>
      </c>
      <c r="D13" s="268" t="str">
        <f>TEXT(D4,"mmmmm")</f>
        <v>D</v>
      </c>
      <c r="E13" s="268" t="str">
        <f t="shared" ref="E13:F13" si="5">TEXT(E4,"mmmmm-YY")</f>
        <v>J-13</v>
      </c>
      <c r="F13" s="268" t="str">
        <f t="shared" si="5"/>
        <v>F-13</v>
      </c>
      <c r="G13" s="268" t="str">
        <f t="shared" ref="G13:L13" si="6">TEXT(G4,"mmmmm")</f>
        <v>M</v>
      </c>
      <c r="H13" s="268" t="str">
        <f t="shared" si="6"/>
        <v>A</v>
      </c>
      <c r="I13" s="268" t="str">
        <f t="shared" si="6"/>
        <v>M</v>
      </c>
      <c r="J13" s="268" t="str">
        <f t="shared" si="6"/>
        <v>J</v>
      </c>
      <c r="K13" s="268" t="str">
        <f t="shared" ref="K13" si="7">TEXT(K4,"mmmmm")</f>
        <v>J</v>
      </c>
      <c r="L13" s="268" t="str">
        <f t="shared" si="6"/>
        <v>A</v>
      </c>
      <c r="M13" s="268" t="str">
        <f t="shared" ref="M13" si="8">TEXT(M4,"mmmmm")</f>
        <v>S</v>
      </c>
      <c r="N13" s="268" t="s">
        <v>245</v>
      </c>
    </row>
    <row r="14" spans="1:34">
      <c r="A14" t="s">
        <v>2</v>
      </c>
      <c r="B14" s="269">
        <f>('ID Def 191010'!D20+'ID Holdback 191015'!D16)/-1000000</f>
        <v>2.1383911983473967</v>
      </c>
      <c r="C14" s="269">
        <f>('ID Def 191010'!D29+'ID Holdback 191015'!D23)/-1000000</f>
        <v>1.2444255776995812</v>
      </c>
      <c r="D14" s="269">
        <f>('ID Def 191010'!D47+'ID Holdback 191015'!D30)/-1000000</f>
        <v>0.87195540999758092</v>
      </c>
      <c r="E14" s="269">
        <f>('ID Def 191010'!D56+'ID Holdback 191015'!D37)/-1000000</f>
        <v>1.6660490220255828</v>
      </c>
      <c r="F14" s="269">
        <f>('ID Def 191010'!D65+'ID Holdback 191015'!D45)/-1000000</f>
        <v>1.2966995405455823</v>
      </c>
      <c r="G14" s="269">
        <f>('ID Def 191010'!D74+'ID Holdback 191015'!D53)/-1000000</f>
        <v>1.1561449650525837</v>
      </c>
      <c r="H14" s="269">
        <f>('ID Def 191010'!D83+'ID Holdback 191015'!D61)/-1000000</f>
        <v>1.2996516898465837</v>
      </c>
      <c r="I14" s="269">
        <f>('ID Def 191010'!D92+'ID Holdback 191015'!D69)/-1000000</f>
        <v>1.5610150065365844</v>
      </c>
      <c r="J14" s="269">
        <f>('ID Def 191010'!D101+'ID Holdback 191015'!D77)/-1000000</f>
        <v>1.6482739833225839</v>
      </c>
      <c r="K14" s="269">
        <f>('ID Def 191010'!D110+'ID Holdback 191015'!D85)/-1000000</f>
        <v>1.8954571715485831</v>
      </c>
      <c r="L14" s="269">
        <f>('ID Def 191010'!D119+'ID Holdback 191015'!D93)/-1000000</f>
        <v>2.2528616869035827</v>
      </c>
      <c r="M14" s="269">
        <f>('ID Def 191010'!D128+'ID Holdback 191015'!D101)/-1000000</f>
        <v>2.7080381318555831</v>
      </c>
      <c r="N14" s="269">
        <f>('ID Def 191010'!D137+'ID Holdback 191015'!D109)/-1000000</f>
        <v>0.56600077745999999</v>
      </c>
    </row>
    <row r="15" spans="1:34">
      <c r="A15" t="s">
        <v>3</v>
      </c>
      <c r="B15" s="269">
        <f>('ID Def 191010'!E20+'ID Holdback 191015'!E16)/-1000000</f>
        <v>-0.82418407251353221</v>
      </c>
      <c r="C15" s="269">
        <f>('ID Def 191010'!E29+'ID Holdback 191015'!E23)/-1000000</f>
        <v>-0.80322416033553246</v>
      </c>
      <c r="D15" s="269">
        <f>('ID Def 191010'!E47+'ID Holdback 191015'!E30)/-1000000</f>
        <v>-0.39310178017253256</v>
      </c>
      <c r="E15" s="269">
        <f>('ID Def 191010'!E56+'ID Holdback 191015'!E37)/-1000000</f>
        <v>0.17129077183746722</v>
      </c>
      <c r="F15" s="269">
        <f>('ID Def 191010'!E65+'ID Holdback 191015'!E45)/-1000000</f>
        <v>0.35307272873146694</v>
      </c>
      <c r="G15" s="269">
        <f>('ID Def 191010'!E74+'ID Holdback 191015'!E53)/-1000000</f>
        <v>0.56382016840146643</v>
      </c>
      <c r="H15" s="269">
        <f>('ID Def 191010'!E83+'ID Holdback 191015'!E61)/-1000000</f>
        <v>0.53955121001146655</v>
      </c>
      <c r="I15" s="269">
        <f>('ID Def 191010'!E92+'ID Holdback 191015'!E69)/-1000000</f>
        <v>0.18205832733946647</v>
      </c>
      <c r="J15" s="269">
        <f>('ID Def 191010'!E101+'ID Holdback 191015'!E77)/-1000000</f>
        <v>-0.22184721294953361</v>
      </c>
      <c r="K15" s="269">
        <f>('ID Def 191010'!E110+'ID Holdback 191015'!E85)/-1000000</f>
        <v>-0.73848372468853407</v>
      </c>
      <c r="L15" s="269">
        <f>('ID Def 191010'!E119+'ID Holdback 191015'!E93)/-1000000</f>
        <v>-1.2085874236835343</v>
      </c>
      <c r="M15" s="269">
        <f>('ID Def 191010'!E128+'ID Holdback 191015'!E101)/-1000000</f>
        <v>-1.5854874293295345</v>
      </c>
      <c r="N15" s="269">
        <f>('ID Def 191010'!E137+'ID Holdback 191015'!E109)/-1000000</f>
        <v>-8.1480250077000355E-2</v>
      </c>
    </row>
    <row r="16" spans="1:34">
      <c r="A16" s="270" t="s">
        <v>21</v>
      </c>
      <c r="B16" s="271">
        <f>SUM(B14:B15)</f>
        <v>1.3142071258338643</v>
      </c>
      <c r="C16" s="271">
        <f>SUM(C14:C15)</f>
        <v>0.44120141736404872</v>
      </c>
      <c r="D16" s="271">
        <f t="shared" ref="D16:L16" si="9">SUM(D14:D15)</f>
        <v>0.47885362982504837</v>
      </c>
      <c r="E16" s="271">
        <f t="shared" si="9"/>
        <v>1.83733979386305</v>
      </c>
      <c r="F16" s="271">
        <f t="shared" ref="F16" si="10">SUM(F14:F15)</f>
        <v>1.6497722692770493</v>
      </c>
      <c r="G16" s="271">
        <f t="shared" si="9"/>
        <v>1.7199651334540502</v>
      </c>
      <c r="H16" s="271">
        <f t="shared" si="9"/>
        <v>1.8392028998580503</v>
      </c>
      <c r="I16" s="271">
        <f t="shared" si="9"/>
        <v>1.7430733338760509</v>
      </c>
      <c r="J16" s="271">
        <f t="shared" si="9"/>
        <v>1.4264267703730502</v>
      </c>
      <c r="K16" s="271">
        <f t="shared" si="9"/>
        <v>1.156973446860049</v>
      </c>
      <c r="L16" s="271">
        <f t="shared" si="9"/>
        <v>1.0442742632200483</v>
      </c>
      <c r="M16" s="271">
        <f t="shared" ref="M16:N16" si="11">SUM(M14:M15)</f>
        <v>1.1225507025260486</v>
      </c>
      <c r="N16" s="271">
        <f t="shared" si="11"/>
        <v>0.48452052738299967</v>
      </c>
    </row>
    <row r="51" ht="9.75" customHeight="1"/>
  </sheetData>
  <mergeCells count="10">
    <mergeCell ref="C1:K1"/>
    <mergeCell ref="C2:K2"/>
    <mergeCell ref="C3:K3"/>
    <mergeCell ref="P4:X4"/>
    <mergeCell ref="Z4:AG4"/>
    <mergeCell ref="P1:X1"/>
    <mergeCell ref="P2:X2"/>
    <mergeCell ref="Z2:AH2"/>
    <mergeCell ref="P3:X3"/>
    <mergeCell ref="Z3:AH3"/>
  </mergeCells>
  <printOptions horizontalCentered="1"/>
  <pageMargins left="0.7" right="0.7" top="0.75" bottom="0.5" header="0.3" footer="0.3"/>
  <pageSetup scale="79" orientation="landscape" r:id="rId1"/>
  <headerFooter>
    <oddFooter>&amp;L&amp;F - &amp;A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1">
    <tabColor rgb="FF00CC66"/>
    <pageSetUpPr fitToPage="1"/>
  </sheetPr>
  <dimension ref="A1:U1485"/>
  <sheetViews>
    <sheetView showGridLines="0" zoomScale="70" zoomScaleNormal="70" workbookViewId="0">
      <selection activeCell="C19" sqref="C19"/>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May!C1+1</f>
        <v>201806</v>
      </c>
      <c r="F1" s="527">
        <f>C1</f>
        <v>201806</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58">
        <f>3538040.09-1262.08</f>
        <v>3536778.01</v>
      </c>
      <c r="D4" s="34"/>
      <c r="F4" s="383"/>
      <c r="G4" s="383"/>
      <c r="H4" s="11"/>
      <c r="I4" s="383"/>
      <c r="J4" s="383"/>
      <c r="L4" s="383"/>
      <c r="M4" s="383"/>
    </row>
    <row r="5" spans="1:13" ht="14.25" customHeight="1">
      <c r="A5" s="383" t="s">
        <v>31</v>
      </c>
      <c r="C5" s="558">
        <f>23990.11</f>
        <v>23990.11</v>
      </c>
      <c r="D5" s="34"/>
      <c r="F5" s="383"/>
      <c r="G5" s="383"/>
      <c r="H5" s="11"/>
      <c r="I5" s="589">
        <v>0.69059999999999999</v>
      </c>
      <c r="J5" s="589">
        <v>0.30940000000000001</v>
      </c>
      <c r="K5" s="443">
        <f>ROUND(G45/(G45+K43),4)</f>
        <v>0.6401</v>
      </c>
      <c r="L5" s="443">
        <f>1-K5</f>
        <v>0.3599</v>
      </c>
      <c r="M5" s="383"/>
    </row>
    <row r="6" spans="1:13" ht="16.5" thickBot="1">
      <c r="A6" s="49" t="s">
        <v>30</v>
      </c>
      <c r="C6" s="559">
        <f>-1446530.02-412587-117882-132617.25-76033.89-94965.74</f>
        <v>-2280615.9000000004</v>
      </c>
      <c r="D6" s="34"/>
      <c r="F6" s="383"/>
      <c r="G6" s="383"/>
      <c r="H6" s="383"/>
      <c r="I6" s="383"/>
      <c r="J6" s="383"/>
      <c r="K6" s="383"/>
      <c r="L6" s="383"/>
      <c r="M6" s="383"/>
    </row>
    <row r="7" spans="1:13" ht="16.5" thickBot="1">
      <c r="A7" s="66" t="s">
        <v>140</v>
      </c>
      <c r="C7" s="100">
        <f>SUM(C4:C6)</f>
        <v>1280152.2199999993</v>
      </c>
      <c r="D7" s="35"/>
      <c r="F7" s="166" t="s">
        <v>139</v>
      </c>
      <c r="G7" s="166"/>
      <c r="H7" s="125">
        <f>C34</f>
        <v>2103260.2699999991</v>
      </c>
      <c r="I7" s="167">
        <f>H7*I5</f>
        <v>1452511.5424619995</v>
      </c>
      <c r="J7" s="167">
        <f>H7*J5</f>
        <v>650748.72753799974</v>
      </c>
      <c r="K7" s="167"/>
      <c r="L7" s="167"/>
      <c r="M7" s="383"/>
    </row>
    <row r="8" spans="1:13" ht="15.75">
      <c r="A8" s="382" t="s">
        <v>89</v>
      </c>
      <c r="C8" s="558">
        <v>185334.94</v>
      </c>
      <c r="D8" s="35"/>
      <c r="F8" s="383"/>
      <c r="G8" s="383"/>
      <c r="H8" s="168"/>
      <c r="I8" s="168"/>
      <c r="J8" s="168"/>
      <c r="K8" s="168"/>
      <c r="L8" s="168"/>
      <c r="M8" s="383"/>
    </row>
    <row r="9" spans="1:13" ht="15.75">
      <c r="A9" s="383" t="s">
        <v>90</v>
      </c>
      <c r="C9" s="558">
        <f>14381.14+5019.21</f>
        <v>19400.349999999999</v>
      </c>
      <c r="D9" s="36"/>
      <c r="F9" s="166" t="s">
        <v>119</v>
      </c>
      <c r="G9" s="383"/>
      <c r="H9" s="167">
        <f>C56</f>
        <v>-124858.45999999996</v>
      </c>
      <c r="I9" s="167"/>
      <c r="J9" s="167"/>
      <c r="K9" s="167">
        <f>H9*K5</f>
        <v>-79921.900245999976</v>
      </c>
      <c r="L9" s="167">
        <f>H9*L5</f>
        <v>-44936.559753999987</v>
      </c>
      <c r="M9" s="383"/>
    </row>
    <row r="10" spans="1:13" ht="15.75">
      <c r="A10" s="49" t="s">
        <v>91</v>
      </c>
      <c r="C10" s="559">
        <f>-3308.2</f>
        <v>-3308.2</v>
      </c>
      <c r="D10" s="36"/>
      <c r="F10" s="169" t="s">
        <v>44</v>
      </c>
      <c r="G10" s="383"/>
      <c r="H10" s="167">
        <f>C57</f>
        <v>-19480.580000000002</v>
      </c>
      <c r="I10" s="167"/>
      <c r="J10" s="167"/>
      <c r="K10" s="167">
        <f>H10</f>
        <v>-19480.580000000002</v>
      </c>
      <c r="L10" s="167"/>
      <c r="M10" s="383"/>
    </row>
    <row r="11" spans="1:13">
      <c r="A11" s="66" t="s">
        <v>145</v>
      </c>
      <c r="C11" s="100">
        <f>SUM(C8:C10)</f>
        <v>201427.09</v>
      </c>
      <c r="D11" s="36"/>
      <c r="F11" s="169" t="s">
        <v>45</v>
      </c>
      <c r="G11" s="383"/>
      <c r="H11" s="170">
        <f>C58</f>
        <v>-11858.25</v>
      </c>
      <c r="I11" s="167"/>
      <c r="J11" s="167"/>
      <c r="K11" s="170"/>
      <c r="L11" s="170">
        <f>H11</f>
        <v>-11858.25</v>
      </c>
      <c r="M11" s="383"/>
    </row>
    <row r="12" spans="1:13" ht="15.75">
      <c r="A12" s="382" t="s">
        <v>165</v>
      </c>
      <c r="C12" s="558">
        <f>187826.29-5091.08</f>
        <v>182735.21000000002</v>
      </c>
      <c r="D12" s="36"/>
      <c r="F12" s="169" t="s">
        <v>138</v>
      </c>
      <c r="G12" s="383"/>
      <c r="H12" s="167">
        <f>H9+H10+H11</f>
        <v>-156197.28999999998</v>
      </c>
      <c r="I12" s="167"/>
      <c r="J12" s="167"/>
      <c r="K12" s="167">
        <f>SUM(K9:K11)</f>
        <v>-99402.480245999977</v>
      </c>
      <c r="L12" s="167">
        <f>SUM(L9:L11)</f>
        <v>-56794.809753999987</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182735.21000000002</v>
      </c>
      <c r="D14" s="37"/>
      <c r="F14" s="50" t="s">
        <v>69</v>
      </c>
      <c r="G14" s="175"/>
      <c r="H14" s="125">
        <f>H12+H7</f>
        <v>1947062.9799999991</v>
      </c>
      <c r="I14" s="176">
        <f>SUM(I7:I13)</f>
        <v>1452511.5424619995</v>
      </c>
      <c r="J14" s="176">
        <f>SUM(J7:J13)</f>
        <v>650748.72753799974</v>
      </c>
      <c r="K14" s="176">
        <f>K12</f>
        <v>-99402.480245999977</v>
      </c>
      <c r="L14" s="176">
        <f>L12</f>
        <v>-56794.809753999987</v>
      </c>
      <c r="M14" s="383"/>
    </row>
    <row r="15" spans="1:13" ht="15.75">
      <c r="A15" s="382" t="s">
        <v>183</v>
      </c>
      <c r="C15" s="558">
        <f>392596.66-10641.46</f>
        <v>381955.19999999995</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381955.19999999995</v>
      </c>
      <c r="D17" s="37"/>
      <c r="F17" s="171"/>
      <c r="G17" s="172"/>
      <c r="H17" s="179"/>
      <c r="I17" s="180"/>
      <c r="J17" s="183"/>
      <c r="K17" s="383"/>
      <c r="L17" s="179"/>
      <c r="M17" s="383"/>
    </row>
    <row r="18" spans="1:13" ht="16.5" thickBot="1">
      <c r="A18" s="382" t="s">
        <v>163</v>
      </c>
      <c r="C18" s="558">
        <f>80079.73-2449.22+9889.1</f>
        <v>87519.61</v>
      </c>
      <c r="D18" s="36"/>
      <c r="F18" s="691" t="s">
        <v>134</v>
      </c>
      <c r="G18" s="692"/>
      <c r="H18" s="692"/>
      <c r="I18" s="693"/>
      <c r="J18" s="691" t="s">
        <v>135</v>
      </c>
      <c r="K18" s="692"/>
      <c r="L18" s="692"/>
      <c r="M18" s="693"/>
    </row>
    <row r="19" spans="1:13" ht="15.75">
      <c r="A19" s="46" t="s">
        <v>164</v>
      </c>
      <c r="C19" s="559">
        <f>-5833.31</f>
        <v>-5833.31</v>
      </c>
      <c r="D19" s="36"/>
      <c r="F19" s="201" t="s">
        <v>108</v>
      </c>
      <c r="G19" s="164" t="s">
        <v>33</v>
      </c>
      <c r="H19" s="164" t="s">
        <v>33</v>
      </c>
      <c r="I19" s="164" t="s">
        <v>33</v>
      </c>
      <c r="J19" s="201" t="s">
        <v>108</v>
      </c>
      <c r="K19" s="164" t="s">
        <v>33</v>
      </c>
      <c r="L19" s="164" t="s">
        <v>33</v>
      </c>
      <c r="M19" s="185" t="s">
        <v>33</v>
      </c>
    </row>
    <row r="20" spans="1:13" ht="16.5" thickBot="1">
      <c r="A20" s="67" t="s">
        <v>93</v>
      </c>
      <c r="C20" s="100">
        <f>SUM(C18:C19)</f>
        <v>81686.3</v>
      </c>
      <c r="D20" s="36"/>
      <c r="F20" s="195" t="s">
        <v>162</v>
      </c>
      <c r="G20" s="165" t="s">
        <v>101</v>
      </c>
      <c r="H20" s="165" t="s">
        <v>36</v>
      </c>
      <c r="I20" s="165" t="s">
        <v>34</v>
      </c>
      <c r="J20" s="195" t="s">
        <v>162</v>
      </c>
      <c r="K20" s="165" t="s">
        <v>101</v>
      </c>
      <c r="L20" s="165" t="s">
        <v>36</v>
      </c>
      <c r="M20" s="165" t="s">
        <v>34</v>
      </c>
    </row>
    <row r="21" spans="1:13" ht="15.75">
      <c r="A21" s="46" t="s">
        <v>149</v>
      </c>
      <c r="C21" s="559">
        <f>2475.54+1850</f>
        <v>4325.54</v>
      </c>
      <c r="D21" s="36"/>
      <c r="F21" s="184"/>
      <c r="G21" s="12"/>
      <c r="H21" s="12"/>
      <c r="I21" s="185"/>
      <c r="J21" s="129"/>
      <c r="K21" s="13"/>
      <c r="L21" s="13"/>
      <c r="M21" s="205"/>
    </row>
    <row r="22" spans="1:13" ht="18" customHeight="1">
      <c r="A22" s="65" t="s">
        <v>149</v>
      </c>
      <c r="C22" s="100">
        <f>SUM(C21)</f>
        <v>4325.54</v>
      </c>
      <c r="D22" s="36"/>
      <c r="F22" s="199" t="s">
        <v>126</v>
      </c>
      <c r="G22" s="7"/>
      <c r="H22" s="7"/>
      <c r="I22" s="98"/>
      <c r="J22" s="199" t="s">
        <v>126</v>
      </c>
      <c r="K22" s="7"/>
      <c r="L22" s="7"/>
      <c r="M22" s="98"/>
    </row>
    <row r="23" spans="1:13" ht="15.75">
      <c r="A23" s="208" t="s">
        <v>180</v>
      </c>
      <c r="C23" s="100">
        <v>0</v>
      </c>
      <c r="D23" s="36"/>
      <c r="F23" s="200" t="s">
        <v>37</v>
      </c>
      <c r="G23" s="560">
        <v>2630854</v>
      </c>
      <c r="H23" s="620">
        <v>0.10743999999999999</v>
      </c>
      <c r="I23" s="196">
        <f>G23*H23</f>
        <v>282658.95376</v>
      </c>
      <c r="J23" s="200" t="s">
        <v>37</v>
      </c>
      <c r="K23" s="560">
        <v>1425082</v>
      </c>
      <c r="L23" s="620">
        <v>0.10496999999999999</v>
      </c>
      <c r="M23" s="196">
        <f>K23*L23</f>
        <v>149590.85754</v>
      </c>
    </row>
    <row r="24" spans="1:13" ht="15.75">
      <c r="A24" s="208" t="s">
        <v>186</v>
      </c>
      <c r="C24" s="311">
        <v>0</v>
      </c>
      <c r="D24" s="36"/>
      <c r="F24" s="200" t="s">
        <v>305</v>
      </c>
      <c r="G24" s="560">
        <v>2604</v>
      </c>
      <c r="H24" s="620">
        <v>0.10743999999999999</v>
      </c>
      <c r="I24" s="196">
        <f t="shared" ref="I24:I31" si="0">G24*H24</f>
        <v>279.77375999999998</v>
      </c>
      <c r="J24" s="200" t="s">
        <v>38</v>
      </c>
      <c r="K24" s="560">
        <v>1286771</v>
      </c>
      <c r="L24" s="620">
        <v>0.10496999999999999</v>
      </c>
      <c r="M24" s="196">
        <f t="shared" ref="M24:M27" si="1">K24*L24</f>
        <v>135072.35186999998</v>
      </c>
    </row>
    <row r="25" spans="1:13" ht="15.75">
      <c r="A25" s="208" t="s">
        <v>189</v>
      </c>
      <c r="C25" s="312">
        <v>0</v>
      </c>
      <c r="D25" s="36"/>
      <c r="F25" s="200" t="s">
        <v>38</v>
      </c>
      <c r="G25" s="560">
        <v>1922676</v>
      </c>
      <c r="H25" s="620">
        <v>9.8650000000000002E-2</v>
      </c>
      <c r="I25" s="196">
        <f t="shared" si="0"/>
        <v>189671.98740000001</v>
      </c>
      <c r="J25" s="200" t="s">
        <v>39</v>
      </c>
      <c r="K25" s="560">
        <v>77211</v>
      </c>
      <c r="L25" s="620">
        <v>0.10496999999999999</v>
      </c>
      <c r="M25" s="196">
        <f t="shared" si="1"/>
        <v>8104.8386699999992</v>
      </c>
    </row>
    <row r="26" spans="1:13" ht="15.75">
      <c r="A26" s="209" t="s">
        <v>188</v>
      </c>
      <c r="C26" s="313">
        <v>0</v>
      </c>
      <c r="D26" s="36"/>
      <c r="F26" s="200" t="s">
        <v>39</v>
      </c>
      <c r="G26" s="560">
        <v>6600</v>
      </c>
      <c r="H26" s="620">
        <v>9.8650000000000002E-2</v>
      </c>
      <c r="I26" s="196">
        <f t="shared" si="0"/>
        <v>651.09</v>
      </c>
      <c r="J26" s="200" t="s">
        <v>40</v>
      </c>
      <c r="K26" s="560">
        <v>0</v>
      </c>
      <c r="L26" s="620">
        <v>0.10496999999999999</v>
      </c>
      <c r="M26" s="196">
        <f t="shared" si="1"/>
        <v>0</v>
      </c>
    </row>
    <row r="27" spans="1:13" ht="15.75">
      <c r="A27" s="65" t="s">
        <v>96</v>
      </c>
      <c r="C27" s="100">
        <f>SUM(C23:C26)</f>
        <v>0</v>
      </c>
      <c r="D27" s="36"/>
      <c r="F27" s="200" t="s">
        <v>40</v>
      </c>
      <c r="G27" s="560">
        <v>318982</v>
      </c>
      <c r="H27" s="620">
        <v>0.10433000000000001</v>
      </c>
      <c r="I27" s="196">
        <f t="shared" si="0"/>
        <v>33279.392059999998</v>
      </c>
      <c r="J27" s="200" t="s">
        <v>41</v>
      </c>
      <c r="K27" s="560">
        <v>0</v>
      </c>
      <c r="L27" s="620">
        <v>0.10496999999999999</v>
      </c>
      <c r="M27" s="196">
        <f t="shared" si="1"/>
        <v>0</v>
      </c>
    </row>
    <row r="28" spans="1:13" ht="16.5" thickBot="1">
      <c r="A28" s="210" t="s">
        <v>150</v>
      </c>
      <c r="C28" s="311">
        <v>0</v>
      </c>
      <c r="D28" s="37"/>
      <c r="F28" s="200" t="s">
        <v>41</v>
      </c>
      <c r="G28" s="560">
        <v>31254</v>
      </c>
      <c r="H28" s="620">
        <v>0.10433000000000001</v>
      </c>
      <c r="I28" s="196">
        <f t="shared" si="0"/>
        <v>3260.72982</v>
      </c>
      <c r="J28" s="199" t="s">
        <v>127</v>
      </c>
      <c r="K28" s="181">
        <f>SUM(K23:K27)</f>
        <v>2789064</v>
      </c>
      <c r="L28" s="182"/>
      <c r="M28" s="197">
        <f>SUM(M23:M27)</f>
        <v>292768.04808000004</v>
      </c>
    </row>
    <row r="29" spans="1:13" ht="17.25" thickTop="1" thickBot="1">
      <c r="A29" s="210" t="s">
        <v>167</v>
      </c>
      <c r="B29" s="383"/>
      <c r="C29" s="311">
        <v>0</v>
      </c>
      <c r="D29" s="36"/>
      <c r="F29" s="200" t="s">
        <v>42</v>
      </c>
      <c r="G29" s="560">
        <v>0</v>
      </c>
      <c r="H29" s="620">
        <v>6.2480000000000001E-2</v>
      </c>
      <c r="I29" s="196">
        <f t="shared" si="0"/>
        <v>0</v>
      </c>
      <c r="J29" s="199"/>
      <c r="K29" s="231">
        <v>2789064</v>
      </c>
      <c r="L29" s="187" t="s">
        <v>102</v>
      </c>
      <c r="M29" s="463">
        <f>M28/K28</f>
        <v>0.10497000000000001</v>
      </c>
    </row>
    <row r="30" spans="1:13" ht="16.5" thickBot="1">
      <c r="A30" s="2" t="s">
        <v>111</v>
      </c>
      <c r="C30" s="125">
        <f>C7+C11+C14+C17+C20+C22+C27+C28+C29</f>
        <v>2132281.5599999991</v>
      </c>
      <c r="D30" s="37"/>
      <c r="F30" s="200" t="s">
        <v>43</v>
      </c>
      <c r="G30" s="560">
        <v>47470</v>
      </c>
      <c r="H30" s="620">
        <v>6.2480000000000001E-2</v>
      </c>
      <c r="I30" s="196">
        <f t="shared" si="0"/>
        <v>2965.9256</v>
      </c>
      <c r="J30" s="200"/>
      <c r="K30" s="230">
        <f>K28-K29</f>
        <v>0</v>
      </c>
      <c r="L30" s="182"/>
      <c r="M30" s="198"/>
    </row>
    <row r="31" spans="1:13" ht="15.75">
      <c r="A31" s="382" t="s">
        <v>112</v>
      </c>
      <c r="C31" s="558">
        <v>8535.86</v>
      </c>
      <c r="D31" s="39"/>
      <c r="F31" s="200" t="s">
        <v>74</v>
      </c>
      <c r="G31" s="560">
        <v>2373589</v>
      </c>
      <c r="H31" s="620">
        <v>5.4000000000000001E-4</v>
      </c>
      <c r="I31" s="196">
        <f t="shared" si="0"/>
        <v>1281.7380599999999</v>
      </c>
      <c r="J31" s="153"/>
      <c r="K31" s="7"/>
      <c r="L31" s="182"/>
      <c r="M31" s="198"/>
    </row>
    <row r="32" spans="1:13" ht="16.5" thickBot="1">
      <c r="A32" s="2" t="s">
        <v>116</v>
      </c>
      <c r="B32" s="2" t="s">
        <v>117</v>
      </c>
      <c r="C32" s="564">
        <f>C30+C31</f>
        <v>2140817.419999999</v>
      </c>
      <c r="D32" s="40"/>
      <c r="F32" s="199" t="s">
        <v>127</v>
      </c>
      <c r="G32" s="181">
        <f>SUM(G23:G31)</f>
        <v>7334029</v>
      </c>
      <c r="H32" s="7"/>
      <c r="I32" s="197">
        <f>SUM(I23:I31)</f>
        <v>514049.59046000009</v>
      </c>
      <c r="J32" s="192"/>
      <c r="K32" s="193"/>
      <c r="L32" s="7"/>
      <c r="M32" s="190"/>
    </row>
    <row r="33" spans="1:17" ht="17.25" thickTop="1" thickBot="1">
      <c r="A33" s="382" t="s">
        <v>113</v>
      </c>
      <c r="C33" s="310">
        <f>-C5-C9-C13-C16-C19</f>
        <v>-37557.15</v>
      </c>
      <c r="D33" s="36"/>
      <c r="F33" s="186"/>
      <c r="G33" s="231">
        <v>7334029</v>
      </c>
      <c r="H33" s="187" t="s">
        <v>102</v>
      </c>
      <c r="I33" s="216">
        <f>I32/G32</f>
        <v>7.0091022337108302E-2</v>
      </c>
      <c r="J33" s="192"/>
      <c r="K33" s="193"/>
      <c r="L33" s="7"/>
      <c r="M33" s="98"/>
    </row>
    <row r="34" spans="1:17" ht="16.5" thickBot="1">
      <c r="A34" s="2" t="s">
        <v>114</v>
      </c>
      <c r="C34" s="125">
        <f>SUM(C32:C33)</f>
        <v>2103260.2699999991</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578">
        <f>K23</f>
        <v>1425082</v>
      </c>
      <c r="L36" s="620">
        <v>0.16236</v>
      </c>
      <c r="M36" s="196">
        <f t="shared" ref="M36:M42" si="2">K36*L36</f>
        <v>231376.31352</v>
      </c>
      <c r="P36" s="272"/>
      <c r="Q36" s="272"/>
    </row>
    <row r="37" spans="1:17" ht="15.75">
      <c r="A37" s="7" t="s">
        <v>129</v>
      </c>
      <c r="B37" s="530" t="s">
        <v>115</v>
      </c>
      <c r="C37" s="558">
        <v>5113166.41</v>
      </c>
      <c r="D37" s="36"/>
      <c r="F37" s="200" t="s">
        <v>37</v>
      </c>
      <c r="G37" s="578">
        <f>G23</f>
        <v>2630854</v>
      </c>
      <c r="H37" s="620">
        <v>0.16436000000000001</v>
      </c>
      <c r="I37" s="196">
        <f t="shared" ref="I37:I44" si="3">G37*H37</f>
        <v>432407.16344000003</v>
      </c>
      <c r="J37" s="200" t="s">
        <v>38</v>
      </c>
      <c r="K37" s="578">
        <f>K24</f>
        <v>1286771</v>
      </c>
      <c r="L37" s="620">
        <v>0.16236</v>
      </c>
      <c r="M37" s="196">
        <f t="shared" si="2"/>
        <v>208920.13956000001</v>
      </c>
      <c r="P37" s="272"/>
      <c r="Q37" s="272"/>
    </row>
    <row r="38" spans="1:17" ht="15.75">
      <c r="A38" s="144" t="s">
        <v>14</v>
      </c>
      <c r="B38" s="530" t="s">
        <v>115</v>
      </c>
      <c r="C38" s="122">
        <v>0</v>
      </c>
      <c r="D38" s="36"/>
      <c r="F38" s="200" t="s">
        <v>305</v>
      </c>
      <c r="G38" s="578">
        <f>G24</f>
        <v>2604</v>
      </c>
      <c r="H38" s="620">
        <v>0.16436000000000001</v>
      </c>
      <c r="I38" s="196">
        <f t="shared" si="3"/>
        <v>427.99344000000002</v>
      </c>
      <c r="J38" s="200" t="s">
        <v>39</v>
      </c>
      <c r="K38" s="578">
        <f>K25</f>
        <v>77211</v>
      </c>
      <c r="L38" s="620">
        <v>0.16236</v>
      </c>
      <c r="M38" s="196">
        <f t="shared" si="2"/>
        <v>12535.97796</v>
      </c>
      <c r="P38" s="272"/>
      <c r="Q38" s="272"/>
    </row>
    <row r="39" spans="1:17" ht="15.75">
      <c r="A39" s="7" t="s">
        <v>146</v>
      </c>
      <c r="B39" s="530" t="s">
        <v>147</v>
      </c>
      <c r="C39" s="558">
        <v>-81263.929999999993</v>
      </c>
      <c r="D39" s="36"/>
      <c r="F39" s="200" t="s">
        <v>38</v>
      </c>
      <c r="G39" s="578">
        <f t="shared" ref="G39:G44" si="4">G25</f>
        <v>1922676</v>
      </c>
      <c r="H39" s="620">
        <v>0.16436000000000001</v>
      </c>
      <c r="I39" s="196">
        <f t="shared" si="3"/>
        <v>316011.02736000001</v>
      </c>
      <c r="J39" s="200" t="s">
        <v>40</v>
      </c>
      <c r="K39" s="578">
        <f>K26</f>
        <v>0</v>
      </c>
      <c r="L39" s="620">
        <v>0.16236</v>
      </c>
      <c r="M39" s="196">
        <f t="shared" si="2"/>
        <v>0</v>
      </c>
      <c r="P39" s="272"/>
      <c r="Q39" s="272"/>
    </row>
    <row r="40" spans="1:17" ht="15.75">
      <c r="A40" s="7" t="s">
        <v>131</v>
      </c>
      <c r="B40" s="530" t="s">
        <v>132</v>
      </c>
      <c r="C40" s="558">
        <v>1484422.08</v>
      </c>
      <c r="D40" s="36"/>
      <c r="F40" s="200" t="s">
        <v>39</v>
      </c>
      <c r="G40" s="578">
        <f t="shared" si="4"/>
        <v>6600</v>
      </c>
      <c r="H40" s="620">
        <v>0.16436000000000001</v>
      </c>
      <c r="I40" s="196">
        <f t="shared" si="3"/>
        <v>1084.7760000000001</v>
      </c>
      <c r="J40" s="200" t="s">
        <v>41</v>
      </c>
      <c r="K40" s="578">
        <f>K27</f>
        <v>0</v>
      </c>
      <c r="L40" s="620">
        <v>0.16236</v>
      </c>
      <c r="M40" s="196">
        <f t="shared" si="2"/>
        <v>0</v>
      </c>
      <c r="P40" s="272"/>
      <c r="Q40" s="272"/>
    </row>
    <row r="41" spans="1:17" ht="15.75">
      <c r="A41" s="7" t="s">
        <v>153</v>
      </c>
      <c r="B41" s="6" t="s">
        <v>155</v>
      </c>
      <c r="C41" s="558">
        <v>-4939.8</v>
      </c>
      <c r="D41" s="36"/>
      <c r="F41" s="200" t="s">
        <v>40</v>
      </c>
      <c r="G41" s="578">
        <f t="shared" si="4"/>
        <v>318982</v>
      </c>
      <c r="H41" s="620">
        <v>0.16436000000000001</v>
      </c>
      <c r="I41" s="196">
        <f t="shared" si="3"/>
        <v>52427.881520000003</v>
      </c>
      <c r="J41" s="200" t="s">
        <v>42</v>
      </c>
      <c r="K41" s="560">
        <v>0</v>
      </c>
      <c r="L41" s="620">
        <v>0.16236</v>
      </c>
      <c r="M41" s="196">
        <f t="shared" si="2"/>
        <v>0</v>
      </c>
      <c r="P41" s="272"/>
      <c r="Q41" s="272"/>
    </row>
    <row r="42" spans="1:17" ht="16.5" thickBot="1">
      <c r="A42" s="7" t="s">
        <v>178</v>
      </c>
      <c r="B42" s="530" t="s">
        <v>179</v>
      </c>
      <c r="C42" s="558">
        <v>545518.42000000004</v>
      </c>
      <c r="D42" s="37"/>
      <c r="F42" s="200" t="s">
        <v>41</v>
      </c>
      <c r="G42" s="578">
        <f t="shared" si="4"/>
        <v>31254</v>
      </c>
      <c r="H42" s="620">
        <v>0.16436000000000001</v>
      </c>
      <c r="I42" s="196">
        <f t="shared" si="3"/>
        <v>5136.90744</v>
      </c>
      <c r="J42" s="200" t="s">
        <v>43</v>
      </c>
      <c r="K42" s="579">
        <v>0</v>
      </c>
      <c r="L42" s="620">
        <v>0.16236</v>
      </c>
      <c r="M42" s="196">
        <f t="shared" si="2"/>
        <v>0</v>
      </c>
      <c r="P42" s="272"/>
      <c r="Q42" s="272"/>
    </row>
    <row r="43" spans="1:17" ht="16.5" thickBot="1">
      <c r="A43" s="85" t="s">
        <v>123</v>
      </c>
      <c r="B43" s="12"/>
      <c r="C43" s="125">
        <f>SUM(C37:C42)</f>
        <v>7056903.1800000006</v>
      </c>
      <c r="D43" s="36"/>
      <c r="F43" s="200" t="s">
        <v>42</v>
      </c>
      <c r="G43" s="578">
        <f t="shared" si="4"/>
        <v>0</v>
      </c>
      <c r="H43" s="620">
        <v>0.16436000000000001</v>
      </c>
      <c r="I43" s="196">
        <f t="shared" si="3"/>
        <v>0</v>
      </c>
      <c r="J43" s="199" t="s">
        <v>133</v>
      </c>
      <c r="K43" s="181">
        <f>SUM(K36:K42)</f>
        <v>2789064</v>
      </c>
      <c r="L43" s="182"/>
      <c r="M43" s="197">
        <f>SUM(M36:M42)</f>
        <v>452832.43104</v>
      </c>
    </row>
    <row r="44" spans="1:17" ht="16.5" thickBot="1">
      <c r="A44" s="83" t="s">
        <v>177</v>
      </c>
      <c r="B44" s="84" t="s">
        <v>120</v>
      </c>
      <c r="C44" s="558">
        <f>-3021098.32+3459.1+137916.56</f>
        <v>-2879722.6599999997</v>
      </c>
      <c r="D44" s="37"/>
      <c r="F44" s="200" t="s">
        <v>43</v>
      </c>
      <c r="G44" s="578">
        <f t="shared" si="4"/>
        <v>47470</v>
      </c>
      <c r="H44" s="620">
        <v>0.16436000000000001</v>
      </c>
      <c r="I44" s="196">
        <f t="shared" si="3"/>
        <v>7802.1692000000003</v>
      </c>
      <c r="J44" s="194"/>
      <c r="K44" s="232">
        <v>2789064</v>
      </c>
      <c r="L44" s="189" t="s">
        <v>102</v>
      </c>
      <c r="M44" s="217">
        <f>M43/K43</f>
        <v>0.16236</v>
      </c>
    </row>
    <row r="45" spans="1:17" ht="16.5" thickBot="1">
      <c r="A45" s="211" t="s">
        <v>168</v>
      </c>
      <c r="B45" s="6" t="s">
        <v>115</v>
      </c>
      <c r="C45" s="122">
        <v>0</v>
      </c>
      <c r="D45" s="39"/>
      <c r="F45" s="199" t="s">
        <v>133</v>
      </c>
      <c r="G45" s="181">
        <f>SUM(G37:G44)</f>
        <v>4960440</v>
      </c>
      <c r="H45" s="182"/>
      <c r="I45" s="197">
        <f>SUM(I37:I44)</f>
        <v>815297.91840000008</v>
      </c>
      <c r="J45" s="85"/>
      <c r="K45" s="231"/>
      <c r="L45" s="187"/>
      <c r="M45" s="555"/>
    </row>
    <row r="46" spans="1:17" ht="19.5" customHeight="1" thickTop="1" thickBot="1">
      <c r="A46" s="144" t="s">
        <v>169</v>
      </c>
      <c r="B46" s="6" t="s">
        <v>115</v>
      </c>
      <c r="C46" s="122">
        <v>0</v>
      </c>
      <c r="D46" s="40"/>
      <c r="F46" s="188"/>
      <c r="G46" s="232">
        <v>4960440</v>
      </c>
      <c r="H46" s="189" t="s">
        <v>102</v>
      </c>
      <c r="I46" s="215">
        <f>I45/G45</f>
        <v>0.16436000000000001</v>
      </c>
      <c r="J46" s="85"/>
      <c r="K46" s="231"/>
      <c r="L46" s="187"/>
      <c r="M46" s="555"/>
    </row>
    <row r="47" spans="1:17" ht="19.5" customHeight="1">
      <c r="A47" s="382" t="s">
        <v>137</v>
      </c>
      <c r="B47" s="6" t="s">
        <v>115</v>
      </c>
      <c r="C47" s="558">
        <v>-246.95</v>
      </c>
      <c r="D47" s="36"/>
      <c r="F47" s="383"/>
      <c r="G47" s="230">
        <f>G45-G46</f>
        <v>0</v>
      </c>
      <c r="H47" s="383"/>
      <c r="I47" s="383"/>
      <c r="J47" s="124"/>
      <c r="K47" s="230">
        <f>K43-K44</f>
        <v>0</v>
      </c>
      <c r="L47" s="383"/>
      <c r="M47" s="124"/>
    </row>
    <row r="48" spans="1:17" ht="16.5" thickBot="1">
      <c r="A48" s="144" t="s">
        <v>304</v>
      </c>
      <c r="B48" s="6" t="s">
        <v>115</v>
      </c>
      <c r="C48" s="558">
        <v>7000</v>
      </c>
      <c r="D48" s="36"/>
      <c r="F48" s="383"/>
      <c r="G48" s="383"/>
      <c r="H48" s="383"/>
      <c r="I48" s="383"/>
      <c r="J48" s="124"/>
      <c r="K48" s="114"/>
      <c r="L48" s="383"/>
      <c r="M48" s="68"/>
    </row>
    <row r="49" spans="1:21" ht="15.75">
      <c r="A49" s="7" t="s">
        <v>130</v>
      </c>
      <c r="B49" s="530" t="s">
        <v>152</v>
      </c>
      <c r="C49" s="558">
        <v>15563.33</v>
      </c>
      <c r="D49" s="36"/>
      <c r="F49" s="383"/>
      <c r="G49" s="114"/>
      <c r="H49" s="129" t="s">
        <v>35</v>
      </c>
      <c r="I49" s="13" t="s">
        <v>35</v>
      </c>
      <c r="J49" s="13" t="s">
        <v>63</v>
      </c>
      <c r="K49" s="127" t="s">
        <v>70</v>
      </c>
      <c r="L49" s="124"/>
      <c r="M49" s="383"/>
    </row>
    <row r="50" spans="1:21" ht="16.5" thickBot="1">
      <c r="A50" s="7" t="s">
        <v>222</v>
      </c>
      <c r="B50" s="530" t="s">
        <v>152</v>
      </c>
      <c r="C50" s="558">
        <v>3456.35</v>
      </c>
      <c r="D50" s="37"/>
      <c r="F50" s="50" t="s">
        <v>73</v>
      </c>
      <c r="G50" s="383"/>
      <c r="H50" s="130" t="s">
        <v>2</v>
      </c>
      <c r="I50" s="131" t="s">
        <v>3</v>
      </c>
      <c r="J50" s="131" t="s">
        <v>2</v>
      </c>
      <c r="K50" s="128" t="s">
        <v>3</v>
      </c>
      <c r="L50" s="383"/>
      <c r="M50" s="383"/>
    </row>
    <row r="51" spans="1:21" ht="15.75">
      <c r="A51" s="7" t="s">
        <v>308</v>
      </c>
      <c r="B51" s="530" t="s">
        <v>152</v>
      </c>
      <c r="C51" s="558">
        <v>3560.56</v>
      </c>
      <c r="D51" s="36"/>
      <c r="F51" s="383"/>
      <c r="G51" s="383"/>
      <c r="H51" s="151"/>
      <c r="I51" s="152"/>
      <c r="J51" s="152"/>
      <c r="K51" s="152"/>
      <c r="L51" s="126" t="s">
        <v>103</v>
      </c>
      <c r="M51" s="383"/>
    </row>
    <row r="52" spans="1:21" ht="15.75">
      <c r="A52" s="169" t="s">
        <v>118</v>
      </c>
      <c r="B52" s="598"/>
      <c r="C52" s="100">
        <f>-C33</f>
        <v>37557.15</v>
      </c>
      <c r="D52" s="33"/>
      <c r="F52" s="383" t="s">
        <v>136</v>
      </c>
      <c r="G52" s="383"/>
      <c r="H52" s="212">
        <f>K12</f>
        <v>-99402.480245999977</v>
      </c>
      <c r="I52" s="115">
        <f>I14</f>
        <v>1452511.5424619995</v>
      </c>
      <c r="J52" s="115">
        <f>L12</f>
        <v>-56794.809753999987</v>
      </c>
      <c r="K52" s="115">
        <f>J14</f>
        <v>650748.72753799974</v>
      </c>
      <c r="L52" s="132">
        <f>SUM(H52:K52)</f>
        <v>1947062.9799999991</v>
      </c>
      <c r="M52" s="383"/>
    </row>
    <row r="53" spans="1:21" ht="16.5" thickBot="1">
      <c r="A53" s="383" t="s">
        <v>315</v>
      </c>
      <c r="B53" s="597" t="s">
        <v>316</v>
      </c>
      <c r="C53" s="558">
        <v>11783.67</v>
      </c>
      <c r="D53" s="33"/>
      <c r="F53" s="382" t="s">
        <v>109</v>
      </c>
      <c r="H53" s="212">
        <f>-I45</f>
        <v>-815297.91840000008</v>
      </c>
      <c r="I53" s="115">
        <f>-I32</f>
        <v>-514049.59046000009</v>
      </c>
      <c r="J53" s="115">
        <f>-M43</f>
        <v>-452832.43104</v>
      </c>
      <c r="K53" s="115">
        <f>-M28</f>
        <v>-292768.04808000004</v>
      </c>
      <c r="L53" s="260">
        <f>SUM(H53:K53)</f>
        <v>-2074947.9879800002</v>
      </c>
    </row>
    <row r="54" spans="1:21" ht="16.5" thickBot="1">
      <c r="A54" s="380" t="s">
        <v>124</v>
      </c>
      <c r="B54" s="471" t="s">
        <v>296</v>
      </c>
      <c r="C54" s="558">
        <f>-758355.75-1731991.72-1515365.62</f>
        <v>-4005713.09</v>
      </c>
      <c r="D54" s="36"/>
      <c r="F54" s="382" t="s">
        <v>86</v>
      </c>
      <c r="H54" s="234">
        <v>0</v>
      </c>
      <c r="I54" s="235">
        <v>0</v>
      </c>
      <c r="J54" s="235">
        <v>0</v>
      </c>
      <c r="K54" s="236">
        <v>0</v>
      </c>
      <c r="L54" s="214">
        <f>SUM(L52:L53)</f>
        <v>-127885.00798000116</v>
      </c>
    </row>
    <row r="55" spans="1:21" ht="16.5" thickBot="1">
      <c r="A55" s="382" t="s">
        <v>312</v>
      </c>
      <c r="B55" s="6" t="s">
        <v>190</v>
      </c>
      <c r="C55" s="558">
        <v>-375000</v>
      </c>
      <c r="D55" s="36"/>
      <c r="F55" s="382" t="s">
        <v>71</v>
      </c>
      <c r="H55" s="125">
        <f>IFERROR(H52+H53+H54,0)</f>
        <v>-914700.39864600007</v>
      </c>
      <c r="I55" s="125">
        <f>I52+I53+I54</f>
        <v>938461.95200199937</v>
      </c>
      <c r="J55" s="125">
        <f>IFERROR(J52+J53+J54,0)</f>
        <v>-509627.24079399998</v>
      </c>
      <c r="K55" s="125">
        <f>K52+K53+K54</f>
        <v>357980.67945799971</v>
      </c>
      <c r="L55" s="47">
        <f>SUM(H55:K55)</f>
        <v>-127885.00798000098</v>
      </c>
    </row>
    <row r="56" spans="1:21" ht="16.5" thickBot="1">
      <c r="A56" s="82" t="s">
        <v>119</v>
      </c>
      <c r="B56" s="84"/>
      <c r="C56" s="160">
        <f>SUM(C43:C55)</f>
        <v>-124858.45999999996</v>
      </c>
      <c r="D56" s="36"/>
      <c r="F56" s="239" t="s">
        <v>181</v>
      </c>
      <c r="H56" s="382" t="s">
        <v>173</v>
      </c>
      <c r="I56" s="5">
        <f>SUM(H55:I55)</f>
        <v>23761.553355999291</v>
      </c>
      <c r="J56" s="15" t="s">
        <v>174</v>
      </c>
      <c r="K56" s="382">
        <f>SUM(J55:K55)</f>
        <v>-151646.56133600028</v>
      </c>
      <c r="L56" s="213">
        <f>ROUND(L54-L55,3)</f>
        <v>0</v>
      </c>
      <c r="T56" s="42"/>
    </row>
    <row r="57" spans="1:21" ht="16.5" thickTop="1">
      <c r="A57" s="382" t="s">
        <v>121</v>
      </c>
      <c r="B57" s="6" t="s">
        <v>115</v>
      </c>
      <c r="C57" s="558">
        <v>-19480.580000000002</v>
      </c>
      <c r="D57" s="36"/>
      <c r="F57" s="395"/>
      <c r="H57" s="96"/>
    </row>
    <row r="58" spans="1:21" ht="16.5" thickBot="1">
      <c r="A58" s="382" t="s">
        <v>122</v>
      </c>
      <c r="B58" s="6" t="s">
        <v>115</v>
      </c>
      <c r="C58" s="558">
        <v>-11858.25</v>
      </c>
      <c r="D58" s="36"/>
      <c r="F58" s="395"/>
      <c r="H58" s="157"/>
      <c r="I58" s="120"/>
      <c r="J58" s="120"/>
      <c r="K58" s="204"/>
      <c r="L58" s="120"/>
    </row>
    <row r="59" spans="1:21" ht="16.5" thickBot="1">
      <c r="A59" s="2" t="s">
        <v>125</v>
      </c>
      <c r="B59" s="2"/>
      <c r="C59" s="160">
        <f>SUM(C56:C58)</f>
        <v>-156197.28999999998</v>
      </c>
      <c r="D59" s="36"/>
      <c r="F59" s="541"/>
      <c r="G59" s="542" t="str">
        <f>IF(OR(AND(I56&gt;0,K56&gt;0),AND(I56&lt;0,K56&lt;0)),"OK","ERROR")</f>
        <v>ERROR</v>
      </c>
      <c r="H59" s="384" t="s">
        <v>294</v>
      </c>
      <c r="I59" s="385"/>
    </row>
    <row r="60" spans="1:21" ht="17.25" thickTop="1" thickBot="1">
      <c r="A60" s="2"/>
      <c r="C60" s="101"/>
      <c r="D60" s="36"/>
      <c r="H60" s="316" t="s">
        <v>175</v>
      </c>
      <c r="I60" s="317" t="s">
        <v>176</v>
      </c>
      <c r="J60" s="5"/>
    </row>
    <row r="61" spans="1:21" ht="16.5" thickBot="1">
      <c r="A61" s="9"/>
      <c r="B61" s="9" t="s">
        <v>95</v>
      </c>
      <c r="C61" s="125">
        <f>C59+C34</f>
        <v>1947062.9799999991</v>
      </c>
      <c r="D61" s="36"/>
      <c r="H61" s="347" t="e">
        <f>SUM('WA - Def-Amtz (current)'!AS5:AS41)+SUM(#REF!)+SUM(#REF!)</f>
        <v>#REF!</v>
      </c>
      <c r="I61" s="447" t="e">
        <f>SUM('WA - Def-Amtz (current)'!AT5:AT40)+SUM(#REF!)+SUM(#REF!)</f>
        <v>#REF!</v>
      </c>
      <c r="J61" s="382">
        <f>H53+I53+J53+K53</f>
        <v>-2074947.9879800002</v>
      </c>
    </row>
    <row r="62" spans="1:21" ht="15.75">
      <c r="A62" s="2"/>
      <c r="B62" s="9" t="s">
        <v>160</v>
      </c>
      <c r="C62" s="604">
        <v>1947062.98</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49" priority="7" stopIfTrue="1" operator="equal">
      <formula>0</formula>
    </cfRule>
    <cfRule type="cellIs" dxfId="248" priority="8" stopIfTrue="1" operator="notEqual">
      <formula>0</formula>
    </cfRule>
  </conditionalFormatting>
  <conditionalFormatting sqref="G34 G47 K30 K47">
    <cfRule type="cellIs" dxfId="247" priority="6" operator="notEqual">
      <formula>0</formula>
    </cfRule>
  </conditionalFormatting>
  <conditionalFormatting sqref="C63">
    <cfRule type="cellIs" dxfId="246" priority="4" stopIfTrue="1" operator="equal">
      <formula>0</formula>
    </cfRule>
    <cfRule type="cellIs" dxfId="245" priority="5" stopIfTrue="1" operator="notEqual">
      <formula>0</formula>
    </cfRule>
  </conditionalFormatting>
  <conditionalFormatting sqref="K30">
    <cfRule type="cellIs" dxfId="244" priority="3" operator="notEqual">
      <formula>0</formula>
    </cfRule>
  </conditionalFormatting>
  <conditionalFormatting sqref="G59">
    <cfRule type="cellIs" dxfId="243" priority="2" operator="equal">
      <formula>"ERROR"</formula>
    </cfRule>
  </conditionalFormatting>
  <conditionalFormatting sqref="G59">
    <cfRule type="cellIs" dxfId="242"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2">
    <tabColor rgb="FF00CC66"/>
    <pageSetUpPr fitToPage="1"/>
  </sheetPr>
  <dimension ref="A1:U1485"/>
  <sheetViews>
    <sheetView showGridLines="0" topLeftCell="A31" zoomScale="70" zoomScaleNormal="70" workbookViewId="0">
      <selection activeCell="C72" sqref="C7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Jun!C1+1</f>
        <v>201807</v>
      </c>
      <c r="F1" s="527">
        <f>C1</f>
        <v>201807</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3655974.78</f>
        <v>3655974.78</v>
      </c>
      <c r="D4" s="34"/>
      <c r="F4" s="383"/>
      <c r="G4" s="383"/>
      <c r="H4" s="11"/>
      <c r="I4" s="383"/>
      <c r="J4" s="383"/>
      <c r="L4" s="383"/>
      <c r="M4" s="383"/>
    </row>
    <row r="5" spans="1:13" ht="14.25" customHeight="1">
      <c r="A5" s="383" t="s">
        <v>31</v>
      </c>
      <c r="C5" s="566">
        <f>6998.7</f>
        <v>6998.7</v>
      </c>
      <c r="D5" s="34"/>
      <c r="F5" s="383"/>
      <c r="G5" s="383"/>
      <c r="H5" s="11"/>
      <c r="I5" s="589">
        <v>0.69059999999999999</v>
      </c>
      <c r="J5" s="589">
        <v>0.30940000000000001</v>
      </c>
      <c r="K5" s="443">
        <f>ROUND(G45/(G45+K43),4)</f>
        <v>0.63729999999999998</v>
      </c>
      <c r="L5" s="443">
        <f>1-K5</f>
        <v>0.36270000000000002</v>
      </c>
      <c r="M5" s="383"/>
    </row>
    <row r="6" spans="1:13" ht="16.5" thickBot="1">
      <c r="A6" s="49" t="s">
        <v>30</v>
      </c>
      <c r="C6" s="567">
        <f>-1494747.7-426339.9-121811.4-137037.83-78568.35-98131.26</f>
        <v>-2356636.44</v>
      </c>
      <c r="D6" s="34"/>
      <c r="F6" s="383"/>
      <c r="G6" s="383"/>
      <c r="H6" s="383"/>
      <c r="I6" s="383"/>
      <c r="J6" s="383"/>
      <c r="K6" s="383"/>
      <c r="L6" s="383"/>
      <c r="M6" s="383"/>
    </row>
    <row r="7" spans="1:13" ht="16.5" thickBot="1">
      <c r="A7" s="66" t="s">
        <v>140</v>
      </c>
      <c r="C7" s="100">
        <f>SUM(C4:C6)</f>
        <v>1306337.04</v>
      </c>
      <c r="D7" s="35"/>
      <c r="F7" s="166" t="s">
        <v>139</v>
      </c>
      <c r="G7" s="166"/>
      <c r="H7" s="125">
        <f>C34</f>
        <v>2143394.9700000002</v>
      </c>
      <c r="I7" s="167">
        <f>H7*I5</f>
        <v>1480228.5662820002</v>
      </c>
      <c r="J7" s="167">
        <f>H7*J5</f>
        <v>663166.40371800005</v>
      </c>
      <c r="K7" s="167"/>
      <c r="L7" s="167"/>
      <c r="M7" s="383"/>
    </row>
    <row r="8" spans="1:13" ht="15.75">
      <c r="A8" s="382" t="s">
        <v>89</v>
      </c>
      <c r="C8" s="566">
        <f>191512.75</f>
        <v>191512.75</v>
      </c>
      <c r="D8" s="35"/>
      <c r="F8" s="383"/>
      <c r="G8" s="383"/>
      <c r="H8" s="168"/>
      <c r="I8" s="168"/>
      <c r="J8" s="168"/>
      <c r="K8" s="168"/>
      <c r="L8" s="168"/>
      <c r="M8" s="383"/>
    </row>
    <row r="9" spans="1:13" ht="15.75">
      <c r="A9" s="383" t="s">
        <v>90</v>
      </c>
      <c r="C9" s="566">
        <f>411.32+6182.66</f>
        <v>6593.98</v>
      </c>
      <c r="D9" s="36"/>
      <c r="F9" s="166" t="s">
        <v>119</v>
      </c>
      <c r="G9" s="383"/>
      <c r="H9" s="167">
        <f>C56</f>
        <v>-2337612.4699999988</v>
      </c>
      <c r="I9" s="167"/>
      <c r="J9" s="167"/>
      <c r="K9" s="167">
        <f>H9*K5</f>
        <v>-1489760.4271309993</v>
      </c>
      <c r="L9" s="167">
        <f>H9*L5</f>
        <v>-847852.04286899965</v>
      </c>
      <c r="M9" s="383"/>
    </row>
    <row r="10" spans="1:13" ht="15.75">
      <c r="A10" s="49" t="s">
        <v>91</v>
      </c>
      <c r="C10" s="567">
        <f>-3418.47</f>
        <v>-3418.47</v>
      </c>
      <c r="D10" s="36"/>
      <c r="F10" s="169" t="s">
        <v>44</v>
      </c>
      <c r="G10" s="383"/>
      <c r="H10" s="167">
        <f>C57</f>
        <v>46347.53</v>
      </c>
      <c r="I10" s="167"/>
      <c r="J10" s="167"/>
      <c r="K10" s="167">
        <f>H10</f>
        <v>46347.53</v>
      </c>
      <c r="L10" s="167"/>
      <c r="M10" s="383"/>
    </row>
    <row r="11" spans="1:13">
      <c r="A11" s="66" t="s">
        <v>145</v>
      </c>
      <c r="C11" s="100">
        <f>SUM(C8:C10)</f>
        <v>194688.26</v>
      </c>
      <c r="D11" s="36"/>
      <c r="F11" s="169" t="s">
        <v>45</v>
      </c>
      <c r="G11" s="383"/>
      <c r="H11" s="170">
        <f>C58</f>
        <v>24729.88</v>
      </c>
      <c r="I11" s="167"/>
      <c r="J11" s="167"/>
      <c r="K11" s="170"/>
      <c r="L11" s="170">
        <f>H11</f>
        <v>24729.88</v>
      </c>
      <c r="M11" s="383"/>
    </row>
    <row r="12" spans="1:13" ht="15.75">
      <c r="A12" s="382" t="s">
        <v>165</v>
      </c>
      <c r="C12" s="566">
        <f>190048.5-66.92</f>
        <v>189981.58</v>
      </c>
      <c r="D12" s="36"/>
      <c r="F12" s="169" t="s">
        <v>138</v>
      </c>
      <c r="G12" s="383"/>
      <c r="H12" s="167">
        <f>H9+H10+H11</f>
        <v>-2266535.0599999991</v>
      </c>
      <c r="I12" s="167"/>
      <c r="J12" s="167"/>
      <c r="K12" s="167">
        <f>SUM(K9:K11)</f>
        <v>-1443412.8971309992</v>
      </c>
      <c r="L12" s="167">
        <f>SUM(L9:L11)</f>
        <v>-823122.16286899964</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189981.58</v>
      </c>
      <c r="D14" s="37"/>
      <c r="F14" s="50" t="s">
        <v>69</v>
      </c>
      <c r="G14" s="175"/>
      <c r="H14" s="125">
        <f>H12+H7</f>
        <v>-123140.08999999892</v>
      </c>
      <c r="I14" s="176">
        <f>SUM(I7:I13)</f>
        <v>1480228.5662820002</v>
      </c>
      <c r="J14" s="176">
        <f>SUM(J7:J13)</f>
        <v>663166.40371800005</v>
      </c>
      <c r="K14" s="176">
        <f>K12</f>
        <v>-1443412.8971309992</v>
      </c>
      <c r="L14" s="176">
        <f>L12</f>
        <v>-823122.16286899964</v>
      </c>
      <c r="M14" s="383"/>
    </row>
    <row r="15" spans="1:13" ht="15.75">
      <c r="A15" s="382" t="s">
        <v>183</v>
      </c>
      <c r="C15" s="566">
        <f>397241.57-139.85</f>
        <v>397101.72000000003</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397101.72000000003</v>
      </c>
      <c r="D17" s="37"/>
      <c r="F17" s="171"/>
      <c r="G17" s="172"/>
      <c r="H17" s="179"/>
      <c r="I17" s="180"/>
      <c r="J17" s="183"/>
      <c r="K17" s="383"/>
      <c r="L17" s="179"/>
      <c r="M17" s="383"/>
    </row>
    <row r="18" spans="1:13" ht="16.5" thickBot="1">
      <c r="A18" s="382" t="s">
        <v>163</v>
      </c>
      <c r="C18" s="566">
        <f>81027.17-34.07+10006.1</f>
        <v>90999.2</v>
      </c>
      <c r="D18" s="36"/>
      <c r="F18" s="691" t="s">
        <v>134</v>
      </c>
      <c r="G18" s="692"/>
      <c r="H18" s="692"/>
      <c r="I18" s="693"/>
      <c r="J18" s="691" t="s">
        <v>135</v>
      </c>
      <c r="K18" s="692"/>
      <c r="L18" s="692"/>
      <c r="M18" s="693"/>
    </row>
    <row r="19" spans="1:13" ht="15.75">
      <c r="A19" s="46" t="s">
        <v>164</v>
      </c>
      <c r="C19" s="567">
        <f>-3105.97</f>
        <v>-3105.97</v>
      </c>
      <c r="D19" s="36"/>
      <c r="F19" s="201" t="s">
        <v>108</v>
      </c>
      <c r="G19" s="164" t="s">
        <v>33</v>
      </c>
      <c r="H19" s="164" t="s">
        <v>33</v>
      </c>
      <c r="I19" s="164" t="s">
        <v>33</v>
      </c>
      <c r="J19" s="201" t="s">
        <v>108</v>
      </c>
      <c r="K19" s="164" t="s">
        <v>33</v>
      </c>
      <c r="L19" s="164" t="s">
        <v>33</v>
      </c>
      <c r="M19" s="185" t="s">
        <v>33</v>
      </c>
    </row>
    <row r="20" spans="1:13" ht="16.5" thickBot="1">
      <c r="A20" s="67" t="s">
        <v>93</v>
      </c>
      <c r="C20" s="100">
        <f>SUM(C18:C19)</f>
        <v>87893.23</v>
      </c>
      <c r="D20" s="36"/>
      <c r="F20" s="195" t="s">
        <v>162</v>
      </c>
      <c r="G20" s="165" t="s">
        <v>101</v>
      </c>
      <c r="H20" s="165" t="s">
        <v>36</v>
      </c>
      <c r="I20" s="165" t="s">
        <v>34</v>
      </c>
      <c r="J20" s="195" t="s">
        <v>162</v>
      </c>
      <c r="K20" s="165" t="s">
        <v>101</v>
      </c>
      <c r="L20" s="165" t="s">
        <v>36</v>
      </c>
      <c r="M20" s="165" t="s">
        <v>34</v>
      </c>
    </row>
    <row r="21" spans="1:13" ht="15.75">
      <c r="A21" s="46" t="s">
        <v>149</v>
      </c>
      <c r="C21" s="567">
        <f>1850+1362.65</f>
        <v>3212.65</v>
      </c>
      <c r="D21" s="36"/>
      <c r="F21" s="184"/>
      <c r="G21" s="12"/>
      <c r="H21" s="12"/>
      <c r="I21" s="185"/>
      <c r="J21" s="129"/>
      <c r="K21" s="13"/>
      <c r="L21" s="13"/>
      <c r="M21" s="205"/>
    </row>
    <row r="22" spans="1:13" ht="18" customHeight="1">
      <c r="A22" s="65" t="s">
        <v>149</v>
      </c>
      <c r="C22" s="100">
        <f>SUM(C21)</f>
        <v>3212.65</v>
      </c>
      <c r="D22" s="36"/>
      <c r="F22" s="199" t="s">
        <v>126</v>
      </c>
      <c r="G22" s="7"/>
      <c r="H22" s="7"/>
      <c r="I22" s="98"/>
      <c r="J22" s="199" t="s">
        <v>126</v>
      </c>
      <c r="K22" s="7"/>
      <c r="L22" s="7"/>
      <c r="M22" s="98"/>
    </row>
    <row r="23" spans="1:13" ht="15.75">
      <c r="A23" s="208" t="s">
        <v>180</v>
      </c>
      <c r="C23" s="100">
        <v>0</v>
      </c>
      <c r="D23" s="36"/>
      <c r="F23" s="200" t="s">
        <v>37</v>
      </c>
      <c r="G23" s="561">
        <v>2294066</v>
      </c>
      <c r="H23" s="620">
        <v>0.10743999999999999</v>
      </c>
      <c r="I23" s="196">
        <f t="shared" ref="I23:I31" si="0">G23*H23</f>
        <v>246474.45103999999</v>
      </c>
      <c r="J23" s="200" t="s">
        <v>37</v>
      </c>
      <c r="K23" s="561">
        <v>1218315</v>
      </c>
      <c r="L23" s="620">
        <v>0.10496999999999999</v>
      </c>
      <c r="M23" s="196">
        <f>K23*L23</f>
        <v>127886.52554999999</v>
      </c>
    </row>
    <row r="24" spans="1:13" ht="15.75">
      <c r="A24" s="208" t="s">
        <v>186</v>
      </c>
      <c r="C24" s="122">
        <v>0</v>
      </c>
      <c r="D24" s="36"/>
      <c r="F24" s="200" t="s">
        <v>305</v>
      </c>
      <c r="G24" s="561">
        <v>2356</v>
      </c>
      <c r="H24" s="620">
        <v>0.10743999999999999</v>
      </c>
      <c r="I24" s="196">
        <f t="shared" si="0"/>
        <v>253.12863999999999</v>
      </c>
      <c r="J24" s="200" t="s">
        <v>38</v>
      </c>
      <c r="K24" s="561">
        <v>1045103</v>
      </c>
      <c r="L24" s="620">
        <v>0.10496999999999999</v>
      </c>
      <c r="M24" s="196">
        <f t="shared" ref="M24:M27" si="1">K24*L24</f>
        <v>109704.46191</v>
      </c>
    </row>
    <row r="25" spans="1:13" ht="15.75">
      <c r="A25" s="208" t="s">
        <v>189</v>
      </c>
      <c r="C25" s="556">
        <v>0</v>
      </c>
      <c r="D25" s="36"/>
      <c r="F25" s="200" t="s">
        <v>38</v>
      </c>
      <c r="G25" s="561">
        <v>1476772</v>
      </c>
      <c r="H25" s="620">
        <v>9.8650000000000002E-2</v>
      </c>
      <c r="I25" s="196">
        <f t="shared" si="0"/>
        <v>145683.55780000001</v>
      </c>
      <c r="J25" s="200" t="s">
        <v>39</v>
      </c>
      <c r="K25" s="561">
        <v>69107</v>
      </c>
      <c r="L25" s="620">
        <v>0.10496999999999999</v>
      </c>
      <c r="M25" s="196">
        <f t="shared" si="1"/>
        <v>7254.1617899999992</v>
      </c>
    </row>
    <row r="26" spans="1:13" ht="15.75">
      <c r="A26" s="209" t="s">
        <v>188</v>
      </c>
      <c r="C26" s="313">
        <v>0</v>
      </c>
      <c r="D26" s="36"/>
      <c r="F26" s="200" t="s">
        <v>39</v>
      </c>
      <c r="G26" s="561">
        <v>4413</v>
      </c>
      <c r="H26" s="620">
        <v>9.8650000000000002E-2</v>
      </c>
      <c r="I26" s="196">
        <f t="shared" si="0"/>
        <v>435.34244999999999</v>
      </c>
      <c r="J26" s="200" t="s">
        <v>40</v>
      </c>
      <c r="K26" s="561">
        <v>0</v>
      </c>
      <c r="L26" s="620">
        <v>0.10496999999999999</v>
      </c>
      <c r="M26" s="196">
        <f t="shared" si="1"/>
        <v>0</v>
      </c>
    </row>
    <row r="27" spans="1:13" ht="15.75">
      <c r="A27" s="65" t="s">
        <v>96</v>
      </c>
      <c r="C27" s="100">
        <f>SUM(C23:C26)</f>
        <v>0</v>
      </c>
      <c r="D27" s="36"/>
      <c r="F27" s="200" t="s">
        <v>40</v>
      </c>
      <c r="G27" s="561">
        <v>256335</v>
      </c>
      <c r="H27" s="620">
        <v>0.10433000000000001</v>
      </c>
      <c r="I27" s="196">
        <f t="shared" si="0"/>
        <v>26743.430550000001</v>
      </c>
      <c r="J27" s="200" t="s">
        <v>41</v>
      </c>
      <c r="K27" s="561">
        <v>0</v>
      </c>
      <c r="L27" s="620">
        <v>0.10496999999999999</v>
      </c>
      <c r="M27" s="196">
        <f t="shared" si="1"/>
        <v>0</v>
      </c>
    </row>
    <row r="28" spans="1:13" ht="16.5" thickBot="1">
      <c r="A28" s="210" t="s">
        <v>150</v>
      </c>
      <c r="C28" s="311">
        <v>0</v>
      </c>
      <c r="D28" s="37"/>
      <c r="F28" s="200" t="s">
        <v>41</v>
      </c>
      <c r="G28" s="561">
        <v>22499</v>
      </c>
      <c r="H28" s="620">
        <v>0.10433000000000001</v>
      </c>
      <c r="I28" s="196">
        <f t="shared" si="0"/>
        <v>2347.3206700000001</v>
      </c>
      <c r="J28" s="199" t="s">
        <v>127</v>
      </c>
      <c r="K28" s="181">
        <f>SUM(K23:K27)</f>
        <v>2332525</v>
      </c>
      <c r="L28" s="182"/>
      <c r="M28" s="197">
        <f>SUM(M23:M27)</f>
        <v>244845.14924999999</v>
      </c>
    </row>
    <row r="29" spans="1:13" ht="17.25" thickTop="1" thickBot="1">
      <c r="A29" s="210" t="s">
        <v>167</v>
      </c>
      <c r="B29" s="383"/>
      <c r="C29" s="311">
        <v>0</v>
      </c>
      <c r="D29" s="36"/>
      <c r="F29" s="200" t="s">
        <v>42</v>
      </c>
      <c r="G29" s="561">
        <v>0</v>
      </c>
      <c r="H29" s="620">
        <v>6.2480000000000001E-2</v>
      </c>
      <c r="I29" s="196">
        <f t="shared" si="0"/>
        <v>0</v>
      </c>
      <c r="J29" s="199"/>
      <c r="K29" s="231">
        <v>2332525</v>
      </c>
      <c r="L29" s="187" t="s">
        <v>102</v>
      </c>
      <c r="M29" s="463">
        <f>M28/K28</f>
        <v>0.10496999999999999</v>
      </c>
    </row>
    <row r="30" spans="1:13" ht="16.5" thickBot="1">
      <c r="A30" s="2" t="s">
        <v>111</v>
      </c>
      <c r="C30" s="125">
        <f>C7+C11+C14+C17+C20+C22+C27+C28+C29</f>
        <v>2179214.48</v>
      </c>
      <c r="D30" s="37"/>
      <c r="F30" s="200" t="s">
        <v>43</v>
      </c>
      <c r="G30" s="561">
        <v>41737</v>
      </c>
      <c r="H30" s="620">
        <v>6.2480000000000001E-2</v>
      </c>
      <c r="I30" s="196">
        <f t="shared" si="0"/>
        <v>2607.7277600000002</v>
      </c>
      <c r="J30" s="200"/>
      <c r="K30" s="230">
        <f>K28-K29</f>
        <v>0</v>
      </c>
      <c r="L30" s="182"/>
      <c r="M30" s="198"/>
    </row>
    <row r="31" spans="1:13" ht="15.75">
      <c r="A31" s="382" t="s">
        <v>112</v>
      </c>
      <c r="C31" s="558">
        <f>-25332.8</f>
        <v>-25332.799999999999</v>
      </c>
      <c r="D31" s="39"/>
      <c r="F31" s="200" t="s">
        <v>74</v>
      </c>
      <c r="G31" s="561">
        <v>2236824</v>
      </c>
      <c r="H31" s="620">
        <v>5.4000000000000001E-4</v>
      </c>
      <c r="I31" s="196">
        <f t="shared" si="0"/>
        <v>1207.8849600000001</v>
      </c>
      <c r="J31" s="153"/>
      <c r="K31" s="7"/>
      <c r="L31" s="182"/>
      <c r="M31" s="198"/>
    </row>
    <row r="32" spans="1:13" ht="16.5" thickBot="1">
      <c r="A32" s="2" t="s">
        <v>116</v>
      </c>
      <c r="B32" s="2" t="s">
        <v>117</v>
      </c>
      <c r="C32" s="564">
        <f>C30+C31</f>
        <v>2153881.6800000002</v>
      </c>
      <c r="D32" s="40"/>
      <c r="F32" s="199" t="s">
        <v>127</v>
      </c>
      <c r="G32" s="181">
        <f>SUM(G23:G31)</f>
        <v>6335002</v>
      </c>
      <c r="H32" s="7"/>
      <c r="I32" s="197">
        <f>SUM(I23:I31)</f>
        <v>425752.84386999998</v>
      </c>
      <c r="J32" s="192"/>
      <c r="K32" s="193"/>
      <c r="L32" s="7"/>
      <c r="M32" s="190"/>
    </row>
    <row r="33" spans="1:17" ht="17.25" thickTop="1" thickBot="1">
      <c r="A33" s="382" t="s">
        <v>113</v>
      </c>
      <c r="C33" s="576">
        <f>-C5-C9-C13-C16-C19</f>
        <v>-10486.710000000001</v>
      </c>
      <c r="D33" s="36"/>
      <c r="F33" s="186"/>
      <c r="G33" s="231">
        <v>6335002</v>
      </c>
      <c r="H33" s="187" t="s">
        <v>102</v>
      </c>
      <c r="I33" s="216">
        <f>I32/G32</f>
        <v>6.7206426117939658E-2</v>
      </c>
      <c r="J33" s="192"/>
      <c r="K33" s="193"/>
      <c r="L33" s="7"/>
      <c r="M33" s="98"/>
    </row>
    <row r="34" spans="1:17" ht="16.5" thickBot="1">
      <c r="A34" s="2" t="s">
        <v>114</v>
      </c>
      <c r="C34" s="125">
        <f>SUM(C32:C33)</f>
        <v>2143394.9700000002</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602">
        <f>K23</f>
        <v>1218315</v>
      </c>
      <c r="L36" s="620">
        <v>0.16236</v>
      </c>
      <c r="M36" s="196">
        <f t="shared" ref="M36:M42" si="2">K36*L36</f>
        <v>197805.62340000001</v>
      </c>
      <c r="P36" s="272"/>
      <c r="Q36" s="272"/>
    </row>
    <row r="37" spans="1:17" ht="15.75">
      <c r="A37" s="7" t="s">
        <v>129</v>
      </c>
      <c r="B37" s="530" t="s">
        <v>115</v>
      </c>
      <c r="C37" s="558">
        <v>4854768.84</v>
      </c>
      <c r="D37" s="36"/>
      <c r="F37" s="200" t="s">
        <v>37</v>
      </c>
      <c r="G37" s="602">
        <f>G23</f>
        <v>2294066</v>
      </c>
      <c r="H37" s="620">
        <v>0.16436000000000001</v>
      </c>
      <c r="I37" s="196">
        <f t="shared" ref="I37:I44" si="3">G37*H37</f>
        <v>377052.68776</v>
      </c>
      <c r="J37" s="200" t="s">
        <v>38</v>
      </c>
      <c r="K37" s="602">
        <f>K24</f>
        <v>1045103</v>
      </c>
      <c r="L37" s="620">
        <v>0.16236</v>
      </c>
      <c r="M37" s="196">
        <f t="shared" si="2"/>
        <v>169682.92308000001</v>
      </c>
      <c r="P37" s="272"/>
      <c r="Q37" s="272"/>
    </row>
    <row r="38" spans="1:17" ht="15.75">
      <c r="A38" s="144" t="s">
        <v>14</v>
      </c>
      <c r="B38" s="530" t="s">
        <v>115</v>
      </c>
      <c r="C38" s="558">
        <v>0</v>
      </c>
      <c r="D38" s="36"/>
      <c r="F38" s="200" t="s">
        <v>305</v>
      </c>
      <c r="G38" s="602">
        <f>G24</f>
        <v>2356</v>
      </c>
      <c r="H38" s="620">
        <v>0.16436000000000001</v>
      </c>
      <c r="I38" s="196">
        <f t="shared" si="3"/>
        <v>387.23216000000002</v>
      </c>
      <c r="J38" s="200" t="s">
        <v>39</v>
      </c>
      <c r="K38" s="602">
        <f>K25</f>
        <v>69107</v>
      </c>
      <c r="L38" s="620">
        <v>0.16236</v>
      </c>
      <c r="M38" s="196">
        <f t="shared" si="2"/>
        <v>11220.212520000001</v>
      </c>
      <c r="P38" s="272"/>
      <c r="Q38" s="272"/>
    </row>
    <row r="39" spans="1:17" ht="15.75">
      <c r="A39" s="7" t="s">
        <v>146</v>
      </c>
      <c r="B39" s="530" t="s">
        <v>147</v>
      </c>
      <c r="C39" s="558">
        <v>-89569.93</v>
      </c>
      <c r="D39" s="36"/>
      <c r="F39" s="200" t="s">
        <v>38</v>
      </c>
      <c r="G39" s="602">
        <f t="shared" ref="G39:G44" si="4">G25</f>
        <v>1476772</v>
      </c>
      <c r="H39" s="620">
        <v>0.16436000000000001</v>
      </c>
      <c r="I39" s="196">
        <f t="shared" si="3"/>
        <v>242722.24592000002</v>
      </c>
      <c r="J39" s="200" t="s">
        <v>40</v>
      </c>
      <c r="K39" s="602">
        <f>K26</f>
        <v>0</v>
      </c>
      <c r="L39" s="620">
        <v>0.16236</v>
      </c>
      <c r="M39" s="196">
        <f t="shared" si="2"/>
        <v>0</v>
      </c>
      <c r="P39" s="272"/>
      <c r="Q39" s="272"/>
    </row>
    <row r="40" spans="1:17" ht="15.75">
      <c r="A40" s="7" t="s">
        <v>131</v>
      </c>
      <c r="B40" s="530" t="s">
        <v>132</v>
      </c>
      <c r="C40" s="558">
        <v>660422.78</v>
      </c>
      <c r="D40" s="36"/>
      <c r="F40" s="200" t="s">
        <v>39</v>
      </c>
      <c r="G40" s="602">
        <f t="shared" si="4"/>
        <v>4413</v>
      </c>
      <c r="H40" s="620">
        <v>0.16436000000000001</v>
      </c>
      <c r="I40" s="196">
        <f t="shared" si="3"/>
        <v>725.32068000000004</v>
      </c>
      <c r="J40" s="200" t="s">
        <v>41</v>
      </c>
      <c r="K40" s="602">
        <f>K27</f>
        <v>0</v>
      </c>
      <c r="L40" s="620">
        <v>0.16236</v>
      </c>
      <c r="M40" s="196">
        <f t="shared" si="2"/>
        <v>0</v>
      </c>
      <c r="P40" s="272"/>
      <c r="Q40" s="272"/>
    </row>
    <row r="41" spans="1:17" ht="15.75">
      <c r="A41" s="7" t="s">
        <v>153</v>
      </c>
      <c r="B41" s="6" t="s">
        <v>155</v>
      </c>
      <c r="C41" s="558">
        <v>-38613.25</v>
      </c>
      <c r="D41" s="36"/>
      <c r="F41" s="200" t="s">
        <v>40</v>
      </c>
      <c r="G41" s="602">
        <f t="shared" si="4"/>
        <v>256335</v>
      </c>
      <c r="H41" s="620">
        <v>0.16436000000000001</v>
      </c>
      <c r="I41" s="196">
        <f t="shared" si="3"/>
        <v>42131.220600000001</v>
      </c>
      <c r="J41" s="200" t="s">
        <v>42</v>
      </c>
      <c r="K41" s="561">
        <v>0</v>
      </c>
      <c r="L41" s="620">
        <v>0.16236</v>
      </c>
      <c r="M41" s="196">
        <f t="shared" si="2"/>
        <v>0</v>
      </c>
      <c r="P41" s="272"/>
      <c r="Q41" s="272"/>
    </row>
    <row r="42" spans="1:17" ht="16.5" thickBot="1">
      <c r="A42" s="7" t="s">
        <v>178</v>
      </c>
      <c r="B42" s="530" t="s">
        <v>179</v>
      </c>
      <c r="C42" s="558">
        <v>382633.78</v>
      </c>
      <c r="D42" s="37"/>
      <c r="F42" s="200" t="s">
        <v>41</v>
      </c>
      <c r="G42" s="602">
        <f t="shared" si="4"/>
        <v>22499</v>
      </c>
      <c r="H42" s="620">
        <v>0.16436000000000001</v>
      </c>
      <c r="I42" s="196">
        <f t="shared" si="3"/>
        <v>3697.9356400000001</v>
      </c>
      <c r="J42" s="200" t="s">
        <v>43</v>
      </c>
      <c r="K42" s="603">
        <v>0</v>
      </c>
      <c r="L42" s="620">
        <v>0.16236</v>
      </c>
      <c r="M42" s="196">
        <f t="shared" si="2"/>
        <v>0</v>
      </c>
      <c r="P42" s="272"/>
      <c r="Q42" s="272"/>
    </row>
    <row r="43" spans="1:17" ht="16.5" thickBot="1">
      <c r="A43" s="85" t="s">
        <v>123</v>
      </c>
      <c r="B43" s="12"/>
      <c r="C43" s="125">
        <f>SUM(C37:C42)</f>
        <v>5769642.2200000007</v>
      </c>
      <c r="D43" s="36"/>
      <c r="F43" s="200" t="s">
        <v>42</v>
      </c>
      <c r="G43" s="602">
        <f t="shared" si="4"/>
        <v>0</v>
      </c>
      <c r="H43" s="620">
        <v>0.16436000000000001</v>
      </c>
      <c r="I43" s="196">
        <f t="shared" si="3"/>
        <v>0</v>
      </c>
      <c r="J43" s="199" t="s">
        <v>133</v>
      </c>
      <c r="K43" s="181">
        <f>SUM(K36:K42)</f>
        <v>2332525</v>
      </c>
      <c r="L43" s="182"/>
      <c r="M43" s="197">
        <f>SUM(M36:M42)</f>
        <v>378708.75900000002</v>
      </c>
    </row>
    <row r="44" spans="1:17" ht="16.5" thickBot="1">
      <c r="A44" s="83" t="s">
        <v>177</v>
      </c>
      <c r="B44" s="84" t="s">
        <v>120</v>
      </c>
      <c r="C44" s="558">
        <f>-656591.36+203002.88+18005.78</f>
        <v>-435582.69999999995</v>
      </c>
      <c r="D44" s="37"/>
      <c r="F44" s="200" t="s">
        <v>43</v>
      </c>
      <c r="G44" s="602">
        <f t="shared" si="4"/>
        <v>41737</v>
      </c>
      <c r="H44" s="620">
        <v>0.16436000000000001</v>
      </c>
      <c r="I44" s="196">
        <f t="shared" si="3"/>
        <v>6859.8933200000001</v>
      </c>
      <c r="J44" s="194"/>
      <c r="K44" s="232">
        <v>2332525</v>
      </c>
      <c r="L44" s="189" t="s">
        <v>102</v>
      </c>
      <c r="M44" s="217">
        <f>M43/K43</f>
        <v>0.16236</v>
      </c>
    </row>
    <row r="45" spans="1:17" ht="16.5" thickBot="1">
      <c r="A45" s="211" t="s">
        <v>168</v>
      </c>
      <c r="B45" s="6" t="s">
        <v>115</v>
      </c>
      <c r="C45" s="122">
        <v>0</v>
      </c>
      <c r="D45" s="39"/>
      <c r="F45" s="199" t="s">
        <v>133</v>
      </c>
      <c r="G45" s="181">
        <f>SUM(G37:G44)</f>
        <v>4098178</v>
      </c>
      <c r="H45" s="182"/>
      <c r="I45" s="197">
        <f>SUM(I37:I44)</f>
        <v>673576.53608000011</v>
      </c>
      <c r="J45" s="85"/>
      <c r="K45" s="231"/>
      <c r="L45" s="187"/>
      <c r="M45" s="555"/>
    </row>
    <row r="46" spans="1:17" ht="19.5" customHeight="1" thickTop="1" thickBot="1">
      <c r="A46" s="144" t="s">
        <v>169</v>
      </c>
      <c r="B46" s="6" t="s">
        <v>115</v>
      </c>
      <c r="C46" s="122">
        <v>0</v>
      </c>
      <c r="D46" s="40"/>
      <c r="F46" s="188"/>
      <c r="G46" s="232">
        <v>4098178</v>
      </c>
      <c r="H46" s="189" t="s">
        <v>102</v>
      </c>
      <c r="I46" s="215">
        <f>I45/G45</f>
        <v>0.16436000000000003</v>
      </c>
      <c r="J46" s="85"/>
      <c r="K46" s="231"/>
      <c r="L46" s="187"/>
      <c r="M46" s="555"/>
    </row>
    <row r="47" spans="1:17" ht="19.149999999999999" customHeight="1">
      <c r="A47" s="382" t="s">
        <v>137</v>
      </c>
      <c r="B47" s="6" t="s">
        <v>115</v>
      </c>
      <c r="C47" s="558">
        <v>0</v>
      </c>
      <c r="D47" s="36"/>
      <c r="F47" s="383"/>
      <c r="G47" s="230">
        <f>G45-G46</f>
        <v>0</v>
      </c>
      <c r="H47" s="383"/>
      <c r="I47" s="383"/>
      <c r="J47" s="124"/>
      <c r="K47" s="230">
        <f>K43-K44</f>
        <v>0</v>
      </c>
      <c r="L47" s="383"/>
      <c r="M47" s="124"/>
    </row>
    <row r="48" spans="1:17" ht="16.5" thickBot="1">
      <c r="A48" s="144" t="s">
        <v>304</v>
      </c>
      <c r="B48" s="6" t="s">
        <v>115</v>
      </c>
      <c r="C48" s="558">
        <v>7000</v>
      </c>
      <c r="D48" s="36"/>
      <c r="F48" s="383"/>
      <c r="G48" s="383"/>
      <c r="H48" s="383"/>
      <c r="I48" s="383"/>
      <c r="J48" s="124"/>
      <c r="K48" s="114"/>
      <c r="L48" s="383"/>
      <c r="M48" s="68"/>
    </row>
    <row r="49" spans="1:21" ht="15.75">
      <c r="A49" s="7" t="s">
        <v>130</v>
      </c>
      <c r="B49" s="530" t="s">
        <v>152</v>
      </c>
      <c r="C49" s="558">
        <v>16877.88</v>
      </c>
      <c r="D49" s="36"/>
      <c r="F49" s="383"/>
      <c r="G49" s="114"/>
      <c r="H49" s="129" t="s">
        <v>35</v>
      </c>
      <c r="I49" s="13" t="s">
        <v>35</v>
      </c>
      <c r="J49" s="13" t="s">
        <v>63</v>
      </c>
      <c r="K49" s="127" t="s">
        <v>70</v>
      </c>
      <c r="L49" s="124"/>
      <c r="M49" s="383"/>
    </row>
    <row r="50" spans="1:21" ht="16.5" thickBot="1">
      <c r="A50" s="7" t="s">
        <v>222</v>
      </c>
      <c r="B50" s="530" t="s">
        <v>152</v>
      </c>
      <c r="C50" s="558">
        <v>2728.57</v>
      </c>
      <c r="D50" s="37"/>
      <c r="F50" s="50" t="s">
        <v>73</v>
      </c>
      <c r="G50" s="383"/>
      <c r="H50" s="130" t="s">
        <v>2</v>
      </c>
      <c r="I50" s="131" t="s">
        <v>3</v>
      </c>
      <c r="J50" s="131" t="s">
        <v>2</v>
      </c>
      <c r="K50" s="128" t="s">
        <v>3</v>
      </c>
      <c r="L50" s="383"/>
      <c r="M50" s="383"/>
    </row>
    <row r="51" spans="1:21" ht="15.75">
      <c r="A51" s="7" t="s">
        <v>308</v>
      </c>
      <c r="B51" s="530" t="s">
        <v>152</v>
      </c>
      <c r="C51" s="558">
        <v>5529.9</v>
      </c>
      <c r="D51" s="36"/>
      <c r="F51" s="383"/>
      <c r="G51" s="383"/>
      <c r="H51" s="151"/>
      <c r="I51" s="152"/>
      <c r="J51" s="152"/>
      <c r="K51" s="152"/>
      <c r="L51" s="126" t="s">
        <v>103</v>
      </c>
      <c r="M51" s="383"/>
    </row>
    <row r="52" spans="1:21" ht="15.75">
      <c r="A52" s="22" t="s">
        <v>118</v>
      </c>
      <c r="B52" s="6"/>
      <c r="C52" s="577">
        <f>-C33</f>
        <v>10486.710000000001</v>
      </c>
      <c r="D52" s="33"/>
      <c r="F52" s="383" t="s">
        <v>136</v>
      </c>
      <c r="G52" s="383"/>
      <c r="H52" s="212">
        <f>K12</f>
        <v>-1443412.8971309992</v>
      </c>
      <c r="I52" s="115">
        <f>I14</f>
        <v>1480228.5662820002</v>
      </c>
      <c r="J52" s="115">
        <f>L12</f>
        <v>-823122.16286899964</v>
      </c>
      <c r="K52" s="115">
        <f>J14</f>
        <v>663166.40371800005</v>
      </c>
      <c r="L52" s="132">
        <f>SUM(H52:K52)</f>
        <v>-123140.08999999869</v>
      </c>
      <c r="M52" s="383"/>
    </row>
    <row r="53" spans="1:21" ht="16.5" thickBot="1">
      <c r="A53" s="383" t="s">
        <v>315</v>
      </c>
      <c r="B53" s="599" t="s">
        <v>316</v>
      </c>
      <c r="C53" s="558">
        <v>13177.91</v>
      </c>
      <c r="D53" s="36"/>
      <c r="F53" s="382" t="s">
        <v>109</v>
      </c>
      <c r="H53" s="212">
        <f>-I45</f>
        <v>-673576.53608000011</v>
      </c>
      <c r="I53" s="115">
        <f>-I32</f>
        <v>-425752.84386999998</v>
      </c>
      <c r="J53" s="115">
        <f>-M43</f>
        <v>-378708.75900000002</v>
      </c>
      <c r="K53" s="115">
        <f>-M28</f>
        <v>-244845.14924999999</v>
      </c>
      <c r="L53" s="260">
        <f>SUM(H53:K53)</f>
        <v>-1722883.2882000001</v>
      </c>
    </row>
    <row r="54" spans="1:21" ht="16.5" thickBot="1">
      <c r="A54" s="380" t="s">
        <v>124</v>
      </c>
      <c r="B54" s="471" t="s">
        <v>296</v>
      </c>
      <c r="C54" s="558">
        <f>-500937.55-2769889.71-4081645.7</f>
        <v>-7352472.96</v>
      </c>
      <c r="D54" s="36"/>
      <c r="F54" s="382" t="s">
        <v>86</v>
      </c>
      <c r="H54" s="234">
        <v>0</v>
      </c>
      <c r="I54" s="235">
        <v>0</v>
      </c>
      <c r="J54" s="235">
        <v>0</v>
      </c>
      <c r="K54" s="236">
        <v>0</v>
      </c>
      <c r="L54" s="214">
        <f>SUM(L52:L53)</f>
        <v>-1846023.3781999988</v>
      </c>
    </row>
    <row r="55" spans="1:21" ht="16.5" thickBot="1">
      <c r="A55" s="382" t="s">
        <v>312</v>
      </c>
      <c r="B55" s="6" t="s">
        <v>190</v>
      </c>
      <c r="C55" s="558">
        <v>-375000</v>
      </c>
      <c r="D55" s="36"/>
      <c r="F55" s="382" t="s">
        <v>71</v>
      </c>
      <c r="H55" s="125">
        <f>IFERROR(H52+H53+H54,0)</f>
        <v>-2116989.4332109992</v>
      </c>
      <c r="I55" s="125">
        <f>I52+I53+I54</f>
        <v>1054475.7224120002</v>
      </c>
      <c r="J55" s="125">
        <f>IFERROR(J52+J53+J54,0)</f>
        <v>-1201830.9218689997</v>
      </c>
      <c r="K55" s="125">
        <f>K52+K53+K54</f>
        <v>418321.25446800003</v>
      </c>
      <c r="L55" s="47">
        <f>SUM(H55:K55)</f>
        <v>-1846023.3781999988</v>
      </c>
    </row>
    <row r="56" spans="1:21" ht="16.5" thickBot="1">
      <c r="A56" s="82" t="s">
        <v>119</v>
      </c>
      <c r="B56" s="84"/>
      <c r="C56" s="160">
        <f>SUM(C43:C55)</f>
        <v>-2337612.4699999988</v>
      </c>
      <c r="D56" s="36"/>
      <c r="F56" s="239" t="s">
        <v>181</v>
      </c>
      <c r="H56" s="382" t="s">
        <v>173</v>
      </c>
      <c r="I56" s="5">
        <f>SUM(H55:I55)</f>
        <v>-1062513.7107989991</v>
      </c>
      <c r="J56" s="15" t="s">
        <v>174</v>
      </c>
      <c r="K56" s="382">
        <f>SUM(J55:K55)</f>
        <v>-783509.66740099969</v>
      </c>
      <c r="L56" s="213">
        <f>ROUND(L54-L55,3)</f>
        <v>0</v>
      </c>
      <c r="T56" s="42"/>
    </row>
    <row r="57" spans="1:21" ht="16.5" thickTop="1">
      <c r="A57" s="382" t="s">
        <v>121</v>
      </c>
      <c r="B57" s="6" t="s">
        <v>115</v>
      </c>
      <c r="C57" s="576">
        <v>46347.53</v>
      </c>
      <c r="D57" s="36"/>
      <c r="F57" s="395" t="s">
        <v>181</v>
      </c>
      <c r="H57" s="96"/>
    </row>
    <row r="58" spans="1:21" ht="16.5" thickBot="1">
      <c r="A58" s="382" t="s">
        <v>122</v>
      </c>
      <c r="B58" s="6" t="s">
        <v>115</v>
      </c>
      <c r="C58" s="576">
        <v>24729.88</v>
      </c>
      <c r="D58" s="36"/>
      <c r="F58" s="395" t="s">
        <v>182</v>
      </c>
      <c r="H58" s="157"/>
      <c r="I58" s="120"/>
      <c r="J58" s="120"/>
      <c r="K58" s="204"/>
      <c r="L58" s="120"/>
    </row>
    <row r="59" spans="1:21" ht="16.5" thickBot="1">
      <c r="A59" s="2" t="s">
        <v>125</v>
      </c>
      <c r="B59" s="2"/>
      <c r="C59" s="160">
        <f>SUM(C56:C58)</f>
        <v>-2266535.0599999991</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-123140.08999999892</v>
      </c>
      <c r="D61" s="37"/>
      <c r="H61" s="347" t="e">
        <f>SUM('WA - Def-Amtz (current)'!AS5:AS40)+SUM(#REF!)+SUM(#REF!)</f>
        <v>#REF!</v>
      </c>
      <c r="I61" s="447" t="e">
        <f>SUM('WA - Def-Amtz (current)'!AT5:AT41)+SUM(#REF!)+SUM(#REF!)</f>
        <v>#REF!</v>
      </c>
      <c r="J61" s="382">
        <f>H53+I53+J53+K53</f>
        <v>-1722883.2882000001</v>
      </c>
    </row>
    <row r="62" spans="1:21" ht="15.75">
      <c r="A62" s="2"/>
      <c r="B62" s="9" t="s">
        <v>160</v>
      </c>
      <c r="C62" s="348">
        <v>-123140.09</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41" priority="7" stopIfTrue="1" operator="equal">
      <formula>0</formula>
    </cfRule>
    <cfRule type="cellIs" dxfId="240" priority="8" stopIfTrue="1" operator="notEqual">
      <formula>0</formula>
    </cfRule>
  </conditionalFormatting>
  <conditionalFormatting sqref="G34 G47 K30 K47">
    <cfRule type="cellIs" dxfId="239" priority="6" operator="notEqual">
      <formula>0</formula>
    </cfRule>
  </conditionalFormatting>
  <conditionalFormatting sqref="C63">
    <cfRule type="cellIs" dxfId="238" priority="4" stopIfTrue="1" operator="equal">
      <formula>0</formula>
    </cfRule>
    <cfRule type="cellIs" dxfId="237" priority="5" stopIfTrue="1" operator="notEqual">
      <formula>0</formula>
    </cfRule>
  </conditionalFormatting>
  <conditionalFormatting sqref="K30">
    <cfRule type="cellIs" dxfId="236" priority="3" operator="notEqual">
      <formula>0</formula>
    </cfRule>
  </conditionalFormatting>
  <conditionalFormatting sqref="G59">
    <cfRule type="cellIs" dxfId="235" priority="2" operator="equal">
      <formula>"ERROR"</formula>
    </cfRule>
  </conditionalFormatting>
  <conditionalFormatting sqref="G59">
    <cfRule type="cellIs" dxfId="234"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3">
    <tabColor rgb="FF00CC66"/>
    <pageSetUpPr fitToPage="1"/>
  </sheetPr>
  <dimension ref="A1:U1485"/>
  <sheetViews>
    <sheetView showGridLines="0" topLeftCell="A34" zoomScale="70" zoomScaleNormal="70" workbookViewId="0">
      <selection activeCell="L36" sqref="L36:L4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Jul!C1+1</f>
        <v>201808</v>
      </c>
      <c r="F1" s="527">
        <f>C1</f>
        <v>201808</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v>3655974.78</v>
      </c>
      <c r="D4" s="34"/>
      <c r="F4" s="383"/>
      <c r="G4" s="383"/>
      <c r="H4" s="11"/>
      <c r="I4" s="383"/>
      <c r="J4" s="383"/>
      <c r="L4" s="383"/>
      <c r="M4" s="383"/>
    </row>
    <row r="5" spans="1:13" ht="14.25" customHeight="1">
      <c r="A5" s="383" t="s">
        <v>31</v>
      </c>
      <c r="C5" s="566">
        <v>16491.39</v>
      </c>
      <c r="D5" s="34"/>
      <c r="F5" s="383"/>
      <c r="G5" s="383"/>
      <c r="H5" s="11"/>
      <c r="I5" s="589">
        <v>0.69059999999999999</v>
      </c>
      <c r="J5" s="589">
        <v>0.30940000000000001</v>
      </c>
      <c r="K5" s="443">
        <f>ROUND(G45/(G45+K43),4)</f>
        <v>0.66120000000000001</v>
      </c>
      <c r="L5" s="443">
        <f>1-K5</f>
        <v>0.33879999999999999</v>
      </c>
      <c r="M5" s="383"/>
    </row>
    <row r="6" spans="1:13" ht="16.5" thickBot="1">
      <c r="A6" s="49" t="s">
        <v>30</v>
      </c>
      <c r="C6" s="567">
        <f>-1494747.7-426339.9-121811.4-137037.83-78568.35-98131.26</f>
        <v>-2356636.44</v>
      </c>
      <c r="D6" s="34"/>
      <c r="F6" s="383"/>
      <c r="G6" s="383"/>
      <c r="H6" s="383"/>
      <c r="I6" s="383"/>
      <c r="J6" s="383"/>
      <c r="K6" s="383"/>
      <c r="L6" s="383"/>
      <c r="M6" s="383"/>
    </row>
    <row r="7" spans="1:13" ht="16.5" thickBot="1">
      <c r="A7" s="66" t="s">
        <v>140</v>
      </c>
      <c r="C7" s="100">
        <f>SUM(C4:C6)</f>
        <v>1315829.73</v>
      </c>
      <c r="D7" s="35"/>
      <c r="F7" s="166" t="s">
        <v>139</v>
      </c>
      <c r="G7" s="166"/>
      <c r="H7" s="125">
        <f>C34</f>
        <v>2151700.66</v>
      </c>
      <c r="I7" s="167">
        <f>H7*I5</f>
        <v>1485964.4757960001</v>
      </c>
      <c r="J7" s="167">
        <f>H7*J5</f>
        <v>665736.18420400005</v>
      </c>
      <c r="K7" s="167"/>
      <c r="L7" s="167"/>
      <c r="M7" s="383"/>
    </row>
    <row r="8" spans="1:13" ht="15.75">
      <c r="A8" s="382" t="s">
        <v>89</v>
      </c>
      <c r="C8" s="566">
        <v>191512.75</v>
      </c>
      <c r="D8" s="35"/>
      <c r="F8" s="383"/>
      <c r="G8" s="383"/>
      <c r="H8" s="168"/>
      <c r="I8" s="168"/>
      <c r="J8" s="168"/>
      <c r="K8" s="168"/>
      <c r="L8" s="168"/>
      <c r="M8" s="383"/>
    </row>
    <row r="9" spans="1:13" ht="15.75">
      <c r="A9" s="383" t="s">
        <v>90</v>
      </c>
      <c r="C9" s="566">
        <f>1.3-138.53+11037.18</f>
        <v>10899.95</v>
      </c>
      <c r="D9" s="36"/>
      <c r="F9" s="166" t="s">
        <v>119</v>
      </c>
      <c r="G9" s="383"/>
      <c r="H9" s="167">
        <f>C56</f>
        <v>-3312041.55</v>
      </c>
      <c r="I9" s="167"/>
      <c r="J9" s="167"/>
      <c r="K9" s="167">
        <f>H9*K5</f>
        <v>-2189921.87286</v>
      </c>
      <c r="L9" s="167">
        <f>H9*L5</f>
        <v>-1122119.6771399998</v>
      </c>
      <c r="M9" s="383"/>
    </row>
    <row r="10" spans="1:13" ht="15.75">
      <c r="A10" s="49" t="s">
        <v>91</v>
      </c>
      <c r="C10" s="567">
        <f>-3418.47</f>
        <v>-3418.47</v>
      </c>
      <c r="D10" s="36"/>
      <c r="F10" s="169" t="s">
        <v>44</v>
      </c>
      <c r="G10" s="383"/>
      <c r="H10" s="167">
        <f>C57</f>
        <v>-36888.06</v>
      </c>
      <c r="I10" s="167"/>
      <c r="J10" s="167"/>
      <c r="K10" s="167">
        <f>H10</f>
        <v>-36888.06</v>
      </c>
      <c r="L10" s="167"/>
      <c r="M10" s="383"/>
    </row>
    <row r="11" spans="1:13">
      <c r="A11" s="66" t="s">
        <v>145</v>
      </c>
      <c r="C11" s="100">
        <f>SUM(C8:C10)</f>
        <v>198994.23</v>
      </c>
      <c r="D11" s="36"/>
      <c r="F11" s="169" t="s">
        <v>45</v>
      </c>
      <c r="G11" s="383"/>
      <c r="H11" s="170">
        <f>C58</f>
        <v>-19500.96</v>
      </c>
      <c r="I11" s="167"/>
      <c r="J11" s="167"/>
      <c r="K11" s="170"/>
      <c r="L11" s="170">
        <f>H11</f>
        <v>-19500.96</v>
      </c>
      <c r="M11" s="383"/>
    </row>
    <row r="12" spans="1:13" ht="15.75">
      <c r="A12" s="382" t="s">
        <v>165</v>
      </c>
      <c r="C12" s="566">
        <f>189357.14-816.53</f>
        <v>188540.61000000002</v>
      </c>
      <c r="D12" s="36"/>
      <c r="F12" s="169" t="s">
        <v>138</v>
      </c>
      <c r="G12" s="383"/>
      <c r="H12" s="167">
        <f>H9+H10+H11</f>
        <v>-3368430.57</v>
      </c>
      <c r="I12" s="167" t="s">
        <v>317</v>
      </c>
      <c r="J12" s="167"/>
      <c r="K12" s="167">
        <f>SUM(K9:K11)</f>
        <v>-2226809.9328600001</v>
      </c>
      <c r="L12" s="167">
        <f>SUM(L9:L11)</f>
        <v>-1141620.6371399998</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188540.61000000002</v>
      </c>
      <c r="D14" s="37"/>
      <c r="F14" s="50" t="s">
        <v>69</v>
      </c>
      <c r="G14" s="175"/>
      <c r="H14" s="125">
        <f>H12+H7</f>
        <v>-1216729.9099999997</v>
      </c>
      <c r="I14" s="176">
        <f>SUM(I7:I13)</f>
        <v>1485964.4757960001</v>
      </c>
      <c r="J14" s="176">
        <f>SUM(J7:J13)</f>
        <v>665736.18420400005</v>
      </c>
      <c r="K14" s="176">
        <f>K12</f>
        <v>-2226809.9328600001</v>
      </c>
      <c r="L14" s="176">
        <f>L12</f>
        <v>-1141620.6371399998</v>
      </c>
      <c r="M14" s="383"/>
    </row>
    <row r="15" spans="1:13" ht="15.75">
      <c r="A15" s="382" t="s">
        <v>183</v>
      </c>
      <c r="C15" s="566">
        <f>395796.48-1706.2</f>
        <v>394090.27999999997</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394090.27999999997</v>
      </c>
      <c r="D17" s="37"/>
      <c r="F17" s="171"/>
      <c r="G17" s="172"/>
      <c r="H17" s="179"/>
      <c r="I17" s="180"/>
      <c r="J17" s="183"/>
      <c r="K17" s="383"/>
      <c r="L17" s="179"/>
      <c r="M17" s="383"/>
    </row>
    <row r="18" spans="1:13" ht="16.5" thickBot="1">
      <c r="A18" s="382" t="s">
        <v>163</v>
      </c>
      <c r="C18" s="566">
        <f>80732.41+9969.7-905.61</f>
        <v>89796.5</v>
      </c>
      <c r="D18" s="36"/>
      <c r="F18" s="691" t="s">
        <v>134</v>
      </c>
      <c r="G18" s="692"/>
      <c r="H18" s="692"/>
      <c r="I18" s="693"/>
      <c r="J18" s="691" t="s">
        <v>135</v>
      </c>
      <c r="K18" s="692"/>
      <c r="L18" s="692"/>
      <c r="M18" s="693"/>
    </row>
    <row r="19" spans="1:13" ht="15.75">
      <c r="A19" s="46" t="s">
        <v>164</v>
      </c>
      <c r="C19" s="567">
        <v>-195.15</v>
      </c>
      <c r="D19" s="36"/>
      <c r="F19" s="201" t="s">
        <v>108</v>
      </c>
      <c r="G19" s="164" t="s">
        <v>33</v>
      </c>
      <c r="H19" s="164" t="s">
        <v>33</v>
      </c>
      <c r="I19" s="164" t="s">
        <v>33</v>
      </c>
      <c r="J19" s="201" t="s">
        <v>108</v>
      </c>
      <c r="K19" s="164" t="s">
        <v>33</v>
      </c>
      <c r="L19" s="164" t="s">
        <v>33</v>
      </c>
      <c r="M19" s="185" t="s">
        <v>33</v>
      </c>
    </row>
    <row r="20" spans="1:13" ht="16.5" thickBot="1">
      <c r="A20" s="67" t="s">
        <v>93</v>
      </c>
      <c r="C20" s="100">
        <f>SUM(C18:C19)</f>
        <v>89601.35</v>
      </c>
      <c r="D20" s="36"/>
      <c r="F20" s="195" t="s">
        <v>162</v>
      </c>
      <c r="G20" s="165" t="s">
        <v>101</v>
      </c>
      <c r="H20" s="165" t="s">
        <v>36</v>
      </c>
      <c r="I20" s="165" t="s">
        <v>34</v>
      </c>
      <c r="J20" s="195" t="s">
        <v>162</v>
      </c>
      <c r="K20" s="165" t="s">
        <v>101</v>
      </c>
      <c r="L20" s="165" t="s">
        <v>36</v>
      </c>
      <c r="M20" s="165" t="s">
        <v>34</v>
      </c>
    </row>
    <row r="21" spans="1:13" ht="15.75">
      <c r="A21" s="46" t="s">
        <v>149</v>
      </c>
      <c r="C21" s="567">
        <f>1850-1474.04</f>
        <v>375.96000000000004</v>
      </c>
      <c r="D21" s="36"/>
      <c r="F21" s="184"/>
      <c r="G21" s="12"/>
      <c r="H21" s="12"/>
      <c r="I21" s="185"/>
      <c r="J21" s="129"/>
      <c r="K21" s="13"/>
      <c r="L21" s="13"/>
      <c r="M21" s="205"/>
    </row>
    <row r="22" spans="1:13" ht="18" customHeight="1">
      <c r="A22" s="65" t="s">
        <v>149</v>
      </c>
      <c r="C22" s="100">
        <f>SUM(C21)</f>
        <v>375.96000000000004</v>
      </c>
      <c r="D22" s="36"/>
      <c r="F22" s="199" t="s">
        <v>126</v>
      </c>
      <c r="G22" s="7"/>
      <c r="H22" s="7"/>
      <c r="I22" s="98"/>
      <c r="J22" s="199" t="s">
        <v>126</v>
      </c>
      <c r="K22" s="7"/>
      <c r="L22" s="7"/>
      <c r="M22" s="98"/>
    </row>
    <row r="23" spans="1:13" ht="15.75">
      <c r="A23" s="208" t="s">
        <v>180</v>
      </c>
      <c r="C23" s="100">
        <v>0</v>
      </c>
      <c r="D23" s="36"/>
      <c r="F23" s="200" t="s">
        <v>37</v>
      </c>
      <c r="G23" s="561">
        <v>2214130</v>
      </c>
      <c r="H23" s="620">
        <v>0.10743999999999999</v>
      </c>
      <c r="I23" s="196">
        <f t="shared" ref="I23:I31" si="0">G23*H23</f>
        <v>237886.12719999999</v>
      </c>
      <c r="J23" s="200" t="s">
        <v>37</v>
      </c>
      <c r="K23" s="561">
        <v>1026426</v>
      </c>
      <c r="L23" s="620">
        <v>0.10496999999999999</v>
      </c>
      <c r="M23" s="196">
        <f>K23*L23</f>
        <v>107743.93721999999</v>
      </c>
    </row>
    <row r="24" spans="1:13" ht="15.75">
      <c r="A24" s="208" t="s">
        <v>186</v>
      </c>
      <c r="C24" s="122">
        <v>0</v>
      </c>
      <c r="D24" s="36"/>
      <c r="F24" s="200" t="s">
        <v>305</v>
      </c>
      <c r="G24" s="561">
        <v>1944</v>
      </c>
      <c r="H24" s="620">
        <v>0.10743999999999999</v>
      </c>
      <c r="I24" s="196">
        <f t="shared" si="0"/>
        <v>208.86336</v>
      </c>
      <c r="J24" s="200" t="s">
        <v>38</v>
      </c>
      <c r="K24" s="561">
        <v>1065551</v>
      </c>
      <c r="L24" s="620">
        <v>0.10496999999999999</v>
      </c>
      <c r="M24" s="196">
        <f t="shared" ref="M24:M27" si="1">K24*L24</f>
        <v>111850.88846999999</v>
      </c>
    </row>
    <row r="25" spans="1:13" ht="15.75">
      <c r="A25" s="208" t="s">
        <v>189</v>
      </c>
      <c r="C25" s="556">
        <v>0</v>
      </c>
      <c r="D25" s="36"/>
      <c r="F25" s="200" t="s">
        <v>38</v>
      </c>
      <c r="G25" s="561">
        <v>1588311</v>
      </c>
      <c r="H25" s="620">
        <v>9.8650000000000002E-2</v>
      </c>
      <c r="I25" s="196">
        <f t="shared" si="0"/>
        <v>156686.88015000001</v>
      </c>
      <c r="J25" s="200" t="s">
        <v>39</v>
      </c>
      <c r="K25" s="561">
        <v>52053</v>
      </c>
      <c r="L25" s="620">
        <v>0.10496999999999999</v>
      </c>
      <c r="M25" s="196">
        <f t="shared" si="1"/>
        <v>5464.0034099999993</v>
      </c>
    </row>
    <row r="26" spans="1:13" ht="15.75">
      <c r="A26" s="209" t="s">
        <v>188</v>
      </c>
      <c r="C26" s="557">
        <v>0</v>
      </c>
      <c r="D26" s="36"/>
      <c r="F26" s="200" t="s">
        <v>39</v>
      </c>
      <c r="G26" s="561">
        <v>5300</v>
      </c>
      <c r="H26" s="620">
        <v>9.8650000000000002E-2</v>
      </c>
      <c r="I26" s="196">
        <f t="shared" si="0"/>
        <v>522.84500000000003</v>
      </c>
      <c r="J26" s="200" t="s">
        <v>40</v>
      </c>
      <c r="K26" s="561">
        <v>0</v>
      </c>
      <c r="L26" s="620">
        <v>0.10496999999999999</v>
      </c>
      <c r="M26" s="196">
        <f t="shared" si="1"/>
        <v>0</v>
      </c>
    </row>
    <row r="27" spans="1:13" ht="15.75">
      <c r="A27" s="65" t="s">
        <v>96</v>
      </c>
      <c r="C27" s="100">
        <f>SUM(C23:C26)</f>
        <v>0</v>
      </c>
      <c r="D27" s="36"/>
      <c r="F27" s="200" t="s">
        <v>40</v>
      </c>
      <c r="G27" s="561">
        <v>306054</v>
      </c>
      <c r="H27" s="620">
        <v>0.10433000000000001</v>
      </c>
      <c r="I27" s="196">
        <f t="shared" si="0"/>
        <v>31930.613820000002</v>
      </c>
      <c r="J27" s="200" t="s">
        <v>41</v>
      </c>
      <c r="K27" s="561">
        <v>0</v>
      </c>
      <c r="L27" s="620">
        <v>0.10496999999999999</v>
      </c>
      <c r="M27" s="196">
        <f t="shared" si="1"/>
        <v>0</v>
      </c>
    </row>
    <row r="28" spans="1:13" ht="16.5" thickBot="1">
      <c r="A28" s="210" t="s">
        <v>150</v>
      </c>
      <c r="C28" s="311">
        <v>0</v>
      </c>
      <c r="D28" s="37"/>
      <c r="F28" s="200" t="s">
        <v>41</v>
      </c>
      <c r="G28" s="561">
        <v>25800</v>
      </c>
      <c r="H28" s="620">
        <v>0.10433000000000001</v>
      </c>
      <c r="I28" s="196">
        <f t="shared" si="0"/>
        <v>2691.7139999999999</v>
      </c>
      <c r="J28" s="199" t="s">
        <v>127</v>
      </c>
      <c r="K28" s="181">
        <f>SUM(K23:K27)</f>
        <v>2144030</v>
      </c>
      <c r="L28" s="182"/>
      <c r="M28" s="197">
        <f>SUM(M23:M27)</f>
        <v>225058.82909999997</v>
      </c>
    </row>
    <row r="29" spans="1:13" ht="17.25" thickTop="1" thickBot="1">
      <c r="A29" s="210" t="s">
        <v>167</v>
      </c>
      <c r="B29" s="383"/>
      <c r="C29" s="311">
        <v>0</v>
      </c>
      <c r="D29" s="36"/>
      <c r="F29" s="200" t="s">
        <v>42</v>
      </c>
      <c r="G29" s="561">
        <v>0</v>
      </c>
      <c r="H29" s="620">
        <v>6.2480000000000001E-2</v>
      </c>
      <c r="I29" s="196">
        <f t="shared" si="0"/>
        <v>0</v>
      </c>
      <c r="J29" s="199"/>
      <c r="K29" s="231">
        <v>2144030</v>
      </c>
      <c r="L29" s="187" t="s">
        <v>102</v>
      </c>
      <c r="M29" s="463">
        <f>M28/K28</f>
        <v>0.10496999999999999</v>
      </c>
    </row>
    <row r="30" spans="1:13" ht="16.5" thickBot="1">
      <c r="A30" s="2" t="s">
        <v>111</v>
      </c>
      <c r="C30" s="125">
        <f>C7+C11+C14+C17+C20+C22+C27+C28+C29</f>
        <v>2187432.16</v>
      </c>
      <c r="D30" s="37"/>
      <c r="F30" s="200" t="s">
        <v>43</v>
      </c>
      <c r="G30" s="561">
        <v>43515</v>
      </c>
      <c r="H30" s="620">
        <v>6.2480000000000001E-2</v>
      </c>
      <c r="I30" s="196">
        <f t="shared" si="0"/>
        <v>2718.8172</v>
      </c>
      <c r="J30" s="200"/>
      <c r="K30" s="230">
        <f>K28-K29</f>
        <v>0</v>
      </c>
      <c r="L30" s="182"/>
      <c r="M30" s="198"/>
    </row>
    <row r="31" spans="1:13" ht="15.75">
      <c r="A31" s="382" t="s">
        <v>112</v>
      </c>
      <c r="C31" s="566">
        <v>-8535.31</v>
      </c>
      <c r="D31" s="39"/>
      <c r="F31" s="200" t="s">
        <v>74</v>
      </c>
      <c r="G31" s="561">
        <v>2281688</v>
      </c>
      <c r="H31" s="620">
        <v>5.4000000000000001E-4</v>
      </c>
      <c r="I31" s="196">
        <f t="shared" si="0"/>
        <v>1232.1115199999999</v>
      </c>
      <c r="J31" s="153"/>
      <c r="K31" s="7"/>
      <c r="L31" s="182"/>
      <c r="M31" s="198"/>
    </row>
    <row r="32" spans="1:13" ht="16.5" thickBot="1">
      <c r="A32" s="2" t="s">
        <v>116</v>
      </c>
      <c r="B32" s="2" t="s">
        <v>117</v>
      </c>
      <c r="C32" s="564">
        <f>C30+C31</f>
        <v>2178896.85</v>
      </c>
      <c r="D32" s="40"/>
      <c r="F32" s="199" t="s">
        <v>127</v>
      </c>
      <c r="G32" s="181">
        <f>SUM(G23:G31)</f>
        <v>6466742</v>
      </c>
      <c r="H32" s="7"/>
      <c r="I32" s="197">
        <f>SUM(I23:I31)</f>
        <v>433877.97224999993</v>
      </c>
      <c r="J32" s="192"/>
      <c r="K32" s="193"/>
      <c r="L32" s="7"/>
      <c r="M32" s="190"/>
    </row>
    <row r="33" spans="1:17" ht="17.25" thickTop="1" thickBot="1">
      <c r="A33" s="382" t="s">
        <v>113</v>
      </c>
      <c r="C33" s="671">
        <f>-C5-C9-C13-C16-C19</f>
        <v>-27196.19</v>
      </c>
      <c r="D33" s="36"/>
      <c r="F33" s="186"/>
      <c r="G33" s="231">
        <v>6466742</v>
      </c>
      <c r="H33" s="187" t="s">
        <v>102</v>
      </c>
      <c r="I33" s="216">
        <f>I32/G32</f>
        <v>6.7093750183631867E-2</v>
      </c>
      <c r="J33" s="192"/>
      <c r="K33" s="193"/>
      <c r="L33" s="7"/>
      <c r="M33" s="98"/>
    </row>
    <row r="34" spans="1:17" ht="16.5" thickBot="1">
      <c r="A34" s="2" t="s">
        <v>114</v>
      </c>
      <c r="C34" s="125">
        <f>SUM(C32:C33)</f>
        <v>2151700.66</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262">
        <f>K23</f>
        <v>1026426</v>
      </c>
      <c r="L36" s="620">
        <v>0.16236</v>
      </c>
      <c r="M36" s="196">
        <f t="shared" ref="M36:M42" si="2">K36*L36</f>
        <v>166650.52536</v>
      </c>
      <c r="P36" s="272"/>
      <c r="Q36" s="272"/>
    </row>
    <row r="37" spans="1:17" ht="15.75">
      <c r="A37" s="7" t="s">
        <v>129</v>
      </c>
      <c r="B37" s="530" t="s">
        <v>115</v>
      </c>
      <c r="C37" s="566">
        <v>5889532.5599999996</v>
      </c>
      <c r="D37" s="36"/>
      <c r="F37" s="200" t="s">
        <v>37</v>
      </c>
      <c r="G37" s="262">
        <f>G23</f>
        <v>2214130</v>
      </c>
      <c r="H37" s="620">
        <v>0.16436000000000001</v>
      </c>
      <c r="I37" s="196">
        <f t="shared" ref="I37:I44" si="3">G37*H37</f>
        <v>363914.4068</v>
      </c>
      <c r="J37" s="200" t="s">
        <v>38</v>
      </c>
      <c r="K37" s="262">
        <f>K24</f>
        <v>1065551</v>
      </c>
      <c r="L37" s="620">
        <v>0.16236</v>
      </c>
      <c r="M37" s="196">
        <f t="shared" si="2"/>
        <v>173002.86035999999</v>
      </c>
      <c r="P37" s="272"/>
      <c r="Q37" s="272"/>
    </row>
    <row r="38" spans="1:17" ht="15.75">
      <c r="A38" s="144" t="s">
        <v>14</v>
      </c>
      <c r="B38" s="530" t="s">
        <v>115</v>
      </c>
      <c r="C38" s="566">
        <v>0</v>
      </c>
      <c r="D38" s="36"/>
      <c r="F38" s="200" t="s">
        <v>305</v>
      </c>
      <c r="G38" s="262">
        <f>G24</f>
        <v>1944</v>
      </c>
      <c r="H38" s="620">
        <v>0.16436000000000001</v>
      </c>
      <c r="I38" s="196">
        <f t="shared" si="3"/>
        <v>319.51584000000003</v>
      </c>
      <c r="J38" s="200" t="s">
        <v>39</v>
      </c>
      <c r="K38" s="262">
        <f>K25</f>
        <v>52053</v>
      </c>
      <c r="L38" s="620">
        <v>0.16236</v>
      </c>
      <c r="M38" s="196">
        <f t="shared" si="2"/>
        <v>8451.3250800000005</v>
      </c>
      <c r="P38" s="272"/>
      <c r="Q38" s="272"/>
    </row>
    <row r="39" spans="1:17" ht="15.75">
      <c r="A39" s="7" t="s">
        <v>146</v>
      </c>
      <c r="B39" s="530" t="s">
        <v>147</v>
      </c>
      <c r="C39" s="566">
        <v>-110522.59</v>
      </c>
      <c r="D39" s="36"/>
      <c r="F39" s="200" t="s">
        <v>38</v>
      </c>
      <c r="G39" s="262">
        <f t="shared" ref="G39:G44" si="4">G25</f>
        <v>1588311</v>
      </c>
      <c r="H39" s="620">
        <v>0.16436000000000001</v>
      </c>
      <c r="I39" s="196">
        <f t="shared" si="3"/>
        <v>261054.79596000002</v>
      </c>
      <c r="J39" s="200" t="s">
        <v>40</v>
      </c>
      <c r="K39" s="262">
        <f>K26</f>
        <v>0</v>
      </c>
      <c r="L39" s="620">
        <v>0.16236</v>
      </c>
      <c r="M39" s="196">
        <f t="shared" si="2"/>
        <v>0</v>
      </c>
      <c r="P39" s="272"/>
      <c r="Q39" s="272"/>
    </row>
    <row r="40" spans="1:17" ht="15.75">
      <c r="A40" s="7" t="s">
        <v>131</v>
      </c>
      <c r="B40" s="530" t="s">
        <v>132</v>
      </c>
      <c r="C40" s="566">
        <v>425826.55</v>
      </c>
      <c r="D40" s="36"/>
      <c r="F40" s="200" t="s">
        <v>39</v>
      </c>
      <c r="G40" s="262">
        <f t="shared" si="4"/>
        <v>5300</v>
      </c>
      <c r="H40" s="620">
        <v>0.16436000000000001</v>
      </c>
      <c r="I40" s="196">
        <f t="shared" si="3"/>
        <v>871.10800000000006</v>
      </c>
      <c r="J40" s="200" t="s">
        <v>41</v>
      </c>
      <c r="K40" s="262">
        <f>K27</f>
        <v>0</v>
      </c>
      <c r="L40" s="620">
        <v>0.16236</v>
      </c>
      <c r="M40" s="196">
        <f t="shared" si="2"/>
        <v>0</v>
      </c>
      <c r="P40" s="272"/>
      <c r="Q40" s="272"/>
    </row>
    <row r="41" spans="1:17" ht="15.75">
      <c r="A41" s="7" t="s">
        <v>153</v>
      </c>
      <c r="B41" s="6" t="s">
        <v>155</v>
      </c>
      <c r="C41" s="566">
        <v>34012.65</v>
      </c>
      <c r="D41" s="36"/>
      <c r="F41" s="200" t="s">
        <v>40</v>
      </c>
      <c r="G41" s="262">
        <f t="shared" si="4"/>
        <v>306054</v>
      </c>
      <c r="H41" s="620">
        <v>0.16436000000000001</v>
      </c>
      <c r="I41" s="196">
        <f t="shared" si="3"/>
        <v>50303.03544</v>
      </c>
      <c r="J41" s="200" t="s">
        <v>42</v>
      </c>
      <c r="K41" s="261">
        <v>0</v>
      </c>
      <c r="L41" s="620">
        <v>0.16236</v>
      </c>
      <c r="M41" s="196">
        <f t="shared" si="2"/>
        <v>0</v>
      </c>
      <c r="P41" s="272"/>
      <c r="Q41" s="272"/>
    </row>
    <row r="42" spans="1:17" ht="16.5" thickBot="1">
      <c r="A42" s="7" t="s">
        <v>178</v>
      </c>
      <c r="B42" s="530" t="s">
        <v>179</v>
      </c>
      <c r="C42" s="566">
        <v>315224.08</v>
      </c>
      <c r="D42" s="37"/>
      <c r="F42" s="200" t="s">
        <v>41</v>
      </c>
      <c r="G42" s="262">
        <f t="shared" si="4"/>
        <v>25800</v>
      </c>
      <c r="H42" s="620">
        <v>0.16436000000000001</v>
      </c>
      <c r="I42" s="196">
        <f t="shared" si="3"/>
        <v>4240.4880000000003</v>
      </c>
      <c r="J42" s="200" t="s">
        <v>43</v>
      </c>
      <c r="K42" s="263">
        <v>0</v>
      </c>
      <c r="L42" s="620">
        <v>0.16236</v>
      </c>
      <c r="M42" s="196">
        <f t="shared" si="2"/>
        <v>0</v>
      </c>
      <c r="P42" s="272"/>
      <c r="Q42" s="272"/>
    </row>
    <row r="43" spans="1:17" ht="16.5" thickBot="1">
      <c r="A43" s="85" t="s">
        <v>123</v>
      </c>
      <c r="B43" s="12"/>
      <c r="C43" s="125">
        <f>SUM(C37:C42)</f>
        <v>6554073.25</v>
      </c>
      <c r="D43" s="36"/>
      <c r="F43" s="200" t="s">
        <v>42</v>
      </c>
      <c r="G43" s="262">
        <f t="shared" si="4"/>
        <v>0</v>
      </c>
      <c r="H43" s="620">
        <v>0.16436000000000001</v>
      </c>
      <c r="I43" s="196">
        <f t="shared" si="3"/>
        <v>0</v>
      </c>
      <c r="J43" s="199" t="s">
        <v>133</v>
      </c>
      <c r="K43" s="181">
        <f>SUM(K36:K42)</f>
        <v>2144030</v>
      </c>
      <c r="L43" s="182"/>
      <c r="M43" s="197">
        <f>SUM(M36:M42)</f>
        <v>348104.7108</v>
      </c>
    </row>
    <row r="44" spans="1:17" ht="16.5" thickBot="1">
      <c r="A44" s="83" t="s">
        <v>177</v>
      </c>
      <c r="B44" s="84" t="s">
        <v>120</v>
      </c>
      <c r="C44" s="566">
        <f>-2382331.27+12096.67+8229.79</f>
        <v>-2362004.81</v>
      </c>
      <c r="D44" s="37"/>
      <c r="F44" s="200" t="s">
        <v>43</v>
      </c>
      <c r="G44" s="262">
        <f t="shared" si="4"/>
        <v>43515</v>
      </c>
      <c r="H44" s="620">
        <v>0.16436000000000001</v>
      </c>
      <c r="I44" s="196">
        <f t="shared" si="3"/>
        <v>7152.1253999999999</v>
      </c>
      <c r="J44" s="194"/>
      <c r="K44" s="232">
        <v>2144030</v>
      </c>
      <c r="L44" s="189" t="s">
        <v>102</v>
      </c>
      <c r="M44" s="217">
        <f>M43/K43</f>
        <v>0.16236</v>
      </c>
    </row>
    <row r="45" spans="1:17" ht="16.5" thickBot="1">
      <c r="A45" s="211" t="s">
        <v>168</v>
      </c>
      <c r="B45" s="6" t="s">
        <v>115</v>
      </c>
      <c r="C45" s="122">
        <v>0</v>
      </c>
      <c r="D45" s="39"/>
      <c r="F45" s="199" t="s">
        <v>133</v>
      </c>
      <c r="G45" s="181">
        <f>SUM(G37:G44)</f>
        <v>4185054</v>
      </c>
      <c r="H45" s="182"/>
      <c r="I45" s="197">
        <f>SUM(I37:I44)</f>
        <v>687855.47544000007</v>
      </c>
      <c r="J45" s="85"/>
      <c r="K45" s="231"/>
      <c r="L45" s="187"/>
      <c r="M45" s="555"/>
    </row>
    <row r="46" spans="1:17" ht="19.5" customHeight="1" thickTop="1" thickBot="1">
      <c r="A46" s="144" t="s">
        <v>169</v>
      </c>
      <c r="B46" s="6" t="s">
        <v>115</v>
      </c>
      <c r="C46" s="122">
        <v>0</v>
      </c>
      <c r="D46" s="40"/>
      <c r="F46" s="188"/>
      <c r="G46" s="232">
        <v>4185054</v>
      </c>
      <c r="H46" s="189" t="s">
        <v>102</v>
      </c>
      <c r="I46" s="215">
        <f>I45/G45</f>
        <v>0.16436000000000001</v>
      </c>
      <c r="J46" s="85"/>
      <c r="K46" s="231"/>
      <c r="L46" s="187"/>
      <c r="M46" s="555"/>
    </row>
    <row r="47" spans="1:17" ht="19.5" customHeight="1">
      <c r="A47" s="382" t="s">
        <v>137</v>
      </c>
      <c r="B47" s="6" t="s">
        <v>115</v>
      </c>
      <c r="C47" s="122">
        <v>0</v>
      </c>
      <c r="D47" s="36"/>
      <c r="F47" s="383"/>
      <c r="G47" s="230">
        <f>G45-G46</f>
        <v>0</v>
      </c>
      <c r="H47" s="383"/>
      <c r="I47" s="383"/>
      <c r="J47" s="124"/>
      <c r="K47" s="230">
        <f>K43-K44</f>
        <v>0</v>
      </c>
      <c r="L47" s="383"/>
      <c r="M47" s="124"/>
    </row>
    <row r="48" spans="1:17" ht="16.5" thickBot="1">
      <c r="A48" s="144" t="s">
        <v>304</v>
      </c>
      <c r="B48" s="6" t="s">
        <v>115</v>
      </c>
      <c r="C48" s="566">
        <v>7000</v>
      </c>
      <c r="D48" s="36"/>
      <c r="F48" s="383"/>
      <c r="G48" s="383"/>
      <c r="H48" s="383"/>
      <c r="I48" s="383"/>
      <c r="J48" s="124"/>
      <c r="K48" s="114"/>
      <c r="L48" s="383"/>
      <c r="M48" s="68"/>
    </row>
    <row r="49" spans="1:21" ht="15.75">
      <c r="A49" s="7" t="s">
        <v>130</v>
      </c>
      <c r="B49" s="530" t="s">
        <v>152</v>
      </c>
      <c r="C49" s="566">
        <v>15167.79</v>
      </c>
      <c r="D49" s="36"/>
      <c r="F49" s="383"/>
      <c r="G49" s="114"/>
      <c r="H49" s="129" t="s">
        <v>35</v>
      </c>
      <c r="I49" s="13" t="s">
        <v>35</v>
      </c>
      <c r="J49" s="13" t="s">
        <v>63</v>
      </c>
      <c r="K49" s="127" t="s">
        <v>70</v>
      </c>
      <c r="L49" s="124"/>
      <c r="M49" s="383"/>
    </row>
    <row r="50" spans="1:21" ht="16.5" thickBot="1">
      <c r="A50" s="7" t="s">
        <v>222</v>
      </c>
      <c r="B50" s="530" t="s">
        <v>152</v>
      </c>
      <c r="C50" s="566">
        <v>3809.92</v>
      </c>
      <c r="D50" s="37"/>
      <c r="F50" s="50" t="s">
        <v>73</v>
      </c>
      <c r="G50" s="383"/>
      <c r="H50" s="130" t="s">
        <v>2</v>
      </c>
      <c r="I50" s="131" t="s">
        <v>3</v>
      </c>
      <c r="J50" s="131" t="s">
        <v>2</v>
      </c>
      <c r="K50" s="128" t="s">
        <v>3</v>
      </c>
      <c r="L50" s="383"/>
      <c r="M50" s="383"/>
    </row>
    <row r="51" spans="1:21" ht="15.75">
      <c r="A51" s="7" t="s">
        <v>308</v>
      </c>
      <c r="B51" s="530" t="s">
        <v>152</v>
      </c>
      <c r="C51" s="566">
        <v>4827.92</v>
      </c>
      <c r="D51" s="36"/>
      <c r="F51" s="383"/>
      <c r="G51" s="383"/>
      <c r="H51" s="151"/>
      <c r="I51" s="152"/>
      <c r="J51" s="152"/>
      <c r="K51" s="152"/>
      <c r="L51" s="126" t="s">
        <v>103</v>
      </c>
      <c r="M51" s="383"/>
    </row>
    <row r="52" spans="1:21" ht="15.75">
      <c r="A52" s="22" t="s">
        <v>118</v>
      </c>
      <c r="B52" s="6"/>
      <c r="C52" s="100">
        <f>-C33</f>
        <v>27196.19</v>
      </c>
      <c r="D52" s="33"/>
      <c r="F52" s="383" t="s">
        <v>136</v>
      </c>
      <c r="G52" s="383"/>
      <c r="H52" s="212">
        <f>K12</f>
        <v>-2226809.9328600001</v>
      </c>
      <c r="I52" s="115">
        <f>I14</f>
        <v>1485964.4757960001</v>
      </c>
      <c r="J52" s="115">
        <f>L12</f>
        <v>-1141620.6371399998</v>
      </c>
      <c r="K52" s="115">
        <f>J14</f>
        <v>665736.18420400005</v>
      </c>
      <c r="L52" s="132">
        <f>SUM(H52:K52)</f>
        <v>-1216729.9099999997</v>
      </c>
      <c r="M52" s="383"/>
    </row>
    <row r="53" spans="1:21" ht="16.5" thickBot="1">
      <c r="A53" s="383" t="s">
        <v>315</v>
      </c>
      <c r="B53" s="600" t="s">
        <v>316</v>
      </c>
      <c r="C53" s="566">
        <f>11493.64-2773.75</f>
        <v>8719.89</v>
      </c>
      <c r="D53" s="33"/>
      <c r="F53" s="382" t="s">
        <v>109</v>
      </c>
      <c r="H53" s="212">
        <f>-I45</f>
        <v>-687855.47544000007</v>
      </c>
      <c r="I53" s="115">
        <f>-I32</f>
        <v>-433877.97224999993</v>
      </c>
      <c r="J53" s="115">
        <f>-M43</f>
        <v>-348104.7108</v>
      </c>
      <c r="K53" s="115">
        <f>-M28</f>
        <v>-225058.82909999997</v>
      </c>
      <c r="L53" s="260">
        <f>SUM(H53:K53)</f>
        <v>-1694896.98759</v>
      </c>
    </row>
    <row r="54" spans="1:21" ht="16.5" thickBot="1">
      <c r="A54" s="380" t="s">
        <v>124</v>
      </c>
      <c r="B54" s="471" t="s">
        <v>296</v>
      </c>
      <c r="C54" s="566">
        <f>-128974.73-2483366.33-4583490.64</f>
        <v>-7195831.6999999993</v>
      </c>
      <c r="D54" s="36"/>
      <c r="F54" s="382" t="s">
        <v>86</v>
      </c>
      <c r="H54" s="234">
        <v>0</v>
      </c>
      <c r="I54" s="235">
        <v>0</v>
      </c>
      <c r="J54" s="235">
        <v>0</v>
      </c>
      <c r="K54" s="236">
        <v>0</v>
      </c>
      <c r="L54" s="214">
        <f>SUM(L52:L53)</f>
        <v>-2911626.8975899997</v>
      </c>
    </row>
    <row r="55" spans="1:21" ht="16.5" thickBot="1">
      <c r="A55" s="382" t="s">
        <v>312</v>
      </c>
      <c r="B55" s="6" t="s">
        <v>190</v>
      </c>
      <c r="C55" s="566">
        <v>-375000</v>
      </c>
      <c r="D55" s="36"/>
      <c r="F55" s="382" t="s">
        <v>71</v>
      </c>
      <c r="H55" s="125">
        <f>IFERROR(H52+H53+H54,0)</f>
        <v>-2914665.4083000002</v>
      </c>
      <c r="I55" s="125">
        <f>I52+I53+I54</f>
        <v>1052086.5035460002</v>
      </c>
      <c r="J55" s="125">
        <f>IFERROR(J52+J53+J54,0)</f>
        <v>-1489725.3479399998</v>
      </c>
      <c r="K55" s="125">
        <f>K52+K53+K54</f>
        <v>440677.35510400007</v>
      </c>
      <c r="L55" s="47">
        <f>SUM(H55:K55)</f>
        <v>-2911626.8975899993</v>
      </c>
    </row>
    <row r="56" spans="1:21" ht="16.5" thickBot="1">
      <c r="A56" s="82" t="s">
        <v>119</v>
      </c>
      <c r="B56" s="84"/>
      <c r="C56" s="160">
        <f>SUM(C43:C55)</f>
        <v>-3312041.55</v>
      </c>
      <c r="D56" s="36"/>
      <c r="F56" s="239" t="s">
        <v>181</v>
      </c>
      <c r="H56" s="382" t="s">
        <v>173</v>
      </c>
      <c r="I56" s="5">
        <f>SUM(H55:I55)</f>
        <v>-1862578.904754</v>
      </c>
      <c r="J56" s="15" t="s">
        <v>174</v>
      </c>
      <c r="K56" s="382">
        <f>SUM(J55:K55)</f>
        <v>-1049047.9928359997</v>
      </c>
      <c r="L56" s="213">
        <f>ROUND(L54-L55,3)</f>
        <v>0</v>
      </c>
      <c r="T56" s="42"/>
    </row>
    <row r="57" spans="1:21" ht="16.5" thickTop="1">
      <c r="A57" s="382" t="s">
        <v>121</v>
      </c>
      <c r="B57" s="6" t="s">
        <v>115</v>
      </c>
      <c r="C57" s="566">
        <v>-36888.06</v>
      </c>
      <c r="D57" s="36"/>
      <c r="F57" s="395" t="s">
        <v>181</v>
      </c>
      <c r="H57" s="96"/>
    </row>
    <row r="58" spans="1:21" ht="16.5" thickBot="1">
      <c r="A58" s="382" t="s">
        <v>122</v>
      </c>
      <c r="B58" s="6" t="s">
        <v>115</v>
      </c>
      <c r="C58" s="566">
        <v>-19500.96</v>
      </c>
      <c r="D58" s="36"/>
      <c r="F58" s="395" t="s">
        <v>182</v>
      </c>
      <c r="H58" s="157"/>
      <c r="I58" s="120"/>
      <c r="J58" s="120"/>
      <c r="K58" s="204"/>
      <c r="L58" s="120"/>
    </row>
    <row r="59" spans="1:21" ht="16.5" thickBot="1">
      <c r="A59" s="2" t="s">
        <v>125</v>
      </c>
      <c r="B59" s="2"/>
      <c r="C59" s="160">
        <f>SUM(C56:C58)</f>
        <v>-3368430.57</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-1216729.9099999997</v>
      </c>
      <c r="D61" s="36"/>
      <c r="H61" s="347" t="e">
        <f>SUM('WA - Def-Amtz (current)'!AS5:AS40)+SUM(#REF!)+SUM(#REF!)</f>
        <v>#REF!</v>
      </c>
      <c r="I61" s="447" t="e">
        <f>SUM('WA - Def-Amtz (current)'!AT5:AT40)+SUM(#REF!)+SUM(#REF!)</f>
        <v>#REF!</v>
      </c>
      <c r="J61" s="382">
        <f>H53+I53+J53+K53</f>
        <v>-1694896.98759</v>
      </c>
    </row>
    <row r="62" spans="1:21" ht="15.75">
      <c r="A62" s="2"/>
      <c r="B62" s="9" t="s">
        <v>160</v>
      </c>
      <c r="C62" s="601">
        <v>-1216729.9099999999</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33" priority="7" stopIfTrue="1" operator="equal">
      <formula>0</formula>
    </cfRule>
    <cfRule type="cellIs" dxfId="232" priority="8" stopIfTrue="1" operator="notEqual">
      <formula>0</formula>
    </cfRule>
  </conditionalFormatting>
  <conditionalFormatting sqref="G34 G47 K30 K47">
    <cfRule type="cellIs" dxfId="231" priority="6" operator="notEqual">
      <formula>0</formula>
    </cfRule>
  </conditionalFormatting>
  <conditionalFormatting sqref="C63">
    <cfRule type="cellIs" dxfId="230" priority="4" stopIfTrue="1" operator="equal">
      <formula>0</formula>
    </cfRule>
    <cfRule type="cellIs" dxfId="229" priority="5" stopIfTrue="1" operator="notEqual">
      <formula>0</formula>
    </cfRule>
  </conditionalFormatting>
  <conditionalFormatting sqref="K30">
    <cfRule type="cellIs" dxfId="228" priority="3" operator="notEqual">
      <formula>0</formula>
    </cfRule>
  </conditionalFormatting>
  <conditionalFormatting sqref="G59">
    <cfRule type="cellIs" dxfId="227" priority="2" operator="equal">
      <formula>"ERROR"</formula>
    </cfRule>
  </conditionalFormatting>
  <conditionalFormatting sqref="G59">
    <cfRule type="cellIs" dxfId="226"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4">
    <tabColor rgb="FF00CC66"/>
    <pageSetUpPr fitToPage="1"/>
  </sheetPr>
  <dimension ref="A1:U1485"/>
  <sheetViews>
    <sheetView showGridLines="0" zoomScale="70" zoomScaleNormal="70" workbookViewId="0">
      <selection activeCell="K5" sqref="K5"/>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18.5703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Aug!C1+1</f>
        <v>201809</v>
      </c>
      <c r="F1" s="527">
        <f>C1</f>
        <v>201809</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3538040.09</f>
        <v>3538040.09</v>
      </c>
      <c r="D4" s="34"/>
      <c r="F4" s="383"/>
      <c r="G4" s="383"/>
      <c r="H4" s="11"/>
      <c r="I4" s="383"/>
      <c r="J4" s="383"/>
      <c r="L4" s="383"/>
      <c r="M4" s="383"/>
    </row>
    <row r="5" spans="1:13" ht="14.25" customHeight="1">
      <c r="A5" s="383" t="s">
        <v>31</v>
      </c>
      <c r="C5" s="566">
        <f>16793.57+710.02</f>
        <v>17503.59</v>
      </c>
      <c r="D5" s="34"/>
      <c r="F5" s="383"/>
      <c r="G5" s="383"/>
      <c r="H5" s="11"/>
      <c r="I5" s="589">
        <v>0.69059999999999999</v>
      </c>
      <c r="J5" s="589">
        <v>0.30940000000000001</v>
      </c>
      <c r="K5" s="443">
        <f>ROUND(G45/(G45+K43),4)</f>
        <v>0.64029999999999998</v>
      </c>
      <c r="L5" s="443">
        <f>1-K5</f>
        <v>0.35970000000000002</v>
      </c>
      <c r="M5" s="383"/>
    </row>
    <row r="6" spans="1:13" ht="16.5" thickBot="1">
      <c r="A6" s="49" t="s">
        <v>30</v>
      </c>
      <c r="C6" s="567">
        <f>-1446530.02-412587-117882-132617.25-76033.89-94965.74</f>
        <v>-2280615.9000000004</v>
      </c>
      <c r="D6" s="34"/>
      <c r="F6" s="383"/>
      <c r="G6" s="383"/>
      <c r="H6" s="383"/>
      <c r="I6" s="383"/>
      <c r="J6" s="383"/>
      <c r="K6" s="383"/>
      <c r="L6" s="383"/>
      <c r="M6" s="383"/>
    </row>
    <row r="7" spans="1:13" ht="16.5" thickBot="1">
      <c r="A7" s="66" t="s">
        <v>140</v>
      </c>
      <c r="C7" s="100">
        <f>SUM(C4:C6)</f>
        <v>1274927.7799999993</v>
      </c>
      <c r="D7" s="35"/>
      <c r="F7" s="166" t="s">
        <v>139</v>
      </c>
      <c r="G7" s="166"/>
      <c r="H7" s="125">
        <f>C34</f>
        <v>2120993.1799999992</v>
      </c>
      <c r="I7" s="167">
        <f>H7*I5</f>
        <v>1464757.8901079996</v>
      </c>
      <c r="J7" s="167">
        <f>H7*J5</f>
        <v>656235.2898919998</v>
      </c>
      <c r="K7" s="167"/>
      <c r="L7" s="167"/>
      <c r="M7" s="383"/>
    </row>
    <row r="8" spans="1:13" ht="15.75">
      <c r="A8" s="382" t="s">
        <v>89</v>
      </c>
      <c r="C8" s="566">
        <v>185334.94</v>
      </c>
      <c r="D8" s="35"/>
      <c r="F8" s="383"/>
      <c r="G8" s="383"/>
      <c r="H8" s="168"/>
      <c r="I8" s="168"/>
      <c r="J8" s="168"/>
      <c r="K8" s="168"/>
      <c r="L8" s="168"/>
      <c r="M8" s="383"/>
    </row>
    <row r="9" spans="1:13" ht="15.75">
      <c r="A9" s="383" t="s">
        <v>90</v>
      </c>
      <c r="C9" s="566">
        <f>6305.64</f>
        <v>6305.64</v>
      </c>
      <c r="D9" s="36"/>
      <c r="F9" s="166" t="s">
        <v>119</v>
      </c>
      <c r="G9" s="383"/>
      <c r="H9" s="167">
        <f>C56</f>
        <v>-537771.16999999946</v>
      </c>
      <c r="I9" s="167"/>
      <c r="J9" s="167"/>
      <c r="K9" s="167">
        <f>H9*K5</f>
        <v>-344334.88015099964</v>
      </c>
      <c r="L9" s="167">
        <f>H9*L5</f>
        <v>-193436.28984899982</v>
      </c>
      <c r="M9" s="383"/>
    </row>
    <row r="10" spans="1:13" ht="15.75">
      <c r="A10" s="49" t="s">
        <v>91</v>
      </c>
      <c r="C10" s="567">
        <v>-3308.2</v>
      </c>
      <c r="D10" s="36"/>
      <c r="F10" s="169" t="s">
        <v>44</v>
      </c>
      <c r="G10" s="383"/>
      <c r="H10" s="167">
        <f>C57</f>
        <v>-12036.72</v>
      </c>
      <c r="I10" s="167"/>
      <c r="J10" s="167"/>
      <c r="K10" s="167">
        <f>H10</f>
        <v>-12036.72</v>
      </c>
      <c r="L10" s="167"/>
      <c r="M10" s="383"/>
    </row>
    <row r="11" spans="1:13">
      <c r="A11" s="66" t="s">
        <v>145</v>
      </c>
      <c r="C11" s="100">
        <f>SUM(C8:C10)</f>
        <v>188332.38</v>
      </c>
      <c r="D11" s="36"/>
      <c r="F11" s="169" t="s">
        <v>45</v>
      </c>
      <c r="G11" s="383"/>
      <c r="H11" s="170">
        <f>C58</f>
        <v>-7481.05</v>
      </c>
      <c r="I11" s="167"/>
      <c r="J11" s="167"/>
      <c r="K11" s="170"/>
      <c r="L11" s="170">
        <f>H11</f>
        <v>-7481.05</v>
      </c>
      <c r="M11" s="383"/>
    </row>
    <row r="12" spans="1:13" ht="15.75">
      <c r="A12" s="382" t="s">
        <v>165</v>
      </c>
      <c r="C12" s="566">
        <f>1957.77+191233.67</f>
        <v>193191.44</v>
      </c>
      <c r="D12" s="36"/>
      <c r="F12" s="169" t="s">
        <v>138</v>
      </c>
      <c r="G12" s="383"/>
      <c r="H12" s="167">
        <f>H9+H10+H11</f>
        <v>-557288.93999999948</v>
      </c>
      <c r="I12" s="167"/>
      <c r="J12" s="167"/>
      <c r="K12" s="167">
        <f>SUM(K9:K11)</f>
        <v>-356371.60015099961</v>
      </c>
      <c r="L12" s="167">
        <f>SUM(L9:L11)</f>
        <v>-200917.33984899981</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193191.44</v>
      </c>
      <c r="D14" s="37"/>
      <c r="F14" s="50" t="s">
        <v>69</v>
      </c>
      <c r="G14" s="175"/>
      <c r="H14" s="125">
        <f>H12+H7</f>
        <v>1563704.2399999998</v>
      </c>
      <c r="I14" s="176">
        <f>SUM(I7:I13)</f>
        <v>1464757.8901079996</v>
      </c>
      <c r="J14" s="176">
        <f>SUM(J7:J13)</f>
        <v>656235.2898919998</v>
      </c>
      <c r="K14" s="176">
        <f>K12</f>
        <v>-356371.60015099961</v>
      </c>
      <c r="L14" s="176">
        <f>L12</f>
        <v>-200917.33984899981</v>
      </c>
      <c r="M14" s="383"/>
    </row>
    <row r="15" spans="1:13" ht="15.75">
      <c r="A15" s="382" t="s">
        <v>183</v>
      </c>
      <c r="C15" s="566">
        <f>399718.84+4092.48</f>
        <v>403811.32</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403811.32</v>
      </c>
      <c r="D17" s="37"/>
      <c r="F17" s="171"/>
      <c r="G17" s="172"/>
      <c r="H17" s="179"/>
      <c r="I17" s="180"/>
      <c r="J17" s="183"/>
      <c r="K17" s="383"/>
      <c r="L17" s="179"/>
      <c r="M17" s="383"/>
    </row>
    <row r="18" spans="1:13" ht="16.5" thickBot="1">
      <c r="A18" s="382" t="s">
        <v>163</v>
      </c>
      <c r="C18" s="566">
        <f>933.63+81532.47+10068.5</f>
        <v>92534.6</v>
      </c>
      <c r="D18" s="36"/>
      <c r="F18" s="691" t="s">
        <v>134</v>
      </c>
      <c r="G18" s="692"/>
      <c r="H18" s="692"/>
      <c r="I18" s="693"/>
      <c r="J18" s="691" t="s">
        <v>135</v>
      </c>
      <c r="K18" s="692"/>
      <c r="L18" s="692"/>
      <c r="M18" s="693"/>
    </row>
    <row r="19" spans="1:13" ht="15.75">
      <c r="A19" s="46" t="s">
        <v>164</v>
      </c>
      <c r="C19" s="567">
        <v>-297.89</v>
      </c>
      <c r="D19" s="36"/>
      <c r="F19" s="201" t="s">
        <v>108</v>
      </c>
      <c r="G19" s="164" t="s">
        <v>33</v>
      </c>
      <c r="H19" s="164" t="s">
        <v>33</v>
      </c>
      <c r="I19" s="164" t="s">
        <v>33</v>
      </c>
      <c r="J19" s="201" t="s">
        <v>108</v>
      </c>
      <c r="K19" s="164" t="s">
        <v>33</v>
      </c>
      <c r="L19" s="164" t="s">
        <v>33</v>
      </c>
      <c r="M19" s="185" t="s">
        <v>33</v>
      </c>
    </row>
    <row r="20" spans="1:13" ht="16.5" thickBot="1">
      <c r="A20" s="67" t="s">
        <v>93</v>
      </c>
      <c r="C20" s="100">
        <f>SUM(C18:C19)</f>
        <v>92236.71</v>
      </c>
      <c r="D20" s="36"/>
      <c r="F20" s="195" t="s">
        <v>162</v>
      </c>
      <c r="G20" s="165" t="s">
        <v>101</v>
      </c>
      <c r="H20" s="165" t="s">
        <v>36</v>
      </c>
      <c r="I20" s="165" t="s">
        <v>34</v>
      </c>
      <c r="J20" s="195" t="s">
        <v>162</v>
      </c>
      <c r="K20" s="165" t="s">
        <v>101</v>
      </c>
      <c r="L20" s="165" t="s">
        <v>36</v>
      </c>
      <c r="M20" s="165" t="s">
        <v>34</v>
      </c>
    </row>
    <row r="21" spans="1:13" ht="15.75">
      <c r="A21" s="46" t="s">
        <v>149</v>
      </c>
      <c r="C21" s="567">
        <f>1850-1309.93</f>
        <v>540.06999999999994</v>
      </c>
      <c r="D21" s="36"/>
      <c r="F21" s="184"/>
      <c r="G21" s="12"/>
      <c r="H21" s="12"/>
      <c r="I21" s="185"/>
      <c r="J21" s="129"/>
      <c r="K21" s="13"/>
      <c r="L21" s="13"/>
      <c r="M21" s="205"/>
    </row>
    <row r="22" spans="1:13" ht="18" customHeight="1">
      <c r="A22" s="65" t="s">
        <v>149</v>
      </c>
      <c r="C22" s="100">
        <f>SUM(C21)</f>
        <v>540.06999999999994</v>
      </c>
      <c r="D22" s="36"/>
      <c r="F22" s="199" t="s">
        <v>126</v>
      </c>
      <c r="G22" s="7"/>
      <c r="H22" s="7"/>
      <c r="I22" s="98"/>
      <c r="J22" s="199" t="s">
        <v>126</v>
      </c>
      <c r="K22" s="7"/>
      <c r="L22" s="7"/>
      <c r="M22" s="98"/>
    </row>
    <row r="23" spans="1:13" ht="15.75">
      <c r="A23" s="208" t="s">
        <v>180</v>
      </c>
      <c r="C23" s="100">
        <v>0</v>
      </c>
      <c r="D23" s="36"/>
      <c r="F23" s="200" t="s">
        <v>37</v>
      </c>
      <c r="G23" s="561">
        <v>3077139</v>
      </c>
      <c r="H23" s="620">
        <v>0.10743999999999999</v>
      </c>
      <c r="I23" s="196">
        <f t="shared" ref="I23:I31" si="0">G23*H23</f>
        <v>330607.81416000001</v>
      </c>
      <c r="J23" s="200" t="s">
        <v>37</v>
      </c>
      <c r="K23" s="561">
        <v>1668078</v>
      </c>
      <c r="L23" s="620">
        <v>0.10496999999999999</v>
      </c>
      <c r="M23" s="196">
        <f>K23*L23</f>
        <v>175098.14765999999</v>
      </c>
    </row>
    <row r="24" spans="1:13" ht="15.75">
      <c r="A24" s="208" t="s">
        <v>186</v>
      </c>
      <c r="C24" s="122">
        <v>0</v>
      </c>
      <c r="D24" s="36"/>
      <c r="F24" s="200" t="s">
        <v>305</v>
      </c>
      <c r="G24" s="561">
        <v>3129</v>
      </c>
      <c r="H24" s="620">
        <v>0.10743999999999999</v>
      </c>
      <c r="I24" s="196">
        <f t="shared" si="0"/>
        <v>336.17975999999999</v>
      </c>
      <c r="J24" s="200" t="s">
        <v>38</v>
      </c>
      <c r="K24" s="561">
        <v>1262994</v>
      </c>
      <c r="L24" s="620">
        <v>0.10496999999999999</v>
      </c>
      <c r="M24" s="196">
        <f t="shared" ref="M24:M27" si="1">K24*L24</f>
        <v>132576.48017999998</v>
      </c>
    </row>
    <row r="25" spans="1:13" ht="15.75">
      <c r="A25" s="208" t="s">
        <v>189</v>
      </c>
      <c r="C25" s="556">
        <v>0</v>
      </c>
      <c r="D25" s="36"/>
      <c r="F25" s="200" t="s">
        <v>38</v>
      </c>
      <c r="G25" s="561">
        <v>1948398</v>
      </c>
      <c r="H25" s="620">
        <v>9.8650000000000002E-2</v>
      </c>
      <c r="I25" s="196">
        <f t="shared" si="0"/>
        <v>192209.4627</v>
      </c>
      <c r="J25" s="200" t="s">
        <v>39</v>
      </c>
      <c r="K25" s="561">
        <v>111660</v>
      </c>
      <c r="L25" s="620">
        <v>0.10496999999999999</v>
      </c>
      <c r="M25" s="196">
        <f t="shared" si="1"/>
        <v>11720.950199999999</v>
      </c>
    </row>
    <row r="26" spans="1:13" ht="15.75">
      <c r="A26" s="209" t="s">
        <v>188</v>
      </c>
      <c r="C26" s="557">
        <v>0</v>
      </c>
      <c r="D26" s="36"/>
      <c r="F26" s="200" t="s">
        <v>39</v>
      </c>
      <c r="G26" s="561">
        <v>9757</v>
      </c>
      <c r="H26" s="620">
        <v>9.8650000000000002E-2</v>
      </c>
      <c r="I26" s="196">
        <f t="shared" si="0"/>
        <v>962.52805000000001</v>
      </c>
      <c r="J26" s="200" t="s">
        <v>40</v>
      </c>
      <c r="K26" s="561">
        <v>0</v>
      </c>
      <c r="L26" s="620">
        <v>0.10496999999999999</v>
      </c>
      <c r="M26" s="196">
        <f t="shared" si="1"/>
        <v>0</v>
      </c>
    </row>
    <row r="27" spans="1:13" ht="15.75">
      <c r="A27" s="65" t="s">
        <v>96</v>
      </c>
      <c r="C27" s="100">
        <f>SUM(C23:C26)</f>
        <v>0</v>
      </c>
      <c r="D27" s="36"/>
      <c r="F27" s="200" t="s">
        <v>40</v>
      </c>
      <c r="G27" s="561">
        <v>302898</v>
      </c>
      <c r="H27" s="620">
        <v>0.10433000000000001</v>
      </c>
      <c r="I27" s="196">
        <f t="shared" si="0"/>
        <v>31601.34834</v>
      </c>
      <c r="J27" s="200" t="s">
        <v>41</v>
      </c>
      <c r="K27" s="561">
        <v>0</v>
      </c>
      <c r="L27" s="620">
        <v>0.10496999999999999</v>
      </c>
      <c r="M27" s="196">
        <f t="shared" si="1"/>
        <v>0</v>
      </c>
    </row>
    <row r="28" spans="1:13" ht="16.5" thickBot="1">
      <c r="A28" s="210" t="s">
        <v>150</v>
      </c>
      <c r="C28" s="311">
        <v>0</v>
      </c>
      <c r="D28" s="37"/>
      <c r="F28" s="200" t="s">
        <v>41</v>
      </c>
      <c r="G28" s="561">
        <v>30270</v>
      </c>
      <c r="H28" s="620">
        <v>0.10433000000000001</v>
      </c>
      <c r="I28" s="196">
        <f t="shared" si="0"/>
        <v>3158.0691000000002</v>
      </c>
      <c r="J28" s="199" t="s">
        <v>127</v>
      </c>
      <c r="K28" s="181">
        <f>SUM(K23:K27)</f>
        <v>3042732</v>
      </c>
      <c r="L28" s="182"/>
      <c r="M28" s="197">
        <f>SUM(M23:M27)</f>
        <v>319395.57803999999</v>
      </c>
    </row>
    <row r="29" spans="1:13" ht="17.25" thickTop="1" thickBot="1">
      <c r="A29" s="210" t="s">
        <v>167</v>
      </c>
      <c r="B29" s="383"/>
      <c r="C29" s="311">
        <v>0</v>
      </c>
      <c r="D29" s="36"/>
      <c r="F29" s="200" t="s">
        <v>42</v>
      </c>
      <c r="G29" s="561">
        <v>0</v>
      </c>
      <c r="H29" s="620">
        <v>6.2480000000000001E-2</v>
      </c>
      <c r="I29" s="196">
        <f t="shared" si="0"/>
        <v>0</v>
      </c>
      <c r="J29" s="199"/>
      <c r="K29" s="231">
        <v>3042732</v>
      </c>
      <c r="L29" s="187" t="s">
        <v>102</v>
      </c>
      <c r="M29" s="463">
        <f>M28/K28</f>
        <v>0.10496999999999999</v>
      </c>
    </row>
    <row r="30" spans="1:13" ht="16.5" thickBot="1">
      <c r="A30" s="2" t="s">
        <v>111</v>
      </c>
      <c r="C30" s="125">
        <f>C7+C11+C14+C17+C20+C22+C27+C28+C29</f>
        <v>2153039.6999999993</v>
      </c>
      <c r="D30" s="37"/>
      <c r="F30" s="200" t="s">
        <v>43</v>
      </c>
      <c r="G30" s="561">
        <v>44834</v>
      </c>
      <c r="H30" s="620">
        <v>6.2480000000000001E-2</v>
      </c>
      <c r="I30" s="196">
        <f t="shared" si="0"/>
        <v>2801.2283200000002</v>
      </c>
      <c r="J30" s="200"/>
      <c r="K30" s="230">
        <f>K28-K29</f>
        <v>0</v>
      </c>
      <c r="L30" s="182"/>
      <c r="M30" s="198"/>
    </row>
    <row r="31" spans="1:13" ht="15.75">
      <c r="A31" s="382" t="s">
        <v>112</v>
      </c>
      <c r="C31" s="566">
        <v>-8535.18</v>
      </c>
      <c r="D31" s="39"/>
      <c r="F31" s="200" t="s">
        <v>74</v>
      </c>
      <c r="G31" s="561">
        <v>2309719</v>
      </c>
      <c r="H31" s="620">
        <v>5.4000000000000001E-4</v>
      </c>
      <c r="I31" s="196">
        <f t="shared" si="0"/>
        <v>1247.2482600000001</v>
      </c>
      <c r="J31" s="153"/>
      <c r="K31" s="7"/>
      <c r="L31" s="182"/>
      <c r="M31" s="198"/>
    </row>
    <row r="32" spans="1:13" ht="16.5" thickBot="1">
      <c r="A32" s="2" t="s">
        <v>116</v>
      </c>
      <c r="B32" s="2" t="s">
        <v>117</v>
      </c>
      <c r="C32" s="564">
        <f>C30+C31</f>
        <v>2144504.5199999991</v>
      </c>
      <c r="D32" s="40"/>
      <c r="F32" s="199" t="s">
        <v>127</v>
      </c>
      <c r="G32" s="181">
        <f>SUM(G23:G31)</f>
        <v>7726144</v>
      </c>
      <c r="H32" s="7"/>
      <c r="I32" s="197">
        <f>SUM(I23:I31)</f>
        <v>562923.87869000004</v>
      </c>
      <c r="J32" s="192"/>
      <c r="K32" s="193"/>
      <c r="L32" s="7"/>
      <c r="M32" s="190"/>
    </row>
    <row r="33" spans="1:17" ht="17.25" thickTop="1" thickBot="1">
      <c r="A33" s="382" t="s">
        <v>113</v>
      </c>
      <c r="C33" s="564">
        <f>-C5-C9-C13-C16-C19</f>
        <v>-23511.34</v>
      </c>
      <c r="D33" s="36"/>
      <c r="F33" s="186"/>
      <c r="G33" s="231">
        <v>7726144</v>
      </c>
      <c r="H33" s="187" t="s">
        <v>102</v>
      </c>
      <c r="I33" s="216">
        <f>I32/G32</f>
        <v>7.2859615183201359E-2</v>
      </c>
      <c r="J33" s="192"/>
      <c r="K33" s="193"/>
      <c r="L33" s="7"/>
      <c r="M33" s="98"/>
    </row>
    <row r="34" spans="1:17" ht="16.5" thickBot="1">
      <c r="A34" s="2" t="s">
        <v>114</v>
      </c>
      <c r="C34" s="125">
        <f>SUM(C32:C33)</f>
        <v>2120993.1799999992</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262">
        <f>K23</f>
        <v>1668078</v>
      </c>
      <c r="L36" s="620">
        <v>0.16236</v>
      </c>
      <c r="M36" s="196">
        <f t="shared" ref="M36:M42" si="2">K36*L36</f>
        <v>270829.14408</v>
      </c>
      <c r="P36" s="272"/>
      <c r="Q36" s="272"/>
    </row>
    <row r="37" spans="1:17" ht="15.75">
      <c r="A37" s="7" t="s">
        <v>129</v>
      </c>
      <c r="B37" s="530" t="s">
        <v>115</v>
      </c>
      <c r="C37" s="566">
        <v>4958497.3899999997</v>
      </c>
      <c r="D37" s="36"/>
      <c r="F37" s="200" t="s">
        <v>37</v>
      </c>
      <c r="G37" s="262">
        <f>G23</f>
        <v>3077139</v>
      </c>
      <c r="H37" s="620">
        <v>0.16436000000000001</v>
      </c>
      <c r="I37" s="196">
        <f t="shared" ref="I37:I44" si="3">G37*H37</f>
        <v>505758.56604000001</v>
      </c>
      <c r="J37" s="200" t="s">
        <v>38</v>
      </c>
      <c r="K37" s="262">
        <f>K24</f>
        <v>1262994</v>
      </c>
      <c r="L37" s="620">
        <v>0.16236</v>
      </c>
      <c r="M37" s="196">
        <f t="shared" si="2"/>
        <v>205059.70584000001</v>
      </c>
      <c r="P37" s="272"/>
      <c r="Q37" s="272"/>
    </row>
    <row r="38" spans="1:17" ht="15.75">
      <c r="A38" s="144" t="s">
        <v>14</v>
      </c>
      <c r="B38" s="530" t="s">
        <v>115</v>
      </c>
      <c r="C38" s="566">
        <v>0</v>
      </c>
      <c r="D38" s="36"/>
      <c r="F38" s="200" t="s">
        <v>305</v>
      </c>
      <c r="G38" s="262">
        <f>G24</f>
        <v>3129</v>
      </c>
      <c r="H38" s="620">
        <v>0.16436000000000001</v>
      </c>
      <c r="I38" s="196">
        <f t="shared" si="3"/>
        <v>514.28244000000007</v>
      </c>
      <c r="J38" s="200" t="s">
        <v>39</v>
      </c>
      <c r="K38" s="262">
        <f>K25</f>
        <v>111660</v>
      </c>
      <c r="L38" s="620">
        <v>0.16236</v>
      </c>
      <c r="M38" s="196">
        <f t="shared" si="2"/>
        <v>18129.117600000001</v>
      </c>
      <c r="P38" s="272"/>
      <c r="Q38" s="272"/>
    </row>
    <row r="39" spans="1:17" ht="15.75">
      <c r="A39" s="7" t="s">
        <v>146</v>
      </c>
      <c r="B39" s="530" t="s">
        <v>147</v>
      </c>
      <c r="C39" s="566">
        <v>-97103.82</v>
      </c>
      <c r="D39" s="36"/>
      <c r="F39" s="200" t="s">
        <v>38</v>
      </c>
      <c r="G39" s="262">
        <f t="shared" ref="G39:G44" si="4">G25</f>
        <v>1948398</v>
      </c>
      <c r="H39" s="620">
        <v>0.16436000000000001</v>
      </c>
      <c r="I39" s="196">
        <f t="shared" si="3"/>
        <v>320238.69527999999</v>
      </c>
      <c r="J39" s="200" t="s">
        <v>40</v>
      </c>
      <c r="K39" s="262">
        <f>K26</f>
        <v>0</v>
      </c>
      <c r="L39" s="620">
        <v>0.16236</v>
      </c>
      <c r="M39" s="196">
        <f t="shared" si="2"/>
        <v>0</v>
      </c>
      <c r="P39" s="272"/>
      <c r="Q39" s="272"/>
    </row>
    <row r="40" spans="1:17" ht="15.75">
      <c r="A40" s="7" t="s">
        <v>131</v>
      </c>
      <c r="B40" s="530" t="s">
        <v>132</v>
      </c>
      <c r="C40" s="566">
        <v>738289.2</v>
      </c>
      <c r="D40" s="36"/>
      <c r="F40" s="200" t="s">
        <v>39</v>
      </c>
      <c r="G40" s="262">
        <f t="shared" si="4"/>
        <v>9757</v>
      </c>
      <c r="H40" s="620">
        <v>0.16436000000000001</v>
      </c>
      <c r="I40" s="196">
        <f t="shared" si="3"/>
        <v>1603.6605200000001</v>
      </c>
      <c r="J40" s="200" t="s">
        <v>41</v>
      </c>
      <c r="K40" s="262">
        <f>K27</f>
        <v>0</v>
      </c>
      <c r="L40" s="620">
        <v>0.16236</v>
      </c>
      <c r="M40" s="196">
        <f t="shared" si="2"/>
        <v>0</v>
      </c>
      <c r="P40" s="272"/>
      <c r="Q40" s="272"/>
    </row>
    <row r="41" spans="1:17" ht="15.75">
      <c r="A41" s="7" t="s">
        <v>153</v>
      </c>
      <c r="B41" s="6" t="s">
        <v>155</v>
      </c>
      <c r="C41" s="566">
        <v>-20250.22</v>
      </c>
      <c r="D41" s="36"/>
      <c r="F41" s="200" t="s">
        <v>40</v>
      </c>
      <c r="G41" s="262">
        <f t="shared" si="4"/>
        <v>302898</v>
      </c>
      <c r="H41" s="620">
        <v>0.16436000000000001</v>
      </c>
      <c r="I41" s="196">
        <f t="shared" si="3"/>
        <v>49784.315280000003</v>
      </c>
      <c r="J41" s="200" t="s">
        <v>42</v>
      </c>
      <c r="K41" s="262">
        <v>0</v>
      </c>
      <c r="L41" s="620">
        <v>0.16236</v>
      </c>
      <c r="M41" s="196">
        <f t="shared" si="2"/>
        <v>0</v>
      </c>
      <c r="P41" s="272"/>
      <c r="Q41" s="272"/>
    </row>
    <row r="42" spans="1:17" ht="16.5" thickBot="1">
      <c r="A42" s="7" t="s">
        <v>178</v>
      </c>
      <c r="B42" s="530" t="s">
        <v>179</v>
      </c>
      <c r="C42" s="566">
        <v>485035.71</v>
      </c>
      <c r="D42" s="37"/>
      <c r="F42" s="200" t="s">
        <v>41</v>
      </c>
      <c r="G42" s="262">
        <f t="shared" si="4"/>
        <v>30270</v>
      </c>
      <c r="H42" s="620">
        <v>0.16436000000000001</v>
      </c>
      <c r="I42" s="196">
        <f t="shared" si="3"/>
        <v>4975.1772000000001</v>
      </c>
      <c r="J42" s="200" t="s">
        <v>43</v>
      </c>
      <c r="K42" s="570">
        <v>0</v>
      </c>
      <c r="L42" s="620">
        <v>0.16236</v>
      </c>
      <c r="M42" s="196">
        <f t="shared" si="2"/>
        <v>0</v>
      </c>
      <c r="P42" s="272"/>
      <c r="Q42" s="272"/>
    </row>
    <row r="43" spans="1:17" ht="16.5" thickBot="1">
      <c r="A43" s="85" t="s">
        <v>123</v>
      </c>
      <c r="B43" s="12"/>
      <c r="C43" s="125">
        <f>SUM(C37:C42)</f>
        <v>6064468.2599999998</v>
      </c>
      <c r="D43" s="36"/>
      <c r="F43" s="200" t="s">
        <v>42</v>
      </c>
      <c r="G43" s="262">
        <f t="shared" si="4"/>
        <v>0</v>
      </c>
      <c r="H43" s="620">
        <v>0.16436000000000001</v>
      </c>
      <c r="I43" s="196">
        <f t="shared" si="3"/>
        <v>0</v>
      </c>
      <c r="J43" s="199" t="s">
        <v>133</v>
      </c>
      <c r="K43" s="181">
        <f>SUM(K36:K42)</f>
        <v>3042732</v>
      </c>
      <c r="L43" s="182"/>
      <c r="M43" s="197">
        <f>SUM(M36:M42)</f>
        <v>494017.96752000001</v>
      </c>
    </row>
    <row r="44" spans="1:17" ht="16.5" thickBot="1">
      <c r="A44" s="83" t="s">
        <v>177</v>
      </c>
      <c r="B44" s="84" t="s">
        <v>120</v>
      </c>
      <c r="C44" s="566">
        <f>-2255946.26+5682.24-633.23+192.54</f>
        <v>-2250704.7099999995</v>
      </c>
      <c r="D44" s="37"/>
      <c r="F44" s="200" t="s">
        <v>43</v>
      </c>
      <c r="G44" s="262">
        <f t="shared" si="4"/>
        <v>44834</v>
      </c>
      <c r="H44" s="620">
        <v>0.16436000000000001</v>
      </c>
      <c r="I44" s="196">
        <f t="shared" si="3"/>
        <v>7368.9162400000005</v>
      </c>
      <c r="J44" s="194"/>
      <c r="K44" s="232">
        <v>3042732</v>
      </c>
      <c r="L44" s="189" t="s">
        <v>102</v>
      </c>
      <c r="M44" s="217">
        <f>M43/K43</f>
        <v>0.16236</v>
      </c>
    </row>
    <row r="45" spans="1:17" ht="16.5" thickBot="1">
      <c r="A45" s="211" t="s">
        <v>168</v>
      </c>
      <c r="B45" s="6" t="s">
        <v>115</v>
      </c>
      <c r="C45" s="122">
        <v>0</v>
      </c>
      <c r="D45" s="39"/>
      <c r="F45" s="199" t="s">
        <v>133</v>
      </c>
      <c r="G45" s="181">
        <f>SUM(G37:G44)</f>
        <v>5416425</v>
      </c>
      <c r="H45" s="182"/>
      <c r="I45" s="197">
        <f>SUM(I37:I44)</f>
        <v>890243.61300000013</v>
      </c>
      <c r="J45" s="85"/>
      <c r="K45" s="231"/>
      <c r="L45" s="187"/>
      <c r="M45" s="555"/>
    </row>
    <row r="46" spans="1:17" ht="19.5" customHeight="1" thickTop="1" thickBot="1">
      <c r="A46" s="144" t="s">
        <v>169</v>
      </c>
      <c r="B46" s="6" t="s">
        <v>115</v>
      </c>
      <c r="C46" s="122">
        <v>0</v>
      </c>
      <c r="D46" s="40"/>
      <c r="F46" s="188"/>
      <c r="G46" s="232">
        <v>5416425</v>
      </c>
      <c r="H46" s="189" t="s">
        <v>102</v>
      </c>
      <c r="I46" s="215">
        <f>I45/G45</f>
        <v>0.16436000000000003</v>
      </c>
      <c r="J46" s="85"/>
      <c r="K46" s="231"/>
      <c r="L46" s="187"/>
      <c r="M46" s="555"/>
    </row>
    <row r="47" spans="1:17" ht="19.5" customHeight="1">
      <c r="A47" s="382" t="s">
        <v>137</v>
      </c>
      <c r="B47" s="6" t="s">
        <v>115</v>
      </c>
      <c r="C47" s="566">
        <v>10392.81</v>
      </c>
      <c r="D47" s="36"/>
      <c r="F47" s="383"/>
      <c r="G47" s="230">
        <f>G45-G46</f>
        <v>0</v>
      </c>
      <c r="H47" s="383"/>
      <c r="I47" s="383"/>
      <c r="J47" s="124"/>
      <c r="K47" s="230">
        <f>K43-K44</f>
        <v>0</v>
      </c>
      <c r="L47" s="383"/>
      <c r="M47" s="124"/>
    </row>
    <row r="48" spans="1:17" ht="16.5" thickBot="1">
      <c r="A48" s="144" t="s">
        <v>304</v>
      </c>
      <c r="B48" s="6" t="s">
        <v>115</v>
      </c>
      <c r="C48" s="566">
        <v>7000</v>
      </c>
      <c r="D48" s="36"/>
      <c r="F48" s="383"/>
      <c r="G48" s="383"/>
      <c r="H48" s="383"/>
      <c r="I48" s="383"/>
      <c r="J48" s="124"/>
      <c r="K48" s="114"/>
      <c r="L48" s="383"/>
      <c r="M48" s="68"/>
    </row>
    <row r="49" spans="1:21" ht="15.75">
      <c r="A49" s="7" t="s">
        <v>130</v>
      </c>
      <c r="B49" s="530" t="s">
        <v>152</v>
      </c>
      <c r="C49" s="566">
        <v>18325.62</v>
      </c>
      <c r="D49" s="36"/>
      <c r="F49" s="383"/>
      <c r="G49" s="114"/>
      <c r="H49" s="129" t="s">
        <v>35</v>
      </c>
      <c r="I49" s="13" t="s">
        <v>35</v>
      </c>
      <c r="J49" s="13" t="s">
        <v>63</v>
      </c>
      <c r="K49" s="127" t="s">
        <v>70</v>
      </c>
      <c r="L49" s="124"/>
      <c r="M49" s="383"/>
    </row>
    <row r="50" spans="1:21" ht="16.5" thickBot="1">
      <c r="A50" s="7" t="s">
        <v>222</v>
      </c>
      <c r="B50" s="530" t="s">
        <v>152</v>
      </c>
      <c r="C50" s="566">
        <v>2439.5100000000002</v>
      </c>
      <c r="D50" s="36"/>
      <c r="F50" s="50" t="s">
        <v>73</v>
      </c>
      <c r="G50" s="383"/>
      <c r="H50" s="130" t="s">
        <v>2</v>
      </c>
      <c r="I50" s="131" t="s">
        <v>3</v>
      </c>
      <c r="J50" s="131" t="s">
        <v>2</v>
      </c>
      <c r="K50" s="128" t="s">
        <v>3</v>
      </c>
      <c r="L50" s="383"/>
      <c r="M50" s="383"/>
    </row>
    <row r="51" spans="1:21" ht="15.75">
      <c r="A51" s="7" t="s">
        <v>308</v>
      </c>
      <c r="B51" s="565" t="s">
        <v>152</v>
      </c>
      <c r="C51" s="566">
        <v>3945.72</v>
      </c>
      <c r="D51" s="36"/>
      <c r="F51" s="383"/>
      <c r="G51" s="383"/>
      <c r="H51" s="151"/>
      <c r="I51" s="152"/>
      <c r="J51" s="152"/>
      <c r="K51" s="152"/>
      <c r="L51" s="126" t="s">
        <v>103</v>
      </c>
      <c r="M51" s="383"/>
    </row>
    <row r="52" spans="1:21" ht="15.75">
      <c r="A52" s="22" t="s">
        <v>118</v>
      </c>
      <c r="B52" s="6"/>
      <c r="C52" s="100">
        <f>-C33</f>
        <v>23511.34</v>
      </c>
      <c r="D52" s="33"/>
      <c r="F52" s="383" t="s">
        <v>136</v>
      </c>
      <c r="G52" s="383"/>
      <c r="H52" s="212">
        <f>K12</f>
        <v>-356371.60015099961</v>
      </c>
      <c r="I52" s="115">
        <f>I14</f>
        <v>1464757.8901079996</v>
      </c>
      <c r="J52" s="115">
        <f>L12</f>
        <v>-200917.33984899981</v>
      </c>
      <c r="K52" s="115">
        <f>J14</f>
        <v>656235.2898919998</v>
      </c>
      <c r="L52" s="132">
        <f>SUM(H52:K52)</f>
        <v>1563704.2399999998</v>
      </c>
      <c r="M52" s="383"/>
    </row>
    <row r="53" spans="1:21" ht="16.5" thickBot="1">
      <c r="A53" s="383" t="s">
        <v>315</v>
      </c>
      <c r="B53" s="605" t="s">
        <v>316</v>
      </c>
      <c r="C53" s="566">
        <v>10996.5</v>
      </c>
      <c r="D53" s="33"/>
      <c r="F53" s="382" t="s">
        <v>109</v>
      </c>
      <c r="H53" s="212">
        <f>-I45</f>
        <v>-890243.61300000013</v>
      </c>
      <c r="I53" s="115">
        <f>-I32</f>
        <v>-562923.87869000004</v>
      </c>
      <c r="J53" s="115">
        <f>-M43</f>
        <v>-494017.96752000001</v>
      </c>
      <c r="K53" s="115">
        <f>-M28</f>
        <v>-319395.57803999999</v>
      </c>
      <c r="L53" s="260">
        <f>SUM(H53:K53)</f>
        <v>-2266581.0372500001</v>
      </c>
    </row>
    <row r="54" spans="1:21" ht="16.5" thickBot="1">
      <c r="A54" s="380" t="s">
        <v>124</v>
      </c>
      <c r="B54" s="471" t="s">
        <v>296</v>
      </c>
      <c r="C54" s="566">
        <f>-405951.75-1563712.89-2083481.58</f>
        <v>-4053146.2199999997</v>
      </c>
      <c r="D54" s="36"/>
      <c r="F54" s="382" t="s">
        <v>86</v>
      </c>
      <c r="H54" s="234">
        <v>0</v>
      </c>
      <c r="I54" s="235">
        <v>0</v>
      </c>
      <c r="J54" s="235">
        <v>0</v>
      </c>
      <c r="K54" s="236">
        <v>0</v>
      </c>
      <c r="L54" s="214">
        <f>SUM(L52:L53)</f>
        <v>-702876.79725000029</v>
      </c>
    </row>
    <row r="55" spans="1:21" ht="16.5" thickBot="1">
      <c r="A55" s="382" t="s">
        <v>312</v>
      </c>
      <c r="B55" s="6" t="s">
        <v>190</v>
      </c>
      <c r="C55" s="566">
        <v>-375000</v>
      </c>
      <c r="D55" s="36"/>
      <c r="F55" s="382" t="s">
        <v>71</v>
      </c>
      <c r="H55" s="125">
        <f>IFERROR(H52+H53+H54,0)</f>
        <v>-1246615.2131509997</v>
      </c>
      <c r="I55" s="125">
        <f>I52+I53+I54</f>
        <v>901834.01141799951</v>
      </c>
      <c r="J55" s="125">
        <f>IFERROR(J52+J53+J54,0)</f>
        <v>-694935.30736899981</v>
      </c>
      <c r="K55" s="125">
        <f>K52+K53+K54</f>
        <v>336839.7118519998</v>
      </c>
      <c r="L55" s="47">
        <f>SUM(H55:K55)</f>
        <v>-702876.79725000029</v>
      </c>
    </row>
    <row r="56" spans="1:21" ht="16.5" thickBot="1">
      <c r="A56" s="82" t="s">
        <v>119</v>
      </c>
      <c r="B56" s="84"/>
      <c r="C56" s="160">
        <f>SUM(C43:C55)</f>
        <v>-537771.16999999946</v>
      </c>
      <c r="D56" s="36"/>
      <c r="F56" s="239" t="s">
        <v>181</v>
      </c>
      <c r="H56" s="382" t="s">
        <v>173</v>
      </c>
      <c r="I56" s="5">
        <f>SUM(H55:I55)</f>
        <v>-344781.20173300023</v>
      </c>
      <c r="J56" s="15" t="s">
        <v>174</v>
      </c>
      <c r="K56" s="382">
        <f>SUM(J55:K55)</f>
        <v>-358095.59551700001</v>
      </c>
      <c r="L56" s="213">
        <f>ROUND(L54-L55,3)</f>
        <v>0</v>
      </c>
      <c r="T56" s="42"/>
    </row>
    <row r="57" spans="1:21" ht="16.5" thickTop="1">
      <c r="A57" s="382" t="s">
        <v>121</v>
      </c>
      <c r="B57" s="6" t="s">
        <v>115</v>
      </c>
      <c r="C57" s="566">
        <v>-12036.72</v>
      </c>
      <c r="D57" s="36"/>
      <c r="F57" s="395" t="s">
        <v>181</v>
      </c>
      <c r="H57" s="96"/>
    </row>
    <row r="58" spans="1:21" ht="16.5" thickBot="1">
      <c r="A58" s="382" t="s">
        <v>122</v>
      </c>
      <c r="B58" s="6" t="s">
        <v>115</v>
      </c>
      <c r="C58" s="566">
        <v>-7481.05</v>
      </c>
      <c r="D58" s="36"/>
      <c r="F58" s="395" t="s">
        <v>182</v>
      </c>
      <c r="H58" s="157"/>
      <c r="I58" s="120"/>
      <c r="J58" s="120"/>
      <c r="K58" s="204"/>
      <c r="L58" s="120"/>
    </row>
    <row r="59" spans="1:21" ht="16.5" thickBot="1">
      <c r="A59" s="2" t="s">
        <v>125</v>
      </c>
      <c r="B59" s="2"/>
      <c r="C59" s="160">
        <f>SUM(C56:C58)</f>
        <v>-557288.93999999948</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1563704.2399999998</v>
      </c>
      <c r="D61" s="36"/>
      <c r="H61" s="347" t="e">
        <f>SUM('WA - Def-Amtz (current)'!AS5:AS41)+SUM(#REF!)+SUM(#REF!)</f>
        <v>#REF!</v>
      </c>
      <c r="I61" s="447" t="e">
        <f>SUM('WA - Def-Amtz (current)'!AT5:AT40)+SUM(#REF!)+SUM(#REF!)</f>
        <v>#REF!</v>
      </c>
    </row>
    <row r="62" spans="1:21" ht="15.75">
      <c r="A62" s="2"/>
      <c r="B62" s="9" t="s">
        <v>160</v>
      </c>
      <c r="C62" s="348">
        <v>1563704.24</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25" priority="7" stopIfTrue="1" operator="equal">
      <formula>0</formula>
    </cfRule>
    <cfRule type="cellIs" dxfId="224" priority="8" stopIfTrue="1" operator="notEqual">
      <formula>0</formula>
    </cfRule>
  </conditionalFormatting>
  <conditionalFormatting sqref="G34 G47 K30 K47">
    <cfRule type="cellIs" dxfId="223" priority="6" operator="notEqual">
      <formula>0</formula>
    </cfRule>
  </conditionalFormatting>
  <conditionalFormatting sqref="C63">
    <cfRule type="cellIs" dxfId="222" priority="4" stopIfTrue="1" operator="equal">
      <formula>0</formula>
    </cfRule>
    <cfRule type="cellIs" dxfId="221" priority="5" stopIfTrue="1" operator="notEqual">
      <formula>0</formula>
    </cfRule>
  </conditionalFormatting>
  <conditionalFormatting sqref="K30">
    <cfRule type="cellIs" dxfId="220" priority="3" operator="notEqual">
      <formula>0</formula>
    </cfRule>
  </conditionalFormatting>
  <conditionalFormatting sqref="G59">
    <cfRule type="cellIs" dxfId="219" priority="2" operator="equal">
      <formula>"ERROR"</formula>
    </cfRule>
  </conditionalFormatting>
  <conditionalFormatting sqref="G59">
    <cfRule type="cellIs" dxfId="218"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5">
    <tabColor rgb="FF00CC66"/>
    <pageSetUpPr fitToPage="1"/>
  </sheetPr>
  <dimension ref="A1:U1485"/>
  <sheetViews>
    <sheetView showGridLines="0" topLeftCell="A31" zoomScale="70" zoomScaleNormal="70" workbookViewId="0">
      <selection activeCell="F52" sqref="F52:H5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Sep!C1+1</f>
        <v>201810</v>
      </c>
      <c r="F1" s="527">
        <f>C1</f>
        <v>201810</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v>3631690.92</v>
      </c>
      <c r="D4" s="34"/>
      <c r="F4" s="383"/>
      <c r="G4" s="383"/>
      <c r="H4" s="11"/>
      <c r="I4" s="383"/>
      <c r="J4" s="383"/>
      <c r="L4" s="383"/>
      <c r="M4" s="383"/>
    </row>
    <row r="5" spans="1:13" ht="14.25" customHeight="1">
      <c r="A5" s="383" t="s">
        <v>31</v>
      </c>
      <c r="C5" s="566">
        <f>12933.68</f>
        <v>12933.68</v>
      </c>
      <c r="D5" s="34"/>
      <c r="F5" s="383"/>
      <c r="G5" s="383"/>
      <c r="H5" s="11"/>
      <c r="I5" s="589">
        <v>0.69059999999999999</v>
      </c>
      <c r="J5" s="589">
        <v>0.30940000000000001</v>
      </c>
      <c r="K5" s="443">
        <f>ROUND(G45/(G45+K43),4)</f>
        <v>0.65910000000000002</v>
      </c>
      <c r="L5" s="443">
        <f>1-K5</f>
        <v>0.34089999999999998</v>
      </c>
      <c r="M5" s="383"/>
    </row>
    <row r="6" spans="1:13" ht="16.5" thickBot="1">
      <c r="A6" s="49" t="s">
        <v>30</v>
      </c>
      <c r="C6" s="567">
        <f>-1484819.23-423508.04-121002.3-136127.59-78046.48-97479.45</f>
        <v>-2340983.0900000003</v>
      </c>
      <c r="D6" s="34"/>
      <c r="F6" s="383"/>
      <c r="G6" s="383"/>
      <c r="H6" s="383"/>
      <c r="I6" s="383"/>
      <c r="J6" s="383"/>
      <c r="K6" s="383"/>
      <c r="L6" s="383"/>
      <c r="M6" s="383"/>
    </row>
    <row r="7" spans="1:13" ht="16.5" thickBot="1">
      <c r="A7" s="66" t="s">
        <v>140</v>
      </c>
      <c r="C7" s="100">
        <f>SUM(C4:C6)</f>
        <v>1303641.5099999998</v>
      </c>
      <c r="D7" s="35"/>
      <c r="F7" s="166" t="s">
        <v>139</v>
      </c>
      <c r="G7" s="166"/>
      <c r="H7" s="125">
        <f>C34</f>
        <v>2109498.3199999994</v>
      </c>
      <c r="I7" s="167">
        <f>H7*I5</f>
        <v>1456819.5397919996</v>
      </c>
      <c r="J7" s="167">
        <f>H7*J5</f>
        <v>652678.78020799987</v>
      </c>
      <c r="K7" s="167"/>
      <c r="L7" s="167"/>
      <c r="M7" s="383"/>
    </row>
    <row r="8" spans="1:13" ht="15.75">
      <c r="A8" s="382" t="s">
        <v>89</v>
      </c>
      <c r="C8" s="566">
        <f>252729.32-82000</f>
        <v>170729.32</v>
      </c>
      <c r="D8" s="35"/>
      <c r="F8" s="383"/>
      <c r="G8" s="383"/>
      <c r="H8" s="168"/>
      <c r="I8" s="168"/>
      <c r="J8" s="168"/>
      <c r="K8" s="168"/>
      <c r="L8" s="168"/>
      <c r="M8" s="383"/>
    </row>
    <row r="9" spans="1:13" ht="15.75">
      <c r="A9" s="383" t="s">
        <v>90</v>
      </c>
      <c r="C9" s="566">
        <f>8220.88</f>
        <v>8220.8799999999992</v>
      </c>
      <c r="D9" s="36"/>
      <c r="F9" s="166" t="s">
        <v>119</v>
      </c>
      <c r="G9" s="383"/>
      <c r="H9" s="167">
        <f>C56</f>
        <v>-2638001.0899999989</v>
      </c>
      <c r="I9" s="167"/>
      <c r="J9" s="167"/>
      <c r="K9" s="167">
        <f>H9*K5</f>
        <v>-1738706.5184189994</v>
      </c>
      <c r="L9" s="167">
        <f>H9*L5</f>
        <v>-899294.57158099953</v>
      </c>
      <c r="M9" s="383"/>
    </row>
    <row r="10" spans="1:13" ht="15.75">
      <c r="A10" s="49" t="s">
        <v>91</v>
      </c>
      <c r="C10" s="567">
        <v>-3418.47</v>
      </c>
      <c r="D10" s="36"/>
      <c r="F10" s="169" t="s">
        <v>44</v>
      </c>
      <c r="G10" s="383"/>
      <c r="H10" s="167">
        <f>C57</f>
        <v>-37959.24</v>
      </c>
      <c r="I10" s="167"/>
      <c r="J10" s="167"/>
      <c r="K10" s="167">
        <f>H10</f>
        <v>-37959.24</v>
      </c>
      <c r="L10" s="167"/>
      <c r="M10" s="383"/>
    </row>
    <row r="11" spans="1:13">
      <c r="A11" s="66" t="s">
        <v>145</v>
      </c>
      <c r="C11" s="100">
        <f>SUM(C8:C10)</f>
        <v>175531.73</v>
      </c>
      <c r="D11" s="36"/>
      <c r="F11" s="169" t="s">
        <v>45</v>
      </c>
      <c r="G11" s="383"/>
      <c r="H11" s="170">
        <f>C58</f>
        <v>-18657.77</v>
      </c>
      <c r="I11" s="167"/>
      <c r="J11" s="167"/>
      <c r="K11" s="170"/>
      <c r="L11" s="170">
        <f>H11</f>
        <v>-18657.77</v>
      </c>
      <c r="M11" s="383"/>
    </row>
    <row r="12" spans="1:13" ht="15.75">
      <c r="A12" s="382" t="s">
        <v>165</v>
      </c>
      <c r="C12" s="566">
        <f>187579.37-2865.91</f>
        <v>184713.46</v>
      </c>
      <c r="D12" s="36"/>
      <c r="F12" s="169" t="s">
        <v>138</v>
      </c>
      <c r="G12" s="383"/>
      <c r="H12" s="167">
        <f>H9+H10+H11</f>
        <v>-2694618.0999999992</v>
      </c>
      <c r="I12" s="167"/>
      <c r="J12" s="167"/>
      <c r="K12" s="167">
        <f>SUM(K9:K11)</f>
        <v>-1776665.7584189994</v>
      </c>
      <c r="L12" s="167">
        <f>SUM(L9:L11)</f>
        <v>-917952.34158099955</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184713.46</v>
      </c>
      <c r="D14" s="37"/>
      <c r="F14" s="50" t="s">
        <v>69</v>
      </c>
      <c r="G14" s="175"/>
      <c r="H14" s="125">
        <f>H12+H7</f>
        <v>-585119.7799999998</v>
      </c>
      <c r="I14" s="176">
        <f>SUM(I7:I13)</f>
        <v>1456819.5397919996</v>
      </c>
      <c r="J14" s="176">
        <f>SUM(J7:J13)</f>
        <v>652678.78020799987</v>
      </c>
      <c r="K14" s="176">
        <f>K12</f>
        <v>-1776665.7584189994</v>
      </c>
      <c r="L14" s="176">
        <f>L12</f>
        <v>-917952.34158099955</v>
      </c>
      <c r="M14" s="383"/>
    </row>
    <row r="15" spans="1:13" ht="15.75">
      <c r="A15" s="382" t="s">
        <v>183</v>
      </c>
      <c r="C15" s="566">
        <f>392080.56-5990.37</f>
        <v>386090.19</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386090.19</v>
      </c>
      <c r="D17" s="37"/>
      <c r="F17" s="171"/>
      <c r="G17" s="172"/>
      <c r="H17" s="179"/>
      <c r="I17" s="180"/>
      <c r="J17" s="183"/>
      <c r="K17" s="383"/>
      <c r="L17" s="179"/>
      <c r="M17" s="383"/>
    </row>
    <row r="18" spans="1:13" ht="16.5" thickBot="1">
      <c r="A18" s="382" t="s">
        <v>163</v>
      </c>
      <c r="C18" s="566">
        <f>9876.1+79974.45-1383.3</f>
        <v>88467.25</v>
      </c>
      <c r="D18" s="36"/>
      <c r="F18" s="691" t="s">
        <v>134</v>
      </c>
      <c r="G18" s="692"/>
      <c r="H18" s="692"/>
      <c r="I18" s="693"/>
      <c r="J18" s="691" t="s">
        <v>135</v>
      </c>
      <c r="K18" s="692"/>
      <c r="L18" s="692"/>
      <c r="M18" s="693"/>
    </row>
    <row r="19" spans="1:13" ht="15.75">
      <c r="A19" s="46" t="s">
        <v>164</v>
      </c>
      <c r="C19" s="567">
        <v>-1385.16</v>
      </c>
      <c r="D19" s="36"/>
      <c r="F19" s="201" t="s">
        <v>108</v>
      </c>
      <c r="G19" s="164" t="s">
        <v>33</v>
      </c>
      <c r="H19" s="164" t="s">
        <v>33</v>
      </c>
      <c r="I19" s="164" t="s">
        <v>33</v>
      </c>
      <c r="J19" s="201" t="s">
        <v>108</v>
      </c>
      <c r="K19" s="164" t="s">
        <v>33</v>
      </c>
      <c r="L19" s="164" t="s">
        <v>33</v>
      </c>
      <c r="M19" s="185" t="s">
        <v>33</v>
      </c>
    </row>
    <row r="20" spans="1:13" ht="16.5" thickBot="1">
      <c r="A20" s="67" t="s">
        <v>93</v>
      </c>
      <c r="C20" s="100">
        <f>SUM(C18:C19)</f>
        <v>87082.09</v>
      </c>
      <c r="D20" s="36"/>
      <c r="F20" s="195" t="s">
        <v>162</v>
      </c>
      <c r="G20" s="165" t="s">
        <v>101</v>
      </c>
      <c r="H20" s="165" t="s">
        <v>36</v>
      </c>
      <c r="I20" s="165" t="s">
        <v>34</v>
      </c>
      <c r="J20" s="195" t="s">
        <v>162</v>
      </c>
      <c r="K20" s="165" t="s">
        <v>101</v>
      </c>
      <c r="L20" s="165" t="s">
        <v>36</v>
      </c>
      <c r="M20" s="165" t="s">
        <v>34</v>
      </c>
    </row>
    <row r="21" spans="1:13" ht="15.75">
      <c r="A21" s="46" t="s">
        <v>149</v>
      </c>
      <c r="C21" s="567">
        <f>1850-1379.66</f>
        <v>470.33999999999992</v>
      </c>
      <c r="D21" s="36"/>
      <c r="F21" s="184"/>
      <c r="G21" s="12"/>
      <c r="H21" s="12"/>
      <c r="I21" s="185"/>
      <c r="J21" s="129"/>
      <c r="K21" s="13"/>
      <c r="L21" s="13"/>
      <c r="M21" s="205"/>
    </row>
    <row r="22" spans="1:13" ht="18" customHeight="1">
      <c r="A22" s="65" t="s">
        <v>149</v>
      </c>
      <c r="C22" s="100">
        <f>SUM(C21)</f>
        <v>470.33999999999992</v>
      </c>
      <c r="D22" s="36"/>
      <c r="F22" s="199" t="s">
        <v>126</v>
      </c>
      <c r="G22" s="7"/>
      <c r="H22" s="7"/>
      <c r="I22" s="98"/>
      <c r="J22" s="199" t="s">
        <v>126</v>
      </c>
      <c r="K22" s="7"/>
      <c r="L22" s="7"/>
      <c r="M22" s="98"/>
    </row>
    <row r="23" spans="1:13" ht="15.75">
      <c r="A23" s="208" t="s">
        <v>180</v>
      </c>
      <c r="C23" s="100">
        <v>0</v>
      </c>
      <c r="D23" s="36"/>
      <c r="F23" s="200" t="s">
        <v>37</v>
      </c>
      <c r="G23" s="561">
        <v>8390464</v>
      </c>
      <c r="H23" s="592">
        <v>0.10743999999999999</v>
      </c>
      <c r="I23" s="196">
        <f t="shared" ref="I23:I31" si="0">G23*H23</f>
        <v>901471.45215999999</v>
      </c>
      <c r="J23" s="200" t="s">
        <v>37</v>
      </c>
      <c r="K23" s="561">
        <v>4564842</v>
      </c>
      <c r="L23" s="592">
        <v>0.10496999999999999</v>
      </c>
      <c r="M23" s="196">
        <f>K23*L23</f>
        <v>479171.46473999997</v>
      </c>
    </row>
    <row r="24" spans="1:13" ht="15.75">
      <c r="A24" s="208" t="s">
        <v>186</v>
      </c>
      <c r="C24" s="311">
        <v>0</v>
      </c>
      <c r="D24" s="36"/>
      <c r="F24" s="200" t="s">
        <v>305</v>
      </c>
      <c r="G24" s="561">
        <v>10239</v>
      </c>
      <c r="H24" s="592">
        <v>0.10743999999999999</v>
      </c>
      <c r="I24" s="196">
        <f t="shared" si="0"/>
        <v>1100.07816</v>
      </c>
      <c r="J24" s="200" t="s">
        <v>38</v>
      </c>
      <c r="K24" s="561">
        <v>1867863</v>
      </c>
      <c r="L24" s="592">
        <v>0.10496999999999999</v>
      </c>
      <c r="M24" s="196">
        <f t="shared" ref="M24:M27" si="1">K24*L24</f>
        <v>196069.57910999999</v>
      </c>
    </row>
    <row r="25" spans="1:13" ht="15.75">
      <c r="A25" s="208" t="s">
        <v>189</v>
      </c>
      <c r="C25" s="312">
        <v>0</v>
      </c>
      <c r="D25" s="36"/>
      <c r="F25" s="200" t="s">
        <v>38</v>
      </c>
      <c r="G25" s="561">
        <v>3674467</v>
      </c>
      <c r="H25" s="592">
        <v>9.8650000000000002E-2</v>
      </c>
      <c r="I25" s="196">
        <f t="shared" si="0"/>
        <v>362486.16954999999</v>
      </c>
      <c r="J25" s="200" t="s">
        <v>39</v>
      </c>
      <c r="K25" s="561">
        <v>76893</v>
      </c>
      <c r="L25" s="592">
        <v>0.10496999999999999</v>
      </c>
      <c r="M25" s="196">
        <f t="shared" si="1"/>
        <v>8071.4582099999998</v>
      </c>
    </row>
    <row r="26" spans="1:13" ht="15.75">
      <c r="A26" s="209" t="s">
        <v>188</v>
      </c>
      <c r="C26" s="313">
        <v>0</v>
      </c>
      <c r="D26" s="36"/>
      <c r="F26" s="200" t="s">
        <v>39</v>
      </c>
      <c r="G26" s="561">
        <v>13790</v>
      </c>
      <c r="H26" s="592">
        <v>9.8650000000000002E-2</v>
      </c>
      <c r="I26" s="196">
        <f t="shared" si="0"/>
        <v>1360.3834999999999</v>
      </c>
      <c r="J26" s="200" t="s">
        <v>40</v>
      </c>
      <c r="K26" s="561">
        <v>0</v>
      </c>
      <c r="L26" s="592">
        <v>0.10496999999999999</v>
      </c>
      <c r="M26" s="196">
        <f t="shared" si="1"/>
        <v>0</v>
      </c>
    </row>
    <row r="27" spans="1:13" ht="15.75">
      <c r="A27" s="65" t="s">
        <v>96</v>
      </c>
      <c r="C27" s="100">
        <f>SUM(C23:C26)</f>
        <v>0</v>
      </c>
      <c r="D27" s="36"/>
      <c r="F27" s="200" t="s">
        <v>40</v>
      </c>
      <c r="G27" s="561">
        <v>398880</v>
      </c>
      <c r="H27" s="592">
        <v>0.10433000000000001</v>
      </c>
      <c r="I27" s="196">
        <f t="shared" si="0"/>
        <v>41615.150400000006</v>
      </c>
      <c r="J27" s="200" t="s">
        <v>41</v>
      </c>
      <c r="K27" s="561">
        <v>0</v>
      </c>
      <c r="L27" s="592">
        <v>0.10496999999999999</v>
      </c>
      <c r="M27" s="196">
        <f t="shared" si="1"/>
        <v>0</v>
      </c>
    </row>
    <row r="28" spans="1:13" ht="16.5" thickBot="1">
      <c r="A28" s="210" t="s">
        <v>150</v>
      </c>
      <c r="C28" s="311">
        <v>0</v>
      </c>
      <c r="D28" s="37"/>
      <c r="F28" s="200" t="s">
        <v>41</v>
      </c>
      <c r="G28" s="561">
        <v>30694</v>
      </c>
      <c r="H28" s="592">
        <v>0.10433000000000001</v>
      </c>
      <c r="I28" s="196">
        <f t="shared" si="0"/>
        <v>3202.3050200000002</v>
      </c>
      <c r="J28" s="199" t="s">
        <v>127</v>
      </c>
      <c r="K28" s="181">
        <f>SUM(K23:K27)</f>
        <v>6509598</v>
      </c>
      <c r="L28" s="182"/>
      <c r="M28" s="197">
        <f>SUM(M23:M27)</f>
        <v>683312.50205999997</v>
      </c>
    </row>
    <row r="29" spans="1:13" ht="17.25" thickTop="1" thickBot="1">
      <c r="A29" s="210" t="s">
        <v>167</v>
      </c>
      <c r="B29" s="383"/>
      <c r="C29" s="311">
        <v>0</v>
      </c>
      <c r="D29" s="36"/>
      <c r="F29" s="200" t="s">
        <v>42</v>
      </c>
      <c r="G29" s="561">
        <v>0</v>
      </c>
      <c r="H29" s="592">
        <v>6.2480000000000001E-2</v>
      </c>
      <c r="I29" s="196">
        <f t="shared" si="0"/>
        <v>0</v>
      </c>
      <c r="J29" s="199"/>
      <c r="K29" s="231">
        <v>6509598</v>
      </c>
      <c r="L29" s="187" t="s">
        <v>102</v>
      </c>
      <c r="M29" s="463">
        <f>M28/K28</f>
        <v>0.10496999999999999</v>
      </c>
    </row>
    <row r="30" spans="1:13" ht="16.5" thickBot="1">
      <c r="A30" s="2" t="s">
        <v>111</v>
      </c>
      <c r="C30" s="125">
        <f>C7+C11+C14+C17+C20+C22+C27+C28+C29</f>
        <v>2137529.3199999994</v>
      </c>
      <c r="D30" s="37"/>
      <c r="F30" s="200" t="s">
        <v>43</v>
      </c>
      <c r="G30" s="561">
        <v>68694</v>
      </c>
      <c r="H30" s="592">
        <v>6.2480000000000001E-2</v>
      </c>
      <c r="I30" s="196">
        <f t="shared" si="0"/>
        <v>4292.0011199999999</v>
      </c>
      <c r="J30" s="200"/>
      <c r="K30" s="230">
        <f>K28-K29</f>
        <v>0</v>
      </c>
      <c r="L30" s="182"/>
      <c r="M30" s="198"/>
    </row>
    <row r="31" spans="1:13" ht="15.75">
      <c r="A31" s="382" t="s">
        <v>112</v>
      </c>
      <c r="C31" s="566">
        <v>-8261.6</v>
      </c>
      <c r="D31" s="39"/>
      <c r="F31" s="200" t="s">
        <v>74</v>
      </c>
      <c r="G31" s="561">
        <v>3098253</v>
      </c>
      <c r="H31" s="592">
        <v>5.4000000000000001E-4</v>
      </c>
      <c r="I31" s="196">
        <f t="shared" si="0"/>
        <v>1673.0566200000001</v>
      </c>
      <c r="J31" s="153"/>
      <c r="K31" s="7"/>
      <c r="L31" s="182"/>
      <c r="M31" s="198"/>
    </row>
    <row r="32" spans="1:13" ht="16.5" thickBot="1">
      <c r="A32" s="2" t="s">
        <v>116</v>
      </c>
      <c r="B32" s="2" t="s">
        <v>117</v>
      </c>
      <c r="C32" s="564">
        <f>C30+C31</f>
        <v>2129267.7199999993</v>
      </c>
      <c r="D32" s="40"/>
      <c r="F32" s="199" t="s">
        <v>127</v>
      </c>
      <c r="G32" s="181">
        <f>SUM(G23:G31)</f>
        <v>15685481</v>
      </c>
      <c r="H32" s="7"/>
      <c r="I32" s="197">
        <f>SUM(I23:I31)</f>
        <v>1317200.59653</v>
      </c>
      <c r="J32" s="192"/>
      <c r="K32" s="193"/>
      <c r="L32" s="7"/>
      <c r="M32" s="190"/>
    </row>
    <row r="33" spans="1:17" ht="17.25" thickTop="1" thickBot="1">
      <c r="A33" s="382" t="s">
        <v>113</v>
      </c>
      <c r="C33" s="310">
        <f>-C5-C9-C13-C16-C19</f>
        <v>-19769.399999999998</v>
      </c>
      <c r="D33" s="36"/>
      <c r="F33" s="186"/>
      <c r="G33" s="231">
        <v>15685481</v>
      </c>
      <c r="H33" s="187" t="s">
        <v>102</v>
      </c>
      <c r="I33" s="216">
        <f>I32/G32</f>
        <v>8.397578604889451E-2</v>
      </c>
      <c r="J33" s="192"/>
      <c r="K33" s="193"/>
      <c r="L33" s="7"/>
      <c r="M33" s="98"/>
    </row>
    <row r="34" spans="1:17" ht="16.5" thickBot="1">
      <c r="A34" s="2" t="s">
        <v>114</v>
      </c>
      <c r="C34" s="125">
        <f>SUM(C32:C33)</f>
        <v>2109498.3199999994</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262">
        <f>K23</f>
        <v>4564842</v>
      </c>
      <c r="L36" s="592">
        <v>0.16236</v>
      </c>
      <c r="M36" s="196">
        <f t="shared" ref="M36:M42" si="2">K36*L36</f>
        <v>741147.74712000007</v>
      </c>
      <c r="P36" s="272"/>
      <c r="Q36" s="272"/>
    </row>
    <row r="37" spans="1:17" ht="15.75">
      <c r="A37" s="7" t="s">
        <v>129</v>
      </c>
      <c r="B37" s="530" t="s">
        <v>115</v>
      </c>
      <c r="C37" s="566">
        <v>5908984.1600000001</v>
      </c>
      <c r="D37" s="36"/>
      <c r="F37" s="200" t="s">
        <v>37</v>
      </c>
      <c r="G37" s="262">
        <f>G23</f>
        <v>8390464</v>
      </c>
      <c r="H37" s="592">
        <v>0.16436000000000001</v>
      </c>
      <c r="I37" s="196">
        <f>G37*H37</f>
        <v>1379056.66304</v>
      </c>
      <c r="J37" s="200" t="s">
        <v>38</v>
      </c>
      <c r="K37" s="262">
        <f>K24</f>
        <v>1867863</v>
      </c>
      <c r="L37" s="592">
        <v>0.16236</v>
      </c>
      <c r="M37" s="196">
        <f t="shared" si="2"/>
        <v>303266.23668000003</v>
      </c>
      <c r="P37" s="272"/>
      <c r="Q37" s="272"/>
    </row>
    <row r="38" spans="1:17" ht="15.75">
      <c r="A38" s="144" t="s">
        <v>14</v>
      </c>
      <c r="B38" s="530" t="s">
        <v>115</v>
      </c>
      <c r="C38" s="122">
        <v>0</v>
      </c>
      <c r="D38" s="36"/>
      <c r="F38" s="200" t="s">
        <v>305</v>
      </c>
      <c r="G38" s="262">
        <f>G24</f>
        <v>10239</v>
      </c>
      <c r="H38" s="592">
        <v>0.16436000000000001</v>
      </c>
      <c r="I38" s="196">
        <f t="shared" ref="I38:I44" si="3">G38*H38</f>
        <v>1682.88204</v>
      </c>
      <c r="J38" s="200" t="s">
        <v>39</v>
      </c>
      <c r="K38" s="262">
        <f>K25</f>
        <v>76893</v>
      </c>
      <c r="L38" s="592">
        <v>0.16236</v>
      </c>
      <c r="M38" s="196">
        <f t="shared" si="2"/>
        <v>12484.34748</v>
      </c>
      <c r="P38" s="272"/>
      <c r="Q38" s="272"/>
    </row>
    <row r="39" spans="1:17" ht="15.75">
      <c r="A39" s="7" t="s">
        <v>146</v>
      </c>
      <c r="B39" s="530" t="s">
        <v>147</v>
      </c>
      <c r="C39" s="566">
        <v>-100642.78</v>
      </c>
      <c r="D39" s="36"/>
      <c r="F39" s="200" t="s">
        <v>38</v>
      </c>
      <c r="G39" s="262">
        <f t="shared" ref="G39:G44" si="4">G25</f>
        <v>3674467</v>
      </c>
      <c r="H39" s="592">
        <v>0.16436000000000001</v>
      </c>
      <c r="I39" s="196">
        <f t="shared" si="3"/>
        <v>603935.39612000005</v>
      </c>
      <c r="J39" s="200" t="s">
        <v>40</v>
      </c>
      <c r="K39" s="262">
        <f>K26</f>
        <v>0</v>
      </c>
      <c r="L39" s="592">
        <v>0.16236</v>
      </c>
      <c r="M39" s="196">
        <f t="shared" si="2"/>
        <v>0</v>
      </c>
      <c r="P39" s="272"/>
      <c r="Q39" s="272"/>
    </row>
    <row r="40" spans="1:17" ht="15.75">
      <c r="A40" s="7" t="s">
        <v>131</v>
      </c>
      <c r="B40" s="530" t="s">
        <v>132</v>
      </c>
      <c r="C40" s="566">
        <v>360962.32</v>
      </c>
      <c r="D40" s="36"/>
      <c r="F40" s="200" t="s">
        <v>39</v>
      </c>
      <c r="G40" s="262">
        <f t="shared" si="4"/>
        <v>13790</v>
      </c>
      <c r="H40" s="592">
        <v>0.16436000000000001</v>
      </c>
      <c r="I40" s="196">
        <f t="shared" si="3"/>
        <v>2266.5244000000002</v>
      </c>
      <c r="J40" s="200" t="s">
        <v>41</v>
      </c>
      <c r="K40" s="262">
        <f>K27</f>
        <v>0</v>
      </c>
      <c r="L40" s="592">
        <v>0.16236</v>
      </c>
      <c r="M40" s="196">
        <f t="shared" si="2"/>
        <v>0</v>
      </c>
      <c r="P40" s="272"/>
      <c r="Q40" s="272"/>
    </row>
    <row r="41" spans="1:17" ht="15.75">
      <c r="A41" s="7" t="s">
        <v>153</v>
      </c>
      <c r="B41" s="6" t="s">
        <v>155</v>
      </c>
      <c r="C41" s="566">
        <v>72158.78</v>
      </c>
      <c r="D41" s="36"/>
      <c r="F41" s="200" t="s">
        <v>40</v>
      </c>
      <c r="G41" s="262">
        <f t="shared" si="4"/>
        <v>398880</v>
      </c>
      <c r="H41" s="592">
        <v>0.16436000000000001</v>
      </c>
      <c r="I41" s="196">
        <f t="shared" si="3"/>
        <v>65559.916800000006</v>
      </c>
      <c r="J41" s="200" t="s">
        <v>42</v>
      </c>
      <c r="K41" s="261">
        <v>0</v>
      </c>
      <c r="L41" s="592">
        <v>0.16236</v>
      </c>
      <c r="M41" s="196">
        <f t="shared" si="2"/>
        <v>0</v>
      </c>
      <c r="P41" s="272"/>
      <c r="Q41" s="272"/>
    </row>
    <row r="42" spans="1:17" ht="16.5" thickBot="1">
      <c r="A42" s="7" t="s">
        <v>178</v>
      </c>
      <c r="B42" s="530" t="s">
        <v>179</v>
      </c>
      <c r="C42" s="566">
        <v>763851.44</v>
      </c>
      <c r="D42" s="37"/>
      <c r="F42" s="200" t="s">
        <v>41</v>
      </c>
      <c r="G42" s="262">
        <f t="shared" si="4"/>
        <v>30694</v>
      </c>
      <c r="H42" s="592">
        <v>0.16436000000000001</v>
      </c>
      <c r="I42" s="196">
        <f t="shared" si="3"/>
        <v>5044.8658400000004</v>
      </c>
      <c r="J42" s="200" t="s">
        <v>43</v>
      </c>
      <c r="K42" s="263">
        <v>0</v>
      </c>
      <c r="L42" s="592">
        <v>0.16236</v>
      </c>
      <c r="M42" s="196">
        <f t="shared" si="2"/>
        <v>0</v>
      </c>
      <c r="P42" s="272"/>
      <c r="Q42" s="272"/>
    </row>
    <row r="43" spans="1:17" ht="16.5" thickBot="1">
      <c r="A43" s="85" t="s">
        <v>123</v>
      </c>
      <c r="B43" s="12"/>
      <c r="C43" s="125">
        <f>SUM(C37:C42)</f>
        <v>7005313.9199999999</v>
      </c>
      <c r="D43" s="36"/>
      <c r="F43" s="200" t="s">
        <v>42</v>
      </c>
      <c r="G43" s="262">
        <f t="shared" si="4"/>
        <v>0</v>
      </c>
      <c r="H43" s="592">
        <v>0.16436000000000001</v>
      </c>
      <c r="I43" s="196">
        <f t="shared" si="3"/>
        <v>0</v>
      </c>
      <c r="J43" s="199" t="s">
        <v>133</v>
      </c>
      <c r="K43" s="181">
        <f>SUM(K36:K42)</f>
        <v>6509598</v>
      </c>
      <c r="L43" s="182"/>
      <c r="M43" s="197">
        <f>SUM(M36:M42)</f>
        <v>1056898.33128</v>
      </c>
    </row>
    <row r="44" spans="1:17" ht="16.5" thickBot="1">
      <c r="A44" s="83" t="s">
        <v>177</v>
      </c>
      <c r="B44" s="84" t="s">
        <v>120</v>
      </c>
      <c r="C44" s="566">
        <f>364133.37-62090.72</f>
        <v>302042.65000000002</v>
      </c>
      <c r="D44" s="37"/>
      <c r="F44" s="200" t="s">
        <v>43</v>
      </c>
      <c r="G44" s="262">
        <f t="shared" si="4"/>
        <v>68694</v>
      </c>
      <c r="H44" s="592">
        <v>0.16436000000000001</v>
      </c>
      <c r="I44" s="196">
        <f t="shared" si="3"/>
        <v>11290.545840000001</v>
      </c>
      <c r="J44" s="194"/>
      <c r="K44" s="232">
        <v>6509598</v>
      </c>
      <c r="L44" s="189" t="s">
        <v>102</v>
      </c>
      <c r="M44" s="217">
        <f>M43/K43</f>
        <v>0.16236</v>
      </c>
    </row>
    <row r="45" spans="1:17" ht="16.5" thickBot="1">
      <c r="A45" s="211" t="s">
        <v>168</v>
      </c>
      <c r="B45" s="6" t="s">
        <v>115</v>
      </c>
      <c r="C45" s="122">
        <v>0</v>
      </c>
      <c r="D45" s="39"/>
      <c r="F45" s="199" t="s">
        <v>133</v>
      </c>
      <c r="G45" s="181">
        <f>SUM(G37:G44)</f>
        <v>12587228</v>
      </c>
      <c r="H45" s="182"/>
      <c r="I45" s="197">
        <f>SUM(I37:I44)</f>
        <v>2068836.7940800004</v>
      </c>
      <c r="J45" s="124"/>
      <c r="K45" s="230">
        <f>K43-K44</f>
        <v>0</v>
      </c>
      <c r="L45" s="383"/>
      <c r="M45" s="124"/>
    </row>
    <row r="46" spans="1:17" ht="19.5" customHeight="1" thickTop="1" thickBot="1">
      <c r="A46" s="144" t="s">
        <v>169</v>
      </c>
      <c r="B46" s="6" t="s">
        <v>115</v>
      </c>
      <c r="C46" s="122">
        <v>0</v>
      </c>
      <c r="D46" s="40"/>
      <c r="F46" s="188"/>
      <c r="G46" s="232">
        <v>12587228</v>
      </c>
      <c r="H46" s="189" t="s">
        <v>102</v>
      </c>
      <c r="I46" s="215">
        <f>I45/G45</f>
        <v>0.16436000000000003</v>
      </c>
      <c r="J46" s="124"/>
      <c r="K46" s="114"/>
      <c r="L46" s="383"/>
      <c r="M46" s="68"/>
    </row>
    <row r="47" spans="1:17" ht="19.5" customHeight="1">
      <c r="A47" s="382" t="s">
        <v>137</v>
      </c>
      <c r="B47" s="6" t="s">
        <v>115</v>
      </c>
      <c r="C47" s="122">
        <v>0</v>
      </c>
      <c r="D47" s="36"/>
      <c r="F47" s="383"/>
      <c r="G47" s="230">
        <f>G45-G46</f>
        <v>0</v>
      </c>
      <c r="H47" s="383"/>
      <c r="I47" s="383"/>
      <c r="J47" s="124"/>
      <c r="K47" s="114"/>
      <c r="L47" s="383"/>
      <c r="M47" s="68"/>
    </row>
    <row r="48" spans="1:17" ht="16.5" thickBot="1">
      <c r="A48" s="144" t="s">
        <v>304</v>
      </c>
      <c r="B48" s="6" t="s">
        <v>115</v>
      </c>
      <c r="C48" s="566">
        <v>7000</v>
      </c>
      <c r="D48" s="36"/>
      <c r="F48" s="383"/>
      <c r="G48" s="383"/>
      <c r="H48" s="383"/>
      <c r="I48" s="383"/>
      <c r="J48" s="124"/>
      <c r="K48" s="114"/>
      <c r="L48" s="383"/>
      <c r="M48" s="68"/>
    </row>
    <row r="49" spans="1:21" ht="15.75">
      <c r="A49" s="7" t="s">
        <v>130</v>
      </c>
      <c r="B49" s="530" t="s">
        <v>152</v>
      </c>
      <c r="C49" s="566">
        <v>17996.25</v>
      </c>
      <c r="D49" s="36"/>
      <c r="F49" s="383"/>
      <c r="G49" s="114"/>
      <c r="H49" s="129" t="s">
        <v>35</v>
      </c>
      <c r="I49" s="13" t="s">
        <v>35</v>
      </c>
      <c r="J49" s="13" t="s">
        <v>63</v>
      </c>
      <c r="K49" s="127" t="s">
        <v>70</v>
      </c>
      <c r="L49" s="124"/>
      <c r="M49" s="383"/>
    </row>
    <row r="50" spans="1:21" ht="16.5" thickBot="1">
      <c r="A50" s="7" t="s">
        <v>222</v>
      </c>
      <c r="B50" s="530" t="s">
        <v>152</v>
      </c>
      <c r="C50" s="566">
        <v>3820.37</v>
      </c>
      <c r="D50" s="36"/>
      <c r="F50" s="50" t="s">
        <v>73</v>
      </c>
      <c r="G50" s="383"/>
      <c r="H50" s="130" t="s">
        <v>2</v>
      </c>
      <c r="I50" s="131" t="s">
        <v>3</v>
      </c>
      <c r="J50" s="131" t="s">
        <v>2</v>
      </c>
      <c r="K50" s="128" t="s">
        <v>3</v>
      </c>
      <c r="L50" s="383"/>
      <c r="M50" s="383"/>
    </row>
    <row r="51" spans="1:21" ht="15.75">
      <c r="A51" s="7" t="s">
        <v>308</v>
      </c>
      <c r="B51" s="571" t="s">
        <v>152</v>
      </c>
      <c r="C51" s="566">
        <v>6080.07</v>
      </c>
      <c r="D51" s="33"/>
      <c r="F51" s="383"/>
      <c r="G51" s="383"/>
      <c r="H51" s="151"/>
      <c r="I51" s="152"/>
      <c r="J51" s="152"/>
      <c r="K51" s="152"/>
      <c r="L51" s="126" t="s">
        <v>103</v>
      </c>
      <c r="M51" s="383"/>
    </row>
    <row r="52" spans="1:21" ht="15.75">
      <c r="A52" s="22" t="s">
        <v>118</v>
      </c>
      <c r="B52" s="6"/>
      <c r="C52" s="100">
        <f>-C33</f>
        <v>19769.399999999998</v>
      </c>
      <c r="D52" s="36"/>
      <c r="F52" s="383" t="s">
        <v>136</v>
      </c>
      <c r="G52" s="383"/>
      <c r="H52" s="212">
        <f>K12</f>
        <v>-1776665.7584189994</v>
      </c>
      <c r="I52" s="115">
        <f>I14</f>
        <v>1456819.5397919996</v>
      </c>
      <c r="J52" s="115">
        <f>L12</f>
        <v>-917952.34158099955</v>
      </c>
      <c r="K52" s="115">
        <f>J14</f>
        <v>652678.78020799987</v>
      </c>
      <c r="L52" s="132">
        <f>SUM(H52:K52)</f>
        <v>-585119.77999999945</v>
      </c>
      <c r="M52" s="383"/>
    </row>
    <row r="53" spans="1:21" ht="16.5" thickBot="1">
      <c r="A53" s="383" t="s">
        <v>315</v>
      </c>
      <c r="B53" s="606" t="s">
        <v>316</v>
      </c>
      <c r="C53" s="566">
        <v>7476.16</v>
      </c>
      <c r="D53" s="36"/>
      <c r="F53" s="382" t="s">
        <v>109</v>
      </c>
      <c r="H53" s="212">
        <f>-I45</f>
        <v>-2068836.7940800004</v>
      </c>
      <c r="I53" s="115">
        <f>-I32</f>
        <v>-1317200.59653</v>
      </c>
      <c r="J53" s="115">
        <f>-M43</f>
        <v>-1056898.33128</v>
      </c>
      <c r="K53" s="115">
        <f>-M28</f>
        <v>-683312.50205999997</v>
      </c>
      <c r="L53" s="260">
        <f>SUM(H53:K53)</f>
        <v>-5126248.2239500005</v>
      </c>
    </row>
    <row r="54" spans="1:21" ht="16.5" thickBot="1">
      <c r="A54" s="380" t="s">
        <v>124</v>
      </c>
      <c r="B54" s="471" t="s">
        <v>296</v>
      </c>
      <c r="C54" s="566">
        <f>-39664.6-4845402.66-4747432.65</f>
        <v>-9632499.9100000001</v>
      </c>
      <c r="D54" s="36"/>
      <c r="F54" s="382" t="s">
        <v>86</v>
      </c>
      <c r="H54" s="234">
        <v>0</v>
      </c>
      <c r="I54" s="235">
        <v>0</v>
      </c>
      <c r="J54" s="235">
        <v>0</v>
      </c>
      <c r="K54" s="236">
        <v>0</v>
      </c>
      <c r="L54" s="214">
        <f>SUM(L52:L53)</f>
        <v>-5711368.0039499998</v>
      </c>
    </row>
    <row r="55" spans="1:21" ht="16.5" thickBot="1">
      <c r="A55" s="382" t="s">
        <v>312</v>
      </c>
      <c r="B55" s="6" t="s">
        <v>190</v>
      </c>
      <c r="C55" s="566">
        <v>-375000</v>
      </c>
      <c r="D55" s="36"/>
      <c r="F55" s="382" t="s">
        <v>71</v>
      </c>
      <c r="H55" s="125">
        <f>IFERROR(H52+H53+H54,0)</f>
        <v>-3845502.552499</v>
      </c>
      <c r="I55" s="125">
        <f>I52+I53+I54</f>
        <v>139618.94326199964</v>
      </c>
      <c r="J55" s="125">
        <f>IFERROR(J52+J53+J54,0)</f>
        <v>-1974850.6728609996</v>
      </c>
      <c r="K55" s="125">
        <f>K52+K53+K54</f>
        <v>-30633.721852000104</v>
      </c>
      <c r="L55" s="47">
        <f>SUM(H55:K55)</f>
        <v>-5711368.0039499998</v>
      </c>
    </row>
    <row r="56" spans="1:21" ht="16.5" thickBot="1">
      <c r="A56" s="82" t="s">
        <v>119</v>
      </c>
      <c r="B56" s="84"/>
      <c r="C56" s="160">
        <f>SUM(C43:C55)</f>
        <v>-2638001.0899999989</v>
      </c>
      <c r="D56" s="36"/>
      <c r="F56" s="239" t="s">
        <v>181</v>
      </c>
      <c r="H56" s="382" t="s">
        <v>173</v>
      </c>
      <c r="I56" s="5">
        <f>SUM(H55:I55)</f>
        <v>-3705883.6092370003</v>
      </c>
      <c r="J56" s="15" t="s">
        <v>174</v>
      </c>
      <c r="K56" s="382">
        <f>SUM(J55:K55)</f>
        <v>-2005484.3947129997</v>
      </c>
      <c r="L56" s="213">
        <f>ROUND(L54-L55,3)</f>
        <v>0</v>
      </c>
      <c r="T56" s="42"/>
    </row>
    <row r="57" spans="1:21" ht="16.5" thickTop="1">
      <c r="A57" s="382" t="s">
        <v>121</v>
      </c>
      <c r="B57" s="6" t="s">
        <v>115</v>
      </c>
      <c r="C57" s="566">
        <v>-37959.24</v>
      </c>
      <c r="D57" s="36"/>
      <c r="F57" s="395" t="s">
        <v>181</v>
      </c>
      <c r="H57" s="96"/>
    </row>
    <row r="58" spans="1:21" ht="16.5" thickBot="1">
      <c r="A58" s="382" t="s">
        <v>122</v>
      </c>
      <c r="B58" s="6" t="s">
        <v>115</v>
      </c>
      <c r="C58" s="566">
        <v>-18657.77</v>
      </c>
      <c r="D58" s="36"/>
      <c r="F58" s="395" t="s">
        <v>182</v>
      </c>
      <c r="H58" s="157"/>
      <c r="I58" s="120"/>
      <c r="J58" s="120"/>
      <c r="K58" s="204"/>
      <c r="L58" s="120"/>
    </row>
    <row r="59" spans="1:21" ht="16.5" thickBot="1">
      <c r="A59" s="2" t="s">
        <v>125</v>
      </c>
      <c r="B59" s="2"/>
      <c r="C59" s="160">
        <f>SUM(C56:C58)</f>
        <v>-2694618.0999999992</v>
      </c>
      <c r="D59" s="36"/>
      <c r="F59" s="541" t="s">
        <v>303</v>
      </c>
      <c r="G59" s="543"/>
      <c r="H59" s="384" t="s">
        <v>294</v>
      </c>
      <c r="I59" s="385"/>
    </row>
    <row r="60" spans="1:21" ht="17.25" thickTop="1" thickBot="1">
      <c r="A60" s="2"/>
      <c r="C60" s="101"/>
      <c r="D60" s="36"/>
      <c r="H60" s="316" t="s">
        <v>175</v>
      </c>
      <c r="I60" s="317" t="s">
        <v>176</v>
      </c>
      <c r="J60" s="5"/>
    </row>
    <row r="61" spans="1:21" ht="16.5" thickBot="1">
      <c r="A61" s="9"/>
      <c r="B61" s="9" t="s">
        <v>95</v>
      </c>
      <c r="C61" s="125">
        <f>C59+C34</f>
        <v>-585119.7799999998</v>
      </c>
      <c r="D61" s="37"/>
      <c r="H61" s="347" t="e">
        <f>SUM('WA - Def-Amtz (current)'!AS5:AS10,'WA - Def-Amtz (current)'!AS35:AS40,'WA - Def-Amtz (current)'!AS70:AS73,#REF!,#REF!,#REF!)</f>
        <v>#REF!</v>
      </c>
      <c r="I61" s="447" t="e">
        <f>SUM('WA - Def-Amtz (current)'!AT5:AT10,'WA - Def-Amtz (current)'!AT35:AT40,'WA - Def-Amtz (current)'!AT70:AT73,#REF!,#REF!,#REF!)</f>
        <v>#REF!</v>
      </c>
    </row>
    <row r="62" spans="1:21" ht="15.75">
      <c r="A62" s="2"/>
      <c r="B62" s="9" t="s">
        <v>160</v>
      </c>
      <c r="C62" s="348">
        <v>-585119.78</v>
      </c>
      <c r="G62" s="5"/>
      <c r="I62" s="336" t="e">
        <f>H61-I61</f>
        <v>#REF!</v>
      </c>
      <c r="P62" s="21"/>
    </row>
    <row r="63" spans="1:21" ht="15.75">
      <c r="A63" s="9"/>
      <c r="B63" s="9" t="s">
        <v>159</v>
      </c>
      <c r="C63" s="256">
        <f>ROUND(C61-C62,2)</f>
        <v>0</v>
      </c>
      <c r="D63" s="36"/>
      <c r="N63" s="5"/>
      <c r="O63" s="5"/>
      <c r="S63" s="6"/>
    </row>
    <row r="64" spans="1:21" ht="15.75">
      <c r="A64" s="44"/>
      <c r="C64" s="349"/>
      <c r="D64" s="43"/>
      <c r="U64" s="2"/>
    </row>
    <row r="65" spans="1:21" ht="15.75">
      <c r="A65" s="44"/>
      <c r="C65" s="8"/>
      <c r="D65" s="36"/>
      <c r="N65" s="22"/>
      <c r="S65" s="23"/>
    </row>
    <row r="66" spans="1:21" ht="15.75">
      <c r="A66" s="2"/>
      <c r="C66" s="8"/>
      <c r="D66" s="36"/>
      <c r="I66" s="96"/>
      <c r="N66" s="22"/>
      <c r="S66" s="24"/>
    </row>
    <row r="67" spans="1:21">
      <c r="C67" s="100"/>
      <c r="D67" s="36"/>
      <c r="I67" s="96"/>
      <c r="N67" s="22"/>
      <c r="S67" s="25"/>
    </row>
    <row r="68" spans="1:21">
      <c r="D68" s="36"/>
      <c r="N68" s="22"/>
      <c r="S68" s="24"/>
    </row>
    <row r="69" spans="1:21">
      <c r="D69" s="37"/>
      <c r="N69" s="22"/>
    </row>
    <row r="70" spans="1:21">
      <c r="D70" s="36"/>
      <c r="N70" s="22"/>
      <c r="S70" s="26"/>
    </row>
    <row r="71" spans="1:21">
      <c r="D71" s="36"/>
      <c r="N71" s="22"/>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17" priority="7" stopIfTrue="1" operator="equal">
      <formula>0</formula>
    </cfRule>
    <cfRule type="cellIs" dxfId="216" priority="8" stopIfTrue="1" operator="notEqual">
      <formula>0</formula>
    </cfRule>
  </conditionalFormatting>
  <conditionalFormatting sqref="G34 G47 K30 K45">
    <cfRule type="cellIs" dxfId="215" priority="6" operator="notEqual">
      <formula>0</formula>
    </cfRule>
  </conditionalFormatting>
  <conditionalFormatting sqref="C63">
    <cfRule type="cellIs" dxfId="214" priority="4" stopIfTrue="1" operator="equal">
      <formula>0</formula>
    </cfRule>
    <cfRule type="cellIs" dxfId="213" priority="5" stopIfTrue="1" operator="notEqual">
      <formula>0</formula>
    </cfRule>
  </conditionalFormatting>
  <conditionalFormatting sqref="K30">
    <cfRule type="cellIs" dxfId="212" priority="3"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6">
    <tabColor rgb="FF00CC66"/>
    <pageSetUpPr fitToPage="1"/>
  </sheetPr>
  <dimension ref="A1:U1485"/>
  <sheetViews>
    <sheetView showGridLines="0" topLeftCell="A43" zoomScale="70" zoomScaleNormal="70" workbookViewId="0">
      <selection activeCell="G79" sqref="G79"/>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Oct!C1+1</f>
        <v>201811</v>
      </c>
      <c r="F1" s="527">
        <f>C1</f>
        <v>201811</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3535156.04</f>
        <v>3535156.04</v>
      </c>
      <c r="D4" s="34"/>
      <c r="F4" s="383"/>
      <c r="G4" s="383"/>
      <c r="H4" s="11"/>
      <c r="I4" s="383"/>
      <c r="J4" s="383"/>
      <c r="L4" s="383"/>
      <c r="M4" s="383"/>
    </row>
    <row r="5" spans="1:13" ht="14.25" customHeight="1">
      <c r="A5" s="383" t="s">
        <v>31</v>
      </c>
      <c r="C5" s="566">
        <f>28139.26</f>
        <v>28139.26</v>
      </c>
      <c r="D5" s="34"/>
      <c r="F5" s="383"/>
      <c r="G5" s="383"/>
      <c r="H5" s="11"/>
      <c r="I5" s="589">
        <v>0.69099999999999995</v>
      </c>
      <c r="J5" s="589">
        <v>0.309</v>
      </c>
      <c r="K5" s="443">
        <f>ROUND(G45/(G45+K43),4)</f>
        <v>0.67749999999999999</v>
      </c>
      <c r="L5" s="443">
        <f>1-K5</f>
        <v>0.32250000000000001</v>
      </c>
      <c r="M5" s="383"/>
    </row>
    <row r="6" spans="1:13" ht="16.5" thickBot="1">
      <c r="A6" s="49" t="s">
        <v>30</v>
      </c>
      <c r="C6" s="567">
        <f>-1436921.83-409846.5-117099-131736.38-75528.86-94334.95</f>
        <v>-2265467.52</v>
      </c>
      <c r="D6" s="34"/>
      <c r="F6" s="383"/>
      <c r="G6" s="383"/>
      <c r="H6" s="383"/>
      <c r="I6" s="383"/>
      <c r="J6" s="383"/>
      <c r="K6" s="383"/>
      <c r="L6" s="383"/>
      <c r="M6" s="383"/>
    </row>
    <row r="7" spans="1:13" ht="16.5" thickBot="1">
      <c r="A7" s="66" t="s">
        <v>140</v>
      </c>
      <c r="C7" s="100">
        <f>SUM(C4:C6)</f>
        <v>1297827.7799999998</v>
      </c>
      <c r="D7" s="35"/>
      <c r="F7" s="166" t="s">
        <v>139</v>
      </c>
      <c r="G7" s="166"/>
      <c r="H7" s="125">
        <f>C34</f>
        <v>2139539.1399999997</v>
      </c>
      <c r="I7" s="167">
        <f>H7*I5</f>
        <v>1478421.5457399997</v>
      </c>
      <c r="J7" s="167">
        <f>H7*J5</f>
        <v>661117.59425999993</v>
      </c>
      <c r="K7" s="167"/>
      <c r="L7" s="167"/>
      <c r="M7" s="383"/>
    </row>
    <row r="8" spans="1:13" ht="15.75">
      <c r="A8" s="382" t="s">
        <v>89</v>
      </c>
      <c r="C8" s="566">
        <f>244576.79-34000</f>
        <v>210576.79</v>
      </c>
      <c r="D8" s="35"/>
      <c r="F8" s="383"/>
      <c r="G8" s="383"/>
      <c r="H8" s="168"/>
      <c r="I8" s="168"/>
      <c r="J8" s="168"/>
      <c r="K8" s="168"/>
      <c r="L8" s="168"/>
      <c r="M8" s="383"/>
    </row>
    <row r="9" spans="1:13" ht="15.75">
      <c r="A9" s="383" t="s">
        <v>90</v>
      </c>
      <c r="C9" s="566">
        <f>8252.76-148.7</f>
        <v>8104.06</v>
      </c>
      <c r="D9" s="36"/>
      <c r="F9" s="166" t="s">
        <v>119</v>
      </c>
      <c r="G9" s="383"/>
      <c r="H9" s="167">
        <f>C56</f>
        <v>963133.47999999672</v>
      </c>
      <c r="I9" s="167"/>
      <c r="J9" s="167"/>
      <c r="K9" s="167">
        <f>H9*K5</f>
        <v>652522.93269999779</v>
      </c>
      <c r="L9" s="167">
        <f>H9*L5</f>
        <v>310610.54729999893</v>
      </c>
      <c r="M9" s="383"/>
    </row>
    <row r="10" spans="1:13" ht="15.75">
      <c r="A10" s="49" t="s">
        <v>91</v>
      </c>
      <c r="C10" s="567">
        <v>-3308.2</v>
      </c>
      <c r="D10" s="36"/>
      <c r="F10" s="169" t="s">
        <v>44</v>
      </c>
      <c r="G10" s="383"/>
      <c r="H10" s="167">
        <f>C57</f>
        <v>-222163.61</v>
      </c>
      <c r="I10" s="167"/>
      <c r="J10" s="167"/>
      <c r="K10" s="167">
        <f>H10</f>
        <v>-222163.61</v>
      </c>
      <c r="L10" s="167"/>
      <c r="M10" s="383"/>
    </row>
    <row r="11" spans="1:13">
      <c r="A11" s="66" t="s">
        <v>145</v>
      </c>
      <c r="C11" s="100">
        <f>SUM(C8:C10)</f>
        <v>215372.65</v>
      </c>
      <c r="D11" s="36"/>
      <c r="F11" s="169" t="s">
        <v>45</v>
      </c>
      <c r="G11" s="383"/>
      <c r="H11" s="170">
        <f>C58</f>
        <v>-105520.39</v>
      </c>
      <c r="I11" s="167"/>
      <c r="J11" s="167"/>
      <c r="K11" s="170"/>
      <c r="L11" s="170">
        <f>H11</f>
        <v>-105520.39</v>
      </c>
      <c r="M11" s="383"/>
    </row>
    <row r="12" spans="1:13" ht="15.75">
      <c r="A12" s="382" t="s">
        <v>165</v>
      </c>
      <c r="C12" s="566">
        <f>2192.59+185875.68</f>
        <v>188068.27</v>
      </c>
      <c r="D12" s="36"/>
      <c r="F12" s="169" t="s">
        <v>138</v>
      </c>
      <c r="G12" s="383"/>
      <c r="H12" s="167">
        <f>H9+H10+H11</f>
        <v>635449.47999999672</v>
      </c>
      <c r="I12" s="167"/>
      <c r="J12" s="167"/>
      <c r="K12" s="167">
        <f>SUM(K9:K11)</f>
        <v>430359.32269999781</v>
      </c>
      <c r="L12" s="167">
        <f>SUM(L9:L11)</f>
        <v>205090.15729999891</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188068.27</v>
      </c>
      <c r="D14" s="37"/>
      <c r="F14" s="50" t="s">
        <v>69</v>
      </c>
      <c r="G14" s="175"/>
      <c r="H14" s="125">
        <f>H12+H7</f>
        <v>2774988.6199999964</v>
      </c>
      <c r="I14" s="176">
        <f>SUM(I7:I13)</f>
        <v>1478421.5457399997</v>
      </c>
      <c r="J14" s="176">
        <f>SUM(J7:J13)</f>
        <v>661117.59425999993</v>
      </c>
      <c r="K14" s="176">
        <f>K12</f>
        <v>430359.32269999781</v>
      </c>
      <c r="L14" s="176">
        <f>L12</f>
        <v>205090.15729999891</v>
      </c>
      <c r="M14" s="383"/>
    </row>
    <row r="15" spans="1:13" ht="15.75">
      <c r="A15" s="382" t="s">
        <v>183</v>
      </c>
      <c r="C15" s="566">
        <f>388519.47+4582.97</f>
        <v>393102.43999999994</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4" ht="15.75" thickBot="1">
      <c r="A17" s="66" t="s">
        <v>185</v>
      </c>
      <c r="C17" s="100">
        <f>SUM(C15:C16)</f>
        <v>393102.43999999994</v>
      </c>
      <c r="D17" s="37"/>
      <c r="F17" s="171"/>
      <c r="G17" s="172"/>
      <c r="H17" s="179"/>
      <c r="I17" s="180"/>
      <c r="J17" s="183"/>
      <c r="K17" s="383"/>
      <c r="L17" s="179"/>
      <c r="M17" s="383"/>
    </row>
    <row r="18" spans="1:14" ht="16.5" thickBot="1">
      <c r="A18" s="382" t="s">
        <v>163</v>
      </c>
      <c r="C18" s="566">
        <f>79248.08+9786.4-438.54</f>
        <v>88595.94</v>
      </c>
      <c r="D18" s="36"/>
      <c r="F18" s="691" t="s">
        <v>134</v>
      </c>
      <c r="G18" s="692"/>
      <c r="H18" s="692"/>
      <c r="I18" s="693"/>
      <c r="J18" s="691" t="s">
        <v>135</v>
      </c>
      <c r="K18" s="692"/>
      <c r="L18" s="692"/>
      <c r="M18" s="693"/>
    </row>
    <row r="19" spans="1:14" ht="15.75">
      <c r="A19" s="46" t="s">
        <v>164</v>
      </c>
      <c r="C19" s="567">
        <f>-5282.04</f>
        <v>-5282.04</v>
      </c>
      <c r="D19" s="36"/>
      <c r="F19" s="201" t="s">
        <v>108</v>
      </c>
      <c r="G19" s="164" t="s">
        <v>33</v>
      </c>
      <c r="H19" s="164" t="s">
        <v>33</v>
      </c>
      <c r="I19" s="164" t="s">
        <v>33</v>
      </c>
      <c r="J19" s="201" t="s">
        <v>108</v>
      </c>
      <c r="K19" s="164" t="s">
        <v>33</v>
      </c>
      <c r="L19" s="164" t="s">
        <v>33</v>
      </c>
      <c r="M19" s="185" t="s">
        <v>33</v>
      </c>
    </row>
    <row r="20" spans="1:14" ht="16.5" thickBot="1">
      <c r="A20" s="67" t="s">
        <v>93</v>
      </c>
      <c r="C20" s="100">
        <f>SUM(C18:C19)</f>
        <v>83313.900000000009</v>
      </c>
      <c r="D20" s="36"/>
      <c r="F20" s="195" t="s">
        <v>162</v>
      </c>
      <c r="G20" s="165" t="s">
        <v>101</v>
      </c>
      <c r="H20" s="165" t="s">
        <v>36</v>
      </c>
      <c r="I20" s="165" t="s">
        <v>34</v>
      </c>
      <c r="J20" s="195" t="s">
        <v>162</v>
      </c>
      <c r="K20" s="165" t="s">
        <v>101</v>
      </c>
      <c r="L20" s="165" t="s">
        <v>36</v>
      </c>
      <c r="M20" s="165" t="s">
        <v>34</v>
      </c>
    </row>
    <row r="21" spans="1:14" ht="15.75">
      <c r="A21" s="46" t="s">
        <v>149</v>
      </c>
      <c r="C21" s="567">
        <f>1850-495.24</f>
        <v>1354.76</v>
      </c>
      <c r="D21" s="36"/>
      <c r="F21" s="184"/>
      <c r="G21" s="12"/>
      <c r="H21" s="12"/>
      <c r="I21" s="185"/>
      <c r="J21" s="129"/>
      <c r="K21" s="13"/>
      <c r="L21" s="13"/>
      <c r="M21" s="205"/>
    </row>
    <row r="22" spans="1:14" ht="18" customHeight="1">
      <c r="A22" s="65" t="s">
        <v>149</v>
      </c>
      <c r="C22" s="100">
        <f>SUM(C21)</f>
        <v>1354.76</v>
      </c>
      <c r="D22" s="36"/>
      <c r="F22" s="199" t="s">
        <v>126</v>
      </c>
      <c r="G22" s="7"/>
      <c r="H22" s="7"/>
      <c r="I22" s="98"/>
      <c r="J22" s="199" t="s">
        <v>126</v>
      </c>
      <c r="K22" s="7"/>
      <c r="L22" s="7"/>
      <c r="M22" s="98"/>
    </row>
    <row r="23" spans="1:14" ht="15.75">
      <c r="A23" s="208" t="s">
        <v>180</v>
      </c>
      <c r="C23" s="100">
        <v>0</v>
      </c>
      <c r="D23" s="36"/>
      <c r="F23" s="200" t="s">
        <v>37</v>
      </c>
      <c r="G23" s="561">
        <v>15558764</v>
      </c>
      <c r="H23" s="387" t="s">
        <v>306</v>
      </c>
      <c r="I23" s="681">
        <v>1561930</v>
      </c>
      <c r="J23" s="200" t="s">
        <v>37</v>
      </c>
      <c r="K23" s="561">
        <v>7729321</v>
      </c>
      <c r="L23" s="387" t="s">
        <v>306</v>
      </c>
      <c r="M23" s="681">
        <v>718945</v>
      </c>
    </row>
    <row r="24" spans="1:14" ht="15.75">
      <c r="A24" s="208" t="s">
        <v>186</v>
      </c>
      <c r="C24" s="122">
        <v>0</v>
      </c>
      <c r="D24" s="36"/>
      <c r="F24" s="200" t="s">
        <v>305</v>
      </c>
      <c r="G24" s="561">
        <v>17080</v>
      </c>
      <c r="H24" s="387" t="s">
        <v>306</v>
      </c>
      <c r="I24" s="681">
        <v>1713</v>
      </c>
      <c r="J24" s="200" t="s">
        <v>38</v>
      </c>
      <c r="K24" s="561">
        <v>2638733</v>
      </c>
      <c r="L24" s="387" t="s">
        <v>306</v>
      </c>
      <c r="M24" s="681">
        <v>242905</v>
      </c>
    </row>
    <row r="25" spans="1:14" ht="15.75">
      <c r="A25" s="208" t="s">
        <v>189</v>
      </c>
      <c r="C25" s="556">
        <v>0</v>
      </c>
      <c r="D25" s="36"/>
      <c r="F25" s="200" t="s">
        <v>38</v>
      </c>
      <c r="G25" s="561">
        <v>5726364</v>
      </c>
      <c r="H25" s="387" t="s">
        <v>306</v>
      </c>
      <c r="I25" s="681">
        <v>513501</v>
      </c>
      <c r="J25" s="200" t="s">
        <v>39</v>
      </c>
      <c r="K25" s="561">
        <v>42233</v>
      </c>
      <c r="L25" s="387" t="s">
        <v>306</v>
      </c>
      <c r="M25" s="681">
        <v>4072</v>
      </c>
    </row>
    <row r="26" spans="1:14" ht="15.75">
      <c r="A26" s="209" t="s">
        <v>188</v>
      </c>
      <c r="C26" s="557">
        <v>0</v>
      </c>
      <c r="D26" s="36"/>
      <c r="F26" s="200" t="s">
        <v>39</v>
      </c>
      <c r="G26" s="561">
        <v>23194</v>
      </c>
      <c r="H26" s="387" t="s">
        <v>306</v>
      </c>
      <c r="I26" s="681">
        <v>3013</v>
      </c>
      <c r="J26" s="200" t="s">
        <v>40</v>
      </c>
      <c r="K26" s="561">
        <v>0</v>
      </c>
      <c r="L26" s="387" t="s">
        <v>306</v>
      </c>
      <c r="M26" s="681">
        <v>0</v>
      </c>
    </row>
    <row r="27" spans="1:14" ht="15.75">
      <c r="A27" s="65" t="s">
        <v>96</v>
      </c>
      <c r="C27" s="100">
        <f>SUM(C23:C26)</f>
        <v>0</v>
      </c>
      <c r="D27" s="36"/>
      <c r="F27" s="200" t="s">
        <v>40</v>
      </c>
      <c r="G27" s="561">
        <v>420845</v>
      </c>
      <c r="H27" s="387" t="s">
        <v>306</v>
      </c>
      <c r="I27" s="681">
        <v>35959</v>
      </c>
      <c r="J27" s="200" t="s">
        <v>41</v>
      </c>
      <c r="K27" s="561">
        <v>0</v>
      </c>
      <c r="L27" s="387" t="s">
        <v>306</v>
      </c>
      <c r="M27" s="681">
        <f t="shared" ref="M27" si="0">K27*L27</f>
        <v>0</v>
      </c>
    </row>
    <row r="28" spans="1:14" ht="16.5" thickBot="1">
      <c r="A28" s="210" t="s">
        <v>150</v>
      </c>
      <c r="C28" s="311">
        <v>0</v>
      </c>
      <c r="D28" s="37"/>
      <c r="F28" s="200" t="s">
        <v>41</v>
      </c>
      <c r="G28" s="561">
        <v>35309</v>
      </c>
      <c r="H28" s="387" t="s">
        <v>306</v>
      </c>
      <c r="I28" s="681">
        <v>3015</v>
      </c>
      <c r="J28" s="199" t="s">
        <v>127</v>
      </c>
      <c r="K28" s="181">
        <f>SUM(K23:K27)</f>
        <v>10410287</v>
      </c>
      <c r="L28" s="182"/>
      <c r="M28" s="197">
        <f>SUM(M23:M27)</f>
        <v>965922</v>
      </c>
      <c r="N28" s="382">
        <f>M28/(M28+I32)</f>
        <v>0.31239169708365594</v>
      </c>
    </row>
    <row r="29" spans="1:14" ht="17.25" thickTop="1" thickBot="1">
      <c r="A29" s="210" t="s">
        <v>167</v>
      </c>
      <c r="B29" s="383"/>
      <c r="C29" s="311">
        <v>0</v>
      </c>
      <c r="D29" s="36"/>
      <c r="F29" s="200" t="s">
        <v>42</v>
      </c>
      <c r="G29" s="561">
        <v>0</v>
      </c>
      <c r="H29" s="387" t="s">
        <v>306</v>
      </c>
      <c r="I29" s="681">
        <v>0</v>
      </c>
      <c r="J29" s="199"/>
      <c r="K29" s="231">
        <v>10410287</v>
      </c>
      <c r="L29" s="187" t="s">
        <v>102</v>
      </c>
      <c r="M29" s="196">
        <f>M28/K28</f>
        <v>9.2785338194806735E-2</v>
      </c>
    </row>
    <row r="30" spans="1:14" ht="16.5" thickBot="1">
      <c r="A30" s="2" t="s">
        <v>111</v>
      </c>
      <c r="C30" s="125">
        <f>C7+C11+C14+C17+C20+C22+C27+C28+C29</f>
        <v>2179039.7999999993</v>
      </c>
      <c r="D30" s="37"/>
      <c r="F30" s="200" t="s">
        <v>43</v>
      </c>
      <c r="G30" s="561">
        <v>88519</v>
      </c>
      <c r="H30" s="387" t="s">
        <v>306</v>
      </c>
      <c r="I30" s="681">
        <v>5226</v>
      </c>
      <c r="J30" s="200"/>
      <c r="K30" s="230">
        <f>K28-K29</f>
        <v>0</v>
      </c>
      <c r="L30" s="182"/>
      <c r="M30" s="198"/>
    </row>
    <row r="31" spans="1:14" ht="15.75">
      <c r="A31" s="382" t="s">
        <v>112</v>
      </c>
      <c r="C31" s="566">
        <v>-8539.3799999999992</v>
      </c>
      <c r="D31" s="39"/>
      <c r="F31" s="200" t="s">
        <v>74</v>
      </c>
      <c r="G31" s="561">
        <v>3268121</v>
      </c>
      <c r="H31" s="387" t="s">
        <v>306</v>
      </c>
      <c r="I31" s="681">
        <v>1743</v>
      </c>
      <c r="J31" s="153"/>
      <c r="K31" s="7"/>
      <c r="L31" s="182"/>
      <c r="M31" s="198"/>
    </row>
    <row r="32" spans="1:14" ht="16.5" thickBot="1">
      <c r="A32" s="2" t="s">
        <v>116</v>
      </c>
      <c r="B32" s="2" t="s">
        <v>117</v>
      </c>
      <c r="C32" s="564">
        <f>C30+C31</f>
        <v>2170500.4199999995</v>
      </c>
      <c r="D32" s="40"/>
      <c r="F32" s="199" t="s">
        <v>127</v>
      </c>
      <c r="G32" s="181">
        <f>SUM(G23:G31)</f>
        <v>25138196</v>
      </c>
      <c r="H32" s="7"/>
      <c r="I32" s="197">
        <f>SUM(I23:I31)</f>
        <v>2126100</v>
      </c>
      <c r="J32" s="192"/>
      <c r="K32" s="193"/>
      <c r="L32" s="7"/>
      <c r="M32" s="190"/>
    </row>
    <row r="33" spans="1:17" ht="17.25" thickTop="1" thickBot="1">
      <c r="A33" s="382" t="s">
        <v>113</v>
      </c>
      <c r="C33" s="564">
        <f>-C5-C9-C13-C16-C19</f>
        <v>-30961.279999999999</v>
      </c>
      <c r="D33" s="36"/>
      <c r="F33" s="186"/>
      <c r="G33" s="231">
        <v>25138196</v>
      </c>
      <c r="H33" s="187" t="s">
        <v>102</v>
      </c>
      <c r="I33" s="216">
        <f>I32/G32</f>
        <v>8.4576474779654034E-2</v>
      </c>
      <c r="J33" s="192"/>
      <c r="K33" s="193"/>
      <c r="L33" s="7"/>
      <c r="M33" s="98"/>
    </row>
    <row r="34" spans="1:17" ht="16.5" thickBot="1">
      <c r="A34" s="2" t="s">
        <v>114</v>
      </c>
      <c r="C34" s="125">
        <f>SUM(C32:C33)</f>
        <v>2139539.1399999997</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602">
        <f>K23</f>
        <v>7729321</v>
      </c>
      <c r="L36" s="387" t="s">
        <v>306</v>
      </c>
      <c r="M36" s="681">
        <v>1329018</v>
      </c>
      <c r="P36" s="272"/>
      <c r="Q36" s="272"/>
    </row>
    <row r="37" spans="1:17" ht="15.75">
      <c r="A37" s="7" t="s">
        <v>129</v>
      </c>
      <c r="B37" s="530" t="s">
        <v>115</v>
      </c>
      <c r="C37" s="566">
        <v>12434239.869999999</v>
      </c>
      <c r="D37" s="36"/>
      <c r="F37" s="200" t="s">
        <v>37</v>
      </c>
      <c r="G37" s="602">
        <f>G23</f>
        <v>15558764</v>
      </c>
      <c r="H37" s="387" t="s">
        <v>306</v>
      </c>
      <c r="I37" s="681">
        <v>2677423</v>
      </c>
      <c r="J37" s="200" t="s">
        <v>38</v>
      </c>
      <c r="K37" s="602">
        <f>K24</f>
        <v>2638733</v>
      </c>
      <c r="L37" s="387" t="s">
        <v>306</v>
      </c>
      <c r="M37" s="681">
        <v>455932</v>
      </c>
      <c r="P37" s="272"/>
      <c r="Q37" s="272"/>
    </row>
    <row r="38" spans="1:17" ht="15.75">
      <c r="A38" s="144" t="s">
        <v>14</v>
      </c>
      <c r="B38" s="530" t="s">
        <v>115</v>
      </c>
      <c r="C38" s="122">
        <v>0</v>
      </c>
      <c r="D38" s="36"/>
      <c r="F38" s="200" t="s">
        <v>305</v>
      </c>
      <c r="G38" s="602">
        <f>G24</f>
        <v>17080</v>
      </c>
      <c r="H38" s="387" t="s">
        <v>306</v>
      </c>
      <c r="I38" s="681">
        <v>2942</v>
      </c>
      <c r="J38" s="200" t="s">
        <v>39</v>
      </c>
      <c r="K38" s="602">
        <f>K25</f>
        <v>42233</v>
      </c>
      <c r="L38" s="387" t="s">
        <v>306</v>
      </c>
      <c r="M38" s="681">
        <v>7174</v>
      </c>
      <c r="P38" s="272"/>
      <c r="Q38" s="272"/>
    </row>
    <row r="39" spans="1:17" ht="15.75">
      <c r="A39" s="7" t="s">
        <v>146</v>
      </c>
      <c r="B39" s="530" t="s">
        <v>147</v>
      </c>
      <c r="C39" s="566">
        <v>-87233.09</v>
      </c>
      <c r="D39" s="36"/>
      <c r="F39" s="200" t="s">
        <v>38</v>
      </c>
      <c r="G39" s="602">
        <f t="shared" ref="G39:G44" si="1">G25</f>
        <v>5726364</v>
      </c>
      <c r="H39" s="387" t="s">
        <v>306</v>
      </c>
      <c r="I39" s="681">
        <v>989873</v>
      </c>
      <c r="J39" s="200" t="s">
        <v>40</v>
      </c>
      <c r="K39" s="602">
        <f>K26</f>
        <v>0</v>
      </c>
      <c r="L39" s="387" t="s">
        <v>306</v>
      </c>
      <c r="M39" s="681">
        <v>0</v>
      </c>
      <c r="P39" s="272"/>
      <c r="Q39" s="272"/>
    </row>
    <row r="40" spans="1:17" ht="15.75">
      <c r="A40" s="7" t="s">
        <v>131</v>
      </c>
      <c r="B40" s="530" t="s">
        <v>132</v>
      </c>
      <c r="C40" s="566">
        <v>23367.25</v>
      </c>
      <c r="D40" s="36"/>
      <c r="F40" s="200" t="s">
        <v>39</v>
      </c>
      <c r="G40" s="602">
        <f t="shared" si="1"/>
        <v>23194</v>
      </c>
      <c r="H40" s="387" t="s">
        <v>306</v>
      </c>
      <c r="I40" s="681">
        <v>5565</v>
      </c>
      <c r="J40" s="200" t="s">
        <v>41</v>
      </c>
      <c r="K40" s="602">
        <f>K27</f>
        <v>0</v>
      </c>
      <c r="L40" s="387" t="s">
        <v>306</v>
      </c>
      <c r="M40" s="681">
        <v>0</v>
      </c>
      <c r="P40" s="272"/>
      <c r="Q40" s="272"/>
    </row>
    <row r="41" spans="1:17" ht="15.75">
      <c r="A41" s="7" t="s">
        <v>153</v>
      </c>
      <c r="B41" s="6" t="s">
        <v>155</v>
      </c>
      <c r="C41" s="566">
        <v>-28209.88</v>
      </c>
      <c r="D41" s="36"/>
      <c r="F41" s="200" t="s">
        <v>40</v>
      </c>
      <c r="G41" s="602">
        <f t="shared" si="1"/>
        <v>420845</v>
      </c>
      <c r="H41" s="387" t="s">
        <v>306</v>
      </c>
      <c r="I41" s="681">
        <v>73882</v>
      </c>
      <c r="J41" s="200" t="s">
        <v>42</v>
      </c>
      <c r="K41" s="561">
        <v>0</v>
      </c>
      <c r="L41" s="387" t="s">
        <v>306</v>
      </c>
      <c r="M41" s="681">
        <v>0</v>
      </c>
      <c r="P41" s="272"/>
      <c r="Q41" s="272"/>
    </row>
    <row r="42" spans="1:17" ht="16.5" thickBot="1">
      <c r="A42" s="7" t="s">
        <v>178</v>
      </c>
      <c r="B42" s="530" t="s">
        <v>179</v>
      </c>
      <c r="C42" s="566">
        <v>487495.06</v>
      </c>
      <c r="D42" s="37"/>
      <c r="F42" s="200" t="s">
        <v>41</v>
      </c>
      <c r="G42" s="602">
        <f t="shared" si="1"/>
        <v>35309</v>
      </c>
      <c r="H42" s="387" t="s">
        <v>306</v>
      </c>
      <c r="I42" s="681">
        <v>10324</v>
      </c>
      <c r="J42" s="200" t="s">
        <v>43</v>
      </c>
      <c r="K42" s="603">
        <v>0</v>
      </c>
      <c r="L42" s="387" t="s">
        <v>306</v>
      </c>
      <c r="M42" s="681">
        <v>0</v>
      </c>
      <c r="P42" s="272"/>
      <c r="Q42" s="272"/>
    </row>
    <row r="43" spans="1:17" ht="16.5" thickBot="1">
      <c r="A43" s="85" t="s">
        <v>123</v>
      </c>
      <c r="B43" s="12"/>
      <c r="C43" s="125">
        <f>SUM(C37:C42)</f>
        <v>12829659.209999999</v>
      </c>
      <c r="D43" s="36"/>
      <c r="F43" s="200" t="s">
        <v>42</v>
      </c>
      <c r="G43" s="602">
        <f t="shared" si="1"/>
        <v>0</v>
      </c>
      <c r="H43" s="387" t="s">
        <v>306</v>
      </c>
      <c r="I43" s="681">
        <v>0</v>
      </c>
      <c r="J43" s="199" t="s">
        <v>133</v>
      </c>
      <c r="K43" s="181">
        <f>SUM(K36:K42)</f>
        <v>10410287</v>
      </c>
      <c r="L43" s="182"/>
      <c r="M43" s="197">
        <f>SUM(M36:M42)</f>
        <v>1792124</v>
      </c>
      <c r="N43" s="382">
        <f>M43/(M43+I45)</f>
        <v>0.32191199621204775</v>
      </c>
    </row>
    <row r="44" spans="1:17" ht="16.5" thickBot="1">
      <c r="A44" s="83" t="s">
        <v>177</v>
      </c>
      <c r="B44" s="84" t="s">
        <v>120</v>
      </c>
      <c r="C44" s="566">
        <f>925414.82-125842.24</f>
        <v>799572.58</v>
      </c>
      <c r="D44" s="37"/>
      <c r="F44" s="200" t="s">
        <v>43</v>
      </c>
      <c r="G44" s="602">
        <f t="shared" si="1"/>
        <v>88519</v>
      </c>
      <c r="H44" s="387" t="s">
        <v>306</v>
      </c>
      <c r="I44" s="681">
        <v>14991</v>
      </c>
      <c r="J44" s="194"/>
      <c r="K44" s="232">
        <v>10410287</v>
      </c>
      <c r="L44" s="189" t="s">
        <v>102</v>
      </c>
      <c r="M44" s="217">
        <f>M43/K43</f>
        <v>0.17214933651685108</v>
      </c>
    </row>
    <row r="45" spans="1:17" ht="16.5" thickBot="1">
      <c r="A45" s="211" t="s">
        <v>168</v>
      </c>
      <c r="B45" s="6" t="s">
        <v>115</v>
      </c>
      <c r="C45" s="122">
        <v>0</v>
      </c>
      <c r="D45" s="39"/>
      <c r="F45" s="199" t="s">
        <v>133</v>
      </c>
      <c r="G45" s="181">
        <f>SUM(G37:G44)</f>
        <v>21870075</v>
      </c>
      <c r="H45" s="182"/>
      <c r="I45" s="197">
        <f>SUM(I37:I44)</f>
        <v>3775000</v>
      </c>
      <c r="J45" s="124"/>
      <c r="K45" s="230">
        <f>K43-K44</f>
        <v>0</v>
      </c>
      <c r="L45" s="383"/>
      <c r="M45" s="124"/>
    </row>
    <row r="46" spans="1:17" ht="19.5" customHeight="1" thickTop="1" thickBot="1">
      <c r="A46" s="144" t="s">
        <v>169</v>
      </c>
      <c r="B46" s="6" t="s">
        <v>115</v>
      </c>
      <c r="C46" s="122">
        <v>0</v>
      </c>
      <c r="D46" s="40"/>
      <c r="F46" s="188"/>
      <c r="G46" s="232">
        <v>21870075</v>
      </c>
      <c r="H46" s="189" t="s">
        <v>102</v>
      </c>
      <c r="I46" s="215">
        <f>I45/G45</f>
        <v>0.17261029054541421</v>
      </c>
      <c r="J46" s="124"/>
      <c r="K46" s="230"/>
      <c r="L46" s="383"/>
      <c r="M46" s="124"/>
    </row>
    <row r="47" spans="1:17" ht="19.5" customHeight="1">
      <c r="A47" s="382" t="s">
        <v>137</v>
      </c>
      <c r="B47" s="6" t="s">
        <v>115</v>
      </c>
      <c r="C47" s="122">
        <v>0</v>
      </c>
      <c r="D47" s="36"/>
      <c r="F47" s="383"/>
      <c r="G47" s="230">
        <f>G45-G46</f>
        <v>0</v>
      </c>
      <c r="H47" s="383"/>
      <c r="I47" s="383"/>
      <c r="J47" s="124"/>
      <c r="K47" s="230"/>
      <c r="L47" s="383"/>
      <c r="M47" s="124"/>
    </row>
    <row r="48" spans="1:17" ht="16.5" thickBot="1">
      <c r="A48" s="144" t="s">
        <v>304</v>
      </c>
      <c r="B48" s="6" t="s">
        <v>115</v>
      </c>
      <c r="C48" s="566">
        <v>7000</v>
      </c>
      <c r="D48" s="36"/>
      <c r="F48" s="383"/>
      <c r="G48" s="383"/>
      <c r="H48" s="383"/>
      <c r="I48" s="383"/>
      <c r="J48" s="124"/>
      <c r="K48" s="114"/>
      <c r="L48" s="383"/>
      <c r="M48" s="68"/>
    </row>
    <row r="49" spans="1:21" ht="15.75">
      <c r="A49" s="7" t="s">
        <v>130</v>
      </c>
      <c r="B49" s="530" t="s">
        <v>152</v>
      </c>
      <c r="C49" s="566">
        <v>17892.16</v>
      </c>
      <c r="D49" s="36"/>
      <c r="F49" s="383"/>
      <c r="G49" s="114"/>
      <c r="H49" s="129" t="s">
        <v>35</v>
      </c>
      <c r="I49" s="13" t="s">
        <v>35</v>
      </c>
      <c r="J49" s="13" t="s">
        <v>63</v>
      </c>
      <c r="K49" s="127" t="s">
        <v>70</v>
      </c>
      <c r="L49" s="124"/>
      <c r="M49" s="383"/>
    </row>
    <row r="50" spans="1:21" ht="16.5" thickBot="1">
      <c r="A50" s="7" t="s">
        <v>222</v>
      </c>
      <c r="B50" s="530" t="s">
        <v>152</v>
      </c>
      <c r="C50" s="566">
        <v>5090.87</v>
      </c>
      <c r="D50" s="36"/>
      <c r="F50" s="50" t="s">
        <v>73</v>
      </c>
      <c r="G50" s="383"/>
      <c r="H50" s="130" t="s">
        <v>2</v>
      </c>
      <c r="I50" s="131" t="s">
        <v>3</v>
      </c>
      <c r="J50" s="131" t="s">
        <v>2</v>
      </c>
      <c r="K50" s="128" t="s">
        <v>3</v>
      </c>
      <c r="L50" s="383"/>
      <c r="M50" s="383"/>
    </row>
    <row r="51" spans="1:21" ht="15.75">
      <c r="A51" s="7" t="s">
        <v>308</v>
      </c>
      <c r="B51" s="575" t="s">
        <v>152</v>
      </c>
      <c r="C51" s="566">
        <v>7557.33</v>
      </c>
      <c r="D51" s="36"/>
      <c r="F51" s="383"/>
      <c r="G51" s="383"/>
      <c r="H51" s="151"/>
      <c r="I51" s="152"/>
      <c r="J51" s="152"/>
      <c r="K51" s="152"/>
      <c r="L51" s="126" t="s">
        <v>103</v>
      </c>
      <c r="M51" s="383"/>
    </row>
    <row r="52" spans="1:21" ht="15.75">
      <c r="A52" s="22" t="s">
        <v>118</v>
      </c>
      <c r="B52" s="6"/>
      <c r="C52" s="100">
        <f>-C33</f>
        <v>30961.279999999999</v>
      </c>
      <c r="D52" s="33"/>
      <c r="F52" s="383" t="s">
        <v>136</v>
      </c>
      <c r="G52" s="383"/>
      <c r="H52" s="212">
        <f>K12</f>
        <v>430359.32269999781</v>
      </c>
      <c r="I52" s="115">
        <f>I14</f>
        <v>1478421.5457399997</v>
      </c>
      <c r="J52" s="115">
        <f>L12</f>
        <v>205090.15729999891</v>
      </c>
      <c r="K52" s="115">
        <f>J14</f>
        <v>661117.59425999993</v>
      </c>
      <c r="L52" s="132">
        <f>SUM(H52:K52)</f>
        <v>2774988.6199999964</v>
      </c>
      <c r="M52" s="383"/>
    </row>
    <row r="53" spans="1:21" ht="16.5" thickBot="1">
      <c r="A53" s="383" t="s">
        <v>315</v>
      </c>
      <c r="B53" s="612" t="s">
        <v>316</v>
      </c>
      <c r="C53" s="566">
        <v>5936.5</v>
      </c>
      <c r="D53" s="33"/>
      <c r="F53" s="382" t="s">
        <v>109</v>
      </c>
      <c r="G53" s="383"/>
      <c r="H53" s="212">
        <f>-I45</f>
        <v>-3775000</v>
      </c>
      <c r="I53" s="115">
        <f>-I32</f>
        <v>-2126100</v>
      </c>
      <c r="J53" s="115">
        <f>-M43</f>
        <v>-1792124</v>
      </c>
      <c r="K53" s="115">
        <f>-M28</f>
        <v>-965922</v>
      </c>
      <c r="L53" s="260">
        <f>SUM(H53:K53)</f>
        <v>-8659146</v>
      </c>
    </row>
    <row r="54" spans="1:21" ht="16.5" thickBot="1">
      <c r="A54" s="380" t="s">
        <v>124</v>
      </c>
      <c r="B54" s="471" t="s">
        <v>296</v>
      </c>
      <c r="C54" s="566">
        <f>9883678.5-18864616.3-3384598.65</f>
        <v>-12365536.450000001</v>
      </c>
      <c r="D54" s="36"/>
      <c r="F54" s="382" t="s">
        <v>86</v>
      </c>
      <c r="H54" s="234">
        <v>0</v>
      </c>
      <c r="I54" s="235">
        <v>0</v>
      </c>
      <c r="J54" s="235">
        <v>0</v>
      </c>
      <c r="K54" s="236">
        <v>0</v>
      </c>
      <c r="L54" s="214">
        <f>SUM(L52:L53)</f>
        <v>-5884157.3800000036</v>
      </c>
    </row>
    <row r="55" spans="1:21" ht="16.5" thickBot="1">
      <c r="A55" s="382" t="s">
        <v>312</v>
      </c>
      <c r="B55" s="6" t="s">
        <v>190</v>
      </c>
      <c r="C55" s="566">
        <v>-375000</v>
      </c>
      <c r="D55" s="36"/>
      <c r="F55" s="382" t="s">
        <v>71</v>
      </c>
      <c r="H55" s="125">
        <f>IFERROR(H52+H53+H54,0)</f>
        <v>-3344640.6773000024</v>
      </c>
      <c r="I55" s="125">
        <f>I52+I53+I54</f>
        <v>-647678.45426000026</v>
      </c>
      <c r="J55" s="125">
        <f>IFERROR(J52+J53+J54,0)</f>
        <v>-1587033.8427000011</v>
      </c>
      <c r="K55" s="125">
        <f>K52+K53+K54</f>
        <v>-304804.40574000007</v>
      </c>
      <c r="L55" s="47">
        <f>SUM(H55:K55)</f>
        <v>-5884157.3800000036</v>
      </c>
    </row>
    <row r="56" spans="1:21" ht="16.5" thickBot="1">
      <c r="A56" s="82" t="s">
        <v>119</v>
      </c>
      <c r="B56" s="84"/>
      <c r="C56" s="160">
        <f>SUM(C43:C55)</f>
        <v>963133.47999999672</v>
      </c>
      <c r="D56" s="36"/>
      <c r="H56" s="382" t="s">
        <v>173</v>
      </c>
      <c r="I56" s="5">
        <f>SUM(H55:I55)</f>
        <v>-3992319.1315600025</v>
      </c>
      <c r="J56" s="15" t="s">
        <v>174</v>
      </c>
      <c r="K56" s="382">
        <f>SUM(J55:K55)</f>
        <v>-1891838.2484400012</v>
      </c>
      <c r="L56" s="213">
        <f>ROUND(L54-L55,3)</f>
        <v>0</v>
      </c>
      <c r="T56" s="42"/>
    </row>
    <row r="57" spans="1:21" ht="16.5" thickTop="1">
      <c r="A57" s="382" t="s">
        <v>121</v>
      </c>
      <c r="B57" s="6" t="s">
        <v>115</v>
      </c>
      <c r="C57" s="566">
        <v>-222163.61</v>
      </c>
      <c r="D57" s="36"/>
      <c r="F57" s="239" t="s">
        <v>181</v>
      </c>
      <c r="H57" s="96"/>
    </row>
    <row r="58" spans="1:21" ht="16.5" thickBot="1">
      <c r="A58" s="382" t="s">
        <v>122</v>
      </c>
      <c r="B58" s="6" t="s">
        <v>115</v>
      </c>
      <c r="C58" s="566">
        <v>-105520.39</v>
      </c>
      <c r="D58" s="36"/>
      <c r="F58" s="395" t="s">
        <v>181</v>
      </c>
      <c r="H58" s="157"/>
      <c r="I58" s="120"/>
      <c r="J58" s="120"/>
      <c r="K58" s="204"/>
      <c r="L58" s="120"/>
    </row>
    <row r="59" spans="1:21" ht="16.5" thickBot="1">
      <c r="A59" s="2" t="s">
        <v>125</v>
      </c>
      <c r="B59" s="2"/>
      <c r="C59" s="160">
        <f>SUM(C56:C58)</f>
        <v>635449.47999999672</v>
      </c>
      <c r="D59" s="36"/>
      <c r="F59" s="395" t="s">
        <v>182</v>
      </c>
      <c r="H59" s="384" t="s">
        <v>294</v>
      </c>
      <c r="I59" s="385"/>
    </row>
    <row r="60" spans="1:21" ht="17.25" thickTop="1" thickBot="1">
      <c r="A60" s="2"/>
      <c r="C60" s="101"/>
      <c r="D60" s="36"/>
      <c r="F60" s="541" t="s">
        <v>303</v>
      </c>
      <c r="G60" s="543"/>
      <c r="H60" s="316" t="s">
        <v>175</v>
      </c>
      <c r="I60" s="317" t="s">
        <v>176</v>
      </c>
      <c r="J60" s="5"/>
    </row>
    <row r="61" spans="1:21" ht="16.5" thickBot="1">
      <c r="A61" s="9"/>
      <c r="B61" s="9" t="s">
        <v>95</v>
      </c>
      <c r="C61" s="125">
        <f>C59+C34</f>
        <v>2774988.6199999964</v>
      </c>
      <c r="D61" s="36"/>
      <c r="H61" s="347" t="e">
        <f>SUM('WA - Def-Amtz (current)'!AS5:AS10,'WA - Def-Amtz (current)'!AS35:AS40,'WA - Def-Amtz (current)'!AS70:AS73,#REF!,#REF!,#REF!)+#REF!+#REF!+#REF!</f>
        <v>#REF!</v>
      </c>
      <c r="I61" s="447" t="e">
        <f>SUM('WA - Def-Amtz (current)'!AT5:AT10,'WA - Def-Amtz (current)'!AT35:AT40,'WA - Def-Amtz (current)'!AT70:AT73,#REF!,#REF!,#REF!)+#REF!+#REF!+#REF!</f>
        <v>#REF!</v>
      </c>
      <c r="J61" s="382">
        <f>H53+I53+J53+K53</f>
        <v>-8659146</v>
      </c>
    </row>
    <row r="62" spans="1:21" ht="15.75">
      <c r="A62" s="2"/>
      <c r="B62" s="9" t="s">
        <v>160</v>
      </c>
      <c r="C62" s="604">
        <v>2774988.62</v>
      </c>
      <c r="D62" s="37"/>
      <c r="I62" s="336" t="e">
        <f>H61-I61</f>
        <v>#REF!</v>
      </c>
      <c r="N62" s="5"/>
      <c r="O62" s="5"/>
      <c r="P62" s="21"/>
    </row>
    <row r="63" spans="1:21" ht="15.75">
      <c r="A63" s="9"/>
      <c r="B63" s="9" t="s">
        <v>159</v>
      </c>
      <c r="C63" s="256">
        <f>ROUND(C61-C62,2)</f>
        <v>0</v>
      </c>
      <c r="G63" s="5"/>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8"/>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L56 I62 C63">
    <cfRule type="cellIs" dxfId="211" priority="7" stopIfTrue="1" operator="equal">
      <formula>0</formula>
    </cfRule>
    <cfRule type="cellIs" dxfId="210" priority="8" stopIfTrue="1" operator="notEqual">
      <formula>0</formula>
    </cfRule>
  </conditionalFormatting>
  <conditionalFormatting sqref="G34 G47 K30 K45:K47">
    <cfRule type="cellIs" dxfId="209" priority="6"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7">
    <tabColor rgb="FF00CC66"/>
    <pageSetUpPr fitToPage="1"/>
  </sheetPr>
  <dimension ref="A1:U1485"/>
  <sheetViews>
    <sheetView showGridLines="0" zoomScale="70" zoomScaleNormal="70" workbookViewId="0">
      <selection activeCell="B35" sqref="B35"/>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Nov!C1+1</f>
        <v>201812</v>
      </c>
      <c r="F1" s="527">
        <f>C1</f>
        <v>201812</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58">
        <v>3814703.65</v>
      </c>
      <c r="D4" s="34"/>
      <c r="F4" s="383"/>
      <c r="G4" s="383"/>
      <c r="H4" s="11"/>
      <c r="I4" s="383"/>
      <c r="J4" s="383"/>
      <c r="L4" s="383"/>
      <c r="M4" s="383"/>
    </row>
    <row r="5" spans="1:13" ht="14.25" customHeight="1">
      <c r="A5" s="383" t="s">
        <v>31</v>
      </c>
      <c r="C5" s="558">
        <f>144686.25-264085.8</f>
        <v>-119399.54999999999</v>
      </c>
      <c r="D5" s="34"/>
      <c r="F5" s="383"/>
      <c r="G5" s="383"/>
      <c r="H5" s="11"/>
      <c r="I5" s="589">
        <v>0.69059999999999999</v>
      </c>
      <c r="J5" s="589">
        <v>0.30940000000000001</v>
      </c>
      <c r="K5" s="443">
        <f>ROUND(G45/(G45+K43),4)</f>
        <v>0.68379999999999996</v>
      </c>
      <c r="L5" s="443">
        <f>1-K5</f>
        <v>0.31620000000000004</v>
      </c>
      <c r="M5" s="383"/>
    </row>
    <row r="6" spans="1:13" ht="16.5" thickBot="1">
      <c r="A6" s="49" t="s">
        <v>30</v>
      </c>
      <c r="C6" s="559">
        <f>-81979.5-102391.76-1559644.1-444850-127100-142987.5</f>
        <v>-2458952.8600000003</v>
      </c>
      <c r="D6" s="34"/>
      <c r="F6" s="383"/>
      <c r="G6" s="383"/>
      <c r="H6" s="383"/>
      <c r="I6" s="383"/>
      <c r="J6" s="383"/>
      <c r="K6" s="383"/>
      <c r="L6" s="383"/>
      <c r="M6" s="383"/>
    </row>
    <row r="7" spans="1:13" ht="16.5" thickBot="1">
      <c r="A7" s="66" t="s">
        <v>140</v>
      </c>
      <c r="C7" s="100">
        <f>SUM(C4:C6)</f>
        <v>1236351.2399999998</v>
      </c>
      <c r="D7" s="35"/>
      <c r="F7" s="166" t="s">
        <v>139</v>
      </c>
      <c r="G7" s="166"/>
      <c r="H7" s="125">
        <f>C34</f>
        <v>2311258.1400000006</v>
      </c>
      <c r="I7" s="167">
        <f>H7*I5</f>
        <v>1596154.8714840005</v>
      </c>
      <c r="J7" s="167">
        <f>H7*J5</f>
        <v>715103.26851600024</v>
      </c>
      <c r="K7" s="167"/>
      <c r="L7" s="167"/>
      <c r="M7" s="383"/>
    </row>
    <row r="8" spans="1:13" ht="15.75">
      <c r="A8" s="382" t="s">
        <v>89</v>
      </c>
      <c r="C8" s="558">
        <f>252729.32</f>
        <v>252729.32</v>
      </c>
      <c r="D8" s="35"/>
      <c r="F8" s="383"/>
      <c r="G8" s="383"/>
      <c r="H8" s="168"/>
      <c r="I8" s="168"/>
      <c r="J8" s="168"/>
      <c r="K8" s="168"/>
      <c r="L8" s="168"/>
      <c r="M8" s="383"/>
    </row>
    <row r="9" spans="1:13" ht="15.75">
      <c r="A9" s="383" t="s">
        <v>90</v>
      </c>
      <c r="C9" s="558">
        <f>8921.71</f>
        <v>8921.7099999999991</v>
      </c>
      <c r="D9" s="36"/>
      <c r="F9" s="166" t="s">
        <v>119</v>
      </c>
      <c r="G9" s="383"/>
      <c r="H9" s="167">
        <f>C56</f>
        <v>8170179.8899999931</v>
      </c>
      <c r="I9" s="167"/>
      <c r="J9" s="167"/>
      <c r="K9" s="167">
        <f>H9*K5</f>
        <v>5586769.0087819947</v>
      </c>
      <c r="L9" s="167">
        <f>H9*L5</f>
        <v>2583410.881217998</v>
      </c>
      <c r="M9" s="383"/>
    </row>
    <row r="10" spans="1:13" ht="15.75">
      <c r="A10" s="49" t="s">
        <v>91</v>
      </c>
      <c r="C10" s="559">
        <v>-3418.47</v>
      </c>
      <c r="D10" s="36"/>
      <c r="F10" s="169" t="s">
        <v>44</v>
      </c>
      <c r="G10" s="383"/>
      <c r="H10" s="167">
        <f>C57</f>
        <v>5267.34</v>
      </c>
      <c r="I10" s="167"/>
      <c r="J10" s="167"/>
      <c r="K10" s="167">
        <f>H10</f>
        <v>5267.34</v>
      </c>
      <c r="L10" s="167"/>
      <c r="M10" s="383"/>
    </row>
    <row r="11" spans="1:13">
      <c r="A11" s="66" t="s">
        <v>145</v>
      </c>
      <c r="C11" s="100">
        <f>SUM(C8:C10)</f>
        <v>258232.56</v>
      </c>
      <c r="D11" s="36"/>
      <c r="F11" s="169" t="s">
        <v>45</v>
      </c>
      <c r="G11" s="383"/>
      <c r="H11" s="170">
        <f>C58</f>
        <v>3644.06</v>
      </c>
      <c r="I11" s="167"/>
      <c r="J11" s="167"/>
      <c r="K11" s="170"/>
      <c r="L11" s="170">
        <f>H11</f>
        <v>3644.06</v>
      </c>
      <c r="M11" s="383"/>
    </row>
    <row r="12" spans="1:13" ht="15.75">
      <c r="A12" s="382" t="s">
        <v>165</v>
      </c>
      <c r="C12" s="558">
        <f>189318.35+1797.22</f>
        <v>191115.57</v>
      </c>
      <c r="D12" s="36"/>
      <c r="F12" s="169" t="s">
        <v>138</v>
      </c>
      <c r="G12" s="383"/>
      <c r="H12" s="167">
        <f>H9+H10+H11</f>
        <v>8179091.2899999926</v>
      </c>
      <c r="I12" s="167"/>
      <c r="J12" s="167"/>
      <c r="K12" s="167">
        <f>SUM(K9:K11)</f>
        <v>5592036.3487819945</v>
      </c>
      <c r="L12" s="167">
        <f>SUM(L9:L11)</f>
        <v>2587054.941217998</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191115.57</v>
      </c>
      <c r="D14" s="37"/>
      <c r="F14" s="50" t="s">
        <v>69</v>
      </c>
      <c r="G14" s="175"/>
      <c r="H14" s="125">
        <f>H12+H7</f>
        <v>10490349.429999992</v>
      </c>
      <c r="I14" s="176">
        <f>SUM(I7:I13)</f>
        <v>1596154.8714840005</v>
      </c>
      <c r="J14" s="176">
        <f>SUM(J7:J13)</f>
        <v>715103.26851600024</v>
      </c>
      <c r="K14" s="176">
        <f>K12</f>
        <v>5592036.3487819945</v>
      </c>
      <c r="L14" s="176">
        <f>L12</f>
        <v>2587054.941217998</v>
      </c>
      <c r="M14" s="383"/>
    </row>
    <row r="15" spans="1:13" ht="15.75">
      <c r="A15" s="382" t="s">
        <v>183</v>
      </c>
      <c r="C15" s="558">
        <f>4199.51+442374.93</f>
        <v>446574.44</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446574.44</v>
      </c>
      <c r="D17" s="37"/>
      <c r="F17" s="171"/>
      <c r="G17" s="172"/>
      <c r="H17" s="179"/>
      <c r="I17" s="180"/>
      <c r="J17" s="183"/>
      <c r="K17" s="383"/>
      <c r="L17" s="179"/>
      <c r="M17" s="383"/>
    </row>
    <row r="18" spans="1:13" ht="16.5" thickBot="1">
      <c r="A18" s="382" t="s">
        <v>163</v>
      </c>
      <c r="C18" s="558">
        <f>709.25+64352.07+10361</f>
        <v>75422.320000000007</v>
      </c>
      <c r="D18" s="36"/>
      <c r="F18" s="691" t="s">
        <v>134</v>
      </c>
      <c r="G18" s="692"/>
      <c r="H18" s="692"/>
      <c r="I18" s="693"/>
      <c r="J18" s="691" t="s">
        <v>135</v>
      </c>
      <c r="K18" s="692"/>
      <c r="L18" s="692"/>
      <c r="M18" s="693"/>
    </row>
    <row r="19" spans="1:13" ht="15.75">
      <c r="A19" s="46" t="s">
        <v>164</v>
      </c>
      <c r="C19" s="559">
        <v>-362.14</v>
      </c>
      <c r="D19" s="36"/>
      <c r="F19" s="201" t="s">
        <v>108</v>
      </c>
      <c r="G19" s="164" t="s">
        <v>33</v>
      </c>
      <c r="H19" s="164" t="s">
        <v>33</v>
      </c>
      <c r="I19" s="164" t="s">
        <v>33</v>
      </c>
      <c r="J19" s="201" t="s">
        <v>108</v>
      </c>
      <c r="K19" s="164" t="s">
        <v>33</v>
      </c>
      <c r="L19" s="164" t="s">
        <v>33</v>
      </c>
      <c r="M19" s="185" t="s">
        <v>33</v>
      </c>
    </row>
    <row r="20" spans="1:13" ht="16.5" thickBot="1">
      <c r="A20" s="67" t="s">
        <v>93</v>
      </c>
      <c r="C20" s="100">
        <f>SUM(C18:C19)</f>
        <v>75060.180000000008</v>
      </c>
      <c r="D20" s="36"/>
      <c r="F20" s="195" t="s">
        <v>162</v>
      </c>
      <c r="G20" s="165" t="s">
        <v>101</v>
      </c>
      <c r="H20" s="165" t="s">
        <v>36</v>
      </c>
      <c r="I20" s="165" t="s">
        <v>34</v>
      </c>
      <c r="J20" s="195" t="s">
        <v>162</v>
      </c>
      <c r="K20" s="165" t="s">
        <v>101</v>
      </c>
      <c r="L20" s="165" t="s">
        <v>36</v>
      </c>
      <c r="M20" s="165" t="s">
        <v>34</v>
      </c>
    </row>
    <row r="21" spans="1:13" ht="15.75">
      <c r="A21" s="46" t="s">
        <v>149</v>
      </c>
      <c r="C21" s="559">
        <f>1850-118.03</f>
        <v>1731.97</v>
      </c>
      <c r="D21" s="36"/>
      <c r="F21" s="184"/>
      <c r="G21" s="12"/>
      <c r="H21" s="12"/>
      <c r="I21" s="185"/>
      <c r="J21" s="129"/>
      <c r="K21" s="13"/>
      <c r="L21" s="13"/>
      <c r="M21" s="205"/>
    </row>
    <row r="22" spans="1:13" ht="18" customHeight="1">
      <c r="A22" s="65" t="s">
        <v>149</v>
      </c>
      <c r="C22" s="100">
        <f>SUM(C21)</f>
        <v>1731.97</v>
      </c>
      <c r="D22" s="36"/>
      <c r="F22" s="199" t="s">
        <v>126</v>
      </c>
      <c r="G22" s="7"/>
      <c r="H22" s="7"/>
      <c r="I22" s="98"/>
      <c r="J22" s="199" t="s">
        <v>126</v>
      </c>
      <c r="K22" s="7"/>
      <c r="L22" s="7"/>
      <c r="M22" s="98"/>
    </row>
    <row r="23" spans="1:13" ht="15.75">
      <c r="A23" s="208" t="s">
        <v>180</v>
      </c>
      <c r="C23" s="100">
        <v>0</v>
      </c>
      <c r="D23" s="36"/>
      <c r="F23" s="200" t="s">
        <v>37</v>
      </c>
      <c r="G23" s="560">
        <v>22763596</v>
      </c>
      <c r="H23" s="387" t="s">
        <v>306</v>
      </c>
      <c r="I23" s="580">
        <v>2442861</v>
      </c>
      <c r="J23" s="200" t="s">
        <v>37</v>
      </c>
      <c r="K23" s="560">
        <v>10866998</v>
      </c>
      <c r="L23" s="387" t="s">
        <v>306</v>
      </c>
      <c r="M23" s="580">
        <v>1142014</v>
      </c>
    </row>
    <row r="24" spans="1:13" ht="15.75">
      <c r="A24" s="208" t="s">
        <v>186</v>
      </c>
      <c r="C24" s="122">
        <v>0</v>
      </c>
      <c r="D24" s="36"/>
      <c r="F24" s="200" t="s">
        <v>305</v>
      </c>
      <c r="G24" s="560">
        <v>25043</v>
      </c>
      <c r="H24" s="387" t="s">
        <v>306</v>
      </c>
      <c r="I24" s="580">
        <v>2685</v>
      </c>
      <c r="J24" s="200" t="s">
        <v>38</v>
      </c>
      <c r="K24" s="560">
        <v>3547299</v>
      </c>
      <c r="L24" s="387" t="s">
        <v>306</v>
      </c>
      <c r="M24" s="580">
        <v>372958</v>
      </c>
    </row>
    <row r="25" spans="1:13" ht="15.75">
      <c r="A25" s="208" t="s">
        <v>189</v>
      </c>
      <c r="C25" s="556">
        <v>0</v>
      </c>
      <c r="D25" s="36"/>
      <c r="F25" s="200" t="s">
        <v>38</v>
      </c>
      <c r="G25" s="560">
        <v>7830439</v>
      </c>
      <c r="H25" s="387" t="s">
        <v>306</v>
      </c>
      <c r="I25" s="580">
        <v>768458</v>
      </c>
      <c r="J25" s="200" t="s">
        <v>39</v>
      </c>
      <c r="K25" s="560">
        <v>2676</v>
      </c>
      <c r="L25" s="387" t="s">
        <v>306</v>
      </c>
      <c r="M25" s="580">
        <v>281</v>
      </c>
    </row>
    <row r="26" spans="1:13" ht="15.75">
      <c r="A26" s="209" t="s">
        <v>188</v>
      </c>
      <c r="C26" s="313">
        <v>0</v>
      </c>
      <c r="D26" s="36"/>
      <c r="F26" s="200" t="s">
        <v>39</v>
      </c>
      <c r="G26" s="560">
        <v>22211</v>
      </c>
      <c r="H26" s="387" t="s">
        <v>306</v>
      </c>
      <c r="I26" s="580">
        <v>2187</v>
      </c>
      <c r="J26" s="200" t="s">
        <v>40</v>
      </c>
      <c r="K26" s="560">
        <v>0</v>
      </c>
      <c r="L26" s="387" t="s">
        <v>306</v>
      </c>
      <c r="M26" s="580">
        <v>0</v>
      </c>
    </row>
    <row r="27" spans="1:13" ht="15.75">
      <c r="A27" s="65" t="s">
        <v>96</v>
      </c>
      <c r="C27" s="100">
        <f>SUM(C23:C26)</f>
        <v>0</v>
      </c>
      <c r="D27" s="36"/>
      <c r="F27" s="200" t="s">
        <v>40</v>
      </c>
      <c r="G27" s="560">
        <v>377693</v>
      </c>
      <c r="H27" s="387" t="s">
        <v>306</v>
      </c>
      <c r="I27" s="580">
        <v>44396</v>
      </c>
      <c r="J27" s="200" t="s">
        <v>41</v>
      </c>
      <c r="K27" s="560">
        <v>0</v>
      </c>
      <c r="L27" s="387" t="s">
        <v>306</v>
      </c>
      <c r="M27" s="580">
        <f t="shared" ref="M27" si="0">K27*L27</f>
        <v>0</v>
      </c>
    </row>
    <row r="28" spans="1:13" ht="16.5" thickBot="1">
      <c r="A28" s="210" t="s">
        <v>150</v>
      </c>
      <c r="C28" s="311">
        <v>0</v>
      </c>
      <c r="D28" s="37"/>
      <c r="F28" s="200" t="s">
        <v>41</v>
      </c>
      <c r="G28" s="560">
        <v>47834</v>
      </c>
      <c r="H28" s="387" t="s">
        <v>306</v>
      </c>
      <c r="I28" s="580">
        <v>4793</v>
      </c>
      <c r="J28" s="199" t="s">
        <v>127</v>
      </c>
      <c r="K28" s="181">
        <f>SUM(K23:K27)</f>
        <v>14416973</v>
      </c>
      <c r="L28" s="182"/>
      <c r="M28" s="197">
        <f>SUM(M23:M27)</f>
        <v>1515253</v>
      </c>
    </row>
    <row r="29" spans="1:13" ht="17.25" thickTop="1" thickBot="1">
      <c r="A29" s="210" t="s">
        <v>167</v>
      </c>
      <c r="B29" s="383"/>
      <c r="C29" s="311">
        <v>0</v>
      </c>
      <c r="D29" s="36"/>
      <c r="F29" s="200" t="s">
        <v>42</v>
      </c>
      <c r="G29" s="560">
        <v>0</v>
      </c>
      <c r="H29" s="387" t="s">
        <v>306</v>
      </c>
      <c r="I29" s="580">
        <v>0</v>
      </c>
      <c r="J29" s="199"/>
      <c r="K29" s="231">
        <v>14416973</v>
      </c>
      <c r="L29" s="187" t="s">
        <v>102</v>
      </c>
      <c r="M29" s="196">
        <f>M28/K28</f>
        <v>0.10510202106919393</v>
      </c>
    </row>
    <row r="30" spans="1:13" ht="16.5" thickBot="1">
      <c r="A30" s="2" t="s">
        <v>111</v>
      </c>
      <c r="C30" s="125">
        <f>C7+C11+C14+C17+C20+C22+C27+C28+C29</f>
        <v>2209065.9600000004</v>
      </c>
      <c r="D30" s="37"/>
      <c r="F30" s="200" t="s">
        <v>43</v>
      </c>
      <c r="G30" s="560">
        <v>113048</v>
      </c>
      <c r="H30" s="387" t="s">
        <v>306</v>
      </c>
      <c r="I30" s="580">
        <v>7046</v>
      </c>
      <c r="J30" s="200"/>
      <c r="K30" s="230">
        <f>K28-K29</f>
        <v>0</v>
      </c>
      <c r="L30" s="182"/>
      <c r="M30" s="198"/>
    </row>
    <row r="31" spans="1:13" ht="15.75">
      <c r="A31" s="382" t="s">
        <v>112</v>
      </c>
      <c r="C31" s="558">
        <v>-8647.7999999999993</v>
      </c>
      <c r="D31" s="39"/>
      <c r="F31" s="200" t="s">
        <v>74</v>
      </c>
      <c r="G31" s="560">
        <v>3967685</v>
      </c>
      <c r="H31" s="387" t="s">
        <v>306</v>
      </c>
      <c r="I31" s="580">
        <v>2120</v>
      </c>
      <c r="J31" s="153"/>
      <c r="K31" s="7"/>
      <c r="L31" s="182"/>
      <c r="M31" s="198"/>
    </row>
    <row r="32" spans="1:13" ht="16.5" thickBot="1">
      <c r="A32" s="2" t="s">
        <v>116</v>
      </c>
      <c r="B32" s="2" t="s">
        <v>117</v>
      </c>
      <c r="C32" s="564">
        <f>C30+C31</f>
        <v>2200418.1600000006</v>
      </c>
      <c r="D32" s="40"/>
      <c r="F32" s="199" t="s">
        <v>127</v>
      </c>
      <c r="G32" s="181">
        <f>SUM(G23:G31)</f>
        <v>35147549</v>
      </c>
      <c r="H32" s="7"/>
      <c r="I32" s="197">
        <f>SUM(I23:I31)</f>
        <v>3274546</v>
      </c>
      <c r="J32" s="192"/>
      <c r="K32" s="193"/>
      <c r="L32" s="7"/>
      <c r="M32" s="190"/>
    </row>
    <row r="33" spans="1:17" ht="17.25" thickTop="1" thickBot="1">
      <c r="A33" s="382" t="s">
        <v>113</v>
      </c>
      <c r="C33" s="310">
        <f>-C5-C9-C13-C16-C19</f>
        <v>110839.98</v>
      </c>
      <c r="D33" s="36"/>
      <c r="F33" s="186"/>
      <c r="G33" s="231">
        <v>35147549</v>
      </c>
      <c r="H33" s="187" t="s">
        <v>102</v>
      </c>
      <c r="I33" s="216">
        <f>I32/G32</f>
        <v>9.3165699833009694E-2</v>
      </c>
      <c r="J33" s="192"/>
      <c r="K33" s="193"/>
      <c r="L33" s="7"/>
      <c r="M33" s="98"/>
    </row>
    <row r="34" spans="1:17" ht="16.5" thickBot="1">
      <c r="A34" s="2" t="s">
        <v>114</v>
      </c>
      <c r="C34" s="125">
        <f>SUM(C32:C33)</f>
        <v>2311258.1400000006</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578">
        <f>K23</f>
        <v>10866998</v>
      </c>
      <c r="L36" s="387" t="s">
        <v>306</v>
      </c>
      <c r="M36" s="580">
        <v>2363305</v>
      </c>
      <c r="P36" s="272"/>
      <c r="Q36" s="272"/>
    </row>
    <row r="37" spans="1:17" ht="15.75">
      <c r="A37" s="7" t="s">
        <v>129</v>
      </c>
      <c r="B37" s="530" t="s">
        <v>115</v>
      </c>
      <c r="C37" s="558">
        <v>9681385.6999999993</v>
      </c>
      <c r="D37" s="36"/>
      <c r="F37" s="200" t="s">
        <v>37</v>
      </c>
      <c r="G37" s="578">
        <f>G23</f>
        <v>22763596</v>
      </c>
      <c r="H37" s="387" t="s">
        <v>306</v>
      </c>
      <c r="I37" s="580">
        <v>4959905</v>
      </c>
      <c r="J37" s="200" t="s">
        <v>38</v>
      </c>
      <c r="K37" s="578">
        <f>K24</f>
        <v>3547299</v>
      </c>
      <c r="L37" s="387" t="s">
        <v>306</v>
      </c>
      <c r="M37" s="580">
        <v>771804</v>
      </c>
      <c r="P37" s="272"/>
      <c r="Q37" s="272"/>
    </row>
    <row r="38" spans="1:17" ht="15.75">
      <c r="A38" s="144" t="s">
        <v>14</v>
      </c>
      <c r="B38" s="530" t="s">
        <v>115</v>
      </c>
      <c r="C38" s="558">
        <v>0</v>
      </c>
      <c r="D38" s="36"/>
      <c r="F38" s="200" t="s">
        <v>305</v>
      </c>
      <c r="G38" s="578">
        <f>G24</f>
        <v>25043</v>
      </c>
      <c r="H38" s="387" t="s">
        <v>306</v>
      </c>
      <c r="I38" s="580">
        <v>5452</v>
      </c>
      <c r="J38" s="200" t="s">
        <v>39</v>
      </c>
      <c r="K38" s="578">
        <f>K25</f>
        <v>2676</v>
      </c>
      <c r="L38" s="387" t="s">
        <v>306</v>
      </c>
      <c r="M38" s="580">
        <v>582</v>
      </c>
      <c r="P38" s="272"/>
      <c r="Q38" s="272"/>
    </row>
    <row r="39" spans="1:17" ht="15.75">
      <c r="A39" s="7" t="s">
        <v>146</v>
      </c>
      <c r="B39" s="530" t="s">
        <v>147</v>
      </c>
      <c r="C39" s="558">
        <v>-80988.460000000006</v>
      </c>
      <c r="D39" s="36"/>
      <c r="F39" s="200" t="s">
        <v>38</v>
      </c>
      <c r="G39" s="578">
        <f t="shared" ref="G39:G44" si="1">G25</f>
        <v>7830439</v>
      </c>
      <c r="H39" s="387" t="s">
        <v>306</v>
      </c>
      <c r="I39" s="580">
        <v>1699326</v>
      </c>
      <c r="J39" s="200" t="s">
        <v>40</v>
      </c>
      <c r="K39" s="578">
        <f>K26</f>
        <v>0</v>
      </c>
      <c r="L39" s="387" t="s">
        <v>306</v>
      </c>
      <c r="M39" s="580">
        <v>0</v>
      </c>
      <c r="P39" s="272"/>
      <c r="Q39" s="272"/>
    </row>
    <row r="40" spans="1:17" ht="15.75">
      <c r="A40" s="7" t="s">
        <v>131</v>
      </c>
      <c r="B40" s="530" t="s">
        <v>132</v>
      </c>
      <c r="C40" s="558">
        <v>1903258.61</v>
      </c>
      <c r="D40" s="36"/>
      <c r="F40" s="200" t="s">
        <v>39</v>
      </c>
      <c r="G40" s="578">
        <f t="shared" si="1"/>
        <v>22211</v>
      </c>
      <c r="H40" s="387" t="s">
        <v>306</v>
      </c>
      <c r="I40" s="580">
        <v>4835</v>
      </c>
      <c r="J40" s="200" t="s">
        <v>41</v>
      </c>
      <c r="K40" s="578">
        <f>K27</f>
        <v>0</v>
      </c>
      <c r="L40" s="387" t="s">
        <v>306</v>
      </c>
      <c r="M40" s="580">
        <v>0</v>
      </c>
      <c r="P40" s="272"/>
      <c r="Q40" s="272"/>
    </row>
    <row r="41" spans="1:17" ht="15.75">
      <c r="A41" s="7" t="s">
        <v>153</v>
      </c>
      <c r="B41" s="6" t="s">
        <v>155</v>
      </c>
      <c r="C41" s="558">
        <v>-65900.42</v>
      </c>
      <c r="D41" s="36"/>
      <c r="F41" s="200" t="s">
        <v>40</v>
      </c>
      <c r="G41" s="578">
        <f t="shared" si="1"/>
        <v>377693</v>
      </c>
      <c r="H41" s="387" t="s">
        <v>306</v>
      </c>
      <c r="I41" s="580">
        <v>92839</v>
      </c>
      <c r="J41" s="200" t="s">
        <v>42</v>
      </c>
      <c r="K41" s="560">
        <v>0</v>
      </c>
      <c r="L41" s="387" t="s">
        <v>306</v>
      </c>
      <c r="M41" s="580">
        <v>0</v>
      </c>
      <c r="P41" s="272"/>
      <c r="Q41" s="272"/>
    </row>
    <row r="42" spans="1:17" ht="16.5" thickBot="1">
      <c r="A42" s="7" t="s">
        <v>178</v>
      </c>
      <c r="B42" s="530" t="s">
        <v>179</v>
      </c>
      <c r="C42" s="558">
        <v>545907.52</v>
      </c>
      <c r="D42" s="37"/>
      <c r="F42" s="200" t="s">
        <v>41</v>
      </c>
      <c r="G42" s="578">
        <f t="shared" si="1"/>
        <v>47834</v>
      </c>
      <c r="H42" s="387" t="s">
        <v>306</v>
      </c>
      <c r="I42" s="580">
        <v>10598</v>
      </c>
      <c r="J42" s="200" t="s">
        <v>43</v>
      </c>
      <c r="K42" s="579">
        <v>0</v>
      </c>
      <c r="L42" s="387" t="s">
        <v>306</v>
      </c>
      <c r="M42" s="580">
        <v>0</v>
      </c>
      <c r="P42" s="272"/>
      <c r="Q42" s="272"/>
    </row>
    <row r="43" spans="1:17" ht="16.5" thickBot="1">
      <c r="A43" s="85" t="s">
        <v>123</v>
      </c>
      <c r="B43" s="12"/>
      <c r="C43" s="125">
        <f>SUM(C37:C42)</f>
        <v>11983662.949999997</v>
      </c>
      <c r="D43" s="36"/>
      <c r="F43" s="200" t="s">
        <v>42</v>
      </c>
      <c r="G43" s="578">
        <f t="shared" si="1"/>
        <v>0</v>
      </c>
      <c r="H43" s="387" t="s">
        <v>306</v>
      </c>
      <c r="I43" s="580">
        <v>0</v>
      </c>
      <c r="J43" s="199" t="s">
        <v>133</v>
      </c>
      <c r="K43" s="181">
        <f>SUM(K36:K42)</f>
        <v>14416973</v>
      </c>
      <c r="L43" s="182"/>
      <c r="M43" s="197">
        <f>SUM(M36:M42)</f>
        <v>3135691</v>
      </c>
    </row>
    <row r="44" spans="1:17" ht="16.5" thickBot="1">
      <c r="A44" s="83" t="s">
        <v>177</v>
      </c>
      <c r="B44" s="84" t="s">
        <v>120</v>
      </c>
      <c r="C44" s="558">
        <f>-12758.63+6121088.52-68133.37+5988.15</f>
        <v>6046184.6699999999</v>
      </c>
      <c r="D44" s="37"/>
      <c r="F44" s="200" t="s">
        <v>43</v>
      </c>
      <c r="G44" s="578">
        <f t="shared" si="1"/>
        <v>113048</v>
      </c>
      <c r="H44" s="387" t="s">
        <v>306</v>
      </c>
      <c r="I44" s="580">
        <v>24607</v>
      </c>
      <c r="J44" s="194"/>
      <c r="K44" s="232">
        <v>14416973</v>
      </c>
      <c r="L44" s="189" t="s">
        <v>102</v>
      </c>
      <c r="M44" s="217">
        <f>M43/K43</f>
        <v>0.2174999564749133</v>
      </c>
    </row>
    <row r="45" spans="1:17" ht="16.5" thickBot="1">
      <c r="A45" s="211" t="s">
        <v>168</v>
      </c>
      <c r="B45" s="6" t="s">
        <v>115</v>
      </c>
      <c r="C45" s="122">
        <v>0</v>
      </c>
      <c r="D45" s="39"/>
      <c r="F45" s="199" t="s">
        <v>133</v>
      </c>
      <c r="G45" s="181">
        <f>SUM(G37:G44)</f>
        <v>31179864</v>
      </c>
      <c r="H45" s="182"/>
      <c r="I45" s="197">
        <f>SUM(I37:I44)</f>
        <v>6797562</v>
      </c>
      <c r="J45" s="124"/>
      <c r="K45" s="230">
        <f>K43-K44</f>
        <v>0</v>
      </c>
      <c r="L45" s="383"/>
      <c r="M45" s="124"/>
    </row>
    <row r="46" spans="1:17" ht="19.5" customHeight="1" thickTop="1" thickBot="1">
      <c r="A46" s="144" t="s">
        <v>169</v>
      </c>
      <c r="B46" s="6" t="s">
        <v>115</v>
      </c>
      <c r="C46" s="122">
        <v>0</v>
      </c>
      <c r="D46" s="40"/>
      <c r="F46" s="188"/>
      <c r="G46" s="232">
        <v>31179864</v>
      </c>
      <c r="H46" s="189" t="s">
        <v>102</v>
      </c>
      <c r="I46" s="215">
        <f>I45/G45</f>
        <v>0.21801127804790937</v>
      </c>
      <c r="J46" s="124"/>
      <c r="K46" s="114"/>
      <c r="L46" s="383"/>
      <c r="M46" s="68"/>
    </row>
    <row r="47" spans="1:17" ht="15.75">
      <c r="A47" s="382" t="s">
        <v>137</v>
      </c>
      <c r="B47" s="6" t="s">
        <v>115</v>
      </c>
      <c r="C47" s="558">
        <v>-118762.51</v>
      </c>
      <c r="D47" s="36"/>
      <c r="F47" s="383"/>
      <c r="G47" s="230">
        <f>G45-G46</f>
        <v>0</v>
      </c>
      <c r="H47" s="383"/>
      <c r="I47" s="383"/>
      <c r="J47" s="124"/>
      <c r="K47" s="114"/>
      <c r="L47" s="383"/>
      <c r="M47" s="68"/>
    </row>
    <row r="48" spans="1:17" ht="16.5" thickBot="1">
      <c r="A48" s="144" t="s">
        <v>304</v>
      </c>
      <c r="B48" s="6" t="s">
        <v>115</v>
      </c>
      <c r="C48" s="558">
        <v>7000</v>
      </c>
      <c r="D48" s="36"/>
      <c r="F48" s="383"/>
      <c r="G48" s="383"/>
      <c r="H48" s="383"/>
      <c r="I48" s="383"/>
      <c r="J48" s="124"/>
      <c r="K48" s="114"/>
      <c r="L48" s="383"/>
      <c r="M48" s="383"/>
    </row>
    <row r="49" spans="1:21" ht="15.75">
      <c r="A49" s="7" t="s">
        <v>130</v>
      </c>
      <c r="B49" s="530" t="s">
        <v>152</v>
      </c>
      <c r="C49" s="558">
        <v>22876.54</v>
      </c>
      <c r="D49" s="36"/>
      <c r="F49" s="383"/>
      <c r="G49" s="114"/>
      <c r="H49" s="129" t="s">
        <v>35</v>
      </c>
      <c r="I49" s="13" t="s">
        <v>35</v>
      </c>
      <c r="J49" s="13" t="s">
        <v>63</v>
      </c>
      <c r="K49" s="127" t="s">
        <v>70</v>
      </c>
      <c r="L49" s="124"/>
      <c r="M49" s="383"/>
    </row>
    <row r="50" spans="1:21" ht="16.5" thickBot="1">
      <c r="A50" s="7" t="s">
        <v>222</v>
      </c>
      <c r="B50" s="530" t="s">
        <v>152</v>
      </c>
      <c r="C50" s="558">
        <v>4085.49</v>
      </c>
      <c r="D50" s="37"/>
      <c r="F50" s="50" t="s">
        <v>73</v>
      </c>
      <c r="G50" s="383"/>
      <c r="H50" s="130" t="s">
        <v>2</v>
      </c>
      <c r="I50" s="131" t="s">
        <v>3</v>
      </c>
      <c r="J50" s="131" t="s">
        <v>2</v>
      </c>
      <c r="K50" s="128" t="s">
        <v>3</v>
      </c>
      <c r="L50" s="383"/>
      <c r="M50" s="383"/>
    </row>
    <row r="51" spans="1:21" ht="15.75">
      <c r="A51" s="7" t="s">
        <v>308</v>
      </c>
      <c r="B51" s="530" t="s">
        <v>152</v>
      </c>
      <c r="C51" s="558">
        <v>8192.9599999999991</v>
      </c>
      <c r="D51" s="36"/>
      <c r="F51" s="383"/>
      <c r="G51" s="383"/>
      <c r="H51" s="151"/>
      <c r="I51" s="152"/>
      <c r="J51" s="152"/>
      <c r="K51" s="152"/>
      <c r="L51" s="126" t="s">
        <v>103</v>
      </c>
      <c r="M51" s="383"/>
    </row>
    <row r="52" spans="1:21" ht="15.75">
      <c r="A52" s="22" t="s">
        <v>118</v>
      </c>
      <c r="B52" s="6"/>
      <c r="C52" s="100">
        <f>-C33</f>
        <v>-110839.98</v>
      </c>
      <c r="D52" s="33"/>
      <c r="F52" s="383" t="s">
        <v>136</v>
      </c>
      <c r="G52" s="383"/>
      <c r="H52" s="212">
        <f>K12</f>
        <v>5592036.3487819945</v>
      </c>
      <c r="I52" s="115">
        <f>I14</f>
        <v>1596154.8714840005</v>
      </c>
      <c r="J52" s="115">
        <f>L12</f>
        <v>2587054.941217998</v>
      </c>
      <c r="K52" s="115">
        <f>J14</f>
        <v>715103.26851600024</v>
      </c>
      <c r="L52" s="132">
        <f>SUM(H52:K52)</f>
        <v>10490349.429999992</v>
      </c>
    </row>
    <row r="53" spans="1:21" ht="16.5" thickBot="1">
      <c r="A53" s="383" t="s">
        <v>315</v>
      </c>
      <c r="B53" s="613" t="s">
        <v>316</v>
      </c>
      <c r="C53" s="558">
        <v>6406.34</v>
      </c>
      <c r="D53" s="36"/>
      <c r="F53" s="382" t="s">
        <v>109</v>
      </c>
      <c r="H53" s="212">
        <f>-I45</f>
        <v>-6797562</v>
      </c>
      <c r="I53" s="115">
        <f>-I32</f>
        <v>-3274546</v>
      </c>
      <c r="J53" s="115">
        <f>-M43</f>
        <v>-3135691</v>
      </c>
      <c r="K53" s="115">
        <f>-M28</f>
        <v>-1515253</v>
      </c>
      <c r="L53" s="260">
        <f>SUM(H53:K53)</f>
        <v>-14723052</v>
      </c>
    </row>
    <row r="54" spans="1:21" ht="16.5" thickBot="1">
      <c r="A54" s="380" t="s">
        <v>124</v>
      </c>
      <c r="B54" s="471" t="s">
        <v>296</v>
      </c>
      <c r="C54" s="558">
        <f>-249251.63-5848184.37-3206190.57</f>
        <v>-9303626.5700000003</v>
      </c>
      <c r="D54" s="36"/>
      <c r="F54" s="382" t="s">
        <v>86</v>
      </c>
      <c r="H54" s="234">
        <v>0</v>
      </c>
      <c r="I54" s="235">
        <v>0</v>
      </c>
      <c r="J54" s="235">
        <v>0</v>
      </c>
      <c r="K54" s="236">
        <v>0</v>
      </c>
      <c r="L54" s="214">
        <f>SUM(L52:L53)</f>
        <v>-4232702.5700000077</v>
      </c>
    </row>
    <row r="55" spans="1:21" ht="16.5" thickBot="1">
      <c r="A55" s="382" t="s">
        <v>312</v>
      </c>
      <c r="B55" s="6" t="s">
        <v>190</v>
      </c>
      <c r="C55" s="558">
        <v>-375000</v>
      </c>
      <c r="D55" s="36"/>
      <c r="F55" s="382" t="s">
        <v>71</v>
      </c>
      <c r="H55" s="125">
        <f>IFERROR(H52+H53+H54,0)</f>
        <v>-1205525.6512180055</v>
      </c>
      <c r="I55" s="125">
        <f>I52+I53+I54</f>
        <v>-1678391.1285159995</v>
      </c>
      <c r="J55" s="125">
        <f>IFERROR(J52+J53+J54,0)</f>
        <v>-548636.05878200196</v>
      </c>
      <c r="K55" s="125">
        <f>K52+K53+K54</f>
        <v>-800149.73148399976</v>
      </c>
      <c r="L55" s="47">
        <f>SUM(H55:K55)</f>
        <v>-4232702.5700000068</v>
      </c>
    </row>
    <row r="56" spans="1:21" ht="16.5" thickBot="1">
      <c r="A56" s="82" t="s">
        <v>119</v>
      </c>
      <c r="B56" s="84"/>
      <c r="C56" s="160">
        <f>SUM(C43:C55)</f>
        <v>8170179.8899999931</v>
      </c>
      <c r="D56" s="36"/>
      <c r="F56" s="239" t="s">
        <v>181</v>
      </c>
      <c r="H56" s="382" t="s">
        <v>173</v>
      </c>
      <c r="I56" s="5">
        <f>SUM(H55:I55)</f>
        <v>-2883916.7797340052</v>
      </c>
      <c r="J56" s="15" t="s">
        <v>174</v>
      </c>
      <c r="K56" s="382">
        <f>SUM(J55:K55)</f>
        <v>-1348785.7902660016</v>
      </c>
      <c r="L56" s="213">
        <f>ROUND(L54-L55,3)</f>
        <v>0</v>
      </c>
      <c r="T56" s="42"/>
    </row>
    <row r="57" spans="1:21" ht="16.5" thickTop="1">
      <c r="A57" s="382" t="s">
        <v>121</v>
      </c>
      <c r="B57" s="6" t="s">
        <v>115</v>
      </c>
      <c r="C57" s="558">
        <v>5267.34</v>
      </c>
      <c r="D57" s="36"/>
      <c r="F57" s="395" t="s">
        <v>181</v>
      </c>
      <c r="H57" s="96"/>
    </row>
    <row r="58" spans="1:21" ht="16.5" thickBot="1">
      <c r="A58" s="382" t="s">
        <v>122</v>
      </c>
      <c r="B58" s="6" t="s">
        <v>115</v>
      </c>
      <c r="C58" s="558">
        <v>3644.06</v>
      </c>
      <c r="D58" s="36"/>
      <c r="F58" s="395" t="s">
        <v>182</v>
      </c>
      <c r="H58" s="157"/>
      <c r="I58" s="120"/>
      <c r="J58" s="120"/>
      <c r="K58" s="204"/>
      <c r="L58" s="120"/>
    </row>
    <row r="59" spans="1:21" ht="16.5" thickBot="1">
      <c r="A59" s="2" t="s">
        <v>125</v>
      </c>
      <c r="B59" s="2"/>
      <c r="C59" s="160">
        <f>SUM(C56:C58)</f>
        <v>8179091.2899999926</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10490349.429999992</v>
      </c>
      <c r="D61" s="37"/>
      <c r="H61" s="347" t="e">
        <f>SUM('WA - Def-Amtz (current)'!AS5:AS10,'WA - Def-Amtz (current)'!AS35:AS40,'WA - Def-Amtz (current)'!AS70:AS73,#REF!,#REF!,#REF!)</f>
        <v>#REF!</v>
      </c>
      <c r="I61" s="447" t="e">
        <f>SUM('WA - Def-Amtz (current)'!AT5:AT10,'WA - Def-Amtz (current)'!AT35:AT40,'WA - Def-Amtz (current)'!AT70:AT73,#REF!,#REF!,#REF!)</f>
        <v>#REF!</v>
      </c>
      <c r="J61" s="382">
        <f>H53+I53+J53+K53</f>
        <v>-14723052</v>
      </c>
    </row>
    <row r="62" spans="1:21" ht="15.75">
      <c r="A62" s="2"/>
      <c r="B62" s="9" t="s">
        <v>160</v>
      </c>
      <c r="C62" s="348">
        <v>10490349.43</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08" priority="6" stopIfTrue="1" operator="equal">
      <formula>0</formula>
    </cfRule>
    <cfRule type="cellIs" dxfId="207" priority="7" stopIfTrue="1" operator="notEqual">
      <formula>0</formula>
    </cfRule>
  </conditionalFormatting>
  <conditionalFormatting sqref="G34 G47 K30 K45">
    <cfRule type="cellIs" dxfId="206" priority="5" operator="notEqual">
      <formula>0</formula>
    </cfRule>
  </conditionalFormatting>
  <conditionalFormatting sqref="C63">
    <cfRule type="cellIs" dxfId="205" priority="3" stopIfTrue="1" operator="equal">
      <formula>0</formula>
    </cfRule>
    <cfRule type="cellIs" dxfId="204" priority="4" stopIfTrue="1" operator="notEqual">
      <formula>0</formula>
    </cfRule>
  </conditionalFormatting>
  <conditionalFormatting sqref="K30">
    <cfRule type="cellIs" dxfId="203" priority="2" operator="notEqual">
      <formula>0</formula>
    </cfRule>
  </conditionalFormatting>
  <conditionalFormatting sqref="G59">
    <cfRule type="cellIs" dxfId="202"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CC66"/>
    <pageSetUpPr fitToPage="1"/>
  </sheetPr>
  <dimension ref="A1:BI112"/>
  <sheetViews>
    <sheetView showGridLines="0" tabSelected="1" zoomScale="70" zoomScaleNormal="70" zoomScaleSheetLayoutView="85" workbookViewId="0">
      <pane xSplit="2" ySplit="3" topLeftCell="C19" activePane="bottomRight" state="frozen"/>
      <selection activeCell="BD49" activeCellId="1" sqref="BD13 BD49"/>
      <selection pane="topRight" activeCell="BD49" activeCellId="1" sqref="BD13 BD49"/>
      <selection pane="bottomLeft" activeCell="BD49" activeCellId="1" sqref="BD13 BD49"/>
      <selection pane="bottomRight" activeCell="AJ36" sqref="AJ36"/>
    </sheetView>
  </sheetViews>
  <sheetFormatPr defaultColWidth="9.140625" defaultRowHeight="15.75" outlineLevelRow="1" outlineLevelCol="1"/>
  <cols>
    <col min="1" max="1" width="17.28515625" style="478" customWidth="1"/>
    <col min="2" max="2" width="18.7109375" style="477" customWidth="1"/>
    <col min="3" max="3" width="17.5703125" style="478" customWidth="1"/>
    <col min="4" max="4" width="17.85546875" style="478" customWidth="1"/>
    <col min="5" max="6" width="16.28515625" style="478" hidden="1" customWidth="1" outlineLevel="1"/>
    <col min="7" max="7" width="17.42578125" style="478" hidden="1" customWidth="1" outlineLevel="1"/>
    <col min="8" max="8" width="15.5703125" style="478" hidden="1" customWidth="1" outlineLevel="1"/>
    <col min="9" max="13" width="17.42578125" style="478" hidden="1" customWidth="1" outlineLevel="1"/>
    <col min="14" max="14" width="17.5703125" style="478" hidden="1" customWidth="1" outlineLevel="1"/>
    <col min="15" max="15" width="18.140625" style="478" hidden="1" customWidth="1" outlineLevel="1"/>
    <col min="16" max="16" width="17.7109375" style="478" hidden="1" customWidth="1" outlineLevel="1"/>
    <col min="17" max="17" width="18.7109375" style="478" hidden="1" customWidth="1" outlineLevel="1"/>
    <col min="18" max="18" width="19.140625" style="478" hidden="1" customWidth="1" outlineLevel="1"/>
    <col min="19" max="19" width="17.42578125" style="478" hidden="1" customWidth="1" outlineLevel="1"/>
    <col min="20" max="20" width="16.7109375" style="478" hidden="1" customWidth="1" outlineLevel="1"/>
    <col min="21" max="22" width="17.42578125" style="478" hidden="1" customWidth="1" outlineLevel="1"/>
    <col min="23" max="25" width="17.42578125" style="478" hidden="1" customWidth="1"/>
    <col min="26" max="26" width="18.5703125" style="478" hidden="1" customWidth="1"/>
    <col min="27" max="27" width="18.140625" style="478" hidden="1" customWidth="1"/>
    <col min="28" max="35" width="17.7109375" style="478" hidden="1" customWidth="1"/>
    <col min="36" max="38" width="17.7109375" style="478" customWidth="1"/>
    <col min="39" max="39" width="17.7109375" style="478" customWidth="1" outlineLevel="1"/>
    <col min="40" max="40" width="3.42578125" style="548" customWidth="1"/>
    <col min="41" max="41" width="34.42578125" style="478" customWidth="1"/>
    <col min="42" max="42" width="14.42578125" style="518" bestFit="1" customWidth="1"/>
    <col min="43" max="43" width="4.7109375" style="478" bestFit="1" customWidth="1"/>
    <col min="44" max="44" width="5" style="478" bestFit="1" customWidth="1"/>
    <col min="45" max="45" width="18.28515625" style="478" customWidth="1"/>
    <col min="46" max="46" width="17.140625" style="478" bestFit="1" customWidth="1"/>
    <col min="47" max="47" width="0.42578125" style="478" customWidth="1"/>
    <col min="48" max="48" width="9.140625" style="478"/>
    <col min="49" max="49" width="10.5703125" style="478" bestFit="1" customWidth="1"/>
    <col min="50" max="50" width="11.28515625" style="478" bestFit="1" customWidth="1"/>
    <col min="51" max="53" width="9.140625" style="478"/>
    <col min="54" max="54" width="23.85546875" style="478" bestFit="1" customWidth="1"/>
    <col min="55" max="55" width="11.7109375" style="478" bestFit="1" customWidth="1"/>
    <col min="56" max="56" width="4.28515625" style="478" bestFit="1" customWidth="1"/>
    <col min="57" max="57" width="4.5703125" style="478" bestFit="1" customWidth="1"/>
    <col min="58" max="60" width="11.7109375" style="478" bestFit="1" customWidth="1"/>
    <col min="61" max="16384" width="9.140625" style="478"/>
  </cols>
  <sheetData>
    <row r="1" spans="1:48">
      <c r="A1" s="476" t="s">
        <v>261</v>
      </c>
      <c r="AO1" s="476" t="s">
        <v>295</v>
      </c>
      <c r="AR1" s="479" t="s">
        <v>314</v>
      </c>
      <c r="AS1" s="479"/>
    </row>
    <row r="2" spans="1:48">
      <c r="A2" s="479" t="s">
        <v>262</v>
      </c>
    </row>
    <row r="3" spans="1:48" s="479" customFormat="1" ht="32.25" thickBot="1">
      <c r="A3" s="480">
        <v>191010</v>
      </c>
      <c r="B3" s="481" t="s">
        <v>252</v>
      </c>
      <c r="C3" s="482" t="s">
        <v>248</v>
      </c>
      <c r="D3" s="483" t="s">
        <v>257</v>
      </c>
      <c r="E3" s="480">
        <v>201601</v>
      </c>
      <c r="F3" s="480">
        <f>E3+1</f>
        <v>201602</v>
      </c>
      <c r="G3" s="480">
        <f t="shared" ref="G3:O3" si="0">F3+1</f>
        <v>201603</v>
      </c>
      <c r="H3" s="480">
        <f t="shared" si="0"/>
        <v>201604</v>
      </c>
      <c r="I3" s="480">
        <f t="shared" si="0"/>
        <v>201605</v>
      </c>
      <c r="J3" s="480">
        <f t="shared" si="0"/>
        <v>201606</v>
      </c>
      <c r="K3" s="480">
        <f>J3+1</f>
        <v>201607</v>
      </c>
      <c r="L3" s="480">
        <f t="shared" si="0"/>
        <v>201608</v>
      </c>
      <c r="M3" s="480">
        <f t="shared" si="0"/>
        <v>201609</v>
      </c>
      <c r="N3" s="480">
        <f t="shared" si="0"/>
        <v>201610</v>
      </c>
      <c r="O3" s="480">
        <f t="shared" si="0"/>
        <v>201611</v>
      </c>
      <c r="P3" s="480">
        <f>O3+1</f>
        <v>201612</v>
      </c>
      <c r="Q3" s="480">
        <v>201701</v>
      </c>
      <c r="R3" s="480">
        <f>Q3+1</f>
        <v>201702</v>
      </c>
      <c r="S3" s="480">
        <f t="shared" ref="S3" si="1">R3+1</f>
        <v>201703</v>
      </c>
      <c r="T3" s="480">
        <f t="shared" ref="T3" si="2">S3+1</f>
        <v>201704</v>
      </c>
      <c r="U3" s="480">
        <f t="shared" ref="U3" si="3">T3+1</f>
        <v>201705</v>
      </c>
      <c r="V3" s="480">
        <f t="shared" ref="V3" si="4">U3+1</f>
        <v>201706</v>
      </c>
      <c r="W3" s="480">
        <f>V3+1</f>
        <v>201707</v>
      </c>
      <c r="X3" s="480">
        <f t="shared" ref="X3" si="5">W3+1</f>
        <v>201708</v>
      </c>
      <c r="Y3" s="480">
        <f t="shared" ref="Y3" si="6">X3+1</f>
        <v>201709</v>
      </c>
      <c r="Z3" s="480">
        <f t="shared" ref="Z3" si="7">Y3+1</f>
        <v>201710</v>
      </c>
      <c r="AA3" s="480">
        <f t="shared" ref="AA3" si="8">Z3+1</f>
        <v>201711</v>
      </c>
      <c r="AB3" s="480">
        <f>AA3+1</f>
        <v>201712</v>
      </c>
      <c r="AC3" s="480">
        <v>201801</v>
      </c>
      <c r="AD3" s="480">
        <v>201802</v>
      </c>
      <c r="AE3" s="480">
        <v>201803</v>
      </c>
      <c r="AF3" s="480">
        <v>201804</v>
      </c>
      <c r="AG3" s="480">
        <v>201805</v>
      </c>
      <c r="AH3" s="480">
        <v>201806</v>
      </c>
      <c r="AI3" s="480">
        <v>201807</v>
      </c>
      <c r="AJ3" s="480">
        <v>201808</v>
      </c>
      <c r="AK3" s="480">
        <v>201809</v>
      </c>
      <c r="AL3" s="480">
        <v>201810</v>
      </c>
      <c r="AM3" s="480">
        <v>201811</v>
      </c>
      <c r="AN3" s="562"/>
      <c r="AP3" s="480"/>
    </row>
    <row r="4" spans="1:48" s="479" customFormat="1" ht="16.5" thickBot="1">
      <c r="B4" s="481" t="s">
        <v>253</v>
      </c>
      <c r="C4" s="478"/>
      <c r="E4" s="484">
        <v>3.2500000000000001E-2</v>
      </c>
      <c r="F4" s="484">
        <v>3.2500000000000001E-2</v>
      </c>
      <c r="G4" s="484">
        <v>3.2500000000000001E-2</v>
      </c>
      <c r="H4" s="484">
        <v>3.4599999999999999E-2</v>
      </c>
      <c r="I4" s="484">
        <v>3.4599999999999999E-2</v>
      </c>
      <c r="J4" s="484">
        <v>3.4599999999999999E-2</v>
      </c>
      <c r="K4" s="484">
        <v>3.5000000000000003E-2</v>
      </c>
      <c r="L4" s="568">
        <v>3.5000000000000003E-2</v>
      </c>
      <c r="M4" s="484">
        <v>3.5000000000000003E-2</v>
      </c>
      <c r="N4" s="484">
        <v>3.5000000000000003E-2</v>
      </c>
      <c r="O4" s="484">
        <v>3.5000000000000003E-2</v>
      </c>
      <c r="P4" s="484">
        <v>3.5000000000000003E-2</v>
      </c>
      <c r="Q4" s="591">
        <v>3.5000000000000003E-2</v>
      </c>
      <c r="R4" s="591">
        <v>3.5000000000000003E-2</v>
      </c>
      <c r="S4" s="591">
        <v>3.5000000000000003E-2</v>
      </c>
      <c r="T4" s="591">
        <v>3.7100000000000001E-2</v>
      </c>
      <c r="U4" s="591">
        <v>3.7100000000000001E-2</v>
      </c>
      <c r="V4" s="591">
        <v>3.7100000000000001E-2</v>
      </c>
      <c r="W4" s="591">
        <v>3.9600000000000003E-2</v>
      </c>
      <c r="X4" s="591">
        <v>3.9600000000000003E-2</v>
      </c>
      <c r="Y4" s="591">
        <v>3.9600000000000003E-2</v>
      </c>
      <c r="Z4" s="591">
        <v>4.2099999999999999E-2</v>
      </c>
      <c r="AA4" s="591">
        <v>4.2099999999999999E-2</v>
      </c>
      <c r="AB4" s="591">
        <v>4.2099999999999999E-2</v>
      </c>
      <c r="AC4" s="591">
        <v>4.2500000000000003E-2</v>
      </c>
      <c r="AD4" s="591">
        <v>4.2500000000000003E-2</v>
      </c>
      <c r="AE4" s="591">
        <v>4.2500000000000003E-2</v>
      </c>
      <c r="AF4" s="591">
        <v>4.4699999999999997E-2</v>
      </c>
      <c r="AG4" s="591">
        <v>4.4699999999999997E-2</v>
      </c>
      <c r="AH4" s="591">
        <v>4.4699999999999997E-2</v>
      </c>
      <c r="AI4" s="591">
        <v>4.6899999999999997E-2</v>
      </c>
      <c r="AJ4" s="591">
        <v>4.6899999999999997E-2</v>
      </c>
      <c r="AK4" s="591">
        <v>4.6899999999999997E-2</v>
      </c>
      <c r="AL4" s="591">
        <v>4.9599999999999998E-2</v>
      </c>
      <c r="AM4" s="591">
        <v>4.9599999999999998E-2</v>
      </c>
      <c r="AN4" s="562"/>
      <c r="AO4" s="534">
        <v>201811</v>
      </c>
      <c r="AP4" s="519"/>
      <c r="AQ4" s="507"/>
      <c r="AR4" s="507"/>
      <c r="AS4" s="507"/>
      <c r="AT4" s="508"/>
    </row>
    <row r="5" spans="1:48" ht="16.5" thickBot="1">
      <c r="B5" s="477" t="s">
        <v>250</v>
      </c>
      <c r="D5" s="478">
        <f>E5</f>
        <v>-6508323.8685397729</v>
      </c>
      <c r="E5" s="478">
        <v>-6508323.8685397729</v>
      </c>
      <c r="F5" s="478">
        <f t="shared" ref="F5:P5" si="9">E13</f>
        <v>-8439847.1132167727</v>
      </c>
      <c r="G5" s="478">
        <f t="shared" si="9"/>
        <v>-9264796.9494047705</v>
      </c>
      <c r="H5" s="478">
        <f t="shared" si="9"/>
        <v>-10398819.535470769</v>
      </c>
      <c r="I5" s="478">
        <f t="shared" si="9"/>
        <v>-12153304.785960769</v>
      </c>
      <c r="J5" s="478">
        <f t="shared" si="9"/>
        <v>-12778894.072104771</v>
      </c>
      <c r="K5" s="478">
        <f>J13</f>
        <v>-14182183.944992768</v>
      </c>
      <c r="L5" s="478">
        <f t="shared" si="9"/>
        <v>-15130761.40771677</v>
      </c>
      <c r="M5" s="478">
        <f>L13</f>
        <v>-15660034.00335677</v>
      </c>
      <c r="N5" s="478">
        <f t="shared" si="9"/>
        <v>-16306032.832939774</v>
      </c>
      <c r="O5" s="478">
        <f>N13</f>
        <v>-16534597.329101773</v>
      </c>
      <c r="P5" s="478">
        <f t="shared" si="9"/>
        <v>-3075004.5709557864</v>
      </c>
      <c r="Q5" s="478">
        <f>P13</f>
        <v>-6818269.0378097855</v>
      </c>
      <c r="R5" s="478">
        <f>Q13</f>
        <v>-10248016.525328787</v>
      </c>
      <c r="S5" s="478">
        <f>R13</f>
        <v>-12338677.191237787</v>
      </c>
      <c r="T5" s="478">
        <f t="shared" ref="T5" si="10">S13</f>
        <v>-13990367.081666788</v>
      </c>
      <c r="U5" s="547">
        <f t="shared" ref="U5" si="11">T13</f>
        <v>-15173451.409781789</v>
      </c>
      <c r="V5" s="478">
        <f t="shared" ref="V5" si="12">U13</f>
        <v>-15098116.96234579</v>
      </c>
      <c r="W5" s="478">
        <f>V13</f>
        <v>-14771177.38731979</v>
      </c>
      <c r="X5" s="547">
        <f t="shared" ref="X5" si="13">W13</f>
        <v>-15909772.702550791</v>
      </c>
      <c r="Y5" s="478">
        <f>X13</f>
        <v>-16977268.897435792</v>
      </c>
      <c r="Z5" s="478">
        <f t="shared" ref="Z5" si="14">Y13</f>
        <v>-18962414.798894793</v>
      </c>
      <c r="AA5" s="478">
        <f>Z13</f>
        <v>-21954910.563472789</v>
      </c>
      <c r="AB5" s="478">
        <f t="shared" ref="AB5" si="15">AA13</f>
        <v>-8189815.5396147836</v>
      </c>
      <c r="AC5" s="478">
        <f t="shared" ref="AC5:AG5" si="16">AB13</f>
        <v>-11107523.78934879</v>
      </c>
      <c r="AD5" s="547">
        <f t="shared" si="16"/>
        <v>-13225129.045603791</v>
      </c>
      <c r="AE5" s="547">
        <f t="shared" si="16"/>
        <v>-13264083.729049791</v>
      </c>
      <c r="AF5" s="547">
        <f t="shared" si="16"/>
        <v>-13822513.408797791</v>
      </c>
      <c r="AG5" s="547">
        <f t="shared" si="16"/>
        <v>-15210763.179049792</v>
      </c>
      <c r="AH5" s="547">
        <f t="shared" ref="AH5:AM5" si="17">AG13</f>
        <v>-15585609.433038792</v>
      </c>
      <c r="AI5" s="547">
        <f t="shared" si="17"/>
        <v>-15619860.019682793</v>
      </c>
      <c r="AJ5" s="547">
        <f>AI13</f>
        <v>-16745497.680481793</v>
      </c>
      <c r="AK5" s="547">
        <f>AJ13</f>
        <v>-18677163.365235794</v>
      </c>
      <c r="AL5" s="547">
        <f t="shared" si="17"/>
        <v>-19095614.906968795</v>
      </c>
      <c r="AM5" s="547">
        <f t="shared" si="17"/>
        <v>-22888085.886205796</v>
      </c>
      <c r="AO5" s="491" t="s">
        <v>284</v>
      </c>
      <c r="AP5" s="520">
        <v>419600</v>
      </c>
      <c r="AQ5" s="492" t="s">
        <v>280</v>
      </c>
      <c r="AR5" s="492" t="s">
        <v>281</v>
      </c>
      <c r="AS5" s="512">
        <v>0</v>
      </c>
      <c r="AT5" s="513">
        <f>IF(SUMIF(E3:AM3,AO4,E8:AM8)&gt;0,SUMIF(E3:AM3,AO4,E8:AM8),0)</f>
        <v>0</v>
      </c>
      <c r="AV5" s="478" t="str">
        <f>_xll.GLW_Segment_Description(AP5,2,2)</f>
        <v>INTEREST ON ENERGY DEFERRALS</v>
      </c>
    </row>
    <row r="6" spans="1:48">
      <c r="B6" s="477" t="s">
        <v>309</v>
      </c>
      <c r="C6" s="478">
        <f>SUM(Q6:AB6)</f>
        <v>-14998507.255011011</v>
      </c>
      <c r="D6" s="478">
        <f t="shared" ref="D6:D12" si="18">SUM(E6:AB6)</f>
        <v>-28170584.433512013</v>
      </c>
      <c r="E6" s="572">
        <v>-173856.58066100068</v>
      </c>
      <c r="F6" s="572">
        <v>105835.91384800058</v>
      </c>
      <c r="G6" s="572">
        <v>-604740.2805199977</v>
      </c>
      <c r="H6" s="572">
        <v>-2253526.4287800011</v>
      </c>
      <c r="I6" s="572">
        <v>-1368171.1781060011</v>
      </c>
      <c r="J6" s="572">
        <v>-2304890.4720699973</v>
      </c>
      <c r="K6" s="607">
        <v>-1924994.8295020012</v>
      </c>
      <c r="L6" s="607">
        <v>-1510253.5672820001</v>
      </c>
      <c r="M6" s="607">
        <v>-1421303.766953001</v>
      </c>
      <c r="N6" s="607">
        <v>-389419.70859999908</v>
      </c>
      <c r="O6" s="607">
        <v>-192874.3790970007</v>
      </c>
      <c r="P6" s="607">
        <v>-1133881.9007779993</v>
      </c>
      <c r="Q6" s="607">
        <v>-491376.17008000147</v>
      </c>
      <c r="R6" s="607">
        <v>-201411.09328799881</v>
      </c>
      <c r="S6" s="607">
        <v>-696753.01067200163</v>
      </c>
      <c r="T6" s="607">
        <v>-912928.80422000168</v>
      </c>
      <c r="U6" s="607">
        <v>-482101.19766700035</v>
      </c>
      <c r="V6" s="607">
        <v>-580245.48787200102</v>
      </c>
      <c r="W6" s="672">
        <v>-2217856.2503400007</v>
      </c>
      <c r="X6" s="673">
        <v>-2108794.2989039999</v>
      </c>
      <c r="Y6" s="673">
        <v>-2779163.5886399997</v>
      </c>
      <c r="Z6" s="673">
        <v>-2935887.7038159985</v>
      </c>
      <c r="AA6" s="673">
        <v>-386463.99829400051</v>
      </c>
      <c r="AB6" s="673">
        <v>-1205525.6512180055</v>
      </c>
      <c r="AC6" s="673">
        <v>-743591.89883300196</v>
      </c>
      <c r="AD6" s="673">
        <f>Feb!$H$55</f>
        <v>1500599.2415440008</v>
      </c>
      <c r="AE6" s="673">
        <f>Mar!H55</f>
        <v>262271.11627200013</v>
      </c>
      <c r="AF6" s="673">
        <f>Apr!H55</f>
        <v>-1287451.4058399997</v>
      </c>
      <c r="AG6" s="673">
        <f>May!H55</f>
        <v>-1208166.9855549999</v>
      </c>
      <c r="AH6" s="674">
        <f>Jun!H55</f>
        <v>-914700.39864600007</v>
      </c>
      <c r="AI6" s="547">
        <f>Jul!H55</f>
        <v>-2116989.4332109992</v>
      </c>
      <c r="AJ6" s="547">
        <f>Aug!H55</f>
        <v>-2914665.4083000002</v>
      </c>
      <c r="AK6" s="547">
        <f>Sep!H55</f>
        <v>-1246615.2131509997</v>
      </c>
      <c r="AL6" s="547">
        <f>Oct!H55</f>
        <v>-3845502.552499</v>
      </c>
      <c r="AM6" s="547">
        <f>Nov!H55</f>
        <v>-3344640.6773000024</v>
      </c>
      <c r="AO6" s="493" t="s">
        <v>285</v>
      </c>
      <c r="AP6" s="521">
        <v>431600</v>
      </c>
      <c r="AQ6" s="354" t="s">
        <v>280</v>
      </c>
      <c r="AR6" s="354" t="s">
        <v>281</v>
      </c>
      <c r="AS6" s="377">
        <f>IF(SUMIF(E3:AM3,AO4,E8:AM8)&lt;0,-SUMIF(E3:AM3,AO4,E8:AM8),0)</f>
        <v>38292.79</v>
      </c>
      <c r="AT6" s="494">
        <v>0</v>
      </c>
      <c r="AV6" s="478" t="str">
        <f>_xll.GLW_Segment_Description(AP6,2,2)</f>
        <v>INTEREST EXPENSE ENERGY DEFERRALS</v>
      </c>
    </row>
    <row r="7" spans="1:48">
      <c r="B7" s="477" t="s">
        <v>251</v>
      </c>
      <c r="C7" s="478">
        <f t="shared" ref="C7:C11" si="19">SUM(Q7:AB7)</f>
        <v>-3531759.9092339999</v>
      </c>
      <c r="D7" s="478">
        <f t="shared" si="18"/>
        <v>-4469685.620381997</v>
      </c>
      <c r="E7" s="573">
        <v>-1737451.7240159996</v>
      </c>
      <c r="F7" s="573">
        <v>-906843.13003599993</v>
      </c>
      <c r="G7" s="573">
        <v>-502690.50554600032</v>
      </c>
      <c r="H7" s="573">
        <v>531507.01829000015</v>
      </c>
      <c r="I7" s="573">
        <v>778474.07196199952</v>
      </c>
      <c r="J7" s="573">
        <v>940413.5291820009</v>
      </c>
      <c r="K7" s="572">
        <v>1019103.1667780007</v>
      </c>
      <c r="L7" s="572">
        <v>1025818.8216420002</v>
      </c>
      <c r="M7" s="572">
        <v>821854.23736999987</v>
      </c>
      <c r="N7" s="572">
        <v>208678.05243800068</v>
      </c>
      <c r="O7" s="572">
        <v>-521813.363136</v>
      </c>
      <c r="P7" s="572">
        <v>-2594975.8860759991</v>
      </c>
      <c r="Q7" s="572">
        <v>-2913519.2274390003</v>
      </c>
      <c r="R7" s="572">
        <v>-1856358.6126210007</v>
      </c>
      <c r="S7" s="572">
        <v>-916596.2697570005</v>
      </c>
      <c r="T7" s="572">
        <v>-225142.70389499958</v>
      </c>
      <c r="U7" s="572">
        <v>604158.21510300005</v>
      </c>
      <c r="V7" s="572">
        <v>953286.75289800053</v>
      </c>
      <c r="W7" s="675">
        <v>1129801.1151090004</v>
      </c>
      <c r="X7" s="617">
        <v>1095472.3340190002</v>
      </c>
      <c r="Y7" s="617">
        <v>853220.47718099994</v>
      </c>
      <c r="Z7" s="617">
        <v>15042.059238000307</v>
      </c>
      <c r="AA7" s="617">
        <v>-592732.92055399995</v>
      </c>
      <c r="AB7" s="617">
        <v>-1678391.1285159995</v>
      </c>
      <c r="AC7" s="617">
        <f>Jan!I55</f>
        <v>-1331000.4574219999</v>
      </c>
      <c r="AD7" s="617">
        <f>Feb!$I$55</f>
        <v>-1492728.8649899999</v>
      </c>
      <c r="AE7" s="617">
        <f>Mar!I55</f>
        <v>-772819.73601999972</v>
      </c>
      <c r="AF7" s="617">
        <f>Apr!I55</f>
        <v>-46824.414412000682</v>
      </c>
      <c r="AG7" s="617">
        <f>May!I55</f>
        <v>890572.34156599978</v>
      </c>
      <c r="AH7" s="676">
        <f>Jun!I55</f>
        <v>938461.95200199937</v>
      </c>
      <c r="AI7" s="547">
        <f>Jul!I55</f>
        <v>1054475.7224120002</v>
      </c>
      <c r="AJ7" s="547">
        <f>Aug!I55</f>
        <v>1052086.5035460002</v>
      </c>
      <c r="AK7" s="547">
        <f>Sep!I55</f>
        <v>901834.01141799951</v>
      </c>
      <c r="AL7" s="547">
        <f>Oct!I55</f>
        <v>139618.94326199964</v>
      </c>
      <c r="AM7" s="547">
        <f>Nov!I55</f>
        <v>-647678.45426000026</v>
      </c>
      <c r="AO7" s="493" t="s">
        <v>286</v>
      </c>
      <c r="AP7" s="521">
        <v>191010</v>
      </c>
      <c r="AQ7" s="354" t="s">
        <v>280</v>
      </c>
      <c r="AR7" s="354" t="s">
        <v>281</v>
      </c>
      <c r="AS7" s="377">
        <f>IF((SUMIF(E3:AM3,AO4,E6:AM6)+SUMIF(E3:AM3,AO4,E7:AM7)+SUMIF(E3:AM3,AO4,E8:AM8))&gt;0,(SUMIF(E3:AM3,AO4,E6:AM6)+SUMIF(E3:AM3,AO4,E7:AM7)+SUMIF(E3:AM3,AO4,E8:AM8)),0)</f>
        <v>0</v>
      </c>
      <c r="AT7" s="494">
        <f>IF((SUMIF(E3:AM3,AO4,E6:AM6)+SUMIF(E3:AM3,AO4,E7:AM7)+SUMIF(E3:AM3,AO4,E8:AM8))&lt;0,-(SUMIF(E3:AM3,AO4,E6:AM6)+SUMIF(E3:AM3,AO4,E7:AM7)++SUMIF(E3:AM3,AO4,E8:AM8)),0)</f>
        <v>4030611.9215600025</v>
      </c>
      <c r="AV7" s="478" t="str">
        <f>_xll.GLW_Segment_Description(AP7,2,2)</f>
        <v>CURR UNRECOV PGA DEFERRED</v>
      </c>
    </row>
    <row r="8" spans="1:48" ht="16.5" thickBot="1">
      <c r="B8" s="477" t="s">
        <v>254</v>
      </c>
      <c r="C8" s="478">
        <f t="shared" si="19"/>
        <v>-530200.14</v>
      </c>
      <c r="D8" s="478">
        <f t="shared" si="18"/>
        <v>-912326.38</v>
      </c>
      <c r="E8" s="574">
        <v>-20214.939999999999</v>
      </c>
      <c r="F8" s="574">
        <v>-23942.62</v>
      </c>
      <c r="G8" s="574">
        <v>-26591.8</v>
      </c>
      <c r="H8" s="574">
        <v>-32465.84</v>
      </c>
      <c r="I8" s="574">
        <v>-35892.18</v>
      </c>
      <c r="J8" s="574">
        <v>-38812.93</v>
      </c>
      <c r="K8" s="610">
        <v>-42685.8</v>
      </c>
      <c r="L8" s="610">
        <v>-44837.85</v>
      </c>
      <c r="M8" s="610">
        <v>-46549.3</v>
      </c>
      <c r="N8" s="610">
        <v>-47822.84</v>
      </c>
      <c r="O8" s="610">
        <f>ROUND(((O5+O9+O10+O11)*(O4/12))+((SUM(O6:O7)/2)*(O4/12)),2)</f>
        <v>-7903.46</v>
      </c>
      <c r="P8" s="610">
        <v>-14406.68</v>
      </c>
      <c r="Q8" s="610">
        <f t="shared" ref="Q8:U8" si="20">ROUND(((Q5)*(Q4/12))+((SUM(Q6:Q7)/2)*(Q4/12)),2)</f>
        <v>-24852.09</v>
      </c>
      <c r="R8" s="610">
        <f t="shared" si="20"/>
        <v>-32890.959999999999</v>
      </c>
      <c r="S8" s="610">
        <f t="shared" si="20"/>
        <v>-38340.61</v>
      </c>
      <c r="T8" s="610">
        <f t="shared" si="20"/>
        <v>-45012.82</v>
      </c>
      <c r="U8" s="610">
        <f t="shared" si="20"/>
        <v>-46722.57</v>
      </c>
      <c r="V8" s="610">
        <f>ROUND(((V5)*(V4/12))+((SUM(V6:V7)/2)*(V4/12)),2)</f>
        <v>-46101.69</v>
      </c>
      <c r="W8" s="677">
        <f t="shared" ref="W8:Y8" si="21">ROUND(((W5)*(W4/12))+((SUM(W6:W7)/2)*(W4/12)),2)</f>
        <v>-50540.18</v>
      </c>
      <c r="X8" s="678">
        <f>ROUND(((X5)*(X4/12))+((SUM(X6:X7)/2)*(X4/12)),2)</f>
        <v>-54174.23</v>
      </c>
      <c r="Y8" s="678">
        <f t="shared" si="21"/>
        <v>-59202.79</v>
      </c>
      <c r="Z8" s="678">
        <f>ROUND(((Z5)*(Z4/12))+((SUM(Z6:Z7)/2)*(Z4/12)),2)</f>
        <v>-71650.12</v>
      </c>
      <c r="AA8" s="678">
        <f>ROUND(((AA5+AA9+AA10+AA11)*(AA4/12))+((SUM(AA6:AA7)/2)*(AA4/12)),2)</f>
        <v>-26920.61</v>
      </c>
      <c r="AB8" s="678">
        <f t="shared" ref="AB8:AF8" si="22">ROUND(((AB5)*(AB4/12))+((SUM(AB6:AB7)/2)*(AB4/12)),2)</f>
        <v>-33791.47</v>
      </c>
      <c r="AC8" s="678">
        <f t="shared" si="22"/>
        <v>-43012.9</v>
      </c>
      <c r="AD8" s="678">
        <f t="shared" si="22"/>
        <v>-46825.06</v>
      </c>
      <c r="AE8" s="678">
        <f t="shared" si="22"/>
        <v>-47881.06</v>
      </c>
      <c r="AF8" s="678">
        <f t="shared" si="22"/>
        <v>-53973.95</v>
      </c>
      <c r="AG8" s="678">
        <f t="shared" ref="AG8:AL8" si="23">ROUND(((AG5)*(AG4/12))+((SUM(AG6:AG7)/2)*(AG4/12)),2)</f>
        <v>-57251.61</v>
      </c>
      <c r="AH8" s="679">
        <f t="shared" si="23"/>
        <v>-58012.14</v>
      </c>
      <c r="AI8" s="544">
        <f t="shared" si="23"/>
        <v>-63123.95</v>
      </c>
      <c r="AJ8" s="544">
        <f t="shared" si="23"/>
        <v>-69086.78</v>
      </c>
      <c r="AK8" s="544">
        <f>ROUND(((AK5)*(AK4/12))+((SUM(AK6:AK7)/2)*(AK4/12)),2)</f>
        <v>-73670.34</v>
      </c>
      <c r="AL8" s="544">
        <f t="shared" si="23"/>
        <v>-86587.37</v>
      </c>
      <c r="AM8" s="544">
        <f>ROUND(((AM5+AM9+AM10+AM11+AM12)*(AM4/12))+((SUM(AM6:AM7)/2)*(AM4/12)),2)</f>
        <v>-38292.79</v>
      </c>
      <c r="AO8" s="493" t="s">
        <v>287</v>
      </c>
      <c r="AP8" s="521">
        <v>805120</v>
      </c>
      <c r="AQ8" s="354" t="s">
        <v>280</v>
      </c>
      <c r="AR8" s="354" t="s">
        <v>281</v>
      </c>
      <c r="AS8" s="377">
        <f>IF((SUMIF(E3:AM3,AO4,E6:AM6)+SUMIF(E3:AM3,AO4,E7:AM7))&lt;0,-(SUMIF(E3:AM3,AO4,E6:AM6)+SUMIF(E3:AM3,AO4,E7:AM7)),0)</f>
        <v>3992319.1315600025</v>
      </c>
      <c r="AT8" s="494">
        <f>IF((SUMIF(E3:AM3,AO4,E6:AM6)+SUMIF(E3:AM3,AO4,E7:AM7))&gt;0,(SUMIF(E3:AM3,AO4,E6:AM6)+SUMIF(E3:AM3,AO4,E7:AM7)),0)</f>
        <v>0</v>
      </c>
      <c r="AV8" s="478" t="str">
        <f>_xll.GLW_Segment_Description(AP8,2,2)</f>
        <v>DEFER CURRENT UNRECOVERED GAS COSTS</v>
      </c>
    </row>
    <row r="9" spans="1:48">
      <c r="B9" s="477" t="s">
        <v>258</v>
      </c>
      <c r="C9" s="478">
        <f t="shared" si="19"/>
        <v>9937543.9160110056</v>
      </c>
      <c r="D9" s="478">
        <f t="shared" si="18"/>
        <v>24087163.011451997</v>
      </c>
      <c r="E9" s="478">
        <v>0</v>
      </c>
      <c r="F9" s="478">
        <v>0</v>
      </c>
      <c r="G9" s="478">
        <v>0</v>
      </c>
      <c r="H9" s="478">
        <v>0</v>
      </c>
      <c r="I9" s="478">
        <v>0</v>
      </c>
      <c r="J9" s="478">
        <v>0</v>
      </c>
      <c r="K9" s="478">
        <v>0</v>
      </c>
      <c r="L9" s="478">
        <v>0</v>
      </c>
      <c r="M9" s="478">
        <v>0</v>
      </c>
      <c r="N9" s="478">
        <v>0</v>
      </c>
      <c r="O9" s="583">
        <v>14149619.095440991</v>
      </c>
      <c r="P9" s="478">
        <v>0</v>
      </c>
      <c r="Q9" s="547">
        <v>0</v>
      </c>
      <c r="R9" s="547">
        <v>0</v>
      </c>
      <c r="S9" s="547">
        <v>0</v>
      </c>
      <c r="T9" s="547">
        <v>0</v>
      </c>
      <c r="U9" s="547">
        <v>0</v>
      </c>
      <c r="V9" s="547">
        <v>0</v>
      </c>
      <c r="W9" s="547">
        <v>0</v>
      </c>
      <c r="X9" s="547">
        <v>0</v>
      </c>
      <c r="Y9" s="547">
        <v>0</v>
      </c>
      <c r="Z9" s="547">
        <v>0</v>
      </c>
      <c r="AA9" s="585">
        <f>-SUM(K6:V6)</f>
        <v>9937543.9160110056</v>
      </c>
      <c r="AB9" s="478">
        <v>0</v>
      </c>
      <c r="AC9" s="478">
        <v>0</v>
      </c>
      <c r="AD9" s="547">
        <v>0</v>
      </c>
      <c r="AE9" s="547">
        <v>0</v>
      </c>
      <c r="AF9" s="547">
        <v>0</v>
      </c>
      <c r="AG9" s="547">
        <v>0</v>
      </c>
      <c r="AH9" s="547">
        <v>0</v>
      </c>
      <c r="AI9" s="547">
        <v>0</v>
      </c>
      <c r="AJ9" s="547">
        <v>0</v>
      </c>
      <c r="AK9" s="547">
        <v>0</v>
      </c>
      <c r="AL9" s="547">
        <v>0</v>
      </c>
      <c r="AM9" s="680">
        <f>14024731.82</f>
        <v>14024731.82</v>
      </c>
      <c r="AO9" s="493" t="s">
        <v>11</v>
      </c>
      <c r="AP9" s="521">
        <v>191010</v>
      </c>
      <c r="AQ9" s="354" t="s">
        <v>280</v>
      </c>
      <c r="AR9" s="354" t="s">
        <v>281</v>
      </c>
      <c r="AS9" s="377">
        <f>IF((SUMIF(E3:AM3,AO4,E9:AM9)+SUMIF(E3:AM3,AO4,E10:AM10)+SUMIF(E3:AM3,AO4,E11:AM11)+SUMIF(E3:AM3,AO4,E12:AM12))&gt;0,(SUMIF(E3:AM3,AO4,E9:AM9)+SUMIF(E3:AM3,AO4,E10:AM10)+SUMIF(E3:AM3,AO4,E11:AM11)+SUMIF(E3:AM3,AO4,E12:AM12)),0)</f>
        <v>15619860.029999999</v>
      </c>
      <c r="AT9" s="494">
        <v>0</v>
      </c>
      <c r="AV9" s="478" t="str">
        <f>_xll.GLW_Segment_Description(AP9,2,2)</f>
        <v>CURR UNRECOV PGA DEFERRED</v>
      </c>
    </row>
    <row r="10" spans="1:48" ht="16.5" thickBot="1">
      <c r="B10" s="477" t="s">
        <v>259</v>
      </c>
      <c r="C10" s="478">
        <f t="shared" si="19"/>
        <v>4395506.8166949991</v>
      </c>
      <c r="D10" s="478">
        <f t="shared" si="18"/>
        <v>4181620.6216329979</v>
      </c>
      <c r="E10" s="478">
        <v>0</v>
      </c>
      <c r="F10" s="478">
        <v>0</v>
      </c>
      <c r="G10" s="478">
        <v>0</v>
      </c>
      <c r="H10" s="478">
        <v>0</v>
      </c>
      <c r="I10" s="478">
        <v>0</v>
      </c>
      <c r="J10" s="478">
        <v>0</v>
      </c>
      <c r="K10" s="478">
        <v>0</v>
      </c>
      <c r="L10" s="478">
        <v>0</v>
      </c>
      <c r="M10" s="478">
        <v>0</v>
      </c>
      <c r="N10" s="478">
        <v>0</v>
      </c>
      <c r="O10" s="584">
        <v>-213886.19506200103</v>
      </c>
      <c r="P10" s="478">
        <v>0</v>
      </c>
      <c r="Q10" s="547">
        <v>0</v>
      </c>
      <c r="R10" s="547">
        <v>0</v>
      </c>
      <c r="S10" s="547">
        <v>0</v>
      </c>
      <c r="T10" s="547">
        <v>0</v>
      </c>
      <c r="U10" s="547">
        <v>0</v>
      </c>
      <c r="V10" s="547">
        <v>0</v>
      </c>
      <c r="W10" s="547">
        <v>0</v>
      </c>
      <c r="X10" s="547">
        <v>0</v>
      </c>
      <c r="Y10" s="547">
        <v>0</v>
      </c>
      <c r="Z10" s="547">
        <v>0</v>
      </c>
      <c r="AA10" s="609">
        <f>-SUM(K7:V7)</f>
        <v>4395506.8166949991</v>
      </c>
      <c r="AB10" s="478">
        <v>0</v>
      </c>
      <c r="AC10" s="478">
        <v>0</v>
      </c>
      <c r="AD10" s="547">
        <v>0</v>
      </c>
      <c r="AE10" s="547">
        <v>0</v>
      </c>
      <c r="AF10" s="547">
        <v>0</v>
      </c>
      <c r="AG10" s="547">
        <v>0</v>
      </c>
      <c r="AH10" s="547">
        <v>0</v>
      </c>
      <c r="AI10" s="547">
        <v>0</v>
      </c>
      <c r="AJ10" s="547">
        <v>0</v>
      </c>
      <c r="AK10" s="547">
        <v>0</v>
      </c>
      <c r="AL10" s="547">
        <v>0</v>
      </c>
      <c r="AM10" s="607">
        <f>991927.24</f>
        <v>991927.24</v>
      </c>
      <c r="AO10" s="495" t="str">
        <f>AO9</f>
        <v>Tracker Transfer</v>
      </c>
      <c r="AP10" s="522">
        <f>AP37</f>
        <v>191000</v>
      </c>
      <c r="AQ10" s="522" t="str">
        <f>AQ37</f>
        <v>GD</v>
      </c>
      <c r="AR10" s="522" t="str">
        <f>AR37</f>
        <v>WA</v>
      </c>
      <c r="AS10" s="496">
        <v>0</v>
      </c>
      <c r="AT10" s="514">
        <f>AS9</f>
        <v>15619860.029999999</v>
      </c>
      <c r="AV10" s="478" t="str">
        <f>_xll.GLW_Segment_Description(AP10,2,2)</f>
        <v>RECOVERABLE GAS COSTS AMORTIZED</v>
      </c>
    </row>
    <row r="11" spans="1:48" ht="16.5" thickBot="1">
      <c r="B11" s="477" t="s">
        <v>260</v>
      </c>
      <c r="C11" s="478">
        <f t="shared" si="19"/>
        <v>438126.67</v>
      </c>
      <c r="D11" s="478">
        <f t="shared" si="18"/>
        <v>684577.32</v>
      </c>
      <c r="E11" s="478">
        <v>0</v>
      </c>
      <c r="F11" s="478">
        <v>0</v>
      </c>
      <c r="G11" s="478">
        <v>0</v>
      </c>
      <c r="H11" s="478">
        <v>0</v>
      </c>
      <c r="I11" s="478">
        <v>0</v>
      </c>
      <c r="J11" s="478">
        <v>0</v>
      </c>
      <c r="K11" s="478">
        <v>0</v>
      </c>
      <c r="L11" s="478">
        <v>0</v>
      </c>
      <c r="M11" s="478">
        <v>0</v>
      </c>
      <c r="N11" s="478">
        <v>0</v>
      </c>
      <c r="O11" s="585">
        <v>246450.64999999997</v>
      </c>
      <c r="P11" s="478">
        <v>0</v>
      </c>
      <c r="Q11" s="547">
        <v>0</v>
      </c>
      <c r="R11" s="547">
        <v>0</v>
      </c>
      <c r="S11" s="547">
        <v>0</v>
      </c>
      <c r="T11" s="547">
        <v>0</v>
      </c>
      <c r="U11" s="547">
        <v>0</v>
      </c>
      <c r="V11" s="547">
        <v>0</v>
      </c>
      <c r="W11" s="547">
        <v>0</v>
      </c>
      <c r="X11" s="547">
        <v>0</v>
      </c>
      <c r="Y11" s="547">
        <v>0</v>
      </c>
      <c r="Z11" s="547">
        <v>0</v>
      </c>
      <c r="AA11" s="611">
        <f>-SUM(K8:V8)</f>
        <v>438126.67</v>
      </c>
      <c r="AB11" s="478">
        <v>0</v>
      </c>
      <c r="AC11" s="478">
        <v>0</v>
      </c>
      <c r="AD11" s="547">
        <v>0</v>
      </c>
      <c r="AE11" s="547">
        <v>0</v>
      </c>
      <c r="AF11" s="547">
        <v>0</v>
      </c>
      <c r="AG11" s="547">
        <v>0</v>
      </c>
      <c r="AH11" s="547">
        <v>0</v>
      </c>
      <c r="AI11" s="547">
        <v>0</v>
      </c>
      <c r="AJ11" s="547">
        <v>0</v>
      </c>
      <c r="AK11" s="547">
        <v>0</v>
      </c>
      <c r="AL11" s="547">
        <v>0</v>
      </c>
      <c r="AM11" s="608">
        <v>603236.12</v>
      </c>
      <c r="AO11" s="509"/>
      <c r="AP11" s="523"/>
      <c r="AQ11" s="510"/>
      <c r="AR11" s="510"/>
      <c r="AS11" s="510" t="s">
        <v>159</v>
      </c>
      <c r="AT11" s="511">
        <f>SUM(AS5:AS10)-SUM(AT5:AT10)</f>
        <v>0</v>
      </c>
    </row>
    <row r="12" spans="1:48">
      <c r="B12" s="477" t="s">
        <v>148</v>
      </c>
      <c r="C12" s="478">
        <f>SUM(Q12:AB12)</f>
        <v>35.15</v>
      </c>
      <c r="D12" s="478">
        <f t="shared" si="18"/>
        <v>35.559999999999995</v>
      </c>
      <c r="E12" s="478">
        <v>0</v>
      </c>
      <c r="F12" s="478">
        <v>0</v>
      </c>
      <c r="G12" s="478">
        <v>0</v>
      </c>
      <c r="H12" s="478">
        <v>0</v>
      </c>
      <c r="I12" s="478">
        <v>0</v>
      </c>
      <c r="J12" s="478">
        <v>0</v>
      </c>
      <c r="K12" s="478">
        <v>0</v>
      </c>
      <c r="L12" s="478">
        <v>0</v>
      </c>
      <c r="M12" s="478">
        <v>0</v>
      </c>
      <c r="N12" s="478">
        <v>0</v>
      </c>
      <c r="O12" s="586">
        <v>0.41</v>
      </c>
      <c r="P12" s="478">
        <v>0</v>
      </c>
      <c r="Q12" s="547">
        <v>0</v>
      </c>
      <c r="R12" s="547">
        <v>0</v>
      </c>
      <c r="S12" s="547">
        <v>0</v>
      </c>
      <c r="T12" s="547">
        <v>0</v>
      </c>
      <c r="U12" s="547">
        <v>0</v>
      </c>
      <c r="V12" s="547">
        <v>0</v>
      </c>
      <c r="W12" s="547">
        <v>0</v>
      </c>
      <c r="X12" s="547">
        <v>0</v>
      </c>
      <c r="Y12" s="547">
        <v>0</v>
      </c>
      <c r="Z12" s="547">
        <v>0</v>
      </c>
      <c r="AA12" s="586">
        <v>35.15</v>
      </c>
      <c r="AB12" s="478">
        <v>0</v>
      </c>
      <c r="AC12" s="478">
        <v>0</v>
      </c>
      <c r="AD12" s="547">
        <v>0</v>
      </c>
      <c r="AE12" s="547">
        <v>0</v>
      </c>
      <c r="AF12" s="547">
        <v>0</v>
      </c>
      <c r="AG12" s="547">
        <v>0</v>
      </c>
      <c r="AH12" s="547">
        <v>0</v>
      </c>
      <c r="AI12" s="547">
        <v>0</v>
      </c>
      <c r="AJ12" s="547">
        <v>0</v>
      </c>
      <c r="AK12" s="547">
        <v>0</v>
      </c>
      <c r="AL12" s="547">
        <v>0</v>
      </c>
      <c r="AM12" s="572">
        <v>-35.15</v>
      </c>
    </row>
    <row r="13" spans="1:48" ht="16.5" thickBot="1">
      <c r="B13" s="477" t="s">
        <v>56</v>
      </c>
      <c r="C13" s="531">
        <f>SUM(C5:C12)</f>
        <v>-4289254.751539005</v>
      </c>
      <c r="D13" s="531">
        <f>SUM(D5:D12)</f>
        <v>-11107523.789348787</v>
      </c>
      <c r="E13" s="531">
        <v>-8439847.1132167727</v>
      </c>
      <c r="F13" s="531">
        <f>SUM(F5:F12)</f>
        <v>-9264796.9494047705</v>
      </c>
      <c r="G13" s="531">
        <f t="shared" ref="G13:N13" si="24">SUM(G5:G12)</f>
        <v>-10398819.535470769</v>
      </c>
      <c r="H13" s="531">
        <f t="shared" si="24"/>
        <v>-12153304.785960769</v>
      </c>
      <c r="I13" s="531">
        <f t="shared" si="24"/>
        <v>-12778894.072104771</v>
      </c>
      <c r="J13" s="531">
        <f>SUM(J5:J12)</f>
        <v>-14182183.944992768</v>
      </c>
      <c r="K13" s="531">
        <f>SUM(K5:K12)</f>
        <v>-15130761.40771677</v>
      </c>
      <c r="L13" s="531">
        <f t="shared" si="24"/>
        <v>-15660034.00335677</v>
      </c>
      <c r="M13" s="531">
        <f>SUM(M5:M12)</f>
        <v>-16306032.832939774</v>
      </c>
      <c r="N13" s="531">
        <f t="shared" si="24"/>
        <v>-16534597.329101773</v>
      </c>
      <c r="O13" s="582">
        <f>SUM(O5:O12)</f>
        <v>-3075004.5709557864</v>
      </c>
      <c r="P13" s="531">
        <f>SUM(P5:P12)</f>
        <v>-6818269.0378097855</v>
      </c>
      <c r="Q13" s="531">
        <f>SUM(Q5:Q12)</f>
        <v>-10248016.525328787</v>
      </c>
      <c r="R13" s="531">
        <f>SUM(R5:R12)</f>
        <v>-12338677.191237787</v>
      </c>
      <c r="S13" s="531">
        <f>SUM(S5:S12)</f>
        <v>-13990367.081666788</v>
      </c>
      <c r="T13" s="531">
        <f t="shared" ref="T13:U13" si="25">SUM(T5:T12)</f>
        <v>-15173451.409781789</v>
      </c>
      <c r="U13" s="531">
        <f t="shared" si="25"/>
        <v>-15098116.96234579</v>
      </c>
      <c r="V13" s="531">
        <f>SUM(V5:V12)</f>
        <v>-14771177.38731979</v>
      </c>
      <c r="W13" s="531">
        <f t="shared" ref="W13:X13" si="26">SUM(W5:W12)</f>
        <v>-15909772.702550791</v>
      </c>
      <c r="X13" s="531">
        <f t="shared" si="26"/>
        <v>-16977268.897435792</v>
      </c>
      <c r="Y13" s="531">
        <f>SUM(Y5:Y12)</f>
        <v>-18962414.798894793</v>
      </c>
      <c r="Z13" s="531">
        <f t="shared" ref="Z13" si="27">SUM(Z5:Z12)</f>
        <v>-21954910.563472789</v>
      </c>
      <c r="AA13" s="582">
        <f t="shared" ref="AA13:AE13" si="28">SUM(AA5:AA12)</f>
        <v>-8189815.5396147836</v>
      </c>
      <c r="AB13" s="531">
        <f t="shared" si="28"/>
        <v>-11107523.78934879</v>
      </c>
      <c r="AC13" s="531">
        <f t="shared" si="28"/>
        <v>-13225129.045603791</v>
      </c>
      <c r="AD13" s="588">
        <f t="shared" si="28"/>
        <v>-13264083.729049791</v>
      </c>
      <c r="AE13" s="588">
        <f t="shared" si="28"/>
        <v>-13822513.408797791</v>
      </c>
      <c r="AF13" s="588">
        <f>SUM(AF5:AF12)</f>
        <v>-15210763.179049792</v>
      </c>
      <c r="AG13" s="588">
        <f t="shared" ref="AG13" si="29">SUM(AG5:AG12)</f>
        <v>-15585609.433038792</v>
      </c>
      <c r="AH13" s="588">
        <f>SUM(AH5:AH12)</f>
        <v>-15619860.019682793</v>
      </c>
      <c r="AI13" s="588">
        <f>SUM(AI5:AI12)</f>
        <v>-16745497.680481793</v>
      </c>
      <c r="AJ13" s="588">
        <f t="shared" ref="AJ13:AL13" si="30">SUM(AJ5:AJ12)</f>
        <v>-18677163.365235794</v>
      </c>
      <c r="AK13" s="588">
        <f t="shared" si="30"/>
        <v>-19095614.906968795</v>
      </c>
      <c r="AL13" s="588">
        <f t="shared" si="30"/>
        <v>-22888085.886205796</v>
      </c>
      <c r="AM13" s="588">
        <f>SUM(AM5:AM12)</f>
        <v>-11298837.777765797</v>
      </c>
    </row>
    <row r="14" spans="1:48" ht="16.5" thickTop="1">
      <c r="B14" s="477" t="s">
        <v>256</v>
      </c>
      <c r="D14" s="478">
        <f>_xll.Get_Balance(AB3,"YTD","USD","Total","A","","001",$A$3,"GD","WA","DL")</f>
        <v>-11107523.800000001</v>
      </c>
      <c r="E14" s="478">
        <v>-8432290.1199999992</v>
      </c>
      <c r="F14" s="478">
        <f>_xll.Get_Balance(F3,"YTD","USD","Total","A","","001",$A$3,"GD","WA","DL")</f>
        <v>-9264796.9499999993</v>
      </c>
      <c r="G14" s="478">
        <f>_xll.Get_Balance(G3,"YTD","USD","Total","A","","001",$A$3,"GD","WA","DL")</f>
        <v>-10398819.539999999</v>
      </c>
      <c r="H14" s="478">
        <f>_xll.Get_Balance(H3,"YTD","USD","Total","A","","001",$A$3,"GD","WA","DL")</f>
        <v>-12153304.789999999</v>
      </c>
      <c r="I14" s="478">
        <f>_xll.Get_Balance(I3,"YTD","USD","Total","A","","001",$A$3,"GD","WA","DL")</f>
        <v>-12778894.08</v>
      </c>
      <c r="J14" s="581">
        <f>_xll.Get_Balance(J3,"YTD","USD","Total","A","","001",$A$3,"GD","WA","DL")</f>
        <v>-14182183.949999999</v>
      </c>
      <c r="K14" s="478">
        <f>_xll.Get_Balance(K3,"YTD","USD","Total","A","","001",$A$3,"GD","WA","DL")</f>
        <v>-15130761.41</v>
      </c>
      <c r="L14" s="478">
        <f>_xll.Get_Balance(L3,"YTD","USD","Total","A","","001",$A$3,"GD","WA","DL")</f>
        <v>-15660034.01</v>
      </c>
      <c r="M14" s="478">
        <f>_xll.Get_Balance(M3,"YTD","USD","Total","A","","001",$A$3,"GD","WA","DL")</f>
        <v>-16306032.84</v>
      </c>
      <c r="N14" s="478">
        <f>_xll.Get_Balance(N3,"YTD","USD","Total","A","","001",$A$3,"GD","WA","DL")</f>
        <v>-16534597.34</v>
      </c>
      <c r="O14" s="478">
        <f>_xll.Get_Balance(O3,"YTD","USD","Total","A","","001",$A$3,"GD","WA","DL")</f>
        <v>-3075004.58</v>
      </c>
      <c r="P14" s="478">
        <f>_xll.Get_Balance(P3,"YTD","USD","Total","A","","001",$A$3,"GD","WA","DL")</f>
        <v>-6818269.0499999998</v>
      </c>
      <c r="Q14" s="478">
        <f>_xll.Get_Balance(Q3,"YTD","USD","Total","A","","001",$A$3,"GD","WA","DL")</f>
        <v>-10248016.539999999</v>
      </c>
      <c r="R14" s="478">
        <f>_xll.Get_Balance(R3,"YTD","USD","Total","A","","001",$A$3,"GD","WA","DL")</f>
        <v>-12338677.210000001</v>
      </c>
      <c r="S14" s="478">
        <f>_xll.Get_Balance(S3,"YTD","USD","Total","A","","001",$A$3,"GD","WA","DL")</f>
        <v>-13990367.1</v>
      </c>
      <c r="T14" s="478">
        <f>_xll.Get_Balance(T3,"YTD","USD","Total","A","","001",$A$3,"GD","WA","DL")</f>
        <v>-15173451.43</v>
      </c>
      <c r="U14" s="478">
        <f>_xll.Get_Balance(U3,"YTD","USD","Total","A","","001",$A$3,"GD","WA","DL")</f>
        <v>-15098116.98</v>
      </c>
      <c r="V14" s="608">
        <f>_xll.Get_Balance(V3,"YTD","USD","Total","A","","001",$A$3,"GD","WA","DL")</f>
        <v>-14771177.4</v>
      </c>
      <c r="W14" s="478">
        <f>_xll.Get_Balance(W3,"YTD","USD","Total","A","","001",$A$3,"GD","WA","DL")</f>
        <v>-15909772.720000001</v>
      </c>
      <c r="X14" s="478">
        <f>_xll.Get_Balance(X3,"YTD","USD","Total","A","","001",$A$3,"GD","WA","DL")</f>
        <v>-16977268.91</v>
      </c>
      <c r="Y14" s="478">
        <f>_xll.Get_Balance(Y3,"YTD","USD","Total","A","","001",$A$3,"GD","WA","DL")</f>
        <v>-18962414.809999999</v>
      </c>
      <c r="Z14" s="478">
        <f>_xll.Get_Balance(Z3,"YTD","USD","Total","A","","001",$A$3,"GD","WA","DL")</f>
        <v>-21954910.57</v>
      </c>
      <c r="AA14" s="478">
        <f>_xll.Get_Balance(AA3,"YTD","USD","Total","A","","001",$A$3,"GD","WA","DL")</f>
        <v>-8189815.5499999998</v>
      </c>
      <c r="AB14" s="478">
        <f>_xll.Get_Balance(AB3,"YTD","USD","Total","A","","001",$A$3,"GD","WA","DL")</f>
        <v>-11107523.800000001</v>
      </c>
      <c r="AC14" s="478">
        <f>_xll.Get_Balance(AC3,"YTD","USD","Total","A","","001",$A$3,"GD","WA","DL")</f>
        <v>-13242800.26</v>
      </c>
      <c r="AD14" s="547">
        <f>_xll.Get_Balance(AD3,"YTD","USD","Total","A","","001",$A$3,"GD","WA","DL")</f>
        <v>-13281817.529999999</v>
      </c>
      <c r="AE14" s="547">
        <f>_xll.Get_Balance(AE3,"YTD","USD","Total","A","","001",$A$3,"GD","WA","DL")</f>
        <v>-13840310.02</v>
      </c>
      <c r="AF14" s="547">
        <f>_xll.Get_Balance(AF3,"YTD","USD","Total","A","","001",$A$3,"GD","WA","DL")</f>
        <v>-15210763.189999999</v>
      </c>
      <c r="AG14" s="547">
        <f>_xll.Get_Balance(AG3,"YTD","USD","Total","A","","001",$A$3,"GD","WA","DL")</f>
        <v>-15585609.439999999</v>
      </c>
      <c r="AH14" s="547">
        <f>_xll.Get_Balance(AH3,"YTD","USD","Total","A","","001",$A$3,"GD","WA","DL")</f>
        <v>-15619860.029999999</v>
      </c>
      <c r="AI14" s="547">
        <f>_xll.Get_Balance(AI3,"YTD","USD","Total","A","","001",$A$3,"GD","WA","DL")</f>
        <v>-16745497.689999999</v>
      </c>
      <c r="AJ14" s="547">
        <f>_xll.Get_Balance(AJ3,"YTD","USD","Total","A","","001",$A$3,"GD","WA","DL")</f>
        <v>-18677163.379999999</v>
      </c>
      <c r="AK14" s="547">
        <f>_xll.Get_Balance(AK3,"YTD","USD","Total","A","","001",$A$3,"GD","WA","DL")</f>
        <v>-19095614.920000002</v>
      </c>
      <c r="AL14" s="547">
        <f>_xll.Get_Balance(AL3,"YTD","USD","Total","A","","001",$A$3,"GD","WA","DL")</f>
        <v>-22888085.899999999</v>
      </c>
      <c r="AM14" s="547">
        <f>_xll.Get_Balance(AM3,"YTD","USD","Total","A","","001",$A$3,"GD","WA","DL")</f>
        <v>-22888085.899999999</v>
      </c>
    </row>
    <row r="15" spans="1:48">
      <c r="B15" s="477" t="s">
        <v>243</v>
      </c>
      <c r="E15" s="478">
        <v>-7556.9932167734951</v>
      </c>
      <c r="F15" s="478">
        <f t="shared" ref="F15:I15" si="31">F13-F14</f>
        <v>5.9522874653339386E-4</v>
      </c>
      <c r="G15" s="478">
        <f t="shared" si="31"/>
        <v>4.5292302966117859E-3</v>
      </c>
      <c r="H15" s="478">
        <f t="shared" si="31"/>
        <v>4.0392298251390457E-3</v>
      </c>
      <c r="I15" s="478">
        <f t="shared" si="31"/>
        <v>7.895229384303093E-3</v>
      </c>
      <c r="J15" s="478">
        <f t="shared" ref="J15:N15" si="32">J13-J14</f>
        <v>5.0072316080331802E-3</v>
      </c>
      <c r="K15" s="478">
        <f>K13-K14</f>
        <v>2.2832304239273071E-3</v>
      </c>
      <c r="L15" s="478">
        <f t="shared" si="32"/>
        <v>6.6432300955057144E-3</v>
      </c>
      <c r="M15" s="478">
        <f t="shared" si="32"/>
        <v>7.0602260529994965E-3</v>
      </c>
      <c r="N15" s="478">
        <f t="shared" si="32"/>
        <v>1.0898226872086525E-2</v>
      </c>
      <c r="O15" s="478">
        <f>O13-O14</f>
        <v>9.0442136861383915E-3</v>
      </c>
      <c r="P15" s="478">
        <f>P13-P14</f>
        <v>1.2190214358270168E-2</v>
      </c>
      <c r="Q15" s="478">
        <f>Q13-Q14</f>
        <v>1.4671212062239647E-2</v>
      </c>
      <c r="R15" s="478">
        <f t="shared" ref="R15:Z15" si="33">R13-R14</f>
        <v>1.8762214109301567E-2</v>
      </c>
      <c r="S15" s="478">
        <f t="shared" si="33"/>
        <v>1.8333211541175842E-2</v>
      </c>
      <c r="T15" s="478">
        <f t="shared" si="33"/>
        <v>2.021821029484272E-2</v>
      </c>
      <c r="U15" s="478">
        <f t="shared" si="33"/>
        <v>1.7654210329055786E-2</v>
      </c>
      <c r="V15" s="478">
        <f t="shared" si="33"/>
        <v>1.2680210173130035E-2</v>
      </c>
      <c r="W15" s="478">
        <f t="shared" si="33"/>
        <v>1.7449209466576576E-2</v>
      </c>
      <c r="X15" s="478">
        <f t="shared" si="33"/>
        <v>1.256420835852623E-2</v>
      </c>
      <c r="Y15" s="478">
        <f t="shared" si="33"/>
        <v>1.1105205863714218E-2</v>
      </c>
      <c r="Z15" s="478">
        <f t="shared" si="33"/>
        <v>6.5272115170955658E-3</v>
      </c>
      <c r="AA15" s="478">
        <f t="shared" ref="AA15:AE15" si="34">AA13-AA14</f>
        <v>1.038521621376276E-2</v>
      </c>
      <c r="AB15" s="478">
        <f t="shared" si="34"/>
        <v>1.0651210322976112E-2</v>
      </c>
      <c r="AC15" s="478">
        <f t="shared" si="34"/>
        <v>17671.214396208525</v>
      </c>
      <c r="AD15" s="547">
        <f t="shared" si="34"/>
        <v>17733.800950208679</v>
      </c>
      <c r="AE15" s="547">
        <f t="shared" si="34"/>
        <v>17796.611202208325</v>
      </c>
      <c r="AF15" s="547">
        <f>AF13-AF14</f>
        <v>1.0950207710266113E-2</v>
      </c>
      <c r="AG15" s="547">
        <f t="shared" ref="AG15:AM15" si="35">AG13-AG14</f>
        <v>6.9612078368663788E-3</v>
      </c>
      <c r="AH15" s="547">
        <f t="shared" ref="AH15:AL15" si="36">AH13-AH14</f>
        <v>1.0317206382751465E-2</v>
      </c>
      <c r="AI15" s="547">
        <f t="shared" si="36"/>
        <v>9.5182061195373535E-3</v>
      </c>
      <c r="AJ15" s="547">
        <f>AJ13-AJ14</f>
        <v>1.4764204621315002E-2</v>
      </c>
      <c r="AK15" s="547">
        <f t="shared" si="36"/>
        <v>1.3031207025051117E-2</v>
      </c>
      <c r="AL15" s="547">
        <f t="shared" si="36"/>
        <v>1.3794202357530594E-2</v>
      </c>
      <c r="AM15" s="547">
        <f t="shared" si="35"/>
        <v>11589248.122234201</v>
      </c>
    </row>
    <row r="16" spans="1:48">
      <c r="A16" s="479" t="s">
        <v>263</v>
      </c>
      <c r="AD16" s="547"/>
      <c r="AE16" s="547"/>
      <c r="AF16" s="547"/>
      <c r="AG16" s="547"/>
      <c r="AH16" s="547"/>
      <c r="AI16" s="547"/>
      <c r="AJ16" s="547"/>
      <c r="AK16" s="547"/>
      <c r="AL16" s="547"/>
      <c r="AM16" s="547"/>
    </row>
    <row r="17" spans="1:48">
      <c r="A17" s="479" t="s">
        <v>310</v>
      </c>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616"/>
      <c r="AE17" s="616"/>
      <c r="AF17" s="616"/>
      <c r="AG17" s="616"/>
      <c r="AH17" s="616"/>
      <c r="AI17" s="616"/>
      <c r="AJ17" s="616"/>
      <c r="AK17" s="616"/>
      <c r="AL17" s="616"/>
      <c r="AM17" s="616"/>
    </row>
    <row r="18" spans="1:48">
      <c r="A18" s="480">
        <v>191000</v>
      </c>
      <c r="B18" s="481" t="s">
        <v>252</v>
      </c>
      <c r="C18" s="482" t="s">
        <v>248</v>
      </c>
      <c r="D18" s="482" t="s">
        <v>249</v>
      </c>
      <c r="E18" s="480">
        <v>201601</v>
      </c>
      <c r="F18" s="480">
        <f>E18+1</f>
        <v>201602</v>
      </c>
      <c r="G18" s="480">
        <f t="shared" ref="G18:P18" si="37">F18+1</f>
        <v>201603</v>
      </c>
      <c r="H18" s="480">
        <f t="shared" si="37"/>
        <v>201604</v>
      </c>
      <c r="I18" s="480">
        <f t="shared" si="37"/>
        <v>201605</v>
      </c>
      <c r="J18" s="480">
        <f t="shared" si="37"/>
        <v>201606</v>
      </c>
      <c r="K18" s="480">
        <f t="shared" si="37"/>
        <v>201607</v>
      </c>
      <c r="L18" s="480">
        <f t="shared" si="37"/>
        <v>201608</v>
      </c>
      <c r="M18" s="480">
        <f t="shared" si="37"/>
        <v>201609</v>
      </c>
      <c r="N18" s="480">
        <f t="shared" si="37"/>
        <v>201610</v>
      </c>
      <c r="O18" s="480">
        <f t="shared" si="37"/>
        <v>201611</v>
      </c>
      <c r="P18" s="480">
        <f t="shared" si="37"/>
        <v>201612</v>
      </c>
      <c r="Q18" s="480">
        <f>Q3</f>
        <v>201701</v>
      </c>
      <c r="R18" s="480">
        <f>Q18+1</f>
        <v>201702</v>
      </c>
      <c r="S18" s="480">
        <f t="shared" ref="S18" si="38">R18+1</f>
        <v>201703</v>
      </c>
      <c r="T18" s="480">
        <f t="shared" ref="T18" si="39">S18+1</f>
        <v>201704</v>
      </c>
      <c r="U18" s="480">
        <f t="shared" ref="U18" si="40">T18+1</f>
        <v>201705</v>
      </c>
      <c r="V18" s="480">
        <f t="shared" ref="V18" si="41">U18+1</f>
        <v>201706</v>
      </c>
      <c r="W18" s="480">
        <f t="shared" ref="W18" si="42">V18+1</f>
        <v>201707</v>
      </c>
      <c r="X18" s="480">
        <f t="shared" ref="X18" si="43">W18+1</f>
        <v>201708</v>
      </c>
      <c r="Y18" s="480">
        <f t="shared" ref="Y18" si="44">X18+1</f>
        <v>201709</v>
      </c>
      <c r="Z18" s="480">
        <f t="shared" ref="Z18" si="45">Y18+1</f>
        <v>201710</v>
      </c>
      <c r="AA18" s="480">
        <f t="shared" ref="AA18" si="46">Z18+1</f>
        <v>201711</v>
      </c>
      <c r="AB18" s="480">
        <f t="shared" ref="AB18" si="47">AA18+1</f>
        <v>201712</v>
      </c>
      <c r="AC18" s="480">
        <f t="shared" ref="AC18:AM18" si="48">AC3</f>
        <v>201801</v>
      </c>
      <c r="AD18" s="569">
        <f t="shared" si="48"/>
        <v>201802</v>
      </c>
      <c r="AE18" s="569">
        <f t="shared" si="48"/>
        <v>201803</v>
      </c>
      <c r="AF18" s="569">
        <f t="shared" si="48"/>
        <v>201804</v>
      </c>
      <c r="AG18" s="569">
        <f t="shared" si="48"/>
        <v>201805</v>
      </c>
      <c r="AH18" s="569">
        <f t="shared" ref="AH18:AL18" si="49">AH3</f>
        <v>201806</v>
      </c>
      <c r="AI18" s="569">
        <f t="shared" si="49"/>
        <v>201807</v>
      </c>
      <c r="AJ18" s="569">
        <f t="shared" si="49"/>
        <v>201808</v>
      </c>
      <c r="AK18" s="569">
        <f t="shared" si="49"/>
        <v>201809</v>
      </c>
      <c r="AL18" s="569">
        <f t="shared" si="49"/>
        <v>201810</v>
      </c>
      <c r="AM18" s="569">
        <f t="shared" si="48"/>
        <v>201811</v>
      </c>
    </row>
    <row r="19" spans="1:48">
      <c r="A19" s="479"/>
      <c r="B19" s="477" t="s">
        <v>37</v>
      </c>
      <c r="C19" s="478">
        <f>SUM(Q19:AB19)</f>
        <v>131594728</v>
      </c>
      <c r="D19" s="486">
        <f t="shared" ref="D19:D24" si="50">SUM(E19:AB19)</f>
        <v>240238598</v>
      </c>
      <c r="E19" s="533">
        <v>20140968</v>
      </c>
      <c r="F19" s="533">
        <v>14297044</v>
      </c>
      <c r="G19" s="533">
        <v>12238194</v>
      </c>
      <c r="H19" s="533">
        <v>5348802</v>
      </c>
      <c r="I19" s="533">
        <v>3384728</v>
      </c>
      <c r="J19" s="533">
        <v>2765049</v>
      </c>
      <c r="K19" s="533">
        <v>2292583</v>
      </c>
      <c r="L19" s="533">
        <v>2354714</v>
      </c>
      <c r="M19" s="533">
        <v>3123052</v>
      </c>
      <c r="N19" s="533">
        <v>7137333</v>
      </c>
      <c r="O19" s="533">
        <v>11352396</v>
      </c>
      <c r="P19" s="533">
        <v>24209007</v>
      </c>
      <c r="Q19" s="593">
        <v>27259641</v>
      </c>
      <c r="R19" s="593">
        <v>19157522</v>
      </c>
      <c r="S19" s="593">
        <v>14316138</v>
      </c>
      <c r="T19" s="593">
        <v>9641125</v>
      </c>
      <c r="U19" s="593">
        <v>4941679</v>
      </c>
      <c r="V19" s="593">
        <v>2542069</v>
      </c>
      <c r="W19" s="593">
        <v>2070483</v>
      </c>
      <c r="X19" s="593">
        <v>2080707</v>
      </c>
      <c r="Y19" s="593">
        <v>3147236</v>
      </c>
      <c r="Z19" s="593">
        <v>8835836</v>
      </c>
      <c r="AA19" s="593">
        <v>14838696</v>
      </c>
      <c r="AB19" s="593">
        <v>22763596</v>
      </c>
      <c r="AC19" s="593">
        <f>Jan!G23</f>
        <v>20257484</v>
      </c>
      <c r="AD19" s="593">
        <f>Feb!G23</f>
        <v>18179866</v>
      </c>
      <c r="AE19" s="593">
        <f>Mar!G23</f>
        <v>15771469</v>
      </c>
      <c r="AF19" s="593">
        <f>Apr!G23</f>
        <v>9759881</v>
      </c>
      <c r="AG19" s="593">
        <f>May!G23</f>
        <v>3286813</v>
      </c>
      <c r="AH19" s="593">
        <f>Jun!G23</f>
        <v>2630854</v>
      </c>
      <c r="AI19" s="593">
        <f>Jul!G23</f>
        <v>2294066</v>
      </c>
      <c r="AJ19" s="593">
        <f>Aug!G23</f>
        <v>2214130</v>
      </c>
      <c r="AK19" s="593">
        <f>Sep!G23</f>
        <v>3077139</v>
      </c>
      <c r="AL19" s="593">
        <f>Oct!G23</f>
        <v>8390464</v>
      </c>
      <c r="AM19" s="593">
        <f>Nov!G23</f>
        <v>15558764</v>
      </c>
    </row>
    <row r="20" spans="1:48">
      <c r="A20" s="479"/>
      <c r="B20" s="553" t="s">
        <v>305</v>
      </c>
      <c r="C20" s="478">
        <f t="shared" ref="C20:C24" si="51">SUM(Q20:AB20)</f>
        <v>188194</v>
      </c>
      <c r="D20" s="486">
        <f t="shared" si="50"/>
        <v>340511</v>
      </c>
      <c r="E20" s="533">
        <v>17893</v>
      </c>
      <c r="F20" s="533">
        <v>14593</v>
      </c>
      <c r="G20" s="533">
        <v>18603</v>
      </c>
      <c r="H20" s="533">
        <v>12171</v>
      </c>
      <c r="I20" s="533">
        <v>5734</v>
      </c>
      <c r="J20" s="533">
        <v>4482</v>
      </c>
      <c r="K20" s="533">
        <v>3610</v>
      </c>
      <c r="L20" s="533">
        <v>2820</v>
      </c>
      <c r="M20" s="533">
        <v>4729</v>
      </c>
      <c r="N20" s="533">
        <v>12809</v>
      </c>
      <c r="O20" s="533">
        <v>19581</v>
      </c>
      <c r="P20" s="533">
        <v>35292</v>
      </c>
      <c r="Q20" s="593">
        <v>40615</v>
      </c>
      <c r="R20" s="593">
        <v>29103</v>
      </c>
      <c r="S20" s="593">
        <v>22738</v>
      </c>
      <c r="T20" s="593">
        <v>15697</v>
      </c>
      <c r="U20" s="593">
        <v>8078</v>
      </c>
      <c r="V20" s="593">
        <v>3619</v>
      </c>
      <c r="W20" s="593">
        <v>2296</v>
      </c>
      <c r="X20" s="593">
        <v>2393</v>
      </c>
      <c r="Y20" s="593">
        <v>3920</v>
      </c>
      <c r="Z20" s="593">
        <v>13952</v>
      </c>
      <c r="AA20" s="593">
        <v>20740</v>
      </c>
      <c r="AB20" s="593">
        <v>25043</v>
      </c>
      <c r="AC20" s="593">
        <f>Jan!G24</f>
        <v>22671</v>
      </c>
      <c r="AD20" s="593">
        <f>Feb!G24</f>
        <v>21014</v>
      </c>
      <c r="AE20" s="593">
        <f>Mar!G24</f>
        <v>19043</v>
      </c>
      <c r="AF20" s="593">
        <f>Apr!G24</f>
        <v>11770</v>
      </c>
      <c r="AG20" s="593">
        <f>May!G24</f>
        <v>4240</v>
      </c>
      <c r="AH20" s="593">
        <f>Jun!G24</f>
        <v>2604</v>
      </c>
      <c r="AI20" s="593">
        <f>Jul!G24</f>
        <v>2356</v>
      </c>
      <c r="AJ20" s="593">
        <f>Aug!G24</f>
        <v>1944</v>
      </c>
      <c r="AK20" s="593">
        <f>Sep!G24</f>
        <v>3129</v>
      </c>
      <c r="AL20" s="593">
        <f>Oct!G24</f>
        <v>10239</v>
      </c>
      <c r="AM20" s="593">
        <f>Nov!G24</f>
        <v>17080</v>
      </c>
    </row>
    <row r="21" spans="1:48">
      <c r="A21" s="479"/>
      <c r="B21" s="477" t="s">
        <v>38</v>
      </c>
      <c r="C21" s="478">
        <f t="shared" si="51"/>
        <v>51787474</v>
      </c>
      <c r="D21" s="486">
        <f t="shared" si="50"/>
        <v>96346775</v>
      </c>
      <c r="E21" s="533">
        <v>6568112</v>
      </c>
      <c r="F21" s="533">
        <v>5200734</v>
      </c>
      <c r="G21" s="533">
        <v>4795258</v>
      </c>
      <c r="H21" s="533">
        <v>2668983</v>
      </c>
      <c r="I21" s="533">
        <v>2221542</v>
      </c>
      <c r="J21" s="533">
        <v>1675034</v>
      </c>
      <c r="K21" s="533">
        <v>1510014</v>
      </c>
      <c r="L21" s="533">
        <v>1583471</v>
      </c>
      <c r="M21" s="533">
        <v>2056535</v>
      </c>
      <c r="N21" s="533">
        <v>3586972</v>
      </c>
      <c r="O21" s="533">
        <v>4116109</v>
      </c>
      <c r="P21" s="533">
        <v>8576537</v>
      </c>
      <c r="Q21" s="593">
        <v>8738107</v>
      </c>
      <c r="R21" s="593">
        <v>7258148</v>
      </c>
      <c r="S21" s="593">
        <v>5603968</v>
      </c>
      <c r="T21" s="593">
        <v>4021494</v>
      </c>
      <c r="U21" s="593">
        <v>2425238</v>
      </c>
      <c r="V21" s="593">
        <v>1878375</v>
      </c>
      <c r="W21" s="593">
        <v>1446879</v>
      </c>
      <c r="X21" s="593">
        <v>1463939</v>
      </c>
      <c r="Y21" s="593">
        <v>2165313</v>
      </c>
      <c r="Z21" s="593">
        <v>3629858</v>
      </c>
      <c r="AA21" s="593">
        <v>5325716</v>
      </c>
      <c r="AB21" s="593">
        <v>7830439</v>
      </c>
      <c r="AC21" s="593">
        <f>Jan!G25</f>
        <v>6608892</v>
      </c>
      <c r="AD21" s="593">
        <f>Feb!G25</f>
        <v>7202971</v>
      </c>
      <c r="AE21" s="593">
        <f>Mar!G25</f>
        <v>5606266</v>
      </c>
      <c r="AF21" s="593">
        <f>Apr!G25</f>
        <v>4266905</v>
      </c>
      <c r="AG21" s="593">
        <f>May!G25</f>
        <v>2210506</v>
      </c>
      <c r="AH21" s="593">
        <f>Jun!G25</f>
        <v>1922676</v>
      </c>
      <c r="AI21" s="593">
        <f>Jul!G25</f>
        <v>1476772</v>
      </c>
      <c r="AJ21" s="593">
        <f>Aug!G25</f>
        <v>1588311</v>
      </c>
      <c r="AK21" s="593">
        <f>Sep!G25</f>
        <v>1948398</v>
      </c>
      <c r="AL21" s="593">
        <f>Oct!G25</f>
        <v>3674467</v>
      </c>
      <c r="AM21" s="593">
        <f>Nov!G25</f>
        <v>5726364</v>
      </c>
    </row>
    <row r="22" spans="1:48">
      <c r="A22" s="479"/>
      <c r="B22" s="477" t="s">
        <v>40</v>
      </c>
      <c r="C22" s="478">
        <f t="shared" si="51"/>
        <v>3896834</v>
      </c>
      <c r="D22" s="486">
        <f t="shared" si="50"/>
        <v>7546429</v>
      </c>
      <c r="E22" s="533">
        <v>345863</v>
      </c>
      <c r="F22" s="533">
        <v>408568</v>
      </c>
      <c r="G22" s="533">
        <v>361566</v>
      </c>
      <c r="H22" s="533">
        <v>227877</v>
      </c>
      <c r="I22" s="533">
        <v>311290</v>
      </c>
      <c r="J22" s="533">
        <v>225272</v>
      </c>
      <c r="K22" s="533">
        <v>266816</v>
      </c>
      <c r="L22" s="533">
        <v>259403</v>
      </c>
      <c r="M22" s="533">
        <v>291879</v>
      </c>
      <c r="N22" s="533">
        <v>401880</v>
      </c>
      <c r="O22" s="533">
        <v>314956</v>
      </c>
      <c r="P22" s="533">
        <v>234225</v>
      </c>
      <c r="Q22" s="593">
        <v>284721</v>
      </c>
      <c r="R22" s="593">
        <v>399264</v>
      </c>
      <c r="S22" s="593">
        <v>334116</v>
      </c>
      <c r="T22" s="593">
        <v>288026</v>
      </c>
      <c r="U22" s="593">
        <v>302382</v>
      </c>
      <c r="V22" s="593">
        <v>289055</v>
      </c>
      <c r="W22" s="593">
        <v>274504</v>
      </c>
      <c r="X22" s="593">
        <v>291721</v>
      </c>
      <c r="Y22" s="593">
        <v>348558</v>
      </c>
      <c r="Z22" s="593">
        <v>248414</v>
      </c>
      <c r="AA22" s="593">
        <v>458380</v>
      </c>
      <c r="AB22" s="593">
        <v>377693</v>
      </c>
      <c r="AC22" s="593">
        <f>Jan!G27</f>
        <v>362835</v>
      </c>
      <c r="AD22" s="593">
        <f>Feb!G27</f>
        <v>448875</v>
      </c>
      <c r="AE22" s="593">
        <f>Mar!G27</f>
        <v>345298</v>
      </c>
      <c r="AF22" s="593">
        <f>Apr!G27</f>
        <v>305691</v>
      </c>
      <c r="AG22" s="593">
        <f>May!G27</f>
        <v>234262</v>
      </c>
      <c r="AH22" s="593">
        <f>Jun!G27</f>
        <v>318982</v>
      </c>
      <c r="AI22" s="593">
        <f>Jul!G27</f>
        <v>256335</v>
      </c>
      <c r="AJ22" s="593">
        <f>Aug!G27</f>
        <v>306054</v>
      </c>
      <c r="AK22" s="593">
        <f>Sep!G27</f>
        <v>302898</v>
      </c>
      <c r="AL22" s="593">
        <f>Oct!G27</f>
        <v>398880</v>
      </c>
      <c r="AM22" s="593">
        <f>Nov!G27</f>
        <v>420845</v>
      </c>
    </row>
    <row r="23" spans="1:48">
      <c r="A23" s="479"/>
      <c r="B23" s="553" t="s">
        <v>42</v>
      </c>
      <c r="C23" s="478">
        <f t="shared" si="51"/>
        <v>0</v>
      </c>
      <c r="D23" s="486">
        <f t="shared" si="50"/>
        <v>0</v>
      </c>
      <c r="E23" s="533">
        <v>0</v>
      </c>
      <c r="F23" s="533">
        <v>0</v>
      </c>
      <c r="G23" s="533">
        <v>0</v>
      </c>
      <c r="H23" s="533">
        <v>0</v>
      </c>
      <c r="I23" s="533">
        <v>0</v>
      </c>
      <c r="J23" s="533">
        <v>0</v>
      </c>
      <c r="K23" s="533">
        <v>0</v>
      </c>
      <c r="L23" s="533">
        <v>0</v>
      </c>
      <c r="M23" s="533">
        <v>0</v>
      </c>
      <c r="N23" s="533">
        <v>0</v>
      </c>
      <c r="O23" s="533">
        <v>0</v>
      </c>
      <c r="P23" s="533">
        <v>0</v>
      </c>
      <c r="Q23" s="593">
        <v>0</v>
      </c>
      <c r="R23" s="593">
        <v>0</v>
      </c>
      <c r="S23" s="593">
        <v>0</v>
      </c>
      <c r="T23" s="593">
        <v>0</v>
      </c>
      <c r="U23" s="593">
        <v>0</v>
      </c>
      <c r="V23" s="593">
        <v>0</v>
      </c>
      <c r="W23" s="593">
        <v>0</v>
      </c>
      <c r="X23" s="593">
        <v>0</v>
      </c>
      <c r="Y23" s="593">
        <v>0</v>
      </c>
      <c r="Z23" s="593">
        <v>0</v>
      </c>
      <c r="AA23" s="593">
        <v>0</v>
      </c>
      <c r="AB23" s="593">
        <v>0</v>
      </c>
      <c r="AC23" s="593">
        <f>Jan!G29</f>
        <v>0</v>
      </c>
      <c r="AD23" s="593">
        <f>Feb!G29</f>
        <v>0</v>
      </c>
      <c r="AE23" s="593">
        <f>Mar!G29</f>
        <v>0</v>
      </c>
      <c r="AF23" s="593">
        <f>Apr!G29</f>
        <v>0</v>
      </c>
      <c r="AG23" s="593">
        <f>May!G29</f>
        <v>0</v>
      </c>
      <c r="AH23" s="593">
        <f>Jun!G29</f>
        <v>0</v>
      </c>
      <c r="AI23" s="593">
        <f>Jul!G29</f>
        <v>0</v>
      </c>
      <c r="AJ23" s="593">
        <f>Aug!G29</f>
        <v>0</v>
      </c>
      <c r="AK23" s="593">
        <f>Sep!G29</f>
        <v>0</v>
      </c>
      <c r="AL23" s="593">
        <f>Oct!G29</f>
        <v>0</v>
      </c>
      <c r="AM23" s="593">
        <f>Nov!G29</f>
        <v>0</v>
      </c>
    </row>
    <row r="24" spans="1:48">
      <c r="A24" s="479"/>
      <c r="B24" s="477" t="s">
        <v>74</v>
      </c>
      <c r="C24" s="478">
        <f t="shared" si="51"/>
        <v>36224919</v>
      </c>
      <c r="D24" s="486">
        <f t="shared" si="50"/>
        <v>67139519</v>
      </c>
      <c r="E24" s="533">
        <v>3346687</v>
      </c>
      <c r="F24" s="533">
        <v>2956295</v>
      </c>
      <c r="G24" s="533">
        <v>2822744</v>
      </c>
      <c r="H24" s="533">
        <v>2379815</v>
      </c>
      <c r="I24" s="533">
        <v>2359261</v>
      </c>
      <c r="J24" s="533">
        <v>2149880</v>
      </c>
      <c r="K24" s="533">
        <v>1956378</v>
      </c>
      <c r="L24" s="533">
        <v>1966117</v>
      </c>
      <c r="M24" s="533">
        <v>1915306</v>
      </c>
      <c r="N24" s="533">
        <v>2505633</v>
      </c>
      <c r="O24" s="533">
        <v>2750386</v>
      </c>
      <c r="P24" s="533">
        <v>3806098</v>
      </c>
      <c r="Q24" s="593">
        <v>4261630</v>
      </c>
      <c r="R24" s="593">
        <v>3513623</v>
      </c>
      <c r="S24" s="593">
        <v>3381923</v>
      </c>
      <c r="T24" s="593">
        <v>2868630</v>
      </c>
      <c r="U24" s="593">
        <v>2501903</v>
      </c>
      <c r="V24" s="593">
        <v>2531843</v>
      </c>
      <c r="W24" s="593">
        <v>2144434</v>
      </c>
      <c r="X24" s="593">
        <v>2338940</v>
      </c>
      <c r="Y24" s="593">
        <v>2209861</v>
      </c>
      <c r="Z24" s="593">
        <v>3085921</v>
      </c>
      <c r="AA24" s="593">
        <v>3418526</v>
      </c>
      <c r="AB24" s="593">
        <v>3967685</v>
      </c>
      <c r="AC24" s="593">
        <f>Jan!G31</f>
        <v>3629622</v>
      </c>
      <c r="AD24" s="593">
        <f>Feb!G31</f>
        <v>3567188</v>
      </c>
      <c r="AE24" s="593">
        <f>Mar!G31</f>
        <v>3349134</v>
      </c>
      <c r="AF24" s="593">
        <f>Apr!G31</f>
        <v>3031741</v>
      </c>
      <c r="AG24" s="593">
        <f>May!G31</f>
        <v>2500964</v>
      </c>
      <c r="AH24" s="593">
        <f>Jun!G31</f>
        <v>2373589</v>
      </c>
      <c r="AI24" s="593">
        <f>Jul!G31</f>
        <v>2236824</v>
      </c>
      <c r="AJ24" s="593">
        <f>Aug!G31</f>
        <v>2281688</v>
      </c>
      <c r="AK24" s="593">
        <f>Sep!G31</f>
        <v>2309719</v>
      </c>
      <c r="AL24" s="593">
        <f>Oct!G31</f>
        <v>3098253</v>
      </c>
      <c r="AM24" s="593">
        <f>Nov!G31</f>
        <v>3268121</v>
      </c>
    </row>
    <row r="25" spans="1:48" ht="16.5" thickBot="1">
      <c r="A25" s="479"/>
      <c r="B25" s="477" t="s">
        <v>21</v>
      </c>
      <c r="C25" s="532">
        <f>SUM(C19:C24)</f>
        <v>223692149</v>
      </c>
      <c r="D25" s="532">
        <f>SUM(D19:D24)</f>
        <v>411611832</v>
      </c>
      <c r="E25" s="532">
        <v>30419523</v>
      </c>
      <c r="F25" s="532">
        <f t="shared" ref="F25:AD25" si="52">SUM(F19:F24)</f>
        <v>22877234</v>
      </c>
      <c r="G25" s="532">
        <f t="shared" si="52"/>
        <v>20236365</v>
      </c>
      <c r="H25" s="532">
        <f t="shared" si="52"/>
        <v>10637648</v>
      </c>
      <c r="I25" s="532">
        <f t="shared" si="52"/>
        <v>8282555</v>
      </c>
      <c r="J25" s="532">
        <f t="shared" si="52"/>
        <v>6819717</v>
      </c>
      <c r="K25" s="532">
        <f t="shared" si="52"/>
        <v>6029401</v>
      </c>
      <c r="L25" s="532">
        <f t="shared" si="52"/>
        <v>6166525</v>
      </c>
      <c r="M25" s="532">
        <f t="shared" si="52"/>
        <v>7391501</v>
      </c>
      <c r="N25" s="532">
        <f t="shared" si="52"/>
        <v>13644627</v>
      </c>
      <c r="O25" s="532">
        <f t="shared" si="52"/>
        <v>18553428</v>
      </c>
      <c r="P25" s="532">
        <f t="shared" si="52"/>
        <v>36861159</v>
      </c>
      <c r="Q25" s="532">
        <f t="shared" si="52"/>
        <v>40584714</v>
      </c>
      <c r="R25" s="532">
        <f t="shared" si="52"/>
        <v>30357660</v>
      </c>
      <c r="S25" s="532">
        <f t="shared" si="52"/>
        <v>23658883</v>
      </c>
      <c r="T25" s="532">
        <f t="shared" si="52"/>
        <v>16834972</v>
      </c>
      <c r="U25" s="532">
        <f t="shared" si="52"/>
        <v>10179280</v>
      </c>
      <c r="V25" s="532">
        <f t="shared" si="52"/>
        <v>7244961</v>
      </c>
      <c r="W25" s="532">
        <f t="shared" si="52"/>
        <v>5938596</v>
      </c>
      <c r="X25" s="532">
        <f t="shared" si="52"/>
        <v>6177700</v>
      </c>
      <c r="Y25" s="532">
        <f t="shared" si="52"/>
        <v>7874888</v>
      </c>
      <c r="Z25" s="532">
        <f t="shared" si="52"/>
        <v>15813981</v>
      </c>
      <c r="AA25" s="532">
        <f t="shared" si="52"/>
        <v>24062058</v>
      </c>
      <c r="AB25" s="532">
        <f t="shared" si="52"/>
        <v>34964456</v>
      </c>
      <c r="AC25" s="615">
        <f t="shared" si="52"/>
        <v>30881504</v>
      </c>
      <c r="AD25" s="615">
        <f t="shared" si="52"/>
        <v>29419914</v>
      </c>
      <c r="AE25" s="615">
        <f t="shared" ref="AE25" si="53">SUM(AE19:AE24)</f>
        <v>25091210</v>
      </c>
      <c r="AF25" s="615">
        <f>SUM(AF19:AF24)</f>
        <v>17375988</v>
      </c>
      <c r="AG25" s="615">
        <f>SUM(AG19:AG24)</f>
        <v>8236785</v>
      </c>
      <c r="AH25" s="615">
        <f>SUM(AH19:AH24)</f>
        <v>7248705</v>
      </c>
      <c r="AI25" s="615">
        <f>SUM(AI19:AI24)</f>
        <v>6266353</v>
      </c>
      <c r="AJ25" s="615">
        <f t="shared" ref="AJ25:AL25" si="54">SUM(AJ19:AJ24)</f>
        <v>6392127</v>
      </c>
      <c r="AK25" s="615">
        <f t="shared" si="54"/>
        <v>7641283</v>
      </c>
      <c r="AL25" s="615">
        <f t="shared" si="54"/>
        <v>15572303</v>
      </c>
      <c r="AM25" s="615">
        <f>SUM(AM19:AM24)</f>
        <v>24991174</v>
      </c>
    </row>
    <row r="26" spans="1:48" ht="16.5" thickTop="1">
      <c r="A26" s="479"/>
      <c r="B26" s="477" t="s">
        <v>264</v>
      </c>
      <c r="C26" s="486">
        <f>SUM(Q26:AB26)</f>
        <v>223692149</v>
      </c>
      <c r="D26" s="486">
        <f>SUM(E26:AB26)</f>
        <v>411611832</v>
      </c>
      <c r="E26" s="486">
        <v>30419523</v>
      </c>
      <c r="F26" s="486">
        <v>22877234</v>
      </c>
      <c r="G26" s="486">
        <v>20236365</v>
      </c>
      <c r="H26" s="486">
        <v>10637648</v>
      </c>
      <c r="I26" s="486">
        <v>8282555</v>
      </c>
      <c r="J26" s="486">
        <v>6819717</v>
      </c>
      <c r="K26" s="486">
        <v>6029401</v>
      </c>
      <c r="L26" s="551">
        <v>6166525</v>
      </c>
      <c r="M26" s="486">
        <v>7391501</v>
      </c>
      <c r="N26" s="486">
        <v>13644627</v>
      </c>
      <c r="O26" s="486">
        <v>18553428</v>
      </c>
      <c r="P26" s="486">
        <v>36861159</v>
      </c>
      <c r="Q26" s="486">
        <v>40584714</v>
      </c>
      <c r="R26" s="486">
        <v>30357660</v>
      </c>
      <c r="S26" s="486">
        <v>23658883</v>
      </c>
      <c r="T26" s="486">
        <v>16834972</v>
      </c>
      <c r="U26" s="486">
        <v>10179280</v>
      </c>
      <c r="V26" s="486">
        <v>7244961</v>
      </c>
      <c r="W26" s="486">
        <v>5938596</v>
      </c>
      <c r="X26" s="551">
        <v>6177700</v>
      </c>
      <c r="Y26" s="551">
        <v>7874888</v>
      </c>
      <c r="Z26" s="551">
        <v>15813981</v>
      </c>
      <c r="AA26" s="551">
        <v>24062058</v>
      </c>
      <c r="AB26" s="486">
        <v>34964456</v>
      </c>
      <c r="AC26" s="551">
        <v>30881504</v>
      </c>
      <c r="AD26" s="551">
        <v>29419914</v>
      </c>
      <c r="AE26" s="551">
        <v>25091210</v>
      </c>
      <c r="AF26" s="551">
        <v>17375988</v>
      </c>
      <c r="AG26" s="551">
        <v>8236785</v>
      </c>
      <c r="AH26" s="551">
        <v>7248705</v>
      </c>
      <c r="AI26" s="551">
        <v>6266353</v>
      </c>
      <c r="AJ26" s="551">
        <v>6392127</v>
      </c>
      <c r="AK26" s="551">
        <v>7641283</v>
      </c>
      <c r="AL26" s="551">
        <v>15572303</v>
      </c>
      <c r="AM26" s="551">
        <v>24991174</v>
      </c>
      <c r="AN26" s="563"/>
    </row>
    <row r="27" spans="1:48">
      <c r="A27" s="479" t="s">
        <v>22</v>
      </c>
      <c r="E27" s="528"/>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616"/>
      <c r="AD27" s="616"/>
      <c r="AE27" s="616"/>
      <c r="AF27" s="616"/>
      <c r="AG27" s="616"/>
      <c r="AH27" s="616"/>
      <c r="AI27" s="616"/>
      <c r="AJ27" s="616"/>
      <c r="AK27" s="616"/>
      <c r="AL27" s="616"/>
      <c r="AM27" s="616"/>
      <c r="AU27" s="548"/>
      <c r="AV27" s="548"/>
    </row>
    <row r="28" spans="1:48">
      <c r="A28" s="480">
        <v>191000</v>
      </c>
      <c r="B28" s="481" t="s">
        <v>252</v>
      </c>
      <c r="E28" s="480">
        <v>201601</v>
      </c>
      <c r="F28" s="480">
        <f>E28+1</f>
        <v>201602</v>
      </c>
      <c r="G28" s="480">
        <f t="shared" ref="G28:P28" si="55">F28+1</f>
        <v>201603</v>
      </c>
      <c r="H28" s="480">
        <f t="shared" si="55"/>
        <v>201604</v>
      </c>
      <c r="I28" s="480">
        <f t="shared" si="55"/>
        <v>201605</v>
      </c>
      <c r="J28" s="480">
        <f t="shared" si="55"/>
        <v>201606</v>
      </c>
      <c r="K28" s="480">
        <f t="shared" si="55"/>
        <v>201607</v>
      </c>
      <c r="L28" s="480">
        <f t="shared" si="55"/>
        <v>201608</v>
      </c>
      <c r="M28" s="480">
        <f t="shared" si="55"/>
        <v>201609</v>
      </c>
      <c r="N28" s="480">
        <f t="shared" si="55"/>
        <v>201610</v>
      </c>
      <c r="O28" s="480">
        <f t="shared" si="55"/>
        <v>201611</v>
      </c>
      <c r="P28" s="480">
        <f t="shared" si="55"/>
        <v>201612</v>
      </c>
      <c r="Q28" s="480">
        <f>Q3</f>
        <v>201701</v>
      </c>
      <c r="R28" s="480">
        <f>Q28+1</f>
        <v>201702</v>
      </c>
      <c r="S28" s="480">
        <f t="shared" ref="S28" si="56">R28+1</f>
        <v>201703</v>
      </c>
      <c r="T28" s="480">
        <f t="shared" ref="T28" si="57">S28+1</f>
        <v>201704</v>
      </c>
      <c r="U28" s="480">
        <f t="shared" ref="U28" si="58">T28+1</f>
        <v>201705</v>
      </c>
      <c r="V28" s="480">
        <f t="shared" ref="V28" si="59">U28+1</f>
        <v>201706</v>
      </c>
      <c r="W28" s="480">
        <f t="shared" ref="W28" si="60">V28+1</f>
        <v>201707</v>
      </c>
      <c r="X28" s="480">
        <f t="shared" ref="X28" si="61">W28+1</f>
        <v>201708</v>
      </c>
      <c r="Y28" s="480">
        <f t="shared" ref="Y28" si="62">X28+1</f>
        <v>201709</v>
      </c>
      <c r="Z28" s="480">
        <f t="shared" ref="Z28" si="63">Y28+1</f>
        <v>201710</v>
      </c>
      <c r="AA28" s="480">
        <f t="shared" ref="AA28" si="64">Z28+1</f>
        <v>201711</v>
      </c>
      <c r="AB28" s="480">
        <f t="shared" ref="AB28" si="65">AA28+1</f>
        <v>201712</v>
      </c>
      <c r="AC28" s="569">
        <f t="shared" ref="AC28:AM28" si="66">AC3</f>
        <v>201801</v>
      </c>
      <c r="AD28" s="569">
        <f t="shared" si="66"/>
        <v>201802</v>
      </c>
      <c r="AE28" s="569">
        <f t="shared" si="66"/>
        <v>201803</v>
      </c>
      <c r="AF28" s="569">
        <f t="shared" si="66"/>
        <v>201804</v>
      </c>
      <c r="AG28" s="569">
        <f t="shared" si="66"/>
        <v>201805</v>
      </c>
      <c r="AH28" s="569">
        <f t="shared" ref="AH28:AL28" si="67">AH3</f>
        <v>201806</v>
      </c>
      <c r="AI28" s="569">
        <f t="shared" si="67"/>
        <v>201807</v>
      </c>
      <c r="AJ28" s="569">
        <f t="shared" si="67"/>
        <v>201808</v>
      </c>
      <c r="AK28" s="569">
        <f t="shared" si="67"/>
        <v>201809</v>
      </c>
      <c r="AL28" s="569">
        <f t="shared" si="67"/>
        <v>201810</v>
      </c>
      <c r="AM28" s="569">
        <f t="shared" si="66"/>
        <v>201811</v>
      </c>
      <c r="AU28" s="548"/>
      <c r="AV28" s="548"/>
    </row>
    <row r="29" spans="1:48">
      <c r="A29" s="479"/>
      <c r="B29" s="477" t="s">
        <v>37</v>
      </c>
      <c r="E29" s="490">
        <v>2.571E-2</v>
      </c>
      <c r="F29" s="490">
        <v>2.571E-2</v>
      </c>
      <c r="G29" s="490">
        <v>2.571E-2</v>
      </c>
      <c r="H29" s="490">
        <v>2.571E-2</v>
      </c>
      <c r="I29" s="490">
        <v>2.571E-2</v>
      </c>
      <c r="J29" s="490">
        <v>2.571E-2</v>
      </c>
      <c r="K29" s="490">
        <v>2.571E-2</v>
      </c>
      <c r="L29" s="490">
        <v>2.571E-2</v>
      </c>
      <c r="M29" s="490">
        <v>2.571E-2</v>
      </c>
      <c r="N29" s="490">
        <v>2.571E-2</v>
      </c>
      <c r="O29" s="490" t="s">
        <v>307</v>
      </c>
      <c r="P29" s="490" t="s">
        <v>307</v>
      </c>
      <c r="Q29" s="590">
        <v>9.1740000000000002E-2</v>
      </c>
      <c r="R29" s="590">
        <v>9.1740000000000002E-2</v>
      </c>
      <c r="S29" s="590">
        <v>9.1740000000000002E-2</v>
      </c>
      <c r="T29" s="590">
        <v>9.1740000000000002E-2</v>
      </c>
      <c r="U29" s="590">
        <v>9.1740000000000002E-2</v>
      </c>
      <c r="V29" s="590">
        <v>9.1740000000000002E-2</v>
      </c>
      <c r="W29" s="590">
        <v>9.1740000000000002E-2</v>
      </c>
      <c r="X29" s="590">
        <v>9.1740000000000002E-2</v>
      </c>
      <c r="Y29" s="590">
        <v>9.1740000000000002E-2</v>
      </c>
      <c r="Z29" s="590">
        <v>9.1740000000000002E-2</v>
      </c>
      <c r="AA29" s="621" t="s">
        <v>307</v>
      </c>
      <c r="AB29" s="621" t="s">
        <v>307</v>
      </c>
      <c r="AC29" s="621">
        <v>9.0670000000000001E-2</v>
      </c>
      <c r="AD29" s="621">
        <v>9.0670000000000001E-2</v>
      </c>
      <c r="AE29" s="621">
        <v>9.0670000000000001E-2</v>
      </c>
      <c r="AF29" s="621">
        <v>9.0670000000000001E-2</v>
      </c>
      <c r="AG29" s="621">
        <v>9.0670000000000001E-2</v>
      </c>
      <c r="AH29" s="621">
        <v>9.0670000000000001E-2</v>
      </c>
      <c r="AI29" s="621">
        <v>9.0670000000000001E-2</v>
      </c>
      <c r="AJ29" s="621">
        <v>9.0670000000000001E-2</v>
      </c>
      <c r="AK29" s="621">
        <v>9.0670000000000001E-2</v>
      </c>
      <c r="AL29" s="621">
        <v>9.0670000000000001E-2</v>
      </c>
      <c r="AM29" s="621" t="s">
        <v>307</v>
      </c>
    </row>
    <row r="30" spans="1:48">
      <c r="A30" s="479"/>
      <c r="B30" s="477" t="s">
        <v>305</v>
      </c>
      <c r="E30" s="490">
        <v>2.571E-2</v>
      </c>
      <c r="F30" s="490">
        <v>2.571E-2</v>
      </c>
      <c r="G30" s="490">
        <v>2.571E-2</v>
      </c>
      <c r="H30" s="490">
        <v>2.571E-2</v>
      </c>
      <c r="I30" s="490">
        <v>2.571E-2</v>
      </c>
      <c r="J30" s="490">
        <v>2.571E-2</v>
      </c>
      <c r="K30" s="490">
        <v>2.571E-2</v>
      </c>
      <c r="L30" s="490">
        <v>2.571E-2</v>
      </c>
      <c r="M30" s="490">
        <v>2.571E-2</v>
      </c>
      <c r="N30" s="490">
        <v>2.571E-2</v>
      </c>
      <c r="O30" s="490" t="s">
        <v>307</v>
      </c>
      <c r="P30" s="490" t="s">
        <v>307</v>
      </c>
      <c r="Q30" s="590">
        <v>9.1740000000000002E-2</v>
      </c>
      <c r="R30" s="590">
        <v>9.1740000000000002E-2</v>
      </c>
      <c r="S30" s="590">
        <v>9.1740000000000002E-2</v>
      </c>
      <c r="T30" s="590">
        <v>9.1740000000000002E-2</v>
      </c>
      <c r="U30" s="590">
        <v>9.1740000000000002E-2</v>
      </c>
      <c r="V30" s="590">
        <v>9.1740000000000002E-2</v>
      </c>
      <c r="W30" s="590">
        <v>9.1740000000000002E-2</v>
      </c>
      <c r="X30" s="590">
        <v>9.1740000000000002E-2</v>
      </c>
      <c r="Y30" s="590">
        <v>9.1740000000000002E-2</v>
      </c>
      <c r="Z30" s="590">
        <v>9.1740000000000002E-2</v>
      </c>
      <c r="AA30" s="621" t="s">
        <v>307</v>
      </c>
      <c r="AB30" s="621" t="s">
        <v>307</v>
      </c>
      <c r="AC30" s="621">
        <v>9.0670000000000001E-2</v>
      </c>
      <c r="AD30" s="621">
        <v>9.0670000000000001E-2</v>
      </c>
      <c r="AE30" s="621">
        <v>9.0670000000000001E-2</v>
      </c>
      <c r="AF30" s="621">
        <v>9.0670000000000001E-2</v>
      </c>
      <c r="AG30" s="621">
        <v>9.0670000000000001E-2</v>
      </c>
      <c r="AH30" s="621">
        <v>9.0670000000000001E-2</v>
      </c>
      <c r="AI30" s="621">
        <v>9.0670000000000001E-2</v>
      </c>
      <c r="AJ30" s="621">
        <v>9.0670000000000001E-2</v>
      </c>
      <c r="AK30" s="621">
        <v>9.0670000000000001E-2</v>
      </c>
      <c r="AL30" s="621">
        <v>9.0670000000000001E-2</v>
      </c>
      <c r="AM30" s="621" t="s">
        <v>307</v>
      </c>
      <c r="AO30" s="548"/>
      <c r="AP30" s="549"/>
      <c r="AQ30" s="548"/>
      <c r="AR30" s="548"/>
      <c r="AS30" s="548"/>
      <c r="AT30" s="548"/>
    </row>
    <row r="31" spans="1:48">
      <c r="A31" s="479"/>
      <c r="B31" s="477" t="s">
        <v>38</v>
      </c>
      <c r="E31" s="490">
        <v>1.372E-2</v>
      </c>
      <c r="F31" s="490">
        <v>1.372E-2</v>
      </c>
      <c r="G31" s="490">
        <v>1.372E-2</v>
      </c>
      <c r="H31" s="490">
        <v>1.372E-2</v>
      </c>
      <c r="I31" s="490">
        <v>1.372E-2</v>
      </c>
      <c r="J31" s="490">
        <v>1.372E-2</v>
      </c>
      <c r="K31" s="490">
        <v>1.372E-2</v>
      </c>
      <c r="L31" s="490">
        <v>1.372E-2</v>
      </c>
      <c r="M31" s="490">
        <v>1.372E-2</v>
      </c>
      <c r="N31" s="490">
        <v>1.372E-2</v>
      </c>
      <c r="O31" s="490" t="s">
        <v>307</v>
      </c>
      <c r="P31" s="490" t="s">
        <v>307</v>
      </c>
      <c r="Q31" s="590">
        <v>7.2489999999999999E-2</v>
      </c>
      <c r="R31" s="590">
        <v>7.2489999999999999E-2</v>
      </c>
      <c r="S31" s="590">
        <v>7.2489999999999999E-2</v>
      </c>
      <c r="T31" s="590">
        <v>7.2489999999999999E-2</v>
      </c>
      <c r="U31" s="590">
        <v>7.2489999999999999E-2</v>
      </c>
      <c r="V31" s="590">
        <v>7.2489999999999999E-2</v>
      </c>
      <c r="W31" s="590">
        <v>7.2489999999999999E-2</v>
      </c>
      <c r="X31" s="590">
        <v>7.2489999999999999E-2</v>
      </c>
      <c r="Y31" s="590">
        <v>7.2489999999999999E-2</v>
      </c>
      <c r="Z31" s="590">
        <v>7.2489999999999999E-2</v>
      </c>
      <c r="AA31" s="621" t="s">
        <v>307</v>
      </c>
      <c r="AB31" s="621" t="s">
        <v>307</v>
      </c>
      <c r="AC31" s="621">
        <v>7.4749999999999997E-2</v>
      </c>
      <c r="AD31" s="621">
        <v>7.4749999999999997E-2</v>
      </c>
      <c r="AE31" s="621">
        <v>7.4749999999999997E-2</v>
      </c>
      <c r="AF31" s="621">
        <v>7.4749999999999997E-2</v>
      </c>
      <c r="AG31" s="621">
        <v>7.4749999999999997E-2</v>
      </c>
      <c r="AH31" s="621">
        <v>7.4749999999999997E-2</v>
      </c>
      <c r="AI31" s="621">
        <v>7.4749999999999997E-2</v>
      </c>
      <c r="AJ31" s="621">
        <v>7.4749999999999997E-2</v>
      </c>
      <c r="AK31" s="621">
        <v>7.4749999999999997E-2</v>
      </c>
      <c r="AL31" s="621">
        <v>7.4749999999999997E-2</v>
      </c>
      <c r="AM31" s="621" t="s">
        <v>307</v>
      </c>
    </row>
    <row r="32" spans="1:48">
      <c r="A32" s="479"/>
      <c r="B32" s="477" t="s">
        <v>40</v>
      </c>
      <c r="E32" s="490">
        <v>-5.2900000000000004E-3</v>
      </c>
      <c r="F32" s="490">
        <v>-5.2900000000000004E-3</v>
      </c>
      <c r="G32" s="490">
        <v>-5.2900000000000004E-3</v>
      </c>
      <c r="H32" s="490">
        <v>-5.2900000000000004E-3</v>
      </c>
      <c r="I32" s="490">
        <v>-5.2900000000000004E-3</v>
      </c>
      <c r="J32" s="490">
        <v>-5.2900000000000004E-3</v>
      </c>
      <c r="K32" s="490">
        <v>-5.2900000000000004E-3</v>
      </c>
      <c r="L32" s="490">
        <v>-5.2900000000000004E-3</v>
      </c>
      <c r="M32" s="490">
        <v>-5.2900000000000004E-3</v>
      </c>
      <c r="N32" s="490">
        <v>-5.2900000000000004E-3</v>
      </c>
      <c r="O32" s="490" t="s">
        <v>307</v>
      </c>
      <c r="P32" s="490" t="s">
        <v>307</v>
      </c>
      <c r="Q32" s="590">
        <v>4.4479999999999999E-2</v>
      </c>
      <c r="R32" s="590">
        <v>4.4479999999999999E-2</v>
      </c>
      <c r="S32" s="590">
        <v>4.4479999999999999E-2</v>
      </c>
      <c r="T32" s="590">
        <v>4.4479999999999999E-2</v>
      </c>
      <c r="U32" s="590">
        <v>4.4479999999999999E-2</v>
      </c>
      <c r="V32" s="590">
        <v>4.4479999999999999E-2</v>
      </c>
      <c r="W32" s="590">
        <v>4.4479999999999999E-2</v>
      </c>
      <c r="X32" s="590">
        <v>4.4479999999999999E-2</v>
      </c>
      <c r="Y32" s="590">
        <v>4.4479999999999999E-2</v>
      </c>
      <c r="Z32" s="590">
        <v>4.4479999999999999E-2</v>
      </c>
      <c r="AA32" s="621" t="s">
        <v>307</v>
      </c>
      <c r="AB32" s="621" t="s">
        <v>307</v>
      </c>
      <c r="AC32" s="621">
        <v>4.7449999999999999E-2</v>
      </c>
      <c r="AD32" s="621">
        <v>4.7449999999999999E-2</v>
      </c>
      <c r="AE32" s="621">
        <v>4.7449999999999999E-2</v>
      </c>
      <c r="AF32" s="621">
        <v>4.7449999999999999E-2</v>
      </c>
      <c r="AG32" s="621">
        <v>4.7449999999999999E-2</v>
      </c>
      <c r="AH32" s="621">
        <v>4.7449999999999999E-2</v>
      </c>
      <c r="AI32" s="621">
        <v>4.7449999999999999E-2</v>
      </c>
      <c r="AJ32" s="621">
        <v>4.7449999999999999E-2</v>
      </c>
      <c r="AK32" s="621">
        <v>4.7449999999999999E-2</v>
      </c>
      <c r="AL32" s="621">
        <v>4.7449999999999999E-2</v>
      </c>
      <c r="AM32" s="621" t="s">
        <v>307</v>
      </c>
    </row>
    <row r="33" spans="1:61" ht="16.5" thickBot="1">
      <c r="A33" s="479"/>
      <c r="B33" s="477" t="s">
        <v>42</v>
      </c>
      <c r="E33" s="490">
        <v>1.635E-2</v>
      </c>
      <c r="F33" s="490">
        <v>1.635E-2</v>
      </c>
      <c r="G33" s="490">
        <v>1.635E-2</v>
      </c>
      <c r="H33" s="490">
        <v>1.635E-2</v>
      </c>
      <c r="I33" s="490">
        <v>1.635E-2</v>
      </c>
      <c r="J33" s="490">
        <v>1.635E-2</v>
      </c>
      <c r="K33" s="490">
        <v>1.635E-2</v>
      </c>
      <c r="L33" s="490">
        <v>1.635E-2</v>
      </c>
      <c r="M33" s="490">
        <v>1.635E-2</v>
      </c>
      <c r="N33" s="490">
        <v>1.635E-2</v>
      </c>
      <c r="O33" s="490" t="s">
        <v>307</v>
      </c>
      <c r="P33" s="490" t="s">
        <v>307</v>
      </c>
      <c r="Q33" s="590">
        <v>8.8340000000000002E-2</v>
      </c>
      <c r="R33" s="590">
        <v>8.8340000000000002E-2</v>
      </c>
      <c r="S33" s="590">
        <v>8.8340000000000002E-2</v>
      </c>
      <c r="T33" s="590">
        <v>8.8340000000000002E-2</v>
      </c>
      <c r="U33" s="590">
        <v>8.8340000000000002E-2</v>
      </c>
      <c r="V33" s="590">
        <v>8.8340000000000002E-2</v>
      </c>
      <c r="W33" s="590">
        <v>8.8340000000000002E-2</v>
      </c>
      <c r="X33" s="590">
        <v>8.8340000000000002E-2</v>
      </c>
      <c r="Y33" s="590">
        <v>8.8340000000000002E-2</v>
      </c>
      <c r="Z33" s="590">
        <v>8.8340000000000002E-2</v>
      </c>
      <c r="AA33" s="621" t="s">
        <v>307</v>
      </c>
      <c r="AB33" s="621" t="s">
        <v>307</v>
      </c>
      <c r="AC33" s="621" t="s">
        <v>320</v>
      </c>
      <c r="AD33" s="621" t="s">
        <v>320</v>
      </c>
      <c r="AE33" s="621" t="s">
        <v>320</v>
      </c>
      <c r="AF33" s="621" t="s">
        <v>320</v>
      </c>
      <c r="AG33" s="621" t="s">
        <v>320</v>
      </c>
      <c r="AH33" s="621" t="s">
        <v>320</v>
      </c>
      <c r="AI33" s="621" t="s">
        <v>320</v>
      </c>
      <c r="AJ33" s="621" t="s">
        <v>320</v>
      </c>
      <c r="AK33" s="621" t="s">
        <v>320</v>
      </c>
      <c r="AL33" s="621" t="s">
        <v>320</v>
      </c>
      <c r="AM33" s="621" t="s">
        <v>307</v>
      </c>
    </row>
    <row r="34" spans="1:61" ht="16.5" thickBot="1">
      <c r="A34" s="479"/>
      <c r="B34" s="477" t="s">
        <v>74</v>
      </c>
      <c r="E34" s="490">
        <v>0</v>
      </c>
      <c r="F34" s="490">
        <v>0</v>
      </c>
      <c r="G34" s="490">
        <v>0</v>
      </c>
      <c r="H34" s="490">
        <v>0</v>
      </c>
      <c r="I34" s="490">
        <v>0</v>
      </c>
      <c r="J34" s="490">
        <v>0</v>
      </c>
      <c r="K34" s="490">
        <v>0</v>
      </c>
      <c r="L34" s="490">
        <v>0</v>
      </c>
      <c r="M34" s="490">
        <v>0</v>
      </c>
      <c r="N34" s="490">
        <v>0</v>
      </c>
      <c r="O34" s="490" t="s">
        <v>307</v>
      </c>
      <c r="P34" s="490" t="s">
        <v>307</v>
      </c>
      <c r="Q34" s="590">
        <v>0</v>
      </c>
      <c r="R34" s="590">
        <v>0</v>
      </c>
      <c r="S34" s="590">
        <v>0</v>
      </c>
      <c r="T34" s="590">
        <v>0</v>
      </c>
      <c r="U34" s="590">
        <v>0</v>
      </c>
      <c r="V34" s="590">
        <v>0</v>
      </c>
      <c r="W34" s="590">
        <v>0</v>
      </c>
      <c r="X34" s="590">
        <v>0</v>
      </c>
      <c r="Y34" s="590">
        <v>0</v>
      </c>
      <c r="Z34" s="590">
        <v>0</v>
      </c>
      <c r="AA34" s="621" t="s">
        <v>307</v>
      </c>
      <c r="AB34" s="621" t="s">
        <v>307</v>
      </c>
      <c r="AC34" s="621" t="s">
        <v>320</v>
      </c>
      <c r="AD34" s="621" t="s">
        <v>320</v>
      </c>
      <c r="AE34" s="621" t="s">
        <v>320</v>
      </c>
      <c r="AF34" s="621" t="s">
        <v>320</v>
      </c>
      <c r="AG34" s="621" t="s">
        <v>320</v>
      </c>
      <c r="AH34" s="621" t="s">
        <v>320</v>
      </c>
      <c r="AI34" s="621" t="s">
        <v>320</v>
      </c>
      <c r="AJ34" s="621" t="s">
        <v>320</v>
      </c>
      <c r="AK34" s="621" t="s">
        <v>320</v>
      </c>
      <c r="AL34" s="621" t="s">
        <v>320</v>
      </c>
      <c r="AM34" s="621" t="s">
        <v>307</v>
      </c>
      <c r="AO34" s="506">
        <f>AO4</f>
        <v>201811</v>
      </c>
      <c r="AP34" s="519"/>
      <c r="AQ34" s="507"/>
      <c r="AR34" s="507"/>
      <c r="AS34" s="507"/>
      <c r="AT34" s="508"/>
    </row>
    <row r="35" spans="1:61">
      <c r="A35" s="479" t="s">
        <v>283</v>
      </c>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552"/>
      <c r="AD35" s="552"/>
      <c r="AE35" s="552"/>
      <c r="AF35" s="552"/>
      <c r="AG35" s="552"/>
      <c r="AH35" s="552"/>
      <c r="AI35" s="552"/>
      <c r="AJ35" s="552"/>
      <c r="AK35" s="552"/>
      <c r="AL35" s="552"/>
      <c r="AM35" s="552"/>
      <c r="AO35" s="491" t="s">
        <v>288</v>
      </c>
      <c r="AP35" s="520">
        <v>419600</v>
      </c>
      <c r="AQ35" s="492" t="s">
        <v>280</v>
      </c>
      <c r="AR35" s="492" t="s">
        <v>281</v>
      </c>
      <c r="AS35" s="512">
        <v>0</v>
      </c>
      <c r="AT35" s="513">
        <f>IF(SUMIF(E3:AM3,AO4,E40:AM40)&gt;0,SUMIF(E3:AM3,AO4,E40:AM40),0)</f>
        <v>0</v>
      </c>
      <c r="AV35" s="478" t="str">
        <f>_xll.GLW_Segment_Description(AP35,2,2)</f>
        <v>INTEREST ON ENERGY DEFERRALS</v>
      </c>
    </row>
    <row r="36" spans="1:61" s="479" customFormat="1">
      <c r="A36" s="480">
        <v>191000</v>
      </c>
      <c r="B36" s="481" t="s">
        <v>252</v>
      </c>
      <c r="C36" s="482" t="s">
        <v>248</v>
      </c>
      <c r="D36" s="483" t="s">
        <v>249</v>
      </c>
      <c r="E36" s="480">
        <v>201601</v>
      </c>
      <c r="F36" s="480">
        <f>E36+1</f>
        <v>201602</v>
      </c>
      <c r="G36" s="480">
        <f t="shared" ref="G36:P36" si="68">F36+1</f>
        <v>201603</v>
      </c>
      <c r="H36" s="480">
        <f t="shared" si="68"/>
        <v>201604</v>
      </c>
      <c r="I36" s="480">
        <f t="shared" si="68"/>
        <v>201605</v>
      </c>
      <c r="J36" s="480">
        <f t="shared" si="68"/>
        <v>201606</v>
      </c>
      <c r="K36" s="480">
        <f t="shared" si="68"/>
        <v>201607</v>
      </c>
      <c r="L36" s="480">
        <f t="shared" si="68"/>
        <v>201608</v>
      </c>
      <c r="M36" s="480">
        <f t="shared" si="68"/>
        <v>201609</v>
      </c>
      <c r="N36" s="480">
        <f t="shared" si="68"/>
        <v>201610</v>
      </c>
      <c r="O36" s="480">
        <f t="shared" si="68"/>
        <v>201611</v>
      </c>
      <c r="P36" s="480">
        <f t="shared" si="68"/>
        <v>201612</v>
      </c>
      <c r="Q36" s="480">
        <f>Q3</f>
        <v>201701</v>
      </c>
      <c r="R36" s="480">
        <f>Q36+1</f>
        <v>201702</v>
      </c>
      <c r="S36" s="480">
        <f t="shared" ref="S36" si="69">R36+1</f>
        <v>201703</v>
      </c>
      <c r="T36" s="480">
        <f t="shared" ref="T36" si="70">S36+1</f>
        <v>201704</v>
      </c>
      <c r="U36" s="480">
        <f t="shared" ref="U36" si="71">T36+1</f>
        <v>201705</v>
      </c>
      <c r="V36" s="480">
        <f t="shared" ref="V36" si="72">U36+1</f>
        <v>201706</v>
      </c>
      <c r="W36" s="480">
        <f t="shared" ref="W36" si="73">V36+1</f>
        <v>201707</v>
      </c>
      <c r="X36" s="480">
        <f t="shared" ref="X36" si="74">W36+1</f>
        <v>201708</v>
      </c>
      <c r="Y36" s="480">
        <f t="shared" ref="Y36" si="75">X36+1</f>
        <v>201709</v>
      </c>
      <c r="Z36" s="480">
        <f t="shared" ref="Z36" si="76">Y36+1</f>
        <v>201710</v>
      </c>
      <c r="AA36" s="480">
        <f t="shared" ref="AA36" si="77">Z36+1</f>
        <v>201711</v>
      </c>
      <c r="AB36" s="480">
        <f t="shared" ref="AB36" si="78">AA36+1</f>
        <v>201712</v>
      </c>
      <c r="AC36" s="569">
        <f t="shared" ref="AC36:AE37" si="79">AC3</f>
        <v>201801</v>
      </c>
      <c r="AD36" s="569">
        <f t="shared" si="79"/>
        <v>201802</v>
      </c>
      <c r="AE36" s="569">
        <f t="shared" si="79"/>
        <v>201803</v>
      </c>
      <c r="AF36" s="569">
        <f>AF3</f>
        <v>201804</v>
      </c>
      <c r="AG36" s="569">
        <f t="shared" ref="AG36:AM36" si="80">AG3</f>
        <v>201805</v>
      </c>
      <c r="AH36" s="569">
        <f t="shared" ref="AH36:AL36" si="81">AH3</f>
        <v>201806</v>
      </c>
      <c r="AI36" s="569">
        <f t="shared" si="81"/>
        <v>201807</v>
      </c>
      <c r="AJ36" s="569">
        <f t="shared" si="81"/>
        <v>201808</v>
      </c>
      <c r="AK36" s="569">
        <f t="shared" si="81"/>
        <v>201809</v>
      </c>
      <c r="AL36" s="569">
        <f t="shared" si="81"/>
        <v>201810</v>
      </c>
      <c r="AM36" s="569">
        <f t="shared" si="80"/>
        <v>201811</v>
      </c>
      <c r="AN36" s="562"/>
      <c r="AO36" s="493" t="s">
        <v>289</v>
      </c>
      <c r="AP36" s="521">
        <v>431600</v>
      </c>
      <c r="AQ36" s="354" t="s">
        <v>280</v>
      </c>
      <c r="AR36" s="354" t="s">
        <v>281</v>
      </c>
      <c r="AS36" s="377">
        <f>IF(SUMIF(E36:AM36,AO34,E40:AM40)&lt;0,-SUMIF(E36:AM36,AO34,E40:AM40),0)</f>
        <v>52658.465151281016</v>
      </c>
      <c r="AT36" s="494">
        <v>0</v>
      </c>
      <c r="AV36" s="478" t="str">
        <f>_xll.GLW_Segment_Description(AP36,2,2)</f>
        <v>INTEREST EXPENSE ENERGY DEFERRALS</v>
      </c>
    </row>
    <row r="37" spans="1:61" s="479" customFormat="1">
      <c r="B37" s="481" t="s">
        <v>253</v>
      </c>
      <c r="C37" s="478"/>
      <c r="E37" s="484">
        <v>3.2500000000000001E-2</v>
      </c>
      <c r="F37" s="484">
        <v>3.2500000000000001E-2</v>
      </c>
      <c r="G37" s="484">
        <v>3.2500000000000001E-2</v>
      </c>
      <c r="H37" s="484">
        <v>3.4599999999999999E-2</v>
      </c>
      <c r="I37" s="484">
        <v>3.4599999999999999E-2</v>
      </c>
      <c r="J37" s="484">
        <v>3.4599999999999999E-2</v>
      </c>
      <c r="K37" s="484">
        <v>3.5000000000000003E-2</v>
      </c>
      <c r="L37" s="568">
        <v>3.5000000000000003E-2</v>
      </c>
      <c r="M37" s="568">
        <v>3.5000000000000003E-2</v>
      </c>
      <c r="N37" s="568">
        <v>3.5000000000000003E-2</v>
      </c>
      <c r="O37" s="568">
        <v>3.5000000000000003E-2</v>
      </c>
      <c r="P37" s="568">
        <v>3.5000000000000003E-2</v>
      </c>
      <c r="Q37" s="591">
        <v>3.5000000000000003E-2</v>
      </c>
      <c r="R37" s="591">
        <v>3.5000000000000003E-2</v>
      </c>
      <c r="S37" s="591">
        <v>3.5000000000000003E-2</v>
      </c>
      <c r="T37" s="591">
        <v>3.7100000000000001E-2</v>
      </c>
      <c r="U37" s="591">
        <v>3.7100000000000001E-2</v>
      </c>
      <c r="V37" s="591">
        <v>3.7100000000000001E-2</v>
      </c>
      <c r="W37" s="591">
        <v>3.9600000000000003E-2</v>
      </c>
      <c r="X37" s="591">
        <v>3.9600000000000003E-2</v>
      </c>
      <c r="Y37" s="591">
        <v>3.9600000000000003E-2</v>
      </c>
      <c r="Z37" s="591">
        <v>4.2099999999999999E-2</v>
      </c>
      <c r="AA37" s="591">
        <v>4.2099999999999999E-2</v>
      </c>
      <c r="AB37" s="591">
        <v>4.2099999999999999E-2</v>
      </c>
      <c r="AC37" s="591">
        <f t="shared" si="79"/>
        <v>4.2500000000000003E-2</v>
      </c>
      <c r="AD37" s="591">
        <f t="shared" si="79"/>
        <v>4.2500000000000003E-2</v>
      </c>
      <c r="AE37" s="591">
        <f t="shared" si="79"/>
        <v>4.2500000000000003E-2</v>
      </c>
      <c r="AF37" s="591">
        <f>AF4</f>
        <v>4.4699999999999997E-2</v>
      </c>
      <c r="AG37" s="591">
        <f t="shared" ref="AG37:AM37" si="82">AG4</f>
        <v>4.4699999999999997E-2</v>
      </c>
      <c r="AH37" s="591">
        <f t="shared" ref="AH37:AK37" si="83">AH4</f>
        <v>4.4699999999999997E-2</v>
      </c>
      <c r="AI37" s="591">
        <f t="shared" si="83"/>
        <v>4.6899999999999997E-2</v>
      </c>
      <c r="AJ37" s="591">
        <f t="shared" si="83"/>
        <v>4.6899999999999997E-2</v>
      </c>
      <c r="AK37" s="591">
        <f t="shared" si="83"/>
        <v>4.6899999999999997E-2</v>
      </c>
      <c r="AL37" s="591">
        <f>AL4</f>
        <v>4.9599999999999998E-2</v>
      </c>
      <c r="AM37" s="591">
        <f t="shared" si="82"/>
        <v>4.9599999999999998E-2</v>
      </c>
      <c r="AN37" s="562"/>
      <c r="AO37" s="493" t="s">
        <v>290</v>
      </c>
      <c r="AP37" s="521">
        <v>191000</v>
      </c>
      <c r="AQ37" s="354" t="s">
        <v>280</v>
      </c>
      <c r="AR37" s="354" t="s">
        <v>281</v>
      </c>
      <c r="AS37" s="377">
        <f>IF((SUMIF(E36:AM36,AO34,E39:AM39)+SUMIF(E36:AM36,AO34,E40:AM40))&gt;0,(SUMIF(E36:AM36,AO34,E39:AM39)+SUMIF(E36:AM36,AO34,E40:AM40)),0)</f>
        <v>1827436.5348487189</v>
      </c>
      <c r="AT37" s="494">
        <f>IF((SUMIF(E36:AM36,AO34,E39:AM39)+SUMIF(E36:AM36,AO34,E40:AM40))&lt;0,-(SUMIF(E36:AM36,AO34,E39:AM39)+SUMIF(E36:AM36,AO34,E40:AM40)),0)</f>
        <v>0</v>
      </c>
      <c r="AV37" s="478" t="str">
        <f>_xll.GLW_Segment_Description(AP37,2,2)</f>
        <v>RECOVERABLE GAS COSTS AMORTIZED</v>
      </c>
    </row>
    <row r="38" spans="1:61">
      <c r="A38" s="488"/>
      <c r="B38" s="477" t="s">
        <v>250</v>
      </c>
      <c r="D38" s="478">
        <f>E38</f>
        <v>-2400830.7877258095</v>
      </c>
      <c r="E38" s="478">
        <v>-2400830.7877258095</v>
      </c>
      <c r="F38" s="478">
        <f t="shared" ref="F38" si="84">E43</f>
        <v>-1799942.4443073752</v>
      </c>
      <c r="G38" s="478">
        <f t="shared" ref="G38" si="85">F43</f>
        <v>-1367080.388300563</v>
      </c>
      <c r="H38" s="478">
        <f t="shared" ref="H38" si="86">G43</f>
        <v>-991269.16134300514</v>
      </c>
      <c r="I38" s="478">
        <f t="shared" ref="I38" si="87">H43</f>
        <v>-820633.96798459429</v>
      </c>
      <c r="J38" s="478">
        <f>I43</f>
        <v>-706831.28344430251</v>
      </c>
      <c r="K38" s="478">
        <f t="shared" ref="K38" si="88">J43</f>
        <v>-615740.82707996247</v>
      </c>
      <c r="L38" s="478">
        <f t="shared" ref="L38" si="89">K43</f>
        <v>-539081.43298013532</v>
      </c>
      <c r="M38" s="478">
        <f t="shared" ref="M38:R38" si="90">L43</f>
        <v>-459570.5002163836</v>
      </c>
      <c r="N38" s="478">
        <f t="shared" si="90"/>
        <v>-353667.8760235564</v>
      </c>
      <c r="O38" s="547">
        <f t="shared" si="90"/>
        <v>-123445.19123732927</v>
      </c>
      <c r="P38" s="478">
        <f t="shared" si="90"/>
        <v>-12794629.54065969</v>
      </c>
      <c r="Q38" s="478">
        <f>P43</f>
        <v>-9990002.7430699486</v>
      </c>
      <c r="R38" s="478">
        <f t="shared" si="90"/>
        <v>-6863930.3518781429</v>
      </c>
      <c r="S38" s="478">
        <f>R43</f>
        <v>-4576506.6383892084</v>
      </c>
      <c r="T38" s="478">
        <f t="shared" ref="T38" si="91">S43</f>
        <v>-2850780.7220049934</v>
      </c>
      <c r="U38" s="547">
        <f t="shared" ref="U38" si="92">T43</f>
        <v>-1667508.1164393995</v>
      </c>
      <c r="V38" s="478">
        <f>U43</f>
        <v>-1028322.8285985981</v>
      </c>
      <c r="W38" s="478">
        <f t="shared" ref="W38" si="93">V43</f>
        <v>-648348.69566836057</v>
      </c>
      <c r="X38" s="547">
        <f t="shared" ref="X38:AB38" si="94">W43</f>
        <v>-342730.3402196177</v>
      </c>
      <c r="Y38" s="478">
        <f t="shared" si="94"/>
        <v>-33149.237686728884</v>
      </c>
      <c r="Z38" s="478">
        <f t="shared" si="94"/>
        <v>429057.38532247738</v>
      </c>
      <c r="AA38" s="547">
        <f t="shared" si="94"/>
        <v>1518525.1996199901</v>
      </c>
      <c r="AB38" s="478">
        <f t="shared" si="94"/>
        <v>-11530857.691050928</v>
      </c>
      <c r="AC38" s="478">
        <f t="shared" ref="AC38:AG38" si="95">AB43</f>
        <v>-8772939.4477731995</v>
      </c>
      <c r="AD38" s="547">
        <f t="shared" si="95"/>
        <v>-6449815.9068760211</v>
      </c>
      <c r="AE38" s="547">
        <f t="shared" si="95"/>
        <v>-4259121.6475951439</v>
      </c>
      <c r="AF38" s="547">
        <f t="shared" si="95"/>
        <v>-2403721.0782025773</v>
      </c>
      <c r="AG38" s="547">
        <f t="shared" si="95"/>
        <v>-1190951.9274032866</v>
      </c>
      <c r="AH38" s="547">
        <f t="shared" ref="AH38:AM38" si="96">AG43</f>
        <v>-719753.16900029394</v>
      </c>
      <c r="AI38" s="547">
        <f t="shared" si="96"/>
        <v>-324062.29737981706</v>
      </c>
      <c r="AJ38" s="547">
        <f t="shared" si="96"/>
        <v>6085.9211845684895</v>
      </c>
      <c r="AK38" s="547">
        <f>AJ43</f>
        <v>340942.68942091474</v>
      </c>
      <c r="AL38" s="547">
        <f t="shared" si="96"/>
        <v>782436.83885088074</v>
      </c>
      <c r="AM38" s="547">
        <f t="shared" si="96"/>
        <v>1843136.8387223349</v>
      </c>
      <c r="AO38" s="493" t="s">
        <v>291</v>
      </c>
      <c r="AP38" s="521">
        <v>805110</v>
      </c>
      <c r="AQ38" s="354" t="s">
        <v>280</v>
      </c>
      <c r="AR38" s="354" t="s">
        <v>281</v>
      </c>
      <c r="AS38" s="377">
        <f>IF((SUMIF(E36:AM36,AO34,E39:AM39))&lt;0,-(SUMIF(E36:AM36,AO34,E39:AM39)),0)</f>
        <v>0</v>
      </c>
      <c r="AT38" s="494">
        <f>IF((SUMIF(E36:AM36,AO34,E39:AM39))&gt;0,(SUMIF(E36:AM36,AO34,E39:AM39)),0)</f>
        <v>1880095</v>
      </c>
      <c r="AV38" s="478" t="str">
        <f>_xll.GLW_Segment_Description(AP38,2,2)</f>
        <v>AMORTIZE RECOVERABLE GAS COSTS</v>
      </c>
      <c r="BB38" s="479"/>
      <c r="BC38" s="479"/>
      <c r="BD38" s="479"/>
      <c r="BE38" s="479"/>
      <c r="BF38" s="479"/>
      <c r="BG38" s="479"/>
      <c r="BH38" s="479"/>
      <c r="BI38" s="479"/>
    </row>
    <row r="39" spans="1:61">
      <c r="B39" s="477" t="s">
        <v>23</v>
      </c>
      <c r="C39" s="478">
        <f>SUM(Q39:AB39)</f>
        <v>16000586.827369999</v>
      </c>
      <c r="D39" s="489">
        <f>SUM(E39:AB39)</f>
        <v>22501687.655719999</v>
      </c>
      <c r="E39" s="478">
        <v>606569.19767999998</v>
      </c>
      <c r="F39" s="478">
        <v>437144.93303000001</v>
      </c>
      <c r="G39" s="478">
        <v>379000.50648999994</v>
      </c>
      <c r="H39" s="478">
        <v>173243.59325999999</v>
      </c>
      <c r="I39" s="478">
        <v>116001.61016</v>
      </c>
      <c r="J39" s="478">
        <v>92994.419610000012</v>
      </c>
      <c r="K39" s="478">
        <v>78341.057469999985</v>
      </c>
      <c r="L39" s="478">
        <v>80965.179390000005</v>
      </c>
      <c r="M39" s="478">
        <v>107086.8698</v>
      </c>
      <c r="N39" s="478">
        <v>230917.46145999999</v>
      </c>
      <c r="O39" s="547">
        <v>1361030</v>
      </c>
      <c r="P39" s="478">
        <f>2837806</f>
        <v>2837806</v>
      </c>
      <c r="Q39" s="478">
        <f t="shared" ref="Q39:Z39" si="97">SUMPRODUCT(Q19:Q24,Q29:Q34)</f>
        <v>3150615.2519499999</v>
      </c>
      <c r="R39" s="478">
        <f>SUMPRODUCT(R19:R24,R29:R34)</f>
        <v>2304083.3887400003</v>
      </c>
      <c r="S39" s="478">
        <f t="shared" si="97"/>
        <v>1736541.60424</v>
      </c>
      <c r="T39" s="478">
        <f t="shared" si="97"/>
        <v>1190246.3468200001</v>
      </c>
      <c r="U39" s="478">
        <f t="shared" si="97"/>
        <v>643346.16116000002</v>
      </c>
      <c r="V39" s="478">
        <f t="shared" si="97"/>
        <v>382561.98726999998</v>
      </c>
      <c r="W39" s="478">
        <f t="shared" si="97"/>
        <v>307250.94208999997</v>
      </c>
      <c r="X39" s="478">
        <f t="shared" si="97"/>
        <v>310200.28219000006</v>
      </c>
      <c r="Y39" s="478">
        <f t="shared" si="97"/>
        <v>461554.45064999996</v>
      </c>
      <c r="Z39" s="478">
        <f t="shared" si="97"/>
        <v>1086057.4122600001</v>
      </c>
      <c r="AA39" s="547">
        <v>1765228</v>
      </c>
      <c r="AB39" s="547">
        <v>2662901</v>
      </c>
      <c r="AC39" s="547">
        <f t="shared" ref="AC39:AG39" si="98">SUMPRODUCT(AC19:AC24,AC29:AC34)</f>
        <v>2350032.8516000002</v>
      </c>
      <c r="AD39" s="547">
        <f t="shared" si="98"/>
        <v>2209994.9905999997</v>
      </c>
      <c r="AE39" s="547">
        <f t="shared" si="98"/>
        <v>1867178.4966399998</v>
      </c>
      <c r="AF39" s="547">
        <f t="shared" si="98"/>
        <v>1219451.78287</v>
      </c>
      <c r="AG39" s="547">
        <f t="shared" si="98"/>
        <v>474750.83091000002</v>
      </c>
      <c r="AH39" s="547">
        <f t="shared" ref="AH39:AL39" si="99">SUMPRODUCT(AH19:AH24,AH29:AH34)</f>
        <v>397631.36375999998</v>
      </c>
      <c r="AI39" s="547">
        <f t="shared" si="99"/>
        <v>330768.38548999996</v>
      </c>
      <c r="AJ39" s="547">
        <f>SUMPRODUCT(AJ19:AJ24,AJ29:AJ34)</f>
        <v>334179.93913000001</v>
      </c>
      <c r="AK39" s="547">
        <f>SUMPRODUCT(AK19:AK24,AK29:AK34)</f>
        <v>439303.16016000003</v>
      </c>
      <c r="AL39" s="547">
        <f t="shared" si="99"/>
        <v>1055285.00526</v>
      </c>
      <c r="AM39" s="547">
        <v>1880095</v>
      </c>
      <c r="AO39" s="153" t="s">
        <v>156</v>
      </c>
      <c r="AP39" s="208">
        <f>AP37</f>
        <v>191000</v>
      </c>
      <c r="AQ39" s="208" t="str">
        <f t="shared" ref="AQ39:AR39" si="100">AQ37</f>
        <v>GD</v>
      </c>
      <c r="AR39" s="208" t="str">
        <f t="shared" si="100"/>
        <v>WA</v>
      </c>
      <c r="AS39" s="468">
        <f>193448.89</f>
        <v>193448.89</v>
      </c>
      <c r="AT39" s="458">
        <f>-IF(SUMIF(E36:AE36,AO34,E42:AE42)&lt;0,SUMIF(E36:AE36,AO34,E42:AE42),0)</f>
        <v>0</v>
      </c>
      <c r="AV39" s="478" t="str">
        <f>_xll.GLW_Segment_Description(AP39,2,2)</f>
        <v>RECOVERABLE GAS COSTS AMORTIZED</v>
      </c>
      <c r="BB39" s="479"/>
      <c r="BC39" s="479"/>
      <c r="BD39" s="479"/>
      <c r="BE39" s="479"/>
      <c r="BF39" s="479"/>
      <c r="BG39" s="479"/>
      <c r="BH39" s="479"/>
      <c r="BI39" s="479"/>
    </row>
    <row r="40" spans="1:61" ht="16.5" thickBot="1">
      <c r="B40" s="477" t="s">
        <v>4</v>
      </c>
      <c r="C40" s="478">
        <f>SUM(Q40:AB40)</f>
        <v>-142882.10207324801</v>
      </c>
      <c r="D40" s="478">
        <f>SUM(E40:AB40)</f>
        <v>-240404.19576738396</v>
      </c>
      <c r="E40" s="485">
        <v>-5680.8542615657343</v>
      </c>
      <c r="F40" s="485">
        <v>-4282.8770231876824</v>
      </c>
      <c r="G40" s="485">
        <v>-3189.27953244215</v>
      </c>
      <c r="H40" s="485">
        <v>-2608.3999015891645</v>
      </c>
      <c r="I40" s="485">
        <v>-2198.9256197082468</v>
      </c>
      <c r="J40" s="485">
        <v>-1903.9632456599886</v>
      </c>
      <c r="K40" s="485">
        <v>-1681.6633701728074</v>
      </c>
      <c r="L40" s="485">
        <v>-1454.2466262483115</v>
      </c>
      <c r="M40" s="485">
        <v>-1184.2456071727854</v>
      </c>
      <c r="N40" s="485">
        <v>-694.77667377287275</v>
      </c>
      <c r="O40" s="544">
        <f>((O38+O41)*(O37/12))+(((O39+O42)/2)*(O37/12))</f>
        <v>-39463.659422358884</v>
      </c>
      <c r="P40" s="485">
        <f t="shared" ref="P40:T40" si="101">((P38+P41)*(P37/12))+(((P39+P42)/2)*(P37/12))</f>
        <v>-33179.202410257429</v>
      </c>
      <c r="Q40" s="485">
        <f>((Q38+Q41)*(Q37/12))+(((Q39+Q42)/2)*(Q37/12))</f>
        <v>-24542.860758193601</v>
      </c>
      <c r="R40" s="485">
        <f t="shared" si="101"/>
        <v>-16659.675251065419</v>
      </c>
      <c r="S40" s="485">
        <f t="shared" si="101"/>
        <v>-10815.687855785192</v>
      </c>
      <c r="T40" s="485">
        <f t="shared" si="101"/>
        <v>-6973.7412544061872</v>
      </c>
      <c r="U40" s="485">
        <f>((U38+U41)*(U37/12))+(((U39+U42)/2)*(U37/12))</f>
        <v>-4160.873319198643</v>
      </c>
      <c r="V40" s="485">
        <f>((V38+V41)*(V37/12))+(((V39+V42)/2)*(V37/12))</f>
        <v>-2587.8543397624576</v>
      </c>
      <c r="W40" s="485">
        <f t="shared" ref="W40" si="102">((W38+W41)*(W37/12))+(((W39+W42)/2)*(W37/12))</f>
        <v>-1632.5866412570899</v>
      </c>
      <c r="X40" s="485">
        <f t="shared" ref="X40:Z40" si="103">((X38+X41)*(X37/12))+(((X39+X42)/2)*(X37/12))</f>
        <v>-619.17965711123838</v>
      </c>
      <c r="Y40" s="485">
        <f t="shared" si="103"/>
        <v>652.17235920629469</v>
      </c>
      <c r="Z40" s="485">
        <f t="shared" si="103"/>
        <v>3410.4020375124419</v>
      </c>
      <c r="AA40" s="544">
        <f>((AA38+AA41)*(AA37/12))+(((AA39+AA42)/2)*(AA37/12))</f>
        <v>-43398.340670916543</v>
      </c>
      <c r="AB40" s="485">
        <f t="shared" ref="AB40:AE40" si="104">((AB38+AB41)*(AB37/12))+(((AB39+AB42)/2)*(AB37/12))</f>
        <v>-35553.876722270346</v>
      </c>
      <c r="AC40" s="544">
        <f t="shared" si="104"/>
        <v>-26909.310702821749</v>
      </c>
      <c r="AD40" s="544">
        <f t="shared" si="104"/>
        <v>-18930.221319123411</v>
      </c>
      <c r="AE40" s="544">
        <f t="shared" si="104"/>
        <v>-11777.927247432803</v>
      </c>
      <c r="AF40" s="544">
        <f t="shared" ref="AF40:AL40" si="105">((AF38+AF41)*(AF37/12))+(((AF39+AF42)/2)*(AF37/12))</f>
        <v>-6682.6320707092254</v>
      </c>
      <c r="AG40" s="544">
        <f t="shared" si="105"/>
        <v>-3552.0725070073668</v>
      </c>
      <c r="AH40" s="544">
        <f t="shared" si="105"/>
        <v>-1940.4921395230947</v>
      </c>
      <c r="AI40" s="544">
        <f t="shared" si="105"/>
        <v>-620.16692561441005</v>
      </c>
      <c r="AJ40" s="544">
        <f>((AJ38+AJ41)*(AJ37/12))+(((AJ39+AJ42)/2)*(AJ37/12))</f>
        <v>676.82910634623022</v>
      </c>
      <c r="AK40" s="544">
        <f>((AK38+AK41)*(AK37/12))+(((AK39+AK42)/2)*(AK37/12))</f>
        <v>2190.989269966075</v>
      </c>
      <c r="AL40" s="544">
        <f t="shared" si="105"/>
        <v>5414.9946114543072</v>
      </c>
      <c r="AM40" s="544">
        <f>((AM38+AM41)*(AM37/12))+(((AM39+AM42)/2)*(AM37/12))</f>
        <v>-52658.465151281016</v>
      </c>
      <c r="AO40" s="154" t="str">
        <f>AO39</f>
        <v>Large Customer Refund</v>
      </c>
      <c r="AP40" s="545">
        <f>AP38</f>
        <v>805110</v>
      </c>
      <c r="AQ40" s="545" t="str">
        <f t="shared" ref="AQ40:AR40" si="106">AQ38</f>
        <v>GD</v>
      </c>
      <c r="AR40" s="545" t="str">
        <f t="shared" si="106"/>
        <v>WA</v>
      </c>
      <c r="AS40" s="460">
        <f>AT39</f>
        <v>0</v>
      </c>
      <c r="AT40" s="469">
        <f>AS39</f>
        <v>193448.89</v>
      </c>
      <c r="AV40" s="478" t="str">
        <f>_xll.GLW_Segment_Description(AP40,2,2)</f>
        <v>AMORTIZE RECOVERABLE GAS COSTS</v>
      </c>
      <c r="BB40" s="479"/>
      <c r="BC40" s="479"/>
      <c r="BD40" s="479"/>
      <c r="BE40" s="479"/>
      <c r="BF40" s="479"/>
      <c r="BG40" s="479"/>
      <c r="BH40" s="479"/>
      <c r="BI40" s="479"/>
    </row>
    <row r="41" spans="1:61" ht="16.5" thickBot="1">
      <c r="B41" s="477" t="s">
        <v>255</v>
      </c>
      <c r="C41" s="478">
        <f t="shared" ref="C41:C42" si="107">SUM(Q41:AB41)</f>
        <v>-14771212.550000001</v>
      </c>
      <c r="D41" s="478">
        <f>SUM(E41:AB41)</f>
        <v>-28953396.510000002</v>
      </c>
      <c r="E41" s="478">
        <v>0</v>
      </c>
      <c r="F41" s="478">
        <v>0</v>
      </c>
      <c r="G41" s="478">
        <v>0</v>
      </c>
      <c r="H41" s="478">
        <v>0</v>
      </c>
      <c r="I41" s="478">
        <v>0</v>
      </c>
      <c r="J41" s="478">
        <v>0</v>
      </c>
      <c r="K41" s="478">
        <v>0</v>
      </c>
      <c r="L41" s="478">
        <v>0</v>
      </c>
      <c r="M41" s="478">
        <v>0</v>
      </c>
      <c r="N41" s="478">
        <v>0</v>
      </c>
      <c r="O41" s="587">
        <v>-14182183.960000001</v>
      </c>
      <c r="P41" s="478">
        <v>0</v>
      </c>
      <c r="Q41" s="478">
        <v>0</v>
      </c>
      <c r="R41" s="478">
        <v>0</v>
      </c>
      <c r="S41" s="478">
        <v>0</v>
      </c>
      <c r="T41" s="478">
        <v>0</v>
      </c>
      <c r="U41" s="478">
        <v>0</v>
      </c>
      <c r="V41" s="478">
        <v>0</v>
      </c>
      <c r="W41" s="478">
        <v>0</v>
      </c>
      <c r="X41" s="478">
        <v>0</v>
      </c>
      <c r="Y41" s="478">
        <v>0</v>
      </c>
      <c r="Z41" s="478">
        <v>0</v>
      </c>
      <c r="AA41" s="587">
        <v>-14771212.550000001</v>
      </c>
      <c r="AB41" s="478">
        <v>0</v>
      </c>
      <c r="AC41" s="547">
        <v>0</v>
      </c>
      <c r="AD41" s="547">
        <v>0</v>
      </c>
      <c r="AE41" s="547">
        <v>0</v>
      </c>
      <c r="AF41" s="547">
        <v>0</v>
      </c>
      <c r="AG41" s="547">
        <v>0</v>
      </c>
      <c r="AH41" s="547">
        <v>0</v>
      </c>
      <c r="AI41" s="547">
        <v>0</v>
      </c>
      <c r="AJ41" s="547">
        <v>0</v>
      </c>
      <c r="AK41" s="547">
        <v>0</v>
      </c>
      <c r="AL41" s="547">
        <v>0</v>
      </c>
      <c r="AM41" s="581">
        <f>-15619860.03</f>
        <v>-15619860.029999999</v>
      </c>
      <c r="AO41" s="509"/>
      <c r="AP41" s="523"/>
      <c r="AQ41" s="510"/>
      <c r="AR41" s="510"/>
      <c r="AS41" s="510" t="s">
        <v>159</v>
      </c>
      <c r="AT41" s="511">
        <f>SUM(AS35:AS40)-SUM(AT35:AT40)</f>
        <v>0</v>
      </c>
      <c r="BB41" s="479"/>
      <c r="BC41" s="479"/>
      <c r="BD41" s="479"/>
      <c r="BE41" s="479"/>
      <c r="BF41" s="479"/>
      <c r="BG41" s="479"/>
      <c r="BH41" s="479"/>
      <c r="BI41" s="479"/>
    </row>
    <row r="42" spans="1:61">
      <c r="B42" s="477" t="s">
        <v>148</v>
      </c>
      <c r="C42" s="478">
        <f t="shared" si="107"/>
        <v>130571.12</v>
      </c>
      <c r="D42" s="489">
        <f>SUM(E42:AB42)</f>
        <v>320004.39</v>
      </c>
      <c r="E42" s="478">
        <v>0</v>
      </c>
      <c r="F42" s="478">
        <v>0</v>
      </c>
      <c r="G42" s="478">
        <v>0</v>
      </c>
      <c r="H42" s="478">
        <v>0</v>
      </c>
      <c r="I42" s="478">
        <v>0</v>
      </c>
      <c r="J42" s="478">
        <v>0</v>
      </c>
      <c r="K42" s="478">
        <v>0</v>
      </c>
      <c r="L42" s="478">
        <v>0</v>
      </c>
      <c r="M42" s="478">
        <v>0</v>
      </c>
      <c r="N42" s="478">
        <v>0</v>
      </c>
      <c r="O42" s="547">
        <v>189433.27</v>
      </c>
      <c r="P42" s="478">
        <v>0</v>
      </c>
      <c r="Q42" s="478">
        <v>0</v>
      </c>
      <c r="R42" s="478">
        <v>0</v>
      </c>
      <c r="S42" s="478">
        <v>0</v>
      </c>
      <c r="T42" s="478">
        <v>0</v>
      </c>
      <c r="U42" s="478">
        <v>0</v>
      </c>
      <c r="V42" s="478">
        <v>0</v>
      </c>
      <c r="W42" s="478">
        <v>0</v>
      </c>
      <c r="X42" s="478">
        <v>0</v>
      </c>
      <c r="Y42" s="478">
        <v>0</v>
      </c>
      <c r="Z42" s="478">
        <v>0</v>
      </c>
      <c r="AA42" s="618">
        <v>0</v>
      </c>
      <c r="AB42" s="618">
        <v>130571.12</v>
      </c>
      <c r="AC42" s="547">
        <v>0</v>
      </c>
      <c r="AD42" s="618">
        <f>-158.62-25.94-185.95</f>
        <v>-370.51</v>
      </c>
      <c r="AE42" s="547">
        <v>0</v>
      </c>
      <c r="AF42" s="547">
        <v>0</v>
      </c>
      <c r="AG42" s="547">
        <v>0</v>
      </c>
      <c r="AH42" s="547">
        <v>0</v>
      </c>
      <c r="AI42" s="547">
        <v>0</v>
      </c>
      <c r="AJ42" s="547">
        <v>0</v>
      </c>
      <c r="AK42" s="547">
        <v>0</v>
      </c>
      <c r="AL42" s="547">
        <v>0</v>
      </c>
      <c r="AM42" s="581">
        <f>(20527.62+70176.6+102744.67)</f>
        <v>193448.89</v>
      </c>
    </row>
    <row r="43" spans="1:61" ht="16.5" thickBot="1">
      <c r="B43" s="477" t="s">
        <v>56</v>
      </c>
      <c r="C43" s="531">
        <f>SUM(C39:C42)</f>
        <v>1217063.29529675</v>
      </c>
      <c r="D43" s="531">
        <f>SUM(D38:D42)</f>
        <v>-8772939.4477731958</v>
      </c>
      <c r="E43" s="531">
        <v>-1799942.4443073752</v>
      </c>
      <c r="F43" s="531">
        <f t="shared" ref="F43:P43" si="108">SUM(F38:F42)</f>
        <v>-1367080.388300563</v>
      </c>
      <c r="G43" s="531">
        <f t="shared" si="108"/>
        <v>-991269.16134300514</v>
      </c>
      <c r="H43" s="531">
        <f t="shared" si="108"/>
        <v>-820633.96798459429</v>
      </c>
      <c r="I43" s="531">
        <f t="shared" si="108"/>
        <v>-706831.28344430251</v>
      </c>
      <c r="J43" s="531">
        <f t="shared" si="108"/>
        <v>-615740.82707996247</v>
      </c>
      <c r="K43" s="531">
        <f>SUM(K38:K42)</f>
        <v>-539081.43298013532</v>
      </c>
      <c r="L43" s="531">
        <f t="shared" si="108"/>
        <v>-459570.5002163836</v>
      </c>
      <c r="M43" s="531">
        <f t="shared" si="108"/>
        <v>-353667.8760235564</v>
      </c>
      <c r="N43" s="531">
        <f t="shared" si="108"/>
        <v>-123445.19123732927</v>
      </c>
      <c r="O43" s="531">
        <f>SUM(O38:O42)</f>
        <v>-12794629.54065969</v>
      </c>
      <c r="P43" s="531">
        <f t="shared" si="108"/>
        <v>-9990002.7430699486</v>
      </c>
      <c r="Q43" s="531">
        <f>SUM(Q38:Q42)</f>
        <v>-6863930.3518781429</v>
      </c>
      <c r="R43" s="531">
        <f t="shared" ref="R43:V43" si="109">SUM(R38:R42)</f>
        <v>-4576506.6383892084</v>
      </c>
      <c r="S43" s="531">
        <f>SUM(S38:S42)</f>
        <v>-2850780.7220049934</v>
      </c>
      <c r="T43" s="531">
        <f t="shared" si="109"/>
        <v>-1667508.1164393995</v>
      </c>
      <c r="U43" s="531">
        <f t="shared" si="109"/>
        <v>-1028322.8285985981</v>
      </c>
      <c r="V43" s="531">
        <f t="shared" si="109"/>
        <v>-648348.69566836057</v>
      </c>
      <c r="W43" s="531">
        <f>SUM(W38:W42)</f>
        <v>-342730.3402196177</v>
      </c>
      <c r="X43" s="531">
        <f t="shared" ref="X43:Z43" si="110">SUM(X38:X42)</f>
        <v>-33149.237686728884</v>
      </c>
      <c r="Y43" s="531">
        <f t="shared" si="110"/>
        <v>429057.38532247738</v>
      </c>
      <c r="Z43" s="531">
        <f t="shared" si="110"/>
        <v>1518525.1996199901</v>
      </c>
      <c r="AA43" s="531">
        <f t="shared" ref="AA43:AE43" si="111">SUM(AA38:AA42)</f>
        <v>-11530857.691050928</v>
      </c>
      <c r="AB43" s="531">
        <f t="shared" si="111"/>
        <v>-8772939.4477731995</v>
      </c>
      <c r="AC43" s="588">
        <f t="shared" si="111"/>
        <v>-6449815.9068760211</v>
      </c>
      <c r="AD43" s="588">
        <f t="shared" si="111"/>
        <v>-4259121.6475951439</v>
      </c>
      <c r="AE43" s="588">
        <f t="shared" si="111"/>
        <v>-2403721.0782025773</v>
      </c>
      <c r="AF43" s="588">
        <f>SUM(AF38:AF42)</f>
        <v>-1190951.9274032866</v>
      </c>
      <c r="AG43" s="588">
        <f t="shared" ref="AG43" si="112">SUM(AG38:AG42)</f>
        <v>-719753.16900029394</v>
      </c>
      <c r="AH43" s="588">
        <f t="shared" ref="AH43:AK43" si="113">SUM(AH38:AH42)</f>
        <v>-324062.29737981706</v>
      </c>
      <c r="AI43" s="588">
        <f t="shared" si="113"/>
        <v>6085.9211845684895</v>
      </c>
      <c r="AJ43" s="588">
        <f t="shared" si="113"/>
        <v>340942.68942091474</v>
      </c>
      <c r="AK43" s="588">
        <f t="shared" si="113"/>
        <v>782436.83885088074</v>
      </c>
      <c r="AL43" s="588">
        <f>SUM(AL38:AL42)</f>
        <v>1843136.8387223349</v>
      </c>
      <c r="AM43" s="588">
        <f>SUM(AM38:AM42)</f>
        <v>-11755837.766428944</v>
      </c>
      <c r="AO43" s="354"/>
      <c r="AP43" s="521"/>
      <c r="AQ43" s="354"/>
      <c r="AR43" s="354"/>
      <c r="AS43" s="377"/>
      <c r="AT43" s="377"/>
      <c r="AU43" s="548"/>
      <c r="AV43" s="548"/>
      <c r="AW43" s="548"/>
      <c r="AX43" s="548"/>
    </row>
    <row r="44" spans="1:61" ht="16.5" thickTop="1">
      <c r="B44" s="477" t="s">
        <v>256</v>
      </c>
      <c r="D44" s="478">
        <f>_xll.Get_Balance(AB36,"YTD","USD","Total","A","","001",$A$36,"GD","WA","DL")</f>
        <v>-8772480.3499999996</v>
      </c>
      <c r="E44" s="478">
        <v>-1799942.22</v>
      </c>
      <c r="F44" s="478">
        <f>_xll.Get_Balance(F36,"YTD","USD","Total","A","","001",$A$36,"GD","WA","DL")</f>
        <v>-1367080.17</v>
      </c>
      <c r="G44" s="478">
        <f>_xll.Get_Balance(G36,"YTD","USD","Total","A","","001",$A$36,"GD","WA","DL")</f>
        <v>-991268.94</v>
      </c>
      <c r="H44" s="478">
        <f>_xll.Get_Balance(H36,"YTD","USD","Total","A","","001",$A$36,"GD","WA","DL")</f>
        <v>-820633.75</v>
      </c>
      <c r="I44" s="478">
        <f>_xll.Get_Balance(I36,"YTD","USD","Total","A","","001",$A$36,"GD","WA","DL")</f>
        <v>-706831.07</v>
      </c>
      <c r="J44" s="478">
        <f>_xll.Get_Balance(J36,"YTD","USD","Total","A","","001",$A$36,"GD","WA","DL")</f>
        <v>-615740.61</v>
      </c>
      <c r="K44" s="478">
        <f>_xll.Get_Balance(K36,"YTD","USD","Total","A","","001",$A$36,"GD","WA","DL")</f>
        <v>-539081.21</v>
      </c>
      <c r="L44" s="478">
        <f>_xll.Get_Balance(L36,"YTD","USD","Total","A","","001",$A$36,"GD","WA","DL")</f>
        <v>-459570.28</v>
      </c>
      <c r="M44" s="478">
        <f>_xll.Get_Balance(M36,"YTD","USD","Total","A","","001",$A$36,"GD","WA","DL")</f>
        <v>-353667.66</v>
      </c>
      <c r="N44" s="478">
        <f>_xll.Get_Balance(N36,"YTD","USD","Total","A","","001",$A$36,"GD","WA","DL")</f>
        <v>-123444.98</v>
      </c>
      <c r="O44" s="478">
        <f>_xll.Get_Balance(O36,"YTD","USD","Total","A","","001",$A$36,"GD","WA","DL")</f>
        <v>-12794629.33</v>
      </c>
      <c r="P44" s="478">
        <f>_xll.Get_Balance(P36,"YTD","USD","Total","A","","001",$A$36,"GD","WA","DL")</f>
        <v>-9990002.5299999993</v>
      </c>
      <c r="Q44" s="478">
        <f>_xll.Get_Balance(Q36,"YTD","USD","Total","A","","001",$A$36,"GD","WA","DL")</f>
        <v>-6863930.1399999997</v>
      </c>
      <c r="R44" s="478">
        <f>_xll.Get_Balance(R36,"YTD","USD","Total","A","","001",$A$36,"GD","WA","DL")</f>
        <v>-4576506.43</v>
      </c>
      <c r="S44" s="478">
        <f>_xll.Get_Balance(S36,"YTD","USD","Total","A","","001",$A$36,"GD","WA","DL")</f>
        <v>-2850780.51</v>
      </c>
      <c r="T44" s="478">
        <f>_xll.Get_Balance(T36,"YTD","USD","Total","A","","001",$A$36,"GD","WA","DL")</f>
        <v>-1667507.9</v>
      </c>
      <c r="U44" s="478">
        <f>_xll.Get_Balance(U36,"YTD","USD","Total","A","","001",$A$36,"GD","WA","DL")</f>
        <v>-1028322.61</v>
      </c>
      <c r="V44" s="478">
        <f>_xll.Get_Balance(V36,"YTD","USD","Total","A","","001",$A$36,"GD","WA","DL")</f>
        <v>-648348.48</v>
      </c>
      <c r="W44" s="478">
        <f>_xll.Get_Balance(W36,"YTD","USD","Total","A","","001",$A$36,"GD","WA","DL")</f>
        <v>-342730.12</v>
      </c>
      <c r="X44" s="478">
        <f>_xll.Get_Balance(X36,"YTD","USD","Total","A","","001",$A$36,"GD","WA","DL")</f>
        <v>-33149.019999999997</v>
      </c>
      <c r="Y44" s="478">
        <f>_xll.Get_Balance(Y36,"YTD","USD","Total","A","","001",$A$36,"GD","WA","DL")</f>
        <v>429057.6</v>
      </c>
      <c r="Z44" s="478">
        <f>_xll.Get_Balance(Z36,"YTD","USD","Total","A","","001",$A$36,"GD","WA","DL")</f>
        <v>1518525.41</v>
      </c>
      <c r="AA44" s="478">
        <f>_xll.Get_Balance(AA36,"YTD","USD","Total","A","","001",$A$36,"GD","WA","DL")</f>
        <v>-11530628.439999999</v>
      </c>
      <c r="AB44" s="478">
        <f>_xll.Get_Balance(AB36,"YTD","USD","Total","A","","001",$A$36,"GD","WA","DL")</f>
        <v>-8772480.3499999996</v>
      </c>
      <c r="AC44" s="547">
        <f>_xll.Get_Balance(AC36,"YTD","USD","Total","A","","001",$A$36,"GD","WA","DL")</f>
        <v>-6449815.9100000001</v>
      </c>
      <c r="AD44" s="547">
        <f>_xll.Get_Balance(AD36,"YTD","USD","Total","A","","001",$A$36,"GD","WA","DL")</f>
        <v>-4259121.6500000004</v>
      </c>
      <c r="AE44" s="547">
        <f>_xll.Get_Balance(AE36,"YTD","USD","Total","A","","001",$A$36,"GD","WA","DL")</f>
        <v>-2403721.08</v>
      </c>
      <c r="AF44" s="547">
        <f>_xll.Get_Balance(AF36,"YTD","USD","Total","A","","001",$A$36,"GD","WA","DL")</f>
        <v>-1190951.93</v>
      </c>
      <c r="AG44" s="547">
        <f>_xll.Get_Balance(AG36,"YTD","USD","Total","A","","001",$A$36,"GD","WA","DL")</f>
        <v>-719753.17</v>
      </c>
      <c r="AH44" s="547">
        <f>_xll.Get_Balance(AH36,"YTD","USD","Total","A","","001",$A$36,"GD","WA","DL")</f>
        <v>-324062.3</v>
      </c>
      <c r="AI44" s="547">
        <f>_xll.Get_Balance(AI36,"YTD","USD","Total","A","","001",$A$36,"GD","WA","DL")</f>
        <v>6085.92</v>
      </c>
      <c r="AJ44" s="547">
        <f>_xll.Get_Balance(AJ36,"YTD","USD","Total","A","","001",$A$36,"GD","WA","DL")</f>
        <v>340942.69</v>
      </c>
      <c r="AK44" s="547">
        <f>_xll.Get_Balance(AK36,"YTD","USD","Total","A","","001",$A$36,"GD","WA","DL")</f>
        <v>782436.84</v>
      </c>
      <c r="AL44" s="547">
        <f>_xll.Get_Balance(AL36,"YTD","USD","Total","A","","001",$A$36,"GD","WA","DL")</f>
        <v>1843136.84</v>
      </c>
      <c r="AM44" s="547">
        <f>_xll.Get_Balance(AM36,"YTD","USD","Total","A","","001",$A$36,"GD","WA","DL")</f>
        <v>1843136.84</v>
      </c>
      <c r="AO44" s="354"/>
      <c r="AP44" s="521"/>
      <c r="AQ44" s="354"/>
      <c r="AR44" s="354"/>
      <c r="AS44" s="377"/>
      <c r="AT44" s="377"/>
      <c r="AU44" s="548"/>
      <c r="AV44" s="548"/>
      <c r="AW44" s="548"/>
      <c r="AX44" s="548"/>
    </row>
    <row r="45" spans="1:61">
      <c r="B45" s="477" t="s">
        <v>243</v>
      </c>
      <c r="E45" s="478">
        <v>-0.22430737526156008</v>
      </c>
      <c r="F45" s="478">
        <f t="shared" ref="F45:M45" si="114">F43-F44</f>
        <v>-0.21830056305043399</v>
      </c>
      <c r="G45" s="478">
        <f t="shared" si="114"/>
        <v>-0.22134300519246608</v>
      </c>
      <c r="H45" s="478">
        <f t="shared" si="114"/>
        <v>-0.2179845942882821</v>
      </c>
      <c r="I45" s="478">
        <f>I43-I44</f>
        <v>-0.21344430255703628</v>
      </c>
      <c r="J45" s="478">
        <f t="shared" si="114"/>
        <v>-0.21707996248733252</v>
      </c>
      <c r="K45" s="478">
        <f>K43-K44</f>
        <v>-0.22298013535328209</v>
      </c>
      <c r="L45" s="478">
        <f>L43-L44</f>
        <v>-0.2202163835754618</v>
      </c>
      <c r="M45" s="478">
        <f t="shared" si="114"/>
        <v>-0.2160235564224422</v>
      </c>
      <c r="N45" s="478">
        <f>N43-N44</f>
        <v>-0.21123732927662786</v>
      </c>
      <c r="O45" s="478">
        <f>O43-O44</f>
        <v>-0.2106596902012825</v>
      </c>
      <c r="P45" s="478">
        <f>P43-P44</f>
        <v>-0.21306994929909706</v>
      </c>
      <c r="Q45" s="478">
        <f>Q43-Q44</f>
        <v>-0.21187814325094223</v>
      </c>
      <c r="R45" s="478">
        <f t="shared" ref="R45:T45" si="115">R43-R44</f>
        <v>-0.20838920865207911</v>
      </c>
      <c r="S45" s="478">
        <f>S43-S44</f>
        <v>-0.21200499357655644</v>
      </c>
      <c r="T45" s="478">
        <f t="shared" si="115"/>
        <v>-0.21643939963541925</v>
      </c>
      <c r="U45" s="478">
        <f>U43-U44</f>
        <v>-0.21859859814867377</v>
      </c>
      <c r="V45" s="478">
        <f t="shared" ref="V45" si="116">V43-V44</f>
        <v>-0.21566836058627814</v>
      </c>
      <c r="W45" s="478">
        <f>W43-W44</f>
        <v>-0.22021961770951748</v>
      </c>
      <c r="X45" s="478">
        <f>X43-X44</f>
        <v>-0.21768672888720175</v>
      </c>
      <c r="Y45" s="478">
        <f t="shared" ref="Y45" si="117">Y43-Y44</f>
        <v>-0.21467752259923145</v>
      </c>
      <c r="Z45" s="478">
        <f t="shared" ref="Z45:AE45" si="118">Z43-Z44</f>
        <v>-0.21038000984117389</v>
      </c>
      <c r="AA45" s="478">
        <f t="shared" si="118"/>
        <v>-229.25105092860758</v>
      </c>
      <c r="AB45" s="478">
        <f t="shared" si="118"/>
        <v>-459.09777319990098</v>
      </c>
      <c r="AC45" s="547">
        <f t="shared" si="118"/>
        <v>3.1239790841937065E-3</v>
      </c>
      <c r="AD45" s="547">
        <f t="shared" si="118"/>
        <v>2.4048564955592155E-3</v>
      </c>
      <c r="AE45" s="547">
        <f t="shared" si="118"/>
        <v>1.7974227666854858E-3</v>
      </c>
      <c r="AF45" s="547">
        <f>AF43-AF44</f>
        <v>2.5967133697122335E-3</v>
      </c>
      <c r="AG45" s="547">
        <f>AG43-AG44</f>
        <v>9.9970609880983829E-4</v>
      </c>
      <c r="AH45" s="547">
        <f>AH43-AH44</f>
        <v>2.6201829314231873E-3</v>
      </c>
      <c r="AI45" s="547">
        <f>AI43-AI44</f>
        <v>1.1845684894069564E-3</v>
      </c>
      <c r="AJ45" s="547">
        <f>AJ43-AJ44</f>
        <v>-5.7908525923267007E-4</v>
      </c>
      <c r="AK45" s="547">
        <f t="shared" ref="AK45:AL45" si="119">AK43-AK44</f>
        <v>-1.149119227193296E-3</v>
      </c>
      <c r="AL45" s="547">
        <f t="shared" si="119"/>
        <v>-1.2776651419699192E-3</v>
      </c>
      <c r="AM45" s="547">
        <f>AM43-AM44</f>
        <v>-13598974.606428944</v>
      </c>
    </row>
    <row r="46" spans="1:61">
      <c r="AC46" s="547"/>
      <c r="AD46" s="547"/>
      <c r="AE46" s="547"/>
      <c r="AF46" s="547"/>
      <c r="AG46" s="547"/>
      <c r="AH46" s="547"/>
      <c r="AI46" s="547"/>
      <c r="AJ46" s="547"/>
      <c r="AK46" s="547"/>
      <c r="AL46" s="547"/>
      <c r="AM46" s="547"/>
    </row>
    <row r="47" spans="1:61" hidden="1" outlineLevel="1">
      <c r="A47" s="479" t="s">
        <v>311</v>
      </c>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616"/>
      <c r="AD47" s="616"/>
      <c r="AE47" s="616"/>
      <c r="AF47" s="616"/>
      <c r="AG47" s="616"/>
      <c r="AH47" s="616"/>
      <c r="AI47" s="616"/>
      <c r="AJ47" s="616"/>
      <c r="AK47" s="616"/>
      <c r="AL47" s="616"/>
      <c r="AM47" s="616"/>
    </row>
    <row r="48" spans="1:61" hidden="1" outlineLevel="1">
      <c r="A48" s="480">
        <v>191025</v>
      </c>
      <c r="B48" s="481" t="s">
        <v>252</v>
      </c>
      <c r="C48" s="482" t="s">
        <v>248</v>
      </c>
      <c r="D48" s="482" t="s">
        <v>249</v>
      </c>
      <c r="E48" s="480">
        <v>201601</v>
      </c>
      <c r="F48" s="480">
        <f>E48+1</f>
        <v>201602</v>
      </c>
      <c r="G48" s="480">
        <f t="shared" ref="G48:P48" si="120">F48+1</f>
        <v>201603</v>
      </c>
      <c r="H48" s="480">
        <f t="shared" si="120"/>
        <v>201604</v>
      </c>
      <c r="I48" s="480">
        <f t="shared" si="120"/>
        <v>201605</v>
      </c>
      <c r="J48" s="480">
        <f t="shared" si="120"/>
        <v>201606</v>
      </c>
      <c r="K48" s="480">
        <f t="shared" si="120"/>
        <v>201607</v>
      </c>
      <c r="L48" s="480">
        <f t="shared" si="120"/>
        <v>201608</v>
      </c>
      <c r="M48" s="480">
        <f t="shared" si="120"/>
        <v>201609</v>
      </c>
      <c r="N48" s="480">
        <f t="shared" si="120"/>
        <v>201610</v>
      </c>
      <c r="O48" s="480">
        <f t="shared" si="120"/>
        <v>201611</v>
      </c>
      <c r="P48" s="480">
        <f t="shared" si="120"/>
        <v>201612</v>
      </c>
      <c r="Q48" s="480">
        <f>Q3</f>
        <v>201701</v>
      </c>
      <c r="R48" s="480">
        <f>Q48+1</f>
        <v>201702</v>
      </c>
      <c r="S48" s="480">
        <f t="shared" ref="S48" si="121">R48+1</f>
        <v>201703</v>
      </c>
      <c r="T48" s="480">
        <f t="shared" ref="T48" si="122">S48+1</f>
        <v>201704</v>
      </c>
      <c r="U48" s="480">
        <f t="shared" ref="U48" si="123">T48+1</f>
        <v>201705</v>
      </c>
      <c r="V48" s="480">
        <f t="shared" ref="V48" si="124">U48+1</f>
        <v>201706</v>
      </c>
      <c r="W48" s="480">
        <f t="shared" ref="W48" si="125">V48+1</f>
        <v>201707</v>
      </c>
      <c r="X48" s="480">
        <f t="shared" ref="X48" si="126">W48+1</f>
        <v>201708</v>
      </c>
      <c r="Y48" s="480">
        <f t="shared" ref="Y48" si="127">X48+1</f>
        <v>201709</v>
      </c>
      <c r="Z48" s="480">
        <f t="shared" ref="Z48" si="128">Y48+1</f>
        <v>201710</v>
      </c>
      <c r="AA48" s="480">
        <f t="shared" ref="AA48" si="129">Z48+1</f>
        <v>201711</v>
      </c>
      <c r="AB48" s="480">
        <f t="shared" ref="AB48" si="130">AA48+1</f>
        <v>201712</v>
      </c>
      <c r="AC48" s="569">
        <f t="shared" ref="AC48:AM48" si="131">AC3</f>
        <v>201801</v>
      </c>
      <c r="AD48" s="569">
        <f t="shared" si="131"/>
        <v>201802</v>
      </c>
      <c r="AE48" s="569">
        <f t="shared" si="131"/>
        <v>201803</v>
      </c>
      <c r="AF48" s="569">
        <f t="shared" si="131"/>
        <v>201804</v>
      </c>
      <c r="AG48" s="569">
        <f t="shared" si="131"/>
        <v>201805</v>
      </c>
      <c r="AH48" s="569">
        <f t="shared" ref="AH48:AL48" si="132">AH3</f>
        <v>201806</v>
      </c>
      <c r="AI48" s="569">
        <f t="shared" si="132"/>
        <v>201807</v>
      </c>
      <c r="AJ48" s="569">
        <f t="shared" si="132"/>
        <v>201808</v>
      </c>
      <c r="AK48" s="569">
        <f t="shared" si="132"/>
        <v>201809</v>
      </c>
      <c r="AL48" s="569">
        <f t="shared" si="132"/>
        <v>201810</v>
      </c>
      <c r="AM48" s="569">
        <f t="shared" si="131"/>
        <v>201811</v>
      </c>
      <c r="AS48" s="547"/>
    </row>
    <row r="49" spans="1:42" hidden="1" outlineLevel="1">
      <c r="A49" s="479"/>
      <c r="B49" s="477" t="s">
        <v>37</v>
      </c>
      <c r="C49" s="486">
        <f>SUM(Q49:AB49)</f>
        <v>131186683</v>
      </c>
      <c r="D49" s="486">
        <f t="shared" ref="D49:D57" si="133">SUM(E49:AB49)</f>
        <v>239830553</v>
      </c>
      <c r="E49" s="533">
        <v>20140968</v>
      </c>
      <c r="F49" s="533">
        <v>14297044</v>
      </c>
      <c r="G49" s="533">
        <v>12238194</v>
      </c>
      <c r="H49" s="533">
        <v>5348802</v>
      </c>
      <c r="I49" s="533">
        <v>3384728</v>
      </c>
      <c r="J49" s="533">
        <v>2765049</v>
      </c>
      <c r="K49" s="533">
        <v>2292583</v>
      </c>
      <c r="L49" s="533">
        <v>2354714</v>
      </c>
      <c r="M49" s="533">
        <v>3123052</v>
      </c>
      <c r="N49" s="533">
        <v>7137333</v>
      </c>
      <c r="O49" s="533">
        <v>11352396</v>
      </c>
      <c r="P49" s="533">
        <v>24209007</v>
      </c>
      <c r="Q49" s="593">
        <v>27259641</v>
      </c>
      <c r="R49" s="593">
        <f>Feb!$G23</f>
        <v>18179866</v>
      </c>
      <c r="S49" s="593">
        <f>Mar!$G23</f>
        <v>15771469</v>
      </c>
      <c r="T49" s="593">
        <f>Apr!$G23</f>
        <v>9759881</v>
      </c>
      <c r="U49" s="593">
        <f>May!$G23</f>
        <v>3286813</v>
      </c>
      <c r="V49" s="593">
        <f>Jun!$G23</f>
        <v>2630854</v>
      </c>
      <c r="W49" s="593">
        <f>Jul!$G23</f>
        <v>2294066</v>
      </c>
      <c r="X49" s="593">
        <f>Aug!$G23</f>
        <v>2214130</v>
      </c>
      <c r="Y49" s="593">
        <f>Sep!$G23</f>
        <v>3077139</v>
      </c>
      <c r="Z49" s="593">
        <f>Oct!$G23</f>
        <v>8390464</v>
      </c>
      <c r="AA49" s="593">
        <f>Nov!$G23</f>
        <v>15558764</v>
      </c>
      <c r="AB49" s="593">
        <f>Dec!$G23</f>
        <v>22763596</v>
      </c>
      <c r="AC49" s="593">
        <f>Jan!G23</f>
        <v>20257484</v>
      </c>
      <c r="AD49" s="550">
        <f>Feb!G23</f>
        <v>18179866</v>
      </c>
      <c r="AE49" s="550" t="str">
        <f>Feb!H23</f>
        <v>MAIN CALC</v>
      </c>
      <c r="AF49" s="550">
        <f>Feb!I23</f>
        <v>2081351</v>
      </c>
      <c r="AG49" s="550">
        <f>Feb!G23</f>
        <v>18179866</v>
      </c>
      <c r="AH49" s="550">
        <f>Feb!G23</f>
        <v>18179866</v>
      </c>
      <c r="AI49" s="550">
        <f>Feb!D23</f>
        <v>0</v>
      </c>
      <c r="AJ49" s="550">
        <f>Feb!E23</f>
        <v>0</v>
      </c>
      <c r="AK49" s="550" t="str">
        <f>Feb!F23</f>
        <v>Schedule 101</v>
      </c>
      <c r="AL49" s="550">
        <f>Feb!G23</f>
        <v>18179866</v>
      </c>
      <c r="AM49" s="550" t="str">
        <f>Feb!H23</f>
        <v>MAIN CALC</v>
      </c>
    </row>
    <row r="50" spans="1:42" hidden="1" outlineLevel="1">
      <c r="A50" s="479"/>
      <c r="B50" s="553" t="s">
        <v>305</v>
      </c>
      <c r="C50" s="486">
        <f t="shared" ref="C50:C57" si="134">SUM(Q50:AB50)</f>
        <v>159077</v>
      </c>
      <c r="D50" s="486">
        <f t="shared" si="133"/>
        <v>311394</v>
      </c>
      <c r="E50" s="533">
        <v>17893</v>
      </c>
      <c r="F50" s="533">
        <v>14593</v>
      </c>
      <c r="G50" s="533">
        <v>18603</v>
      </c>
      <c r="H50" s="533">
        <v>12171</v>
      </c>
      <c r="I50" s="533">
        <v>5734</v>
      </c>
      <c r="J50" s="533">
        <v>4482</v>
      </c>
      <c r="K50" s="533">
        <v>3610</v>
      </c>
      <c r="L50" s="533">
        <v>2820</v>
      </c>
      <c r="M50" s="533">
        <v>4729</v>
      </c>
      <c r="N50" s="533">
        <v>12809</v>
      </c>
      <c r="O50" s="533">
        <v>19581</v>
      </c>
      <c r="P50" s="533">
        <v>35292</v>
      </c>
      <c r="Q50" s="593">
        <v>40615</v>
      </c>
      <c r="R50" s="593">
        <f>Feb!$G24</f>
        <v>21014</v>
      </c>
      <c r="S50" s="593">
        <f>Mar!$G24</f>
        <v>19043</v>
      </c>
      <c r="T50" s="593">
        <f>Apr!$G24</f>
        <v>11770</v>
      </c>
      <c r="U50" s="593">
        <f>May!$G24</f>
        <v>4240</v>
      </c>
      <c r="V50" s="593">
        <f>Jun!$G24</f>
        <v>2604</v>
      </c>
      <c r="W50" s="593">
        <f>Jul!$G24</f>
        <v>2356</v>
      </c>
      <c r="X50" s="593">
        <f>Aug!$G24</f>
        <v>1944</v>
      </c>
      <c r="Y50" s="593">
        <f>Sep!$G24</f>
        <v>3129</v>
      </c>
      <c r="Z50" s="593">
        <f>Oct!$G24</f>
        <v>10239</v>
      </c>
      <c r="AA50" s="593">
        <f>Nov!$G24</f>
        <v>17080</v>
      </c>
      <c r="AB50" s="593">
        <f>Dec!$G24</f>
        <v>25043</v>
      </c>
      <c r="AC50" s="593">
        <f>Jan!G24</f>
        <v>22671</v>
      </c>
      <c r="AD50" s="550">
        <f>Feb!G24</f>
        <v>21014</v>
      </c>
      <c r="AE50" s="550" t="str">
        <f>Feb!H24</f>
        <v>MAIN CALC</v>
      </c>
      <c r="AF50" s="550">
        <f>Feb!I24</f>
        <v>2402</v>
      </c>
      <c r="AG50" s="550">
        <f>Feb!G24</f>
        <v>21014</v>
      </c>
      <c r="AH50" s="550">
        <f>Feb!G24</f>
        <v>21014</v>
      </c>
      <c r="AI50" s="550">
        <f>Feb!D24</f>
        <v>0</v>
      </c>
      <c r="AJ50" s="550">
        <f>Feb!E24</f>
        <v>0</v>
      </c>
      <c r="AK50" s="550" t="str">
        <f>Feb!F24</f>
        <v>Schedule 102</v>
      </c>
      <c r="AL50" s="550">
        <f>Feb!G24</f>
        <v>21014</v>
      </c>
      <c r="AM50" s="550" t="str">
        <f>Feb!H24</f>
        <v>MAIN CALC</v>
      </c>
    </row>
    <row r="51" spans="1:42" hidden="1" outlineLevel="1">
      <c r="A51" s="479"/>
      <c r="B51" s="477" t="s">
        <v>38</v>
      </c>
      <c r="C51" s="486">
        <f t="shared" si="134"/>
        <v>52192182</v>
      </c>
      <c r="D51" s="486">
        <f t="shared" si="133"/>
        <v>96751483</v>
      </c>
      <c r="E51" s="533">
        <v>6568112</v>
      </c>
      <c r="F51" s="533">
        <v>5200734</v>
      </c>
      <c r="G51" s="533">
        <v>4795258</v>
      </c>
      <c r="H51" s="533">
        <v>2668983</v>
      </c>
      <c r="I51" s="533">
        <v>2221542</v>
      </c>
      <c r="J51" s="533">
        <v>1675034</v>
      </c>
      <c r="K51" s="533">
        <v>1510014</v>
      </c>
      <c r="L51" s="533">
        <v>1583471</v>
      </c>
      <c r="M51" s="533">
        <v>2056535</v>
      </c>
      <c r="N51" s="533">
        <v>3586972</v>
      </c>
      <c r="O51" s="533">
        <v>4116109</v>
      </c>
      <c r="P51" s="533">
        <v>8576537</v>
      </c>
      <c r="Q51" s="593">
        <v>8738107</v>
      </c>
      <c r="R51" s="593">
        <f>Feb!$G25</f>
        <v>7202971</v>
      </c>
      <c r="S51" s="593">
        <f>Mar!$G25</f>
        <v>5606266</v>
      </c>
      <c r="T51" s="593">
        <f>Apr!$G25</f>
        <v>4266905</v>
      </c>
      <c r="U51" s="593">
        <f>May!$G25</f>
        <v>2210506</v>
      </c>
      <c r="V51" s="593">
        <f>Jun!$G25</f>
        <v>1922676</v>
      </c>
      <c r="W51" s="593">
        <f>Jul!$G25</f>
        <v>1476772</v>
      </c>
      <c r="X51" s="593">
        <f>Aug!$G25</f>
        <v>1588311</v>
      </c>
      <c r="Y51" s="593">
        <f>Sep!$G25</f>
        <v>1948398</v>
      </c>
      <c r="Z51" s="593">
        <f>Oct!$G25</f>
        <v>3674467</v>
      </c>
      <c r="AA51" s="593">
        <f>Nov!$G25</f>
        <v>5726364</v>
      </c>
      <c r="AB51" s="593">
        <f>Dec!$G25</f>
        <v>7830439</v>
      </c>
      <c r="AC51" s="593">
        <f>Jan!G25</f>
        <v>6608892</v>
      </c>
      <c r="AD51" s="550">
        <f>Feb!G25</f>
        <v>7202971</v>
      </c>
      <c r="AE51" s="550" t="str">
        <f>Feb!H25</f>
        <v>MAIN CALC</v>
      </c>
      <c r="AF51" s="550">
        <f>Feb!I25</f>
        <v>759003</v>
      </c>
      <c r="AG51" s="550">
        <f>Feb!G25</f>
        <v>7202971</v>
      </c>
      <c r="AH51" s="550">
        <f>Feb!G25</f>
        <v>7202971</v>
      </c>
      <c r="AI51" s="550">
        <f>Feb!D25</f>
        <v>0</v>
      </c>
      <c r="AJ51" s="550">
        <f>Feb!E25</f>
        <v>0</v>
      </c>
      <c r="AK51" s="550" t="str">
        <f>Feb!F25</f>
        <v>Schedule 111</v>
      </c>
      <c r="AL51" s="550">
        <f>Feb!G25</f>
        <v>7202971</v>
      </c>
      <c r="AM51" s="550" t="str">
        <f>Feb!H25</f>
        <v>MAIN CALC</v>
      </c>
    </row>
    <row r="52" spans="1:42" hidden="1" outlineLevel="1">
      <c r="A52" s="479"/>
      <c r="B52" s="477" t="s">
        <v>39</v>
      </c>
      <c r="C52" s="486">
        <f t="shared" si="134"/>
        <v>128111</v>
      </c>
      <c r="D52" s="486">
        <f t="shared" si="133"/>
        <v>128111</v>
      </c>
      <c r="E52" s="533">
        <v>0</v>
      </c>
      <c r="F52" s="533">
        <v>0</v>
      </c>
      <c r="G52" s="533">
        <v>0</v>
      </c>
      <c r="H52" s="533">
        <v>0</v>
      </c>
      <c r="I52" s="533">
        <v>0</v>
      </c>
      <c r="J52" s="533">
        <v>0</v>
      </c>
      <c r="K52" s="533">
        <v>0</v>
      </c>
      <c r="L52" s="533">
        <v>0</v>
      </c>
      <c r="M52" s="533">
        <v>0</v>
      </c>
      <c r="N52" s="533">
        <v>0</v>
      </c>
      <c r="O52" s="533">
        <v>0</v>
      </c>
      <c r="P52" s="533">
        <v>0</v>
      </c>
      <c r="Q52" s="593">
        <v>0</v>
      </c>
      <c r="R52" s="593">
        <f>Feb!$G26</f>
        <v>21563</v>
      </c>
      <c r="S52" s="593">
        <f>Mar!$G26</f>
        <v>7893</v>
      </c>
      <c r="T52" s="593">
        <f>Apr!$G26</f>
        <v>9867</v>
      </c>
      <c r="U52" s="593">
        <f>May!$G26</f>
        <v>3523</v>
      </c>
      <c r="V52" s="593">
        <f>Jun!$G26</f>
        <v>6600</v>
      </c>
      <c r="W52" s="593">
        <f>Jul!$G26</f>
        <v>4413</v>
      </c>
      <c r="X52" s="593">
        <f>Aug!$G26</f>
        <v>5300</v>
      </c>
      <c r="Y52" s="593">
        <f>Sep!$G26</f>
        <v>9757</v>
      </c>
      <c r="Z52" s="593">
        <f>Oct!$G26</f>
        <v>13790</v>
      </c>
      <c r="AA52" s="593">
        <f>Nov!$G26</f>
        <v>23194</v>
      </c>
      <c r="AB52" s="593">
        <f>Dec!$G26</f>
        <v>22211</v>
      </c>
      <c r="AC52" s="593">
        <f>Jan!G26</f>
        <v>10558</v>
      </c>
      <c r="AD52" s="550">
        <f>Feb!G26</f>
        <v>21563</v>
      </c>
      <c r="AE52" s="550" t="str">
        <f>Feb!H26</f>
        <v>MAIN CALC</v>
      </c>
      <c r="AF52" s="550">
        <f>Feb!I26</f>
        <v>2123</v>
      </c>
      <c r="AG52" s="550">
        <f>Feb!G26</f>
        <v>21563</v>
      </c>
      <c r="AH52" s="550">
        <f>Feb!G26</f>
        <v>21563</v>
      </c>
      <c r="AI52" s="550">
        <f>Feb!D26</f>
        <v>0</v>
      </c>
      <c r="AJ52" s="550">
        <f>Feb!E26</f>
        <v>0</v>
      </c>
      <c r="AK52" s="550" t="str">
        <f>Feb!F26</f>
        <v>Schedule 112</v>
      </c>
      <c r="AL52" s="550">
        <f>Feb!G26</f>
        <v>21563</v>
      </c>
      <c r="AM52" s="550" t="str">
        <f>Feb!H26</f>
        <v>MAIN CALC</v>
      </c>
    </row>
    <row r="53" spans="1:42" hidden="1" outlineLevel="1">
      <c r="A53" s="479"/>
      <c r="B53" s="477" t="s">
        <v>40</v>
      </c>
      <c r="C53" s="486">
        <f t="shared" si="134"/>
        <v>4000534</v>
      </c>
      <c r="D53" s="486">
        <f t="shared" si="133"/>
        <v>7650129</v>
      </c>
      <c r="E53" s="533">
        <v>345863</v>
      </c>
      <c r="F53" s="533">
        <v>408568</v>
      </c>
      <c r="G53" s="533">
        <v>361566</v>
      </c>
      <c r="H53" s="533">
        <v>227877</v>
      </c>
      <c r="I53" s="533">
        <v>311290</v>
      </c>
      <c r="J53" s="533">
        <v>225272</v>
      </c>
      <c r="K53" s="533">
        <v>266816</v>
      </c>
      <c r="L53" s="533">
        <v>259403</v>
      </c>
      <c r="M53" s="533">
        <v>291879</v>
      </c>
      <c r="N53" s="533">
        <v>401880</v>
      </c>
      <c r="O53" s="533">
        <v>314956</v>
      </c>
      <c r="P53" s="533">
        <v>234225</v>
      </c>
      <c r="Q53" s="593">
        <v>284721</v>
      </c>
      <c r="R53" s="593">
        <f>Feb!$G27</f>
        <v>448875</v>
      </c>
      <c r="S53" s="593">
        <f>Mar!$G27</f>
        <v>345298</v>
      </c>
      <c r="T53" s="593">
        <f>Apr!$G27</f>
        <v>305691</v>
      </c>
      <c r="U53" s="593">
        <f>May!$G27</f>
        <v>234262</v>
      </c>
      <c r="V53" s="593">
        <f>Jun!$G27</f>
        <v>318982</v>
      </c>
      <c r="W53" s="593">
        <f>Jul!$G27</f>
        <v>256335</v>
      </c>
      <c r="X53" s="593">
        <f>Aug!$G27</f>
        <v>306054</v>
      </c>
      <c r="Y53" s="593">
        <f>Sep!$G27</f>
        <v>302898</v>
      </c>
      <c r="Z53" s="593">
        <f>Oct!$G27</f>
        <v>398880</v>
      </c>
      <c r="AA53" s="593">
        <f>Nov!$G27</f>
        <v>420845</v>
      </c>
      <c r="AB53" s="593">
        <f>Dec!$G27</f>
        <v>377693</v>
      </c>
      <c r="AC53" s="593">
        <f>Jan!G27</f>
        <v>362835</v>
      </c>
      <c r="AD53" s="550">
        <f>Feb!G27</f>
        <v>448875</v>
      </c>
      <c r="AE53" s="550" t="str">
        <f>Feb!H27</f>
        <v>MAIN CALC</v>
      </c>
      <c r="AF53" s="550">
        <f>Feb!I27</f>
        <v>48583</v>
      </c>
      <c r="AG53" s="550">
        <f>Feb!G27</f>
        <v>448875</v>
      </c>
      <c r="AH53" s="550">
        <f>Feb!G27</f>
        <v>448875</v>
      </c>
      <c r="AI53" s="550">
        <f>Feb!D27</f>
        <v>0</v>
      </c>
      <c r="AJ53" s="550">
        <f>Feb!E27</f>
        <v>0</v>
      </c>
      <c r="AK53" s="550" t="str">
        <f>Feb!F27</f>
        <v>Schedule 121</v>
      </c>
      <c r="AL53" s="550">
        <f>Feb!G27</f>
        <v>448875</v>
      </c>
      <c r="AM53" s="550" t="str">
        <f>Feb!H27</f>
        <v>MAIN CALC</v>
      </c>
    </row>
    <row r="54" spans="1:42" hidden="1" outlineLevel="1">
      <c r="A54" s="479"/>
      <c r="B54" s="477" t="s">
        <v>41</v>
      </c>
      <c r="C54" s="486">
        <f t="shared" si="134"/>
        <v>484416</v>
      </c>
      <c r="D54" s="486">
        <f t="shared" si="133"/>
        <v>1065803</v>
      </c>
      <c r="E54" s="533">
        <v>83853</v>
      </c>
      <c r="F54" s="533">
        <v>67179</v>
      </c>
      <c r="G54" s="533">
        <v>59583</v>
      </c>
      <c r="H54" s="533">
        <v>54523</v>
      </c>
      <c r="I54" s="533">
        <v>42598</v>
      </c>
      <c r="J54" s="533">
        <v>35139</v>
      </c>
      <c r="K54" s="533">
        <v>27605</v>
      </c>
      <c r="L54" s="533">
        <v>25524</v>
      </c>
      <c r="M54" s="533">
        <v>26763</v>
      </c>
      <c r="N54" s="533">
        <v>37231</v>
      </c>
      <c r="O54" s="533">
        <v>51431</v>
      </c>
      <c r="P54" s="533">
        <v>69958</v>
      </c>
      <c r="Q54" s="593">
        <v>64203</v>
      </c>
      <c r="R54" s="593">
        <f>Feb!$G28</f>
        <v>48826</v>
      </c>
      <c r="S54" s="593">
        <f>Mar!$G28</f>
        <v>51647</v>
      </c>
      <c r="T54" s="593">
        <f>Apr!$G28</f>
        <v>46438</v>
      </c>
      <c r="U54" s="593">
        <f>May!$G28</f>
        <v>49642</v>
      </c>
      <c r="V54" s="593">
        <f>Jun!$G28</f>
        <v>31254</v>
      </c>
      <c r="W54" s="593">
        <f>Jul!$G28</f>
        <v>22499</v>
      </c>
      <c r="X54" s="593">
        <f>Aug!$G28</f>
        <v>25800</v>
      </c>
      <c r="Y54" s="593">
        <f>Sep!$G28</f>
        <v>30270</v>
      </c>
      <c r="Z54" s="593">
        <f>Oct!$G28</f>
        <v>30694</v>
      </c>
      <c r="AA54" s="593">
        <f>Nov!$G28</f>
        <v>35309</v>
      </c>
      <c r="AB54" s="593">
        <f>Dec!$G28</f>
        <v>47834</v>
      </c>
      <c r="AC54" s="593">
        <f>Jan!G28</f>
        <v>65295</v>
      </c>
      <c r="AD54" s="550">
        <f>Feb!G28</f>
        <v>48826</v>
      </c>
      <c r="AE54" s="550" t="str">
        <f>Feb!H28</f>
        <v>MAIN CALC</v>
      </c>
      <c r="AF54" s="550">
        <f>Feb!I28</f>
        <v>5622</v>
      </c>
      <c r="AG54" s="550">
        <f>Feb!G28</f>
        <v>48826</v>
      </c>
      <c r="AH54" s="550">
        <f>Feb!G28</f>
        <v>48826</v>
      </c>
      <c r="AI54" s="550">
        <f>Feb!D28</f>
        <v>0</v>
      </c>
      <c r="AJ54" s="550">
        <f>Feb!E28</f>
        <v>0</v>
      </c>
      <c r="AK54" s="550" t="str">
        <f>Feb!F28</f>
        <v>Schedule 122</v>
      </c>
      <c r="AL54" s="550">
        <f>Feb!G28</f>
        <v>48826</v>
      </c>
      <c r="AM54" s="550" t="str">
        <f>Feb!H28</f>
        <v>MAIN CALC</v>
      </c>
    </row>
    <row r="55" spans="1:42" hidden="1" outlineLevel="1">
      <c r="A55" s="479"/>
      <c r="B55" s="477" t="s">
        <v>42</v>
      </c>
      <c r="C55" s="486">
        <f t="shared" si="134"/>
        <v>0</v>
      </c>
      <c r="D55" s="486">
        <f t="shared" si="133"/>
        <v>0</v>
      </c>
      <c r="E55" s="533">
        <v>0</v>
      </c>
      <c r="F55" s="533">
        <v>0</v>
      </c>
      <c r="G55" s="533">
        <v>0</v>
      </c>
      <c r="H55" s="533">
        <v>0</v>
      </c>
      <c r="I55" s="533">
        <v>0</v>
      </c>
      <c r="J55" s="533">
        <v>0</v>
      </c>
      <c r="K55" s="533">
        <v>0</v>
      </c>
      <c r="L55" s="533">
        <v>0</v>
      </c>
      <c r="M55" s="533">
        <v>0</v>
      </c>
      <c r="N55" s="533">
        <v>0</v>
      </c>
      <c r="O55" s="533">
        <v>0</v>
      </c>
      <c r="P55" s="533">
        <v>0</v>
      </c>
      <c r="Q55" s="593">
        <v>0</v>
      </c>
      <c r="R55" s="593">
        <f>Feb!$G29</f>
        <v>0</v>
      </c>
      <c r="S55" s="593">
        <f>Mar!$G29</f>
        <v>0</v>
      </c>
      <c r="T55" s="593">
        <f>Apr!$G29</f>
        <v>0</v>
      </c>
      <c r="U55" s="593">
        <f>May!$G29</f>
        <v>0</v>
      </c>
      <c r="V55" s="593">
        <f>Jun!$G29</f>
        <v>0</v>
      </c>
      <c r="W55" s="593">
        <f>Jul!$G29</f>
        <v>0</v>
      </c>
      <c r="X55" s="593">
        <f>Aug!$G29</f>
        <v>0</v>
      </c>
      <c r="Y55" s="593">
        <f>Sep!$G29</f>
        <v>0</v>
      </c>
      <c r="Z55" s="593">
        <f>Oct!$G29</f>
        <v>0</v>
      </c>
      <c r="AA55" s="593">
        <f>Nov!$G29</f>
        <v>0</v>
      </c>
      <c r="AB55" s="593">
        <f>Dec!$G29</f>
        <v>0</v>
      </c>
      <c r="AC55" s="593">
        <f>Jan!G29</f>
        <v>0</v>
      </c>
      <c r="AD55" s="550">
        <f>Feb!G29</f>
        <v>0</v>
      </c>
      <c r="AE55" s="550" t="str">
        <f>Feb!H29</f>
        <v>MAIN CALC</v>
      </c>
      <c r="AF55" s="550">
        <f>Feb!I29</f>
        <v>0</v>
      </c>
      <c r="AG55" s="550">
        <f>Feb!G29</f>
        <v>0</v>
      </c>
      <c r="AH55" s="550">
        <f>Feb!G29</f>
        <v>0</v>
      </c>
      <c r="AI55" s="550">
        <f>Feb!D29</f>
        <v>0</v>
      </c>
      <c r="AJ55" s="550">
        <f>Feb!E29</f>
        <v>0</v>
      </c>
      <c r="AK55" s="550" t="str">
        <f>Feb!F29</f>
        <v>Schedule 131</v>
      </c>
      <c r="AL55" s="550">
        <f>Feb!G29</f>
        <v>0</v>
      </c>
      <c r="AM55" s="550" t="str">
        <f>Feb!H29</f>
        <v>MAIN CALC</v>
      </c>
    </row>
    <row r="56" spans="1:42" hidden="1" outlineLevel="1">
      <c r="A56" s="479"/>
      <c r="B56" s="477" t="s">
        <v>43</v>
      </c>
      <c r="C56" s="486">
        <f t="shared" si="134"/>
        <v>1004769</v>
      </c>
      <c r="D56" s="486">
        <f t="shared" si="133"/>
        <v>1978963</v>
      </c>
      <c r="E56" s="533">
        <v>203731</v>
      </c>
      <c r="F56" s="533">
        <v>102322</v>
      </c>
      <c r="G56" s="533">
        <v>89942</v>
      </c>
      <c r="H56" s="533">
        <v>82073</v>
      </c>
      <c r="I56" s="533">
        <v>57685</v>
      </c>
      <c r="J56" s="533">
        <v>51713</v>
      </c>
      <c r="K56" s="533">
        <v>45567</v>
      </c>
      <c r="L56" s="533">
        <v>37963</v>
      </c>
      <c r="M56" s="533">
        <v>46700</v>
      </c>
      <c r="N56" s="533">
        <v>59610</v>
      </c>
      <c r="O56" s="533">
        <v>85100</v>
      </c>
      <c r="P56" s="533">
        <v>111788</v>
      </c>
      <c r="Q56" s="593">
        <v>160387</v>
      </c>
      <c r="R56" s="593">
        <f>Feb!$G30</f>
        <v>117328</v>
      </c>
      <c r="S56" s="593">
        <f>Mar!$G30</f>
        <v>113117</v>
      </c>
      <c r="T56" s="593">
        <f>Apr!$G30</f>
        <v>93219</v>
      </c>
      <c r="U56" s="593">
        <f>May!$G30</f>
        <v>72901</v>
      </c>
      <c r="V56" s="593">
        <f>Jun!$G30</f>
        <v>47470</v>
      </c>
      <c r="W56" s="593">
        <f>Jul!$G30</f>
        <v>41737</v>
      </c>
      <c r="X56" s="593">
        <f>Aug!$G30</f>
        <v>43515</v>
      </c>
      <c r="Y56" s="593">
        <f>Sep!$G30</f>
        <v>44834</v>
      </c>
      <c r="Z56" s="593">
        <f>Oct!$G30</f>
        <v>68694</v>
      </c>
      <c r="AA56" s="593">
        <f>Nov!$G30</f>
        <v>88519</v>
      </c>
      <c r="AB56" s="593">
        <f>Dec!$G30</f>
        <v>113048</v>
      </c>
      <c r="AC56" s="593">
        <f>Jan!G30</f>
        <v>139102</v>
      </c>
      <c r="AD56" s="550">
        <f>Feb!G30</f>
        <v>117328</v>
      </c>
      <c r="AE56" s="550" t="str">
        <f>Feb!H30</f>
        <v>MAIN CALC</v>
      </c>
      <c r="AF56" s="550">
        <f>Feb!I30</f>
        <v>7875</v>
      </c>
      <c r="AG56" s="550">
        <f>Feb!G30</f>
        <v>117328</v>
      </c>
      <c r="AH56" s="550">
        <f>Feb!G30</f>
        <v>117328</v>
      </c>
      <c r="AI56" s="550">
        <f>Feb!D30</f>
        <v>0</v>
      </c>
      <c r="AJ56" s="550">
        <f>Feb!E30</f>
        <v>0</v>
      </c>
      <c r="AK56" s="550" t="str">
        <f>Feb!F30</f>
        <v>Schedule 132</v>
      </c>
      <c r="AL56" s="550">
        <f>Feb!G30</f>
        <v>117328</v>
      </c>
      <c r="AM56" s="550" t="str">
        <f>Feb!H30</f>
        <v>MAIN CALC</v>
      </c>
    </row>
    <row r="57" spans="1:42" hidden="1" outlineLevel="1">
      <c r="A57" s="479"/>
      <c r="B57" s="477" t="s">
        <v>74</v>
      </c>
      <c r="C57" s="486">
        <f t="shared" si="134"/>
        <v>36246536</v>
      </c>
      <c r="D57" s="486">
        <f t="shared" si="133"/>
        <v>67161136</v>
      </c>
      <c r="E57" s="533">
        <v>3346687</v>
      </c>
      <c r="F57" s="533">
        <v>2956295</v>
      </c>
      <c r="G57" s="533">
        <v>2822744</v>
      </c>
      <c r="H57" s="533">
        <v>2379815</v>
      </c>
      <c r="I57" s="533">
        <v>2359261</v>
      </c>
      <c r="J57" s="533">
        <v>2149880</v>
      </c>
      <c r="K57" s="533">
        <v>1956378</v>
      </c>
      <c r="L57" s="533">
        <v>1966117</v>
      </c>
      <c r="M57" s="533">
        <v>1915306</v>
      </c>
      <c r="N57" s="533">
        <v>2505633</v>
      </c>
      <c r="O57" s="533">
        <v>2750386</v>
      </c>
      <c r="P57" s="533">
        <v>3806098</v>
      </c>
      <c r="Q57" s="593">
        <v>4261630</v>
      </c>
      <c r="R57" s="593">
        <f>Feb!$G31</f>
        <v>3567188</v>
      </c>
      <c r="S57" s="593">
        <f>Mar!$G31</f>
        <v>3349134</v>
      </c>
      <c r="T57" s="593">
        <f>Apr!$G31</f>
        <v>3031741</v>
      </c>
      <c r="U57" s="593">
        <f>May!$G31</f>
        <v>2500964</v>
      </c>
      <c r="V57" s="593">
        <f>Jun!$G31</f>
        <v>2373589</v>
      </c>
      <c r="W57" s="593">
        <f>Jul!$G31</f>
        <v>2236824</v>
      </c>
      <c r="X57" s="593">
        <f>Aug!$G31</f>
        <v>2281688</v>
      </c>
      <c r="Y57" s="593">
        <f>Sep!$G31</f>
        <v>2309719</v>
      </c>
      <c r="Z57" s="593">
        <f>Oct!$G31</f>
        <v>3098253</v>
      </c>
      <c r="AA57" s="593">
        <f>Nov!$G31</f>
        <v>3268121</v>
      </c>
      <c r="AB57" s="593">
        <f>Dec!$G31</f>
        <v>3967685</v>
      </c>
      <c r="AC57" s="593">
        <f>Jan!G31</f>
        <v>3629622</v>
      </c>
      <c r="AD57" s="550">
        <f>Feb!G31</f>
        <v>3567188</v>
      </c>
      <c r="AE57" s="550" t="str">
        <f>Feb!H31</f>
        <v>MAIN CALC</v>
      </c>
      <c r="AF57" s="550">
        <f>Feb!I31</f>
        <v>1901</v>
      </c>
      <c r="AG57" s="550">
        <f>Feb!G31</f>
        <v>3567188</v>
      </c>
      <c r="AH57" s="550">
        <f>Feb!G31</f>
        <v>3567188</v>
      </c>
      <c r="AI57" s="550">
        <f>Feb!D31</f>
        <v>0</v>
      </c>
      <c r="AJ57" s="550">
        <f>Feb!E31</f>
        <v>0</v>
      </c>
      <c r="AK57" s="550" t="str">
        <f>Feb!F31</f>
        <v>Schedule 146</v>
      </c>
      <c r="AL57" s="550">
        <f>Feb!G31</f>
        <v>3567188</v>
      </c>
      <c r="AM57" s="550" t="str">
        <f>Feb!H31</f>
        <v>MAIN CALC</v>
      </c>
    </row>
    <row r="58" spans="1:42" ht="16.5" hidden="1" outlineLevel="1" thickBot="1">
      <c r="A58" s="479"/>
      <c r="B58" s="477" t="s">
        <v>21</v>
      </c>
      <c r="C58" s="532">
        <f>SUM(C49:C57)</f>
        <v>225402308</v>
      </c>
      <c r="D58" s="532">
        <f>SUM(D49:D57)</f>
        <v>414877572</v>
      </c>
      <c r="E58" s="532">
        <v>30707107</v>
      </c>
      <c r="F58" s="532">
        <f t="shared" ref="F58:P58" si="135">SUM(F49:F57)</f>
        <v>23046735</v>
      </c>
      <c r="G58" s="532">
        <f t="shared" si="135"/>
        <v>20385890</v>
      </c>
      <c r="H58" s="532">
        <f t="shared" si="135"/>
        <v>10774244</v>
      </c>
      <c r="I58" s="532">
        <f t="shared" si="135"/>
        <v>8382838</v>
      </c>
      <c r="J58" s="532">
        <f t="shared" si="135"/>
        <v>6906569</v>
      </c>
      <c r="K58" s="532">
        <f>SUM(K49:K57)</f>
        <v>6102573</v>
      </c>
      <c r="L58" s="532">
        <f t="shared" si="135"/>
        <v>6230012</v>
      </c>
      <c r="M58" s="532">
        <f t="shared" si="135"/>
        <v>7464964</v>
      </c>
      <c r="N58" s="532">
        <f>SUM(N49:N57)</f>
        <v>13741468</v>
      </c>
      <c r="O58" s="532">
        <f t="shared" si="135"/>
        <v>18689959</v>
      </c>
      <c r="P58" s="532">
        <f t="shared" si="135"/>
        <v>37042905</v>
      </c>
      <c r="Q58" s="532">
        <f t="shared" ref="Q58:V58" si="136">SUM(Q49:Q57)</f>
        <v>40809304</v>
      </c>
      <c r="R58" s="532">
        <f t="shared" si="136"/>
        <v>29607631</v>
      </c>
      <c r="S58" s="532">
        <f t="shared" si="136"/>
        <v>25263867</v>
      </c>
      <c r="T58" s="532">
        <f t="shared" si="136"/>
        <v>17525512</v>
      </c>
      <c r="U58" s="532">
        <f t="shared" si="136"/>
        <v>8362851</v>
      </c>
      <c r="V58" s="532">
        <f t="shared" si="136"/>
        <v>7334029</v>
      </c>
      <c r="W58" s="532">
        <f>SUM(W49:W57)</f>
        <v>6335002</v>
      </c>
      <c r="X58" s="532">
        <f t="shared" ref="X58:Y58" si="137">SUM(X49:X57)</f>
        <v>6466742</v>
      </c>
      <c r="Y58" s="532">
        <f t="shared" si="137"/>
        <v>7726144</v>
      </c>
      <c r="Z58" s="532">
        <f>SUM(Z49:Z57)</f>
        <v>15685481</v>
      </c>
      <c r="AA58" s="532">
        <f t="shared" ref="AA58:AB58" si="138">SUM(AA49:AA57)</f>
        <v>25138196</v>
      </c>
      <c r="AB58" s="532">
        <f t="shared" si="138"/>
        <v>35147549</v>
      </c>
      <c r="AC58" s="532">
        <f t="shared" ref="AC58" si="139">SUM(AC49:AC57)</f>
        <v>31096459</v>
      </c>
      <c r="AD58" s="615">
        <f t="shared" ref="AD58:AM58" si="140">SUM(AD49:AD57)</f>
        <v>29607631</v>
      </c>
      <c r="AE58" s="615">
        <f t="shared" si="140"/>
        <v>0</v>
      </c>
      <c r="AF58" s="615">
        <f t="shared" si="140"/>
        <v>2908860</v>
      </c>
      <c r="AG58" s="615">
        <f t="shared" si="140"/>
        <v>29607631</v>
      </c>
      <c r="AH58" s="615">
        <f t="shared" si="140"/>
        <v>29607631</v>
      </c>
      <c r="AI58" s="615">
        <f t="shared" ref="AI58" si="141">SUM(AI49:AI57)</f>
        <v>0</v>
      </c>
      <c r="AJ58" s="615">
        <f t="shared" ref="AJ58:AL58" si="142">SUM(AJ49:AJ57)</f>
        <v>0</v>
      </c>
      <c r="AK58" s="615">
        <f t="shared" si="142"/>
        <v>0</v>
      </c>
      <c r="AL58" s="615">
        <f t="shared" si="142"/>
        <v>29607631</v>
      </c>
      <c r="AM58" s="615">
        <f t="shared" si="140"/>
        <v>0</v>
      </c>
    </row>
    <row r="59" spans="1:42" hidden="1" outlineLevel="1">
      <c r="A59" s="479"/>
      <c r="B59" s="477" t="s">
        <v>264</v>
      </c>
      <c r="C59" s="486">
        <f>SUM(Q59:AB59)</f>
        <v>225197372</v>
      </c>
      <c r="D59" s="486">
        <f>SUM(E59:AB59)</f>
        <v>414672636</v>
      </c>
      <c r="E59" s="486">
        <v>30707107</v>
      </c>
      <c r="F59" s="486">
        <v>23046735</v>
      </c>
      <c r="G59" s="486">
        <v>20385890</v>
      </c>
      <c r="H59" s="486">
        <v>10774244</v>
      </c>
      <c r="I59" s="486">
        <v>8382838</v>
      </c>
      <c r="J59" s="486">
        <v>6906569</v>
      </c>
      <c r="K59" s="486">
        <v>6102573</v>
      </c>
      <c r="L59" s="486">
        <v>6230012</v>
      </c>
      <c r="M59" s="486">
        <v>7464964</v>
      </c>
      <c r="N59" s="486">
        <v>13741468</v>
      </c>
      <c r="O59" s="486">
        <v>18689959</v>
      </c>
      <c r="P59" s="486">
        <v>37042905</v>
      </c>
      <c r="Q59" s="594">
        <v>40809304</v>
      </c>
      <c r="R59" s="594">
        <v>30544975</v>
      </c>
      <c r="S59" s="594">
        <v>23815117</v>
      </c>
      <c r="T59" s="594">
        <v>16958956</v>
      </c>
      <c r="U59" s="594">
        <v>10280221</v>
      </c>
      <c r="V59" s="594">
        <v>7316509</v>
      </c>
      <c r="W59" s="594">
        <v>6050612</v>
      </c>
      <c r="X59" s="594">
        <v>6226148</v>
      </c>
      <c r="Y59" s="594">
        <v>7933229</v>
      </c>
      <c r="Z59" s="594">
        <v>15888438</v>
      </c>
      <c r="AA59" s="594">
        <v>24226314</v>
      </c>
      <c r="AB59" s="594">
        <v>35147549</v>
      </c>
      <c r="AC59" s="594">
        <v>31096459</v>
      </c>
      <c r="AD59" s="551">
        <v>31096459</v>
      </c>
      <c r="AE59" s="551">
        <v>31096459</v>
      </c>
      <c r="AF59" s="551">
        <v>31096459</v>
      </c>
      <c r="AG59" s="551">
        <v>31096459</v>
      </c>
      <c r="AH59" s="551">
        <v>31096459</v>
      </c>
      <c r="AI59" s="551">
        <v>31096459</v>
      </c>
      <c r="AJ59" s="551">
        <v>31096459</v>
      </c>
      <c r="AK59" s="551">
        <v>31096459</v>
      </c>
      <c r="AL59" s="551">
        <v>31096459</v>
      </c>
      <c r="AM59" s="551">
        <v>31096459</v>
      </c>
      <c r="AN59" s="563"/>
    </row>
    <row r="60" spans="1:42" hidden="1" outlineLevel="1">
      <c r="A60" s="479" t="s">
        <v>22</v>
      </c>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616"/>
      <c r="AD60" s="616"/>
      <c r="AE60" s="616"/>
      <c r="AF60" s="616"/>
      <c r="AG60" s="616"/>
      <c r="AH60" s="616"/>
      <c r="AI60" s="616"/>
      <c r="AJ60" s="616"/>
      <c r="AK60" s="616"/>
      <c r="AL60" s="616"/>
      <c r="AM60" s="616"/>
      <c r="AP60" s="529"/>
    </row>
    <row r="61" spans="1:42" hidden="1" outlineLevel="1">
      <c r="A61" s="480">
        <v>191025</v>
      </c>
      <c r="B61" s="481" t="s">
        <v>252</v>
      </c>
      <c r="E61" s="480">
        <v>201601</v>
      </c>
      <c r="F61" s="480">
        <f>E61+1</f>
        <v>201602</v>
      </c>
      <c r="G61" s="480">
        <f t="shared" ref="G61:P61" si="143">F61+1</f>
        <v>201603</v>
      </c>
      <c r="H61" s="480">
        <f t="shared" si="143"/>
        <v>201604</v>
      </c>
      <c r="I61" s="480">
        <f t="shared" si="143"/>
        <v>201605</v>
      </c>
      <c r="J61" s="480">
        <f t="shared" si="143"/>
        <v>201606</v>
      </c>
      <c r="K61" s="480">
        <f t="shared" si="143"/>
        <v>201607</v>
      </c>
      <c r="L61" s="480">
        <f t="shared" si="143"/>
        <v>201608</v>
      </c>
      <c r="M61" s="480">
        <f t="shared" si="143"/>
        <v>201609</v>
      </c>
      <c r="N61" s="480">
        <f t="shared" si="143"/>
        <v>201610</v>
      </c>
      <c r="O61" s="480">
        <f t="shared" si="143"/>
        <v>201611</v>
      </c>
      <c r="P61" s="480">
        <f t="shared" si="143"/>
        <v>201612</v>
      </c>
      <c r="Q61" s="480">
        <f>Q3</f>
        <v>201701</v>
      </c>
      <c r="R61" s="480">
        <f>Q61+1</f>
        <v>201702</v>
      </c>
      <c r="S61" s="480">
        <f t="shared" ref="S61" si="144">R61+1</f>
        <v>201703</v>
      </c>
      <c r="T61" s="480">
        <f t="shared" ref="T61" si="145">S61+1</f>
        <v>201704</v>
      </c>
      <c r="U61" s="480">
        <f t="shared" ref="U61" si="146">T61+1</f>
        <v>201705</v>
      </c>
      <c r="V61" s="480">
        <f t="shared" ref="V61" si="147">U61+1</f>
        <v>201706</v>
      </c>
      <c r="W61" s="480">
        <f t="shared" ref="W61" si="148">V61+1</f>
        <v>201707</v>
      </c>
      <c r="X61" s="480">
        <f t="shared" ref="X61" si="149">W61+1</f>
        <v>201708</v>
      </c>
      <c r="Y61" s="480">
        <f t="shared" ref="Y61" si="150">X61+1</f>
        <v>201709</v>
      </c>
      <c r="Z61" s="480">
        <f t="shared" ref="Z61" si="151">Y61+1</f>
        <v>201710</v>
      </c>
      <c r="AA61" s="480">
        <f t="shared" ref="AA61" si="152">Z61+1</f>
        <v>201711</v>
      </c>
      <c r="AB61" s="480">
        <f t="shared" ref="AB61" si="153">AA61+1</f>
        <v>201712</v>
      </c>
      <c r="AC61" s="569">
        <f t="shared" ref="AC61:AM61" si="154">AC3</f>
        <v>201801</v>
      </c>
      <c r="AD61" s="569">
        <f t="shared" si="154"/>
        <v>201802</v>
      </c>
      <c r="AE61" s="569">
        <f t="shared" si="154"/>
        <v>201803</v>
      </c>
      <c r="AF61" s="569">
        <f t="shared" si="154"/>
        <v>201804</v>
      </c>
      <c r="AG61" s="569">
        <f t="shared" si="154"/>
        <v>201805</v>
      </c>
      <c r="AH61" s="569">
        <f t="shared" ref="AH61:AL61" si="155">AH3</f>
        <v>201806</v>
      </c>
      <c r="AI61" s="569">
        <f t="shared" si="155"/>
        <v>201807</v>
      </c>
      <c r="AJ61" s="569">
        <f t="shared" si="155"/>
        <v>201808</v>
      </c>
      <c r="AK61" s="569">
        <f t="shared" si="155"/>
        <v>201809</v>
      </c>
      <c r="AL61" s="569">
        <f t="shared" si="155"/>
        <v>201810</v>
      </c>
      <c r="AM61" s="569">
        <f t="shared" si="154"/>
        <v>201811</v>
      </c>
    </row>
    <row r="62" spans="1:42" hidden="1" outlineLevel="1">
      <c r="A62" s="479"/>
      <c r="B62" s="477" t="s">
        <v>37</v>
      </c>
      <c r="E62" s="490">
        <v>1.2999999999999999E-4</v>
      </c>
      <c r="F62" s="490">
        <v>1.2999999999999999E-4</v>
      </c>
      <c r="G62" s="490">
        <v>1.2999999999999999E-4</v>
      </c>
      <c r="H62" s="490">
        <v>1.2999999999999999E-4</v>
      </c>
      <c r="I62" s="490">
        <v>1.2999999999999999E-4</v>
      </c>
      <c r="J62" s="490">
        <v>1.2999999999999999E-4</v>
      </c>
      <c r="K62" s="490">
        <v>1.2999999999999999E-4</v>
      </c>
      <c r="L62" s="490">
        <v>1.2999999999999999E-4</v>
      </c>
      <c r="M62" s="490">
        <v>1.2999999999999999E-4</v>
      </c>
      <c r="N62" s="490">
        <v>1.2999999999999999E-4</v>
      </c>
      <c r="O62" s="490" t="s">
        <v>307</v>
      </c>
      <c r="P62" s="490" t="s">
        <v>307</v>
      </c>
      <c r="Q62" s="590">
        <v>1.0000000000000001E-5</v>
      </c>
      <c r="R62" s="590">
        <v>1.0000000000000001E-5</v>
      </c>
      <c r="S62" s="590">
        <v>1.0000000000000001E-5</v>
      </c>
      <c r="T62" s="590">
        <v>1.0000000000000001E-5</v>
      </c>
      <c r="U62" s="590">
        <v>1.0000000000000001E-5</v>
      </c>
      <c r="V62" s="590">
        <v>1.0000000000000001E-5</v>
      </c>
      <c r="W62" s="590">
        <v>1.0000000000000001E-5</v>
      </c>
      <c r="X62" s="590">
        <v>1.0000000000000001E-5</v>
      </c>
      <c r="Y62" s="590">
        <v>1.0000000000000001E-5</v>
      </c>
      <c r="Z62" s="590">
        <v>1.0000000000000001E-5</v>
      </c>
      <c r="AA62" s="621" t="s">
        <v>307</v>
      </c>
      <c r="AB62" s="621" t="s">
        <v>307</v>
      </c>
      <c r="AC62" s="622" t="s">
        <v>320</v>
      </c>
      <c r="AD62" s="622" t="s">
        <v>320</v>
      </c>
      <c r="AE62" s="622" t="s">
        <v>320</v>
      </c>
      <c r="AF62" s="622" t="s">
        <v>320</v>
      </c>
      <c r="AG62" s="622" t="s">
        <v>320</v>
      </c>
      <c r="AH62" s="622" t="s">
        <v>320</v>
      </c>
      <c r="AI62" s="622" t="s">
        <v>320</v>
      </c>
      <c r="AJ62" s="622" t="s">
        <v>320</v>
      </c>
      <c r="AK62" s="622" t="s">
        <v>320</v>
      </c>
      <c r="AL62" s="622" t="s">
        <v>320</v>
      </c>
      <c r="AM62" s="622" t="s">
        <v>320</v>
      </c>
    </row>
    <row r="63" spans="1:42" hidden="1" outlineLevel="1">
      <c r="A63" s="479"/>
      <c r="B63" s="553" t="s">
        <v>305</v>
      </c>
      <c r="E63" s="490">
        <v>1.2999999999999999E-4</v>
      </c>
      <c r="F63" s="490">
        <v>1.2999999999999999E-4</v>
      </c>
      <c r="G63" s="490">
        <v>1.2999999999999999E-4</v>
      </c>
      <c r="H63" s="490">
        <v>1.2999999999999999E-4</v>
      </c>
      <c r="I63" s="490">
        <v>1.2999999999999999E-4</v>
      </c>
      <c r="J63" s="490">
        <v>1.2999999999999999E-4</v>
      </c>
      <c r="K63" s="490">
        <v>1.2999999999999999E-4</v>
      </c>
      <c r="L63" s="490">
        <v>1.2999999999999999E-4</v>
      </c>
      <c r="M63" s="490">
        <v>1.2999999999999999E-4</v>
      </c>
      <c r="N63" s="490">
        <v>1.2999999999999999E-4</v>
      </c>
      <c r="O63" s="490" t="s">
        <v>307</v>
      </c>
      <c r="P63" s="490" t="s">
        <v>307</v>
      </c>
      <c r="Q63" s="590">
        <v>1.0000000000000001E-5</v>
      </c>
      <c r="R63" s="590">
        <v>1.0000000000000001E-5</v>
      </c>
      <c r="S63" s="590">
        <v>1.0000000000000001E-5</v>
      </c>
      <c r="T63" s="590">
        <v>1.0000000000000001E-5</v>
      </c>
      <c r="U63" s="590">
        <v>1.0000000000000001E-5</v>
      </c>
      <c r="V63" s="590">
        <v>1.0000000000000001E-5</v>
      </c>
      <c r="W63" s="590">
        <v>1.0000000000000001E-5</v>
      </c>
      <c r="X63" s="590">
        <v>1.0000000000000001E-5</v>
      </c>
      <c r="Y63" s="590">
        <v>1.0000000000000001E-5</v>
      </c>
      <c r="Z63" s="590">
        <v>1.0000000000000001E-5</v>
      </c>
      <c r="AA63" s="621" t="s">
        <v>307</v>
      </c>
      <c r="AB63" s="621" t="s">
        <v>307</v>
      </c>
      <c r="AC63" s="622" t="s">
        <v>320</v>
      </c>
      <c r="AD63" s="622" t="s">
        <v>320</v>
      </c>
      <c r="AE63" s="622" t="s">
        <v>320</v>
      </c>
      <c r="AF63" s="622" t="s">
        <v>320</v>
      </c>
      <c r="AG63" s="622" t="s">
        <v>320</v>
      </c>
      <c r="AH63" s="622" t="s">
        <v>320</v>
      </c>
      <c r="AI63" s="622" t="s">
        <v>320</v>
      </c>
      <c r="AJ63" s="622" t="s">
        <v>320</v>
      </c>
      <c r="AK63" s="622" t="s">
        <v>320</v>
      </c>
      <c r="AL63" s="622" t="s">
        <v>320</v>
      </c>
      <c r="AM63" s="622" t="s">
        <v>320</v>
      </c>
    </row>
    <row r="64" spans="1:42" hidden="1" outlineLevel="1">
      <c r="A64" s="479"/>
      <c r="B64" s="477" t="s">
        <v>38</v>
      </c>
      <c r="E64" s="490">
        <v>1.2999999999999999E-4</v>
      </c>
      <c r="F64" s="490">
        <v>1.2999999999999999E-4</v>
      </c>
      <c r="G64" s="490">
        <v>1.2999999999999999E-4</v>
      </c>
      <c r="H64" s="490">
        <v>1.2999999999999999E-4</v>
      </c>
      <c r="I64" s="490">
        <v>1.2999999999999999E-4</v>
      </c>
      <c r="J64" s="490">
        <v>1.2999999999999999E-4</v>
      </c>
      <c r="K64" s="490">
        <v>1.2999999999999999E-4</v>
      </c>
      <c r="L64" s="490">
        <v>1.2999999999999999E-4</v>
      </c>
      <c r="M64" s="490">
        <v>1.2999999999999999E-4</v>
      </c>
      <c r="N64" s="490">
        <v>1.2999999999999999E-4</v>
      </c>
      <c r="O64" s="490" t="s">
        <v>307</v>
      </c>
      <c r="P64" s="490" t="s">
        <v>307</v>
      </c>
      <c r="Q64" s="590">
        <v>1.0000000000000001E-5</v>
      </c>
      <c r="R64" s="590">
        <v>1.0000000000000001E-5</v>
      </c>
      <c r="S64" s="590">
        <v>1.0000000000000001E-5</v>
      </c>
      <c r="T64" s="590">
        <v>1.0000000000000001E-5</v>
      </c>
      <c r="U64" s="590">
        <v>1.0000000000000001E-5</v>
      </c>
      <c r="V64" s="590">
        <v>1.0000000000000001E-5</v>
      </c>
      <c r="W64" s="590">
        <v>1.0000000000000001E-5</v>
      </c>
      <c r="X64" s="590">
        <v>1.0000000000000001E-5</v>
      </c>
      <c r="Y64" s="590">
        <v>1.0000000000000001E-5</v>
      </c>
      <c r="Z64" s="590">
        <v>1.0000000000000001E-5</v>
      </c>
      <c r="AA64" s="621" t="s">
        <v>307</v>
      </c>
      <c r="AB64" s="621" t="s">
        <v>307</v>
      </c>
      <c r="AC64" s="622" t="s">
        <v>320</v>
      </c>
      <c r="AD64" s="622" t="s">
        <v>320</v>
      </c>
      <c r="AE64" s="622" t="s">
        <v>320</v>
      </c>
      <c r="AF64" s="622" t="s">
        <v>320</v>
      </c>
      <c r="AG64" s="622" t="s">
        <v>320</v>
      </c>
      <c r="AH64" s="622" t="s">
        <v>320</v>
      </c>
      <c r="AI64" s="622" t="s">
        <v>320</v>
      </c>
      <c r="AJ64" s="622" t="s">
        <v>320</v>
      </c>
      <c r="AK64" s="622" t="s">
        <v>320</v>
      </c>
      <c r="AL64" s="622" t="s">
        <v>320</v>
      </c>
      <c r="AM64" s="622" t="s">
        <v>320</v>
      </c>
    </row>
    <row r="65" spans="1:48" hidden="1" outlineLevel="1">
      <c r="A65" s="479"/>
      <c r="B65" s="477" t="s">
        <v>39</v>
      </c>
      <c r="E65" s="490">
        <v>1.2999999999999999E-4</v>
      </c>
      <c r="F65" s="490">
        <v>1.2999999999999999E-4</v>
      </c>
      <c r="G65" s="490">
        <v>1.2999999999999999E-4</v>
      </c>
      <c r="H65" s="490">
        <v>1.2999999999999999E-4</v>
      </c>
      <c r="I65" s="490">
        <v>1.2999999999999999E-4</v>
      </c>
      <c r="J65" s="490">
        <v>1.2999999999999999E-4</v>
      </c>
      <c r="K65" s="490">
        <v>1.2999999999999999E-4</v>
      </c>
      <c r="L65" s="490">
        <v>1.2999999999999999E-4</v>
      </c>
      <c r="M65" s="490">
        <v>1.2999999999999999E-4</v>
      </c>
      <c r="N65" s="490">
        <v>1.2999999999999999E-4</v>
      </c>
      <c r="O65" s="490" t="s">
        <v>307</v>
      </c>
      <c r="P65" s="490" t="s">
        <v>307</v>
      </c>
      <c r="Q65" s="590">
        <v>1.0000000000000001E-5</v>
      </c>
      <c r="R65" s="590">
        <v>1.0000000000000001E-5</v>
      </c>
      <c r="S65" s="590">
        <v>1.0000000000000001E-5</v>
      </c>
      <c r="T65" s="590">
        <v>1.0000000000000001E-5</v>
      </c>
      <c r="U65" s="590">
        <v>1.0000000000000001E-5</v>
      </c>
      <c r="V65" s="590">
        <v>1.0000000000000001E-5</v>
      </c>
      <c r="W65" s="590">
        <v>1.0000000000000001E-5</v>
      </c>
      <c r="X65" s="590">
        <v>1.0000000000000001E-5</v>
      </c>
      <c r="Y65" s="590">
        <v>1.0000000000000001E-5</v>
      </c>
      <c r="Z65" s="590">
        <v>1.0000000000000001E-5</v>
      </c>
      <c r="AA65" s="621" t="s">
        <v>307</v>
      </c>
      <c r="AB65" s="621" t="s">
        <v>307</v>
      </c>
      <c r="AC65" s="622" t="s">
        <v>320</v>
      </c>
      <c r="AD65" s="622" t="s">
        <v>320</v>
      </c>
      <c r="AE65" s="622" t="s">
        <v>320</v>
      </c>
      <c r="AF65" s="622" t="s">
        <v>320</v>
      </c>
      <c r="AG65" s="622" t="s">
        <v>320</v>
      </c>
      <c r="AH65" s="622" t="s">
        <v>320</v>
      </c>
      <c r="AI65" s="622" t="s">
        <v>320</v>
      </c>
      <c r="AJ65" s="622" t="s">
        <v>320</v>
      </c>
      <c r="AK65" s="622" t="s">
        <v>320</v>
      </c>
      <c r="AL65" s="622" t="s">
        <v>320</v>
      </c>
      <c r="AM65" s="622" t="s">
        <v>320</v>
      </c>
    </row>
    <row r="66" spans="1:48" hidden="1" outlineLevel="1">
      <c r="A66" s="479"/>
      <c r="B66" s="477" t="s">
        <v>40</v>
      </c>
      <c r="E66" s="490">
        <v>1.2999999999999999E-4</v>
      </c>
      <c r="F66" s="490">
        <v>1.2999999999999999E-4</v>
      </c>
      <c r="G66" s="490">
        <v>1.2999999999999999E-4</v>
      </c>
      <c r="H66" s="490">
        <v>1.2999999999999999E-4</v>
      </c>
      <c r="I66" s="490">
        <v>1.2999999999999999E-4</v>
      </c>
      <c r="J66" s="490">
        <v>1.2999999999999999E-4</v>
      </c>
      <c r="K66" s="490">
        <v>1.2999999999999999E-4</v>
      </c>
      <c r="L66" s="490">
        <v>1.2999999999999999E-4</v>
      </c>
      <c r="M66" s="490">
        <v>1.2999999999999999E-4</v>
      </c>
      <c r="N66" s="490">
        <v>1.2999999999999999E-4</v>
      </c>
      <c r="O66" s="490" t="s">
        <v>307</v>
      </c>
      <c r="P66" s="490" t="s">
        <v>307</v>
      </c>
      <c r="Q66" s="590">
        <v>1.0000000000000001E-5</v>
      </c>
      <c r="R66" s="590">
        <v>1.0000000000000001E-5</v>
      </c>
      <c r="S66" s="590">
        <v>1.0000000000000001E-5</v>
      </c>
      <c r="T66" s="590">
        <v>1.0000000000000001E-5</v>
      </c>
      <c r="U66" s="590">
        <v>1.0000000000000001E-5</v>
      </c>
      <c r="V66" s="590">
        <v>1.0000000000000001E-5</v>
      </c>
      <c r="W66" s="590">
        <v>1.0000000000000001E-5</v>
      </c>
      <c r="X66" s="590">
        <v>1.0000000000000001E-5</v>
      </c>
      <c r="Y66" s="590">
        <v>1.0000000000000001E-5</v>
      </c>
      <c r="Z66" s="590">
        <v>1.0000000000000001E-5</v>
      </c>
      <c r="AA66" s="621" t="s">
        <v>307</v>
      </c>
      <c r="AB66" s="621" t="s">
        <v>307</v>
      </c>
      <c r="AC66" s="622" t="s">
        <v>320</v>
      </c>
      <c r="AD66" s="622" t="s">
        <v>320</v>
      </c>
      <c r="AE66" s="622" t="s">
        <v>320</v>
      </c>
      <c r="AF66" s="622" t="s">
        <v>320</v>
      </c>
      <c r="AG66" s="622" t="s">
        <v>320</v>
      </c>
      <c r="AH66" s="622" t="s">
        <v>320</v>
      </c>
      <c r="AI66" s="622" t="s">
        <v>320</v>
      </c>
      <c r="AJ66" s="622" t="s">
        <v>320</v>
      </c>
      <c r="AK66" s="622" t="s">
        <v>320</v>
      </c>
      <c r="AL66" s="622" t="s">
        <v>320</v>
      </c>
      <c r="AM66" s="622" t="s">
        <v>320</v>
      </c>
    </row>
    <row r="67" spans="1:48" hidden="1" outlineLevel="1">
      <c r="A67" s="479"/>
      <c r="B67" s="477" t="s">
        <v>41</v>
      </c>
      <c r="E67" s="490">
        <v>1.2999999999999999E-4</v>
      </c>
      <c r="F67" s="490">
        <v>1.2999999999999999E-4</v>
      </c>
      <c r="G67" s="490">
        <v>1.2999999999999999E-4</v>
      </c>
      <c r="H67" s="490">
        <v>1.2999999999999999E-4</v>
      </c>
      <c r="I67" s="490">
        <v>1.2999999999999999E-4</v>
      </c>
      <c r="J67" s="490">
        <v>1.2999999999999999E-4</v>
      </c>
      <c r="K67" s="490">
        <v>1.2999999999999999E-4</v>
      </c>
      <c r="L67" s="490">
        <v>1.2999999999999999E-4</v>
      </c>
      <c r="M67" s="490">
        <v>1.2999999999999999E-4</v>
      </c>
      <c r="N67" s="490">
        <v>1.2999999999999999E-4</v>
      </c>
      <c r="O67" s="490" t="s">
        <v>307</v>
      </c>
      <c r="P67" s="490" t="s">
        <v>307</v>
      </c>
      <c r="Q67" s="590">
        <v>1.0000000000000001E-5</v>
      </c>
      <c r="R67" s="590">
        <v>1.0000000000000001E-5</v>
      </c>
      <c r="S67" s="590">
        <v>1.0000000000000001E-5</v>
      </c>
      <c r="T67" s="590">
        <v>1.0000000000000001E-5</v>
      </c>
      <c r="U67" s="590">
        <v>1.0000000000000001E-5</v>
      </c>
      <c r="V67" s="590">
        <v>1.0000000000000001E-5</v>
      </c>
      <c r="W67" s="590">
        <v>1.0000000000000001E-5</v>
      </c>
      <c r="X67" s="590">
        <v>1.0000000000000001E-5</v>
      </c>
      <c r="Y67" s="590">
        <v>1.0000000000000001E-5</v>
      </c>
      <c r="Z67" s="590">
        <v>1.0000000000000001E-5</v>
      </c>
      <c r="AA67" s="621" t="s">
        <v>307</v>
      </c>
      <c r="AB67" s="621" t="s">
        <v>307</v>
      </c>
      <c r="AC67" s="622" t="s">
        <v>320</v>
      </c>
      <c r="AD67" s="622" t="s">
        <v>320</v>
      </c>
      <c r="AE67" s="622" t="s">
        <v>320</v>
      </c>
      <c r="AF67" s="622" t="s">
        <v>320</v>
      </c>
      <c r="AG67" s="622" t="s">
        <v>320</v>
      </c>
      <c r="AH67" s="622" t="s">
        <v>320</v>
      </c>
      <c r="AI67" s="622" t="s">
        <v>320</v>
      </c>
      <c r="AJ67" s="622" t="s">
        <v>320</v>
      </c>
      <c r="AK67" s="622" t="s">
        <v>320</v>
      </c>
      <c r="AL67" s="622" t="s">
        <v>320</v>
      </c>
      <c r="AM67" s="622" t="s">
        <v>320</v>
      </c>
    </row>
    <row r="68" spans="1:48" hidden="1" outlineLevel="1">
      <c r="A68" s="479"/>
      <c r="B68" s="477" t="s">
        <v>42</v>
      </c>
      <c r="E68" s="490">
        <v>1.2999999999999999E-4</v>
      </c>
      <c r="F68" s="490">
        <v>1.2999999999999999E-4</v>
      </c>
      <c r="G68" s="490">
        <v>1.2999999999999999E-4</v>
      </c>
      <c r="H68" s="490">
        <v>1.2999999999999999E-4</v>
      </c>
      <c r="I68" s="490">
        <v>1.2999999999999999E-4</v>
      </c>
      <c r="J68" s="490">
        <v>1.2999999999999999E-4</v>
      </c>
      <c r="K68" s="490">
        <v>1.2999999999999999E-4</v>
      </c>
      <c r="L68" s="490">
        <v>1.2999999999999999E-4</v>
      </c>
      <c r="M68" s="490">
        <v>1.2999999999999999E-4</v>
      </c>
      <c r="N68" s="490">
        <v>1.2999999999999999E-4</v>
      </c>
      <c r="O68" s="490" t="s">
        <v>307</v>
      </c>
      <c r="P68" s="490" t="s">
        <v>307</v>
      </c>
      <c r="Q68" s="590">
        <v>1.0000000000000001E-5</v>
      </c>
      <c r="R68" s="590">
        <v>1.0000000000000001E-5</v>
      </c>
      <c r="S68" s="590">
        <v>1.0000000000000001E-5</v>
      </c>
      <c r="T68" s="590">
        <v>1.0000000000000001E-5</v>
      </c>
      <c r="U68" s="590">
        <v>1.0000000000000001E-5</v>
      </c>
      <c r="V68" s="590">
        <v>1.0000000000000001E-5</v>
      </c>
      <c r="W68" s="590">
        <v>1.0000000000000001E-5</v>
      </c>
      <c r="X68" s="590">
        <v>1.0000000000000001E-5</v>
      </c>
      <c r="Y68" s="590">
        <v>1.0000000000000001E-5</v>
      </c>
      <c r="Z68" s="590">
        <v>1.0000000000000001E-5</v>
      </c>
      <c r="AA68" s="621" t="s">
        <v>307</v>
      </c>
      <c r="AB68" s="621" t="s">
        <v>307</v>
      </c>
      <c r="AC68" s="622" t="s">
        <v>320</v>
      </c>
      <c r="AD68" s="622" t="s">
        <v>320</v>
      </c>
      <c r="AE68" s="622" t="s">
        <v>320</v>
      </c>
      <c r="AF68" s="622" t="s">
        <v>320</v>
      </c>
      <c r="AG68" s="622" t="s">
        <v>320</v>
      </c>
      <c r="AH68" s="622" t="s">
        <v>320</v>
      </c>
      <c r="AI68" s="622" t="s">
        <v>320</v>
      </c>
      <c r="AJ68" s="622" t="s">
        <v>320</v>
      </c>
      <c r="AK68" s="622" t="s">
        <v>320</v>
      </c>
      <c r="AL68" s="622" t="s">
        <v>320</v>
      </c>
      <c r="AM68" s="622" t="s">
        <v>320</v>
      </c>
    </row>
    <row r="69" spans="1:48" ht="16.5" hidden="1" outlineLevel="1" thickBot="1">
      <c r="A69" s="479"/>
      <c r="B69" s="477" t="s">
        <v>43</v>
      </c>
      <c r="E69" s="490">
        <v>1.2999999999999999E-4</v>
      </c>
      <c r="F69" s="490">
        <v>1.2999999999999999E-4</v>
      </c>
      <c r="G69" s="490">
        <v>1.2999999999999999E-4</v>
      </c>
      <c r="H69" s="490">
        <v>1.2999999999999999E-4</v>
      </c>
      <c r="I69" s="490">
        <v>1.2999999999999999E-4</v>
      </c>
      <c r="J69" s="490">
        <v>1.2999999999999999E-4</v>
      </c>
      <c r="K69" s="490">
        <v>1.2999999999999999E-4</v>
      </c>
      <c r="L69" s="490">
        <v>1.2999999999999999E-4</v>
      </c>
      <c r="M69" s="490">
        <v>1.2999999999999999E-4</v>
      </c>
      <c r="N69" s="490">
        <v>1.2999999999999999E-4</v>
      </c>
      <c r="O69" s="490" t="s">
        <v>307</v>
      </c>
      <c r="P69" s="490" t="s">
        <v>307</v>
      </c>
      <c r="Q69" s="590">
        <v>1.0000000000000001E-5</v>
      </c>
      <c r="R69" s="590">
        <v>1.0000000000000001E-5</v>
      </c>
      <c r="S69" s="590">
        <v>1.0000000000000001E-5</v>
      </c>
      <c r="T69" s="590">
        <v>1.0000000000000001E-5</v>
      </c>
      <c r="U69" s="590">
        <v>1.0000000000000001E-5</v>
      </c>
      <c r="V69" s="590">
        <v>1.0000000000000001E-5</v>
      </c>
      <c r="W69" s="590">
        <v>1.0000000000000001E-5</v>
      </c>
      <c r="X69" s="590">
        <v>1.0000000000000001E-5</v>
      </c>
      <c r="Y69" s="590">
        <v>1.0000000000000001E-5</v>
      </c>
      <c r="Z69" s="590">
        <v>1.0000000000000001E-5</v>
      </c>
      <c r="AA69" s="621" t="s">
        <v>307</v>
      </c>
      <c r="AB69" s="621" t="s">
        <v>307</v>
      </c>
      <c r="AC69" s="622" t="s">
        <v>320</v>
      </c>
      <c r="AD69" s="622" t="s">
        <v>320</v>
      </c>
      <c r="AE69" s="622" t="s">
        <v>320</v>
      </c>
      <c r="AF69" s="622" t="s">
        <v>320</v>
      </c>
      <c r="AG69" s="622" t="s">
        <v>320</v>
      </c>
      <c r="AH69" s="622" t="s">
        <v>320</v>
      </c>
      <c r="AI69" s="622" t="s">
        <v>320</v>
      </c>
      <c r="AJ69" s="622" t="s">
        <v>320</v>
      </c>
      <c r="AK69" s="622" t="s">
        <v>320</v>
      </c>
      <c r="AL69" s="622" t="s">
        <v>320</v>
      </c>
      <c r="AM69" s="622" t="s">
        <v>320</v>
      </c>
      <c r="AO69" s="515">
        <f>AO4</f>
        <v>201811</v>
      </c>
      <c r="AP69" s="524"/>
      <c r="AQ69" s="516"/>
      <c r="AR69" s="614" t="s">
        <v>319</v>
      </c>
      <c r="AS69" s="516"/>
      <c r="AT69" s="517"/>
    </row>
    <row r="70" spans="1:48" hidden="1" outlineLevel="1">
      <c r="A70" s="479"/>
      <c r="B70" s="477" t="s">
        <v>74</v>
      </c>
      <c r="E70" s="490">
        <v>2.0000000000000002E-5</v>
      </c>
      <c r="F70" s="490">
        <v>2.0000000000000002E-5</v>
      </c>
      <c r="G70" s="490">
        <v>2.0000000000000002E-5</v>
      </c>
      <c r="H70" s="490">
        <v>2.0000000000000002E-5</v>
      </c>
      <c r="I70" s="490">
        <v>2.0000000000000002E-5</v>
      </c>
      <c r="J70" s="490">
        <v>2.0000000000000002E-5</v>
      </c>
      <c r="K70" s="490">
        <v>2.0000000000000002E-5</v>
      </c>
      <c r="L70" s="490">
        <v>2.0000000000000002E-5</v>
      </c>
      <c r="M70" s="490">
        <v>2.0000000000000002E-5</v>
      </c>
      <c r="N70" s="490">
        <v>2.0000000000000002E-5</v>
      </c>
      <c r="O70" s="490" t="s">
        <v>307</v>
      </c>
      <c r="P70" s="490" t="s">
        <v>307</v>
      </c>
      <c r="Q70" s="590">
        <v>0</v>
      </c>
      <c r="R70" s="590">
        <v>0</v>
      </c>
      <c r="S70" s="590">
        <v>0</v>
      </c>
      <c r="T70" s="590">
        <v>0</v>
      </c>
      <c r="U70" s="590">
        <v>0</v>
      </c>
      <c r="V70" s="590">
        <v>0</v>
      </c>
      <c r="W70" s="590">
        <v>0</v>
      </c>
      <c r="X70" s="590">
        <v>0</v>
      </c>
      <c r="Y70" s="590">
        <v>0</v>
      </c>
      <c r="Z70" s="590">
        <v>0</v>
      </c>
      <c r="AA70" s="621" t="s">
        <v>307</v>
      </c>
      <c r="AB70" s="621" t="s">
        <v>307</v>
      </c>
      <c r="AC70" s="622" t="s">
        <v>320</v>
      </c>
      <c r="AD70" s="622" t="s">
        <v>320</v>
      </c>
      <c r="AE70" s="622" t="s">
        <v>320</v>
      </c>
      <c r="AF70" s="622" t="s">
        <v>320</v>
      </c>
      <c r="AG70" s="622" t="s">
        <v>320</v>
      </c>
      <c r="AH70" s="622" t="s">
        <v>320</v>
      </c>
      <c r="AI70" s="622" t="s">
        <v>320</v>
      </c>
      <c r="AJ70" s="622" t="s">
        <v>320</v>
      </c>
      <c r="AK70" s="622" t="s">
        <v>320</v>
      </c>
      <c r="AL70" s="622" t="s">
        <v>320</v>
      </c>
      <c r="AM70" s="622" t="s">
        <v>320</v>
      </c>
      <c r="AO70" s="153" t="s">
        <v>292</v>
      </c>
      <c r="AP70" s="208">
        <v>191025</v>
      </c>
      <c r="AQ70" s="7" t="s">
        <v>280</v>
      </c>
      <c r="AR70" s="7" t="s">
        <v>281</v>
      </c>
      <c r="AS70" s="468">
        <v>0</v>
      </c>
      <c r="AT70" s="458">
        <f>IF((SUMIF(E72:AB72,AO69,E74:AB74))&lt;0,-(SUMIF(E72:AB72,AO69,E74:AB74)),0)</f>
        <v>0</v>
      </c>
      <c r="AV70" s="478" t="str">
        <f>_xll.GLW_Segment_Description(AP70,2,2)</f>
        <v>WA GRC JACKSON PRAIRIE DEFERRAL</v>
      </c>
    </row>
    <row r="71" spans="1:48" hidden="1" outlineLevel="1">
      <c r="A71" s="479" t="s">
        <v>283</v>
      </c>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552"/>
      <c r="AE71" s="552"/>
      <c r="AF71" s="552"/>
      <c r="AG71" s="552"/>
      <c r="AH71" s="552"/>
      <c r="AI71" s="552"/>
      <c r="AJ71" s="552"/>
      <c r="AK71" s="552"/>
      <c r="AL71" s="552"/>
      <c r="AM71" s="552"/>
      <c r="AO71" s="153" t="s">
        <v>293</v>
      </c>
      <c r="AP71" s="208">
        <v>805110</v>
      </c>
      <c r="AQ71" s="7" t="s">
        <v>280</v>
      </c>
      <c r="AR71" s="7" t="s">
        <v>281</v>
      </c>
      <c r="AS71" s="468">
        <f>IF((SUMIF(E72:AB72,AO69,E74:AB74))&lt;0,-(SUMIF(E72:AB72,AO69,E74:AB74)),0)</f>
        <v>0</v>
      </c>
      <c r="AT71" s="458">
        <f>AS70</f>
        <v>0</v>
      </c>
      <c r="AV71" s="478" t="str">
        <f>_xll.GLW_Segment_Description(AP71,2,2)</f>
        <v>AMORTIZE RECOVERABLE GAS COSTS</v>
      </c>
    </row>
    <row r="72" spans="1:48" s="479" customFormat="1" hidden="1" outlineLevel="1">
      <c r="A72" s="480">
        <v>191025</v>
      </c>
      <c r="B72" s="481" t="s">
        <v>252</v>
      </c>
      <c r="C72" s="482" t="s">
        <v>248</v>
      </c>
      <c r="D72" s="483" t="s">
        <v>249</v>
      </c>
      <c r="E72" s="480">
        <v>201601</v>
      </c>
      <c r="F72" s="480">
        <f>E72+1</f>
        <v>201602</v>
      </c>
      <c r="G72" s="480">
        <f t="shared" ref="G72:P72" si="156">F72+1</f>
        <v>201603</v>
      </c>
      <c r="H72" s="480">
        <f t="shared" si="156"/>
        <v>201604</v>
      </c>
      <c r="I72" s="480">
        <f t="shared" si="156"/>
        <v>201605</v>
      </c>
      <c r="J72" s="480">
        <f t="shared" si="156"/>
        <v>201606</v>
      </c>
      <c r="K72" s="480">
        <f t="shared" si="156"/>
        <v>201607</v>
      </c>
      <c r="L72" s="480">
        <f t="shared" si="156"/>
        <v>201608</v>
      </c>
      <c r="M72" s="480">
        <f t="shared" si="156"/>
        <v>201609</v>
      </c>
      <c r="N72" s="480">
        <f t="shared" si="156"/>
        <v>201610</v>
      </c>
      <c r="O72" s="480">
        <f t="shared" si="156"/>
        <v>201611</v>
      </c>
      <c r="P72" s="480">
        <f t="shared" si="156"/>
        <v>201612</v>
      </c>
      <c r="Q72" s="480">
        <f>Q3</f>
        <v>201701</v>
      </c>
      <c r="R72" s="480">
        <f>Q72+1</f>
        <v>201702</v>
      </c>
      <c r="S72" s="480">
        <f t="shared" ref="S72" si="157">R72+1</f>
        <v>201703</v>
      </c>
      <c r="T72" s="480">
        <f t="shared" ref="T72" si="158">S72+1</f>
        <v>201704</v>
      </c>
      <c r="U72" s="480">
        <f t="shared" ref="U72" si="159">T72+1</f>
        <v>201705</v>
      </c>
      <c r="V72" s="480">
        <f t="shared" ref="V72" si="160">U72+1</f>
        <v>201706</v>
      </c>
      <c r="W72" s="480">
        <f t="shared" ref="W72" si="161">V72+1</f>
        <v>201707</v>
      </c>
      <c r="X72" s="480">
        <f t="shared" ref="X72" si="162">W72+1</f>
        <v>201708</v>
      </c>
      <c r="Y72" s="480">
        <f t="shared" ref="Y72" si="163">X72+1</f>
        <v>201709</v>
      </c>
      <c r="Z72" s="480">
        <f t="shared" ref="Z72" si="164">Y72+1</f>
        <v>201710</v>
      </c>
      <c r="AA72" s="480">
        <f t="shared" ref="AA72" si="165">Z72+1</f>
        <v>201711</v>
      </c>
      <c r="AB72" s="480">
        <f t="shared" ref="AB72" si="166">AA72+1</f>
        <v>201712</v>
      </c>
      <c r="AC72" s="480">
        <f t="shared" ref="AC72:AM72" si="167">AC3</f>
        <v>201801</v>
      </c>
      <c r="AD72" s="569">
        <f t="shared" si="167"/>
        <v>201802</v>
      </c>
      <c r="AE72" s="569">
        <f t="shared" si="167"/>
        <v>201803</v>
      </c>
      <c r="AF72" s="569">
        <f t="shared" si="167"/>
        <v>201804</v>
      </c>
      <c r="AG72" s="569">
        <f t="shared" si="167"/>
        <v>201805</v>
      </c>
      <c r="AH72" s="569">
        <f t="shared" ref="AH72:AL72" si="168">AH3</f>
        <v>201806</v>
      </c>
      <c r="AI72" s="569">
        <f t="shared" si="168"/>
        <v>201807</v>
      </c>
      <c r="AJ72" s="569">
        <f t="shared" si="168"/>
        <v>201808</v>
      </c>
      <c r="AK72" s="569">
        <f t="shared" si="168"/>
        <v>201809</v>
      </c>
      <c r="AL72" s="569">
        <f t="shared" si="168"/>
        <v>201810</v>
      </c>
      <c r="AM72" s="569">
        <f t="shared" si="167"/>
        <v>201811</v>
      </c>
      <c r="AN72" s="562"/>
      <c r="AO72" s="153" t="s">
        <v>265</v>
      </c>
      <c r="AP72" s="208">
        <v>191025</v>
      </c>
      <c r="AQ72" s="7" t="s">
        <v>280</v>
      </c>
      <c r="AR72" s="7" t="s">
        <v>281</v>
      </c>
      <c r="AS72" s="468">
        <f>IF((SUMIF(E72:AB72,AO69,E75:AB75))&gt;0,(SUMIF(E72:AB72,AO69,E75:AB75)),0)</f>
        <v>0</v>
      </c>
      <c r="AT72" s="458">
        <v>0</v>
      </c>
      <c r="AV72" s="478" t="str">
        <f>_xll.GLW_Segment_Description(AP72,2,2)</f>
        <v>WA GRC JACKSON PRAIRIE DEFERRAL</v>
      </c>
    </row>
    <row r="73" spans="1:48" hidden="1" outlineLevel="1">
      <c r="A73" s="488"/>
      <c r="B73" s="477" t="s">
        <v>250</v>
      </c>
      <c r="D73" s="478">
        <f>E73</f>
        <v>-18146.93566000001</v>
      </c>
      <c r="E73" s="478">
        <v>-18146.93566000001</v>
      </c>
      <c r="F73" s="478">
        <f t="shared" ref="F73:M73" si="169">E76</f>
        <v>-14523.147320000011</v>
      </c>
      <c r="G73" s="478">
        <f t="shared" si="169"/>
        <v>-11852.264220000012</v>
      </c>
      <c r="H73" s="478">
        <f t="shared" si="169"/>
        <v>-9512.6003600000113</v>
      </c>
      <c r="I73" s="478">
        <f t="shared" si="169"/>
        <v>-8373.7282900000118</v>
      </c>
      <c r="J73" s="478">
        <f t="shared" si="169"/>
        <v>-7543.4780600000122</v>
      </c>
      <c r="K73" s="478">
        <f t="shared" si="169"/>
        <v>-6882.1108900000127</v>
      </c>
      <c r="L73" s="478">
        <f t="shared" si="169"/>
        <v>-6303.9779800000124</v>
      </c>
      <c r="M73" s="478">
        <f t="shared" si="169"/>
        <v>-5710.3492900000119</v>
      </c>
      <c r="N73" s="478">
        <f>M76</f>
        <v>-4950.5876300000118</v>
      </c>
      <c r="O73" s="478">
        <f>N76</f>
        <v>-3439.8164200000119</v>
      </c>
      <c r="P73" s="478">
        <f>O76</f>
        <v>-4198.8164200000119</v>
      </c>
      <c r="Q73" s="478">
        <f>P76</f>
        <v>-4496.8164200000119</v>
      </c>
      <c r="R73" s="478">
        <f>Q76</f>
        <v>-3535.3396800000119</v>
      </c>
      <c r="S73" s="478">
        <f t="shared" ref="S73" si="170">R76</f>
        <v>-3274.9352500000118</v>
      </c>
      <c r="T73" s="478">
        <f t="shared" ref="T73" si="171">S76</f>
        <v>-3055.7879200000116</v>
      </c>
      <c r="U73" s="478">
        <f t="shared" ref="U73" si="172">T76</f>
        <v>-2910.8502100000114</v>
      </c>
      <c r="V73" s="478">
        <f t="shared" ref="V73" si="173">U76</f>
        <v>-2852.2313400000116</v>
      </c>
      <c r="W73" s="478">
        <f t="shared" ref="W73" si="174">V76</f>
        <v>-2802.6269400000115</v>
      </c>
      <c r="X73" s="547">
        <f t="shared" ref="X73" si="175">W76</f>
        <v>-2761.6451600000114</v>
      </c>
      <c r="Y73" s="478">
        <f t="shared" ref="Y73" si="176">X76</f>
        <v>-2719.7946200000115</v>
      </c>
      <c r="Z73" s="547">
        <f>Y76</f>
        <v>-2665.6303700000117</v>
      </c>
      <c r="AA73" s="547">
        <f>Z76</f>
        <v>-2539.7580900000116</v>
      </c>
      <c r="AB73" s="478">
        <f>AA76</f>
        <v>-8.7880900000118345</v>
      </c>
      <c r="AC73" s="478">
        <f>AA76</f>
        <v>-8.7880900000118345</v>
      </c>
      <c r="AD73" s="547">
        <f>AB76</f>
        <v>-8.7880900000118345</v>
      </c>
      <c r="AE73" s="547">
        <f>AC76</f>
        <v>-8.7880900000118345</v>
      </c>
      <c r="AF73" s="547">
        <f>AD76</f>
        <v>-8.7880900000118345</v>
      </c>
      <c r="AG73" s="547">
        <f>AB76</f>
        <v>-8.7880900000118345</v>
      </c>
      <c r="AH73" s="547">
        <f>AB76</f>
        <v>-8.7880900000118345</v>
      </c>
      <c r="AI73" s="547">
        <f>Y76</f>
        <v>-2665.6303700000117</v>
      </c>
      <c r="AJ73" s="547">
        <f t="shared" ref="AJ73:AL73" si="177">Z76</f>
        <v>-2539.7580900000116</v>
      </c>
      <c r="AK73" s="547">
        <f t="shared" si="177"/>
        <v>-8.7880900000118345</v>
      </c>
      <c r="AL73" s="547">
        <f t="shared" si="177"/>
        <v>-8.7880900000118345</v>
      </c>
      <c r="AM73" s="547">
        <f>AC76</f>
        <v>-8.7880900000118345</v>
      </c>
      <c r="AO73" s="153" t="s">
        <v>265</v>
      </c>
      <c r="AP73" s="208">
        <v>426500</v>
      </c>
      <c r="AQ73" s="7" t="s">
        <v>318</v>
      </c>
      <c r="AR73" s="7" t="s">
        <v>318</v>
      </c>
      <c r="AS73" s="468">
        <v>0</v>
      </c>
      <c r="AT73" s="458">
        <f>AS72</f>
        <v>0</v>
      </c>
      <c r="AV73" s="478" t="str">
        <f>_xll.GLW_Segment_Description(AP73,2,2)</f>
        <v>MISC INCOME DEDUCTIONS-OTHER DEDUCT</v>
      </c>
    </row>
    <row r="74" spans="1:48" ht="16.5" hidden="1" outlineLevel="1" thickBot="1">
      <c r="B74" s="477" t="s">
        <v>23</v>
      </c>
      <c r="C74" s="478">
        <f>SUM(Q74:AB74)</f>
        <v>1278.0583300000001</v>
      </c>
      <c r="D74" s="478">
        <f>SUM(E74:AB74)</f>
        <v>14928.177569999998</v>
      </c>
      <c r="E74" s="547">
        <v>3623.7883399999996</v>
      </c>
      <c r="F74" s="547">
        <v>2670.8831</v>
      </c>
      <c r="G74" s="547">
        <v>2339.6638599999997</v>
      </c>
      <c r="H74" s="547">
        <v>1138.8720699999999</v>
      </c>
      <c r="I74" s="547">
        <v>830.25022999999999</v>
      </c>
      <c r="J74" s="547">
        <v>661.36716999999987</v>
      </c>
      <c r="K74" s="547">
        <v>578.13290999999992</v>
      </c>
      <c r="L74" s="547">
        <v>593.62869000000012</v>
      </c>
      <c r="M74" s="547">
        <v>759.76165999999989</v>
      </c>
      <c r="N74" s="547">
        <v>1510.7712100000001</v>
      </c>
      <c r="O74" s="547">
        <v>-759</v>
      </c>
      <c r="P74" s="547">
        <v>-298</v>
      </c>
      <c r="Q74" s="547">
        <f>SUMPRODUCT(Q49:Q57,Q62:Q70)</f>
        <v>365.47674000000006</v>
      </c>
      <c r="R74" s="547">
        <f>SUMPRODUCT(R49:R57,R62:R70)</f>
        <v>260.40443000000005</v>
      </c>
      <c r="S74" s="547">
        <f>SUMPRODUCT(S49:S57,S62:S70)</f>
        <v>219.14733000000001</v>
      </c>
      <c r="T74" s="547">
        <f>SUMPRODUCT(T49:T57,T62:T70)</f>
        <v>144.93771000000001</v>
      </c>
      <c r="U74" s="547">
        <f t="shared" ref="U74" si="178">SUMPRODUCT(U49:U57,U62:U70)</f>
        <v>58.618870000000001</v>
      </c>
      <c r="V74" s="547">
        <f>SUMPRODUCT(V49:V57,V62:V70)</f>
        <v>49.604399999999998</v>
      </c>
      <c r="W74" s="547">
        <f>SUMPRODUCT(W49:W57,W62:W70)</f>
        <v>40.981780000000001</v>
      </c>
      <c r="X74" s="547">
        <f>SUMPRODUCT(X49:X57,X62:X70)</f>
        <v>41.850540000000009</v>
      </c>
      <c r="Y74" s="547">
        <f>SUMPRODUCT(Y49:Y57,Y62:Y70)</f>
        <v>54.164250000000003</v>
      </c>
      <c r="Z74" s="547">
        <f>SUMPRODUCT(Z49:Z57,Z62:Z70)</f>
        <v>125.87228</v>
      </c>
      <c r="AA74" s="553">
        <v>-83</v>
      </c>
      <c r="AB74" s="547">
        <v>0</v>
      </c>
      <c r="AC74" s="547">
        <v>0</v>
      </c>
      <c r="AD74" s="547">
        <v>0</v>
      </c>
      <c r="AE74" s="547">
        <v>0</v>
      </c>
      <c r="AF74" s="547">
        <v>0</v>
      </c>
      <c r="AG74" s="547">
        <v>0</v>
      </c>
      <c r="AH74" s="547">
        <v>0</v>
      </c>
      <c r="AI74" s="547">
        <v>0</v>
      </c>
      <c r="AJ74" s="547">
        <v>0</v>
      </c>
      <c r="AK74" s="547">
        <v>0</v>
      </c>
      <c r="AL74" s="547">
        <v>0</v>
      </c>
      <c r="AM74" s="547">
        <v>0</v>
      </c>
      <c r="AO74" s="595"/>
      <c r="AP74" s="524"/>
      <c r="AQ74" s="516"/>
      <c r="AR74" s="516"/>
      <c r="AS74" s="516" t="s">
        <v>159</v>
      </c>
      <c r="AT74" s="517">
        <f>SUM(AS70:AS73)-SUM(AT70:AT73)</f>
        <v>0</v>
      </c>
    </row>
    <row r="75" spans="1:48" hidden="1" outlineLevel="1">
      <c r="B75" s="477" t="s">
        <v>148</v>
      </c>
      <c r="C75" s="478">
        <f>SUM(Q75:AB75)</f>
        <v>3209.97</v>
      </c>
      <c r="D75" s="489">
        <f>SUM(E75:AB75)</f>
        <v>3209.97</v>
      </c>
      <c r="E75" s="478">
        <v>0</v>
      </c>
      <c r="F75" s="478">
        <v>0</v>
      </c>
      <c r="G75" s="478">
        <v>0</v>
      </c>
      <c r="H75" s="478">
        <v>0</v>
      </c>
      <c r="I75" s="478">
        <v>0</v>
      </c>
      <c r="J75" s="478">
        <v>0</v>
      </c>
      <c r="K75" s="478">
        <v>0</v>
      </c>
      <c r="L75" s="478">
        <v>0</v>
      </c>
      <c r="M75" s="478">
        <v>0</v>
      </c>
      <c r="N75" s="478">
        <v>0</v>
      </c>
      <c r="O75" s="478">
        <v>0</v>
      </c>
      <c r="P75" s="478">
        <v>0</v>
      </c>
      <c r="Q75" s="478">
        <f>298+298</f>
        <v>596</v>
      </c>
      <c r="R75" s="478">
        <v>0</v>
      </c>
      <c r="S75" s="478">
        <v>0</v>
      </c>
      <c r="T75" s="478">
        <v>0</v>
      </c>
      <c r="U75" s="478">
        <v>0</v>
      </c>
      <c r="V75" s="478">
        <v>0</v>
      </c>
      <c r="W75" s="478">
        <v>0</v>
      </c>
      <c r="X75" s="478">
        <v>0</v>
      </c>
      <c r="Y75" s="478">
        <v>0</v>
      </c>
      <c r="Z75" s="478">
        <v>0</v>
      </c>
      <c r="AA75" s="547">
        <v>2613.9699999999998</v>
      </c>
      <c r="AB75" s="478">
        <v>0</v>
      </c>
      <c r="AC75" s="478">
        <v>0</v>
      </c>
      <c r="AD75" s="547">
        <v>0</v>
      </c>
      <c r="AE75" s="547">
        <v>0</v>
      </c>
      <c r="AF75" s="547">
        <v>0</v>
      </c>
      <c r="AG75" s="547">
        <v>0</v>
      </c>
      <c r="AH75" s="547">
        <v>0</v>
      </c>
      <c r="AI75" s="547">
        <v>0</v>
      </c>
      <c r="AJ75" s="547">
        <v>0</v>
      </c>
      <c r="AK75" s="547">
        <v>0</v>
      </c>
      <c r="AL75" s="547">
        <v>0</v>
      </c>
      <c r="AM75" s="547">
        <v>0</v>
      </c>
    </row>
    <row r="76" spans="1:48" ht="16.5" hidden="1" outlineLevel="1" thickBot="1">
      <c r="B76" s="477" t="s">
        <v>56</v>
      </c>
      <c r="C76" s="531">
        <f>SUM(C74:C75)</f>
        <v>4488.0283300000001</v>
      </c>
      <c r="D76" s="531">
        <f>SUM(D73:D75)</f>
        <v>-8.7880900000122892</v>
      </c>
      <c r="E76" s="531">
        <v>-14523.147320000011</v>
      </c>
      <c r="F76" s="531">
        <f t="shared" ref="F76:P76" si="179">SUM(F73:F75)</f>
        <v>-11852.264220000012</v>
      </c>
      <c r="G76" s="531">
        <f t="shared" si="179"/>
        <v>-9512.6003600000113</v>
      </c>
      <c r="H76" s="531">
        <f t="shared" si="179"/>
        <v>-8373.7282900000118</v>
      </c>
      <c r="I76" s="531">
        <f t="shared" si="179"/>
        <v>-7543.4780600000122</v>
      </c>
      <c r="J76" s="531">
        <f t="shared" si="179"/>
        <v>-6882.1108900000127</v>
      </c>
      <c r="K76" s="531">
        <f t="shared" si="179"/>
        <v>-6303.9779800000124</v>
      </c>
      <c r="L76" s="531">
        <f t="shared" si="179"/>
        <v>-5710.3492900000119</v>
      </c>
      <c r="M76" s="531">
        <f t="shared" si="179"/>
        <v>-4950.5876300000118</v>
      </c>
      <c r="N76" s="531">
        <f t="shared" si="179"/>
        <v>-3439.8164200000119</v>
      </c>
      <c r="O76" s="531">
        <f t="shared" si="179"/>
        <v>-4198.8164200000119</v>
      </c>
      <c r="P76" s="531">
        <f t="shared" si="179"/>
        <v>-4496.8164200000119</v>
      </c>
      <c r="Q76" s="531">
        <f>SUM(Q73:Q75)</f>
        <v>-3535.3396800000119</v>
      </c>
      <c r="R76" s="531">
        <f>SUM(R73:R75)</f>
        <v>-3274.9352500000118</v>
      </c>
      <c r="S76" s="531">
        <f t="shared" ref="S76:AB76" si="180">SUM(S73:S75)</f>
        <v>-3055.7879200000116</v>
      </c>
      <c r="T76" s="531">
        <f t="shared" si="180"/>
        <v>-2910.8502100000114</v>
      </c>
      <c r="U76" s="531">
        <f t="shared" si="180"/>
        <v>-2852.2313400000116</v>
      </c>
      <c r="V76" s="531">
        <f t="shared" si="180"/>
        <v>-2802.6269400000115</v>
      </c>
      <c r="W76" s="531">
        <f t="shared" si="180"/>
        <v>-2761.6451600000114</v>
      </c>
      <c r="X76" s="531">
        <f t="shared" si="180"/>
        <v>-2719.7946200000115</v>
      </c>
      <c r="Y76" s="531">
        <f t="shared" si="180"/>
        <v>-2665.6303700000117</v>
      </c>
      <c r="Z76" s="531">
        <f t="shared" si="180"/>
        <v>-2539.7580900000116</v>
      </c>
      <c r="AA76" s="531">
        <f t="shared" si="180"/>
        <v>-8.7880900000118345</v>
      </c>
      <c r="AB76" s="531">
        <f t="shared" si="180"/>
        <v>-8.7880900000118345</v>
      </c>
      <c r="AC76" s="531">
        <f t="shared" ref="AC76:AD76" si="181">SUM(AC73:AC75)</f>
        <v>-8.7880900000118345</v>
      </c>
      <c r="AD76" s="588">
        <f t="shared" si="181"/>
        <v>-8.7880900000118345</v>
      </c>
      <c r="AE76" s="588">
        <f t="shared" ref="AE76" si="182">SUM(AE73:AE75)</f>
        <v>-8.7880900000118345</v>
      </c>
      <c r="AF76" s="588">
        <f>SUM(AF73:AF75)</f>
        <v>-8.7880900000118345</v>
      </c>
      <c r="AG76" s="588">
        <f t="shared" ref="AG76:AM76" si="183">SUM(AG73:AG75)</f>
        <v>-8.7880900000118345</v>
      </c>
      <c r="AH76" s="588">
        <f t="shared" ref="AH76:AL76" si="184">SUM(AH73:AH75)</f>
        <v>-8.7880900000118345</v>
      </c>
      <c r="AI76" s="588">
        <f t="shared" si="184"/>
        <v>-2665.6303700000117</v>
      </c>
      <c r="AJ76" s="588">
        <f t="shared" si="184"/>
        <v>-2539.7580900000116</v>
      </c>
      <c r="AK76" s="588">
        <f t="shared" si="184"/>
        <v>-8.7880900000118345</v>
      </c>
      <c r="AL76" s="588">
        <f t="shared" si="184"/>
        <v>-8.7880900000118345</v>
      </c>
      <c r="AM76" s="588">
        <f t="shared" si="183"/>
        <v>-8.7880900000118345</v>
      </c>
    </row>
    <row r="77" spans="1:48" hidden="1" outlineLevel="1">
      <c r="B77" s="477" t="s">
        <v>256</v>
      </c>
      <c r="D77" s="478">
        <f>_xll.Get_Balance(AB72,"YTD","USD","Total","A","","001",$A$72,"GD","WA","DL")</f>
        <v>0</v>
      </c>
      <c r="E77" s="478">
        <v>-14523.15</v>
      </c>
      <c r="F77" s="478">
        <f>_xll.Get_Balance(F72,"YTD","USD","Total","A","","001",$A$72,"GD","WA","DL")</f>
        <v>-11852.27</v>
      </c>
      <c r="G77" s="478">
        <f>_xll.Get_Balance(G72,"YTD","USD","Total","A","","001",$A$72,"GD","WA","DL")</f>
        <v>-9512.61</v>
      </c>
      <c r="H77" s="478">
        <f>_xll.Get_Balance(H72,"YTD","USD","Total","A","","001",$A$72,"GD","WA","DL")</f>
        <v>-8373.74</v>
      </c>
      <c r="I77" s="478">
        <f>_xll.Get_Balance(I72,"YTD","USD","Total","A","","001",$A$72,"GD","WA","DL")</f>
        <v>-7543.49</v>
      </c>
      <c r="J77" s="478">
        <f>_xll.Get_Balance(J72,"YTD","USD","Total","A","","001",$A$72,"GD","WA","DL")</f>
        <v>-6882.12</v>
      </c>
      <c r="K77" s="478">
        <f>_xll.Get_Balance(K72,"YTD","USD","Total","A","","001",$A$72,"GD","WA","DL")</f>
        <v>-6303.99</v>
      </c>
      <c r="L77" s="478">
        <f>_xll.Get_Balance(L72,"YTD","USD","Total","A","","001",$A$72,"GD","WA","DL")</f>
        <v>-5710.36</v>
      </c>
      <c r="M77" s="478">
        <f>_xll.Get_Balance(M72,"YTD","USD","Total","A","","001",$A$72,"GD","WA","DL")</f>
        <v>-4950.6000000000004</v>
      </c>
      <c r="N77" s="478">
        <f>_xll.Get_Balance(N72,"YTD","USD","Total","A","","001",$A$72,"GD","WA","DL")</f>
        <v>-3439.83</v>
      </c>
      <c r="O77" s="478">
        <f>_xll.Get_Balance(O72,"YTD","USD","Total","A","","001",$A$72,"GD","WA","DL")</f>
        <v>-4198.83</v>
      </c>
      <c r="P77" s="478">
        <f>_xll.Get_Balance(P72,"YTD","USD","Total","A","","001",$A$72,"GD","WA","DL")</f>
        <v>-4496.83</v>
      </c>
      <c r="Q77" s="478">
        <f>_xll.Get_Balance(Q72,"YTD","USD","Total","A","","001",$A$72,"GD","WA","DL")</f>
        <v>-3535.35</v>
      </c>
      <c r="R77" s="478">
        <f>_xll.Get_Balance(R72,"YTD","USD","Total","A","","001",$A$72,"GD","WA","DL")</f>
        <v>-3265.04</v>
      </c>
      <c r="S77" s="478">
        <f>_xll.Get_Balance(S72,"YTD","USD","Total","A","","001",$A$72,"GD","WA","DL")</f>
        <v>-3060.71</v>
      </c>
      <c r="T77" s="478">
        <f>_xll.Get_Balance(T72,"YTD","USD","Total","A","","001",$A$72,"GD","WA","DL")</f>
        <v>-2919.81</v>
      </c>
      <c r="U77" s="478">
        <f>_xll.Get_Balance(U72,"YTD","USD","Total","A","","001",$A$72,"GD","WA","DL")</f>
        <v>-2842.03</v>
      </c>
      <c r="V77" s="478">
        <f>_xll.Get_Balance(V72,"YTD","USD","Total","A","","001",$A$72,"GD","WA","DL")</f>
        <v>-2794.18</v>
      </c>
      <c r="W77" s="478">
        <f>_xll.Get_Balance(W72,"YTD","USD","Total","A","","001",$A$72,"GD","WA","DL")</f>
        <v>-2755.12</v>
      </c>
      <c r="X77" s="478">
        <f>_xll.Get_Balance(X72,"YTD","USD","Total","A","","001",$A$72,"GD","WA","DL")</f>
        <v>-2716.25</v>
      </c>
      <c r="Y77" s="478">
        <f>_xll.Get_Balance(Y72,"YTD","USD","Total","A","","001",$A$72,"GD","WA","DL")</f>
        <v>-2659.02</v>
      </c>
      <c r="Z77" s="547">
        <f>_xll.Get_Balance(Z72,"YTD","USD","Total","A","","001",$A$72,"GD","WA","DL")</f>
        <v>-2530.9899999999998</v>
      </c>
      <c r="AA77" s="478">
        <f>_xll.Get_Balance(AA72,"YTD","USD","Total","A","","001",$A$72,"GD","WA","DL")</f>
        <v>0</v>
      </c>
      <c r="AB77" s="478">
        <f>_xll.Get_Balance(AB72,"YTD","USD","Total","A","","001",$A$72,"GD","WA","DL")</f>
        <v>0</v>
      </c>
      <c r="AC77" s="478">
        <f>_xll.Get_Balance(AC72,"YTD","USD","Total","A","","001",$A$72,"GD","WA","DL")</f>
        <v>0</v>
      </c>
      <c r="AD77" s="547">
        <f>_xll.Get_Balance(AD72,"YTD","USD","Total","A","","001",$A$72,"GD","WA","DL")</f>
        <v>0</v>
      </c>
      <c r="AE77" s="547">
        <f>_xll.Get_Balance(AE72,"YTD","USD","Total","A","","001",$A$72,"GD","WA","DL")</f>
        <v>0</v>
      </c>
      <c r="AF77" s="547">
        <f>_xll.Get_Balance(AF72,"YTD","USD","Total","A","","001",$A$72,"GD","WA","DL")</f>
        <v>0</v>
      </c>
      <c r="AG77" s="547">
        <f>_xll.Get_Balance(AG72,"YTD","USD","Total","A","","001",$A$72,"GD","WA","DL")</f>
        <v>0</v>
      </c>
      <c r="AH77" s="547">
        <f>_xll.Get_Balance(AH72,"YTD","USD","Total","A","","001",$A$72,"GD","WA","DL")</f>
        <v>0</v>
      </c>
      <c r="AI77" s="547">
        <f>_xll.Get_Balance(AI72,"YTD","USD","Total","A","","001",$A$72,"GD","WA","DL")</f>
        <v>0</v>
      </c>
      <c r="AJ77" s="547">
        <f>_xll.Get_Balance(AJ72,"YTD","USD","Total","A","","001",$A$72,"GD","WA","DL")</f>
        <v>0</v>
      </c>
      <c r="AK77" s="547">
        <f>_xll.Get_Balance(AK72,"YTD","USD","Total","A","","001",$A$72,"GD","WA","DL")</f>
        <v>0</v>
      </c>
      <c r="AL77" s="547">
        <f>_xll.Get_Balance(AL72,"YTD","USD","Total","A","","001",$A$72,"GD","WA","DL")</f>
        <v>0</v>
      </c>
      <c r="AM77" s="547">
        <f>_xll.Get_Balance(AM72,"YTD","USD","Total","A","","001",$A$72,"GD","WA","DL")</f>
        <v>0</v>
      </c>
    </row>
    <row r="78" spans="1:48" hidden="1" outlineLevel="1">
      <c r="B78" s="477" t="s">
        <v>243</v>
      </c>
      <c r="E78" s="478">
        <v>2.6799999886861769E-3</v>
      </c>
      <c r="F78" s="478">
        <f t="shared" ref="F78:P78" si="185">F76-F77</f>
        <v>5.7799999885901343E-3</v>
      </c>
      <c r="G78" s="478">
        <f t="shared" si="185"/>
        <v>9.6399999893037602E-3</v>
      </c>
      <c r="H78" s="478">
        <f t="shared" si="185"/>
        <v>1.1709999987942865E-2</v>
      </c>
      <c r="I78" s="478">
        <f t="shared" si="185"/>
        <v>1.1939999987589545E-2</v>
      </c>
      <c r="J78" s="478">
        <f t="shared" si="185"/>
        <v>9.1099999872312765E-3</v>
      </c>
      <c r="K78" s="478">
        <f t="shared" si="185"/>
        <v>1.2019999987387564E-2</v>
      </c>
      <c r="L78" s="478">
        <f t="shared" si="185"/>
        <v>1.0709999987739138E-2</v>
      </c>
      <c r="M78" s="478">
        <f t="shared" si="185"/>
        <v>1.2369999988550262E-2</v>
      </c>
      <c r="N78" s="478">
        <f t="shared" si="185"/>
        <v>1.3579999987996416E-2</v>
      </c>
      <c r="O78" s="478">
        <f t="shared" si="185"/>
        <v>1.3579999987996416E-2</v>
      </c>
      <c r="P78" s="478">
        <f t="shared" si="185"/>
        <v>1.3579999987996416E-2</v>
      </c>
      <c r="Q78" s="478">
        <f>Q76-Q77</f>
        <v>1.0319999988041673E-2</v>
      </c>
      <c r="R78" s="478">
        <f t="shared" ref="R78:AB78" si="186">R76-R77</f>
        <v>-9.8952500000118562</v>
      </c>
      <c r="S78" s="478">
        <f t="shared" si="186"/>
        <v>4.9220799999884548</v>
      </c>
      <c r="T78" s="478">
        <f t="shared" si="186"/>
        <v>8.9597899999885158</v>
      </c>
      <c r="U78" s="478">
        <f t="shared" si="186"/>
        <v>-10.201340000011442</v>
      </c>
      <c r="V78" s="478">
        <f t="shared" si="186"/>
        <v>-8.4469400000116366</v>
      </c>
      <c r="W78" s="478">
        <f>W76-W77</f>
        <v>-6.5251600000115104</v>
      </c>
      <c r="X78" s="478">
        <f t="shared" si="186"/>
        <v>-3.5446200000114914</v>
      </c>
      <c r="Y78" s="478">
        <f t="shared" si="186"/>
        <v>-6.6103700000116987</v>
      </c>
      <c r="Z78" s="478">
        <f t="shared" si="186"/>
        <v>-8.7680900000118527</v>
      </c>
      <c r="AA78" s="478">
        <f t="shared" si="186"/>
        <v>-8.7880900000118345</v>
      </c>
      <c r="AB78" s="478">
        <f t="shared" si="186"/>
        <v>-8.7880900000118345</v>
      </c>
      <c r="AC78" s="478">
        <f t="shared" ref="AC78:AD78" si="187">AC76-AC77</f>
        <v>-8.7880900000118345</v>
      </c>
      <c r="AD78" s="547">
        <f t="shared" si="187"/>
        <v>-8.7880900000118345</v>
      </c>
      <c r="AE78" s="547">
        <f t="shared" ref="AE78" si="188">AE76-AE77</f>
        <v>-8.7880900000118345</v>
      </c>
      <c r="AF78" s="547">
        <f>AF76-AF77</f>
        <v>-8.7880900000118345</v>
      </c>
      <c r="AG78" s="547">
        <f t="shared" ref="AG78:AM78" si="189">AG76-AG77</f>
        <v>-8.7880900000118345</v>
      </c>
      <c r="AH78" s="547">
        <f t="shared" ref="AH78:AL78" si="190">AH76-AH77</f>
        <v>-8.7880900000118345</v>
      </c>
      <c r="AI78" s="547">
        <f t="shared" si="190"/>
        <v>-2665.6303700000117</v>
      </c>
      <c r="AJ78" s="547">
        <f t="shared" si="190"/>
        <v>-2539.7580900000116</v>
      </c>
      <c r="AK78" s="547">
        <f t="shared" si="190"/>
        <v>-8.7880900000118345</v>
      </c>
      <c r="AL78" s="547">
        <f t="shared" si="190"/>
        <v>-8.7880900000118345</v>
      </c>
      <c r="AM78" s="547">
        <f t="shared" si="189"/>
        <v>-8.7880900000118345</v>
      </c>
    </row>
    <row r="79" spans="1:48" collapsed="1"/>
    <row r="80" spans="1:48">
      <c r="A80" s="479"/>
    </row>
    <row r="81" spans="1:39">
      <c r="A81" s="479"/>
    </row>
    <row r="82" spans="1:39">
      <c r="A82" s="480"/>
      <c r="B82" s="481"/>
      <c r="C82" s="482"/>
      <c r="D82" s="482"/>
      <c r="AM82" s="569"/>
    </row>
    <row r="83" spans="1:39">
      <c r="A83" s="479"/>
      <c r="D83" s="486"/>
      <c r="AM83" s="569"/>
    </row>
    <row r="84" spans="1:39">
      <c r="A84" s="479"/>
      <c r="B84" s="553"/>
      <c r="D84" s="486"/>
      <c r="AM84" s="569"/>
    </row>
    <row r="85" spans="1:39">
      <c r="A85" s="479"/>
      <c r="D85" s="486"/>
      <c r="AM85" s="569"/>
    </row>
    <row r="86" spans="1:39">
      <c r="A86" s="479"/>
      <c r="D86" s="486"/>
      <c r="AM86" s="569"/>
    </row>
    <row r="87" spans="1:39">
      <c r="A87" s="479"/>
      <c r="B87" s="553"/>
      <c r="D87" s="486"/>
      <c r="AM87" s="569"/>
    </row>
    <row r="88" spans="1:39">
      <c r="A88" s="479"/>
      <c r="D88" s="486"/>
      <c r="AM88" s="569"/>
    </row>
    <row r="89" spans="1:39" ht="16.5" thickBot="1">
      <c r="A89" s="479"/>
      <c r="C89" s="532"/>
      <c r="D89" s="532"/>
      <c r="AM89" s="569"/>
    </row>
    <row r="90" spans="1:39" ht="16.5" thickTop="1">
      <c r="A90" s="479"/>
      <c r="C90" s="486"/>
      <c r="D90" s="486"/>
      <c r="AM90" s="569"/>
    </row>
    <row r="91" spans="1:39">
      <c r="A91" s="479"/>
      <c r="AM91" s="569"/>
    </row>
    <row r="92" spans="1:39">
      <c r="A92" s="480"/>
      <c r="B92" s="481"/>
      <c r="AM92" s="569"/>
    </row>
    <row r="93" spans="1:39">
      <c r="A93" s="479"/>
      <c r="AM93" s="569"/>
    </row>
    <row r="94" spans="1:39">
      <c r="A94" s="479"/>
      <c r="AM94" s="569"/>
    </row>
    <row r="95" spans="1:39">
      <c r="A95" s="479"/>
      <c r="AM95" s="569"/>
    </row>
    <row r="96" spans="1:39">
      <c r="A96" s="479"/>
      <c r="AM96" s="569"/>
    </row>
    <row r="97" spans="1:39">
      <c r="A97" s="479"/>
      <c r="AM97" s="569"/>
    </row>
    <row r="98" spans="1:39">
      <c r="A98" s="479"/>
      <c r="AM98" s="569"/>
    </row>
    <row r="99" spans="1:39">
      <c r="A99" s="479"/>
      <c r="AM99" s="569"/>
    </row>
    <row r="100" spans="1:39">
      <c r="A100" s="480"/>
      <c r="B100" s="481"/>
      <c r="C100" s="482"/>
      <c r="D100" s="483"/>
      <c r="AM100" s="569"/>
    </row>
    <row r="101" spans="1:39">
      <c r="A101" s="479"/>
      <c r="B101" s="481"/>
      <c r="D101" s="479"/>
      <c r="AM101" s="569"/>
    </row>
    <row r="102" spans="1:39">
      <c r="A102" s="488"/>
      <c r="AM102" s="569"/>
    </row>
    <row r="103" spans="1:39">
      <c r="D103" s="489"/>
      <c r="AM103" s="569"/>
    </row>
    <row r="104" spans="1:39">
      <c r="AM104" s="569"/>
    </row>
    <row r="105" spans="1:39">
      <c r="AM105" s="569"/>
    </row>
    <row r="106" spans="1:39">
      <c r="D106" s="489"/>
      <c r="AM106" s="569"/>
    </row>
    <row r="107" spans="1:39" ht="16.5" thickBot="1">
      <c r="C107" s="531"/>
      <c r="D107" s="531"/>
      <c r="AM107" s="569"/>
    </row>
    <row r="108" spans="1:39" ht="16.5" thickTop="1">
      <c r="AM108" s="569"/>
    </row>
    <row r="109" spans="1:39">
      <c r="AM109" s="569"/>
    </row>
    <row r="110" spans="1:39">
      <c r="AM110" s="569"/>
    </row>
    <row r="111" spans="1:39">
      <c r="AM111" s="569"/>
    </row>
    <row r="112" spans="1:39">
      <c r="AM112" s="569"/>
    </row>
  </sheetData>
  <conditionalFormatting sqref="L26:P26 E59:P59 E26:I26">
    <cfRule type="cellIs" dxfId="201" priority="67" operator="notEqual">
      <formula>E25</formula>
    </cfRule>
  </conditionalFormatting>
  <conditionalFormatting sqref="AT74 AT41 AT11">
    <cfRule type="cellIs" dxfId="200" priority="55" operator="notEqual">
      <formula>0</formula>
    </cfRule>
  </conditionalFormatting>
  <conditionalFormatting sqref="D59">
    <cfRule type="cellIs" dxfId="199" priority="51" operator="notEqual">
      <formula>D58</formula>
    </cfRule>
  </conditionalFormatting>
  <conditionalFormatting sqref="C59">
    <cfRule type="cellIs" dxfId="198" priority="50" operator="notEqual">
      <formula>C58</formula>
    </cfRule>
  </conditionalFormatting>
  <conditionalFormatting sqref="D26">
    <cfRule type="cellIs" dxfId="197" priority="49" operator="notEqual">
      <formula>D25</formula>
    </cfRule>
  </conditionalFormatting>
  <conditionalFormatting sqref="C26">
    <cfRule type="cellIs" dxfId="196" priority="48" operator="notEqual">
      <formula>C25</formula>
    </cfRule>
  </conditionalFormatting>
  <conditionalFormatting sqref="J26">
    <cfRule type="cellIs" dxfId="195" priority="33" operator="notEqual">
      <formula>J25</formula>
    </cfRule>
  </conditionalFormatting>
  <conditionalFormatting sqref="K26">
    <cfRule type="cellIs" dxfId="194" priority="32" operator="notEqual">
      <formula>K25</formula>
    </cfRule>
  </conditionalFormatting>
  <conditionalFormatting sqref="Q59:U59 Q26:U26 X26:AB26 X59:Y59 AA59:AB59">
    <cfRule type="cellIs" dxfId="193" priority="31" operator="notEqual">
      <formula>Q25</formula>
    </cfRule>
  </conditionalFormatting>
  <conditionalFormatting sqref="V26">
    <cfRule type="cellIs" dxfId="192" priority="30" operator="notEqual">
      <formula>V25</formula>
    </cfRule>
  </conditionalFormatting>
  <conditionalFormatting sqref="V59">
    <cfRule type="cellIs" dxfId="191" priority="28" operator="notEqual">
      <formula>V58</formula>
    </cfRule>
  </conditionalFormatting>
  <conditionalFormatting sqref="W26">
    <cfRule type="cellIs" dxfId="190" priority="27" operator="notEqual">
      <formula>W25</formula>
    </cfRule>
  </conditionalFormatting>
  <conditionalFormatting sqref="W59">
    <cfRule type="cellIs" dxfId="189" priority="26" operator="notEqual">
      <formula>W58</formula>
    </cfRule>
  </conditionalFormatting>
  <conditionalFormatting sqref="Z59">
    <cfRule type="cellIs" dxfId="188" priority="25" operator="notEqual">
      <formula>Z58</formula>
    </cfRule>
  </conditionalFormatting>
  <conditionalFormatting sqref="AD26 AD59">
    <cfRule type="cellIs" dxfId="187" priority="24" operator="notEqual">
      <formula>AD25</formula>
    </cfRule>
  </conditionalFormatting>
  <conditionalFormatting sqref="AN26 AN59">
    <cfRule type="cellIs" dxfId="186" priority="23" operator="notEqual">
      <formula>AN25</formula>
    </cfRule>
  </conditionalFormatting>
  <conditionalFormatting sqref="AC26">
    <cfRule type="cellIs" dxfId="185" priority="22" operator="notEqual">
      <formula>AC25</formula>
    </cfRule>
  </conditionalFormatting>
  <conditionalFormatting sqref="AC59">
    <cfRule type="cellIs" dxfId="184" priority="21" operator="notEqual">
      <formula>AC58</formula>
    </cfRule>
  </conditionalFormatting>
  <conditionalFormatting sqref="AE26 AE59">
    <cfRule type="cellIs" dxfId="183" priority="20" operator="notEqual">
      <formula>AE25</formula>
    </cfRule>
  </conditionalFormatting>
  <conditionalFormatting sqref="AT30">
    <cfRule type="cellIs" dxfId="182" priority="18" operator="notEqual">
      <formula>0</formula>
    </cfRule>
  </conditionalFormatting>
  <conditionalFormatting sqref="AF26 AF59">
    <cfRule type="cellIs" dxfId="181" priority="13" operator="notEqual">
      <formula>AF25</formula>
    </cfRule>
  </conditionalFormatting>
  <conditionalFormatting sqref="AM26 AM59">
    <cfRule type="cellIs" dxfId="180" priority="12" operator="notEqual">
      <formula>AM25</formula>
    </cfRule>
  </conditionalFormatting>
  <conditionalFormatting sqref="AG26 AG59">
    <cfRule type="cellIs" dxfId="179" priority="11" operator="notEqual">
      <formula>AG25</formula>
    </cfRule>
  </conditionalFormatting>
  <conditionalFormatting sqref="AH26 AH59">
    <cfRule type="cellIs" dxfId="178" priority="10" operator="notEqual">
      <formula>AH25</formula>
    </cfRule>
  </conditionalFormatting>
  <conditionalFormatting sqref="AJ26 AJ59:AL59 AL26">
    <cfRule type="cellIs" dxfId="177" priority="9" operator="notEqual">
      <formula>AJ25</formula>
    </cfRule>
  </conditionalFormatting>
  <conditionalFormatting sqref="AI26 AI59">
    <cfRule type="cellIs" dxfId="176" priority="8" operator="notEqual">
      <formula>AI25</formula>
    </cfRule>
  </conditionalFormatting>
  <conditionalFormatting sqref="AK26">
    <cfRule type="cellIs" dxfId="175" priority="7" operator="notEqual">
      <formula>AK25</formula>
    </cfRule>
  </conditionalFormatting>
  <conditionalFormatting sqref="D90">
    <cfRule type="cellIs" dxfId="174" priority="4" operator="notEqual">
      <formula>D89</formula>
    </cfRule>
  </conditionalFormatting>
  <conditionalFormatting sqref="C90">
    <cfRule type="cellIs" dxfId="173" priority="3" operator="notEqual">
      <formula>C89</formula>
    </cfRule>
  </conditionalFormatting>
  <pageMargins left="0" right="0" top="0.75" bottom="0.75" header="0.3" footer="0.3"/>
  <pageSetup scale="57"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H56"/>
  <sheetViews>
    <sheetView zoomScale="85" zoomScaleNormal="85" workbookViewId="0">
      <selection activeCell="U36" sqref="U36"/>
    </sheetView>
  </sheetViews>
  <sheetFormatPr defaultRowHeight="12.75"/>
  <cols>
    <col min="1" max="1" width="18.7109375" bestFit="1" customWidth="1"/>
    <col min="2" max="14" width="9.85546875" customWidth="1"/>
    <col min="16" max="16" width="2.42578125" customWidth="1"/>
    <col min="17" max="23" width="10.7109375" customWidth="1"/>
    <col min="24" max="24" width="5.7109375" customWidth="1"/>
  </cols>
  <sheetData>
    <row r="1" spans="1:34">
      <c r="C1" s="682" t="s">
        <v>191</v>
      </c>
      <c r="D1" s="682"/>
      <c r="E1" s="682"/>
      <c r="F1" s="682"/>
      <c r="G1" s="682"/>
      <c r="H1" s="682"/>
      <c r="I1" s="682"/>
      <c r="J1" s="682"/>
      <c r="K1" s="682"/>
      <c r="P1" s="684"/>
      <c r="Q1" s="684"/>
      <c r="R1" s="684"/>
      <c r="S1" s="684"/>
      <c r="T1" s="684"/>
      <c r="U1" s="684"/>
      <c r="V1" s="684"/>
      <c r="W1" s="684"/>
      <c r="X1" s="684"/>
    </row>
    <row r="2" spans="1:34" ht="23.25">
      <c r="C2" s="683" t="s">
        <v>299</v>
      </c>
      <c r="D2" s="683"/>
      <c r="E2" s="683"/>
      <c r="F2" s="683"/>
      <c r="G2" s="683"/>
      <c r="H2" s="683"/>
      <c r="I2" s="683"/>
      <c r="J2" s="683"/>
      <c r="K2" s="683"/>
      <c r="P2" s="682"/>
      <c r="Q2" s="682"/>
      <c r="R2" s="682"/>
      <c r="S2" s="682"/>
      <c r="T2" s="682"/>
      <c r="U2" s="682"/>
      <c r="V2" s="682"/>
      <c r="W2" s="682"/>
      <c r="X2" s="682"/>
      <c r="Z2" s="682"/>
      <c r="AA2" s="682"/>
      <c r="AB2" s="682"/>
      <c r="AC2" s="682"/>
      <c r="AD2" s="682"/>
      <c r="AE2" s="682"/>
      <c r="AF2" s="682"/>
      <c r="AG2" s="682"/>
      <c r="AH2" s="682"/>
    </row>
    <row r="3" spans="1:34" ht="23.25">
      <c r="C3" s="682" t="s">
        <v>193</v>
      </c>
      <c r="D3" s="682"/>
      <c r="E3" s="682"/>
      <c r="F3" s="682"/>
      <c r="G3" s="682"/>
      <c r="H3" s="682"/>
      <c r="I3" s="682"/>
      <c r="J3" s="682"/>
      <c r="K3" s="682"/>
      <c r="P3" s="683"/>
      <c r="Q3" s="683"/>
      <c r="R3" s="683"/>
      <c r="S3" s="683"/>
      <c r="T3" s="683"/>
      <c r="U3" s="683"/>
      <c r="V3" s="683"/>
      <c r="W3" s="683"/>
      <c r="X3" s="683"/>
      <c r="Z3" s="685"/>
      <c r="AA3" s="685"/>
      <c r="AB3" s="685"/>
      <c r="AC3" s="685"/>
      <c r="AD3" s="685"/>
      <c r="AE3" s="685"/>
      <c r="AF3" s="685"/>
      <c r="AG3" s="685"/>
      <c r="AH3" s="685"/>
    </row>
    <row r="4" spans="1:34">
      <c r="A4" t="s">
        <v>192</v>
      </c>
      <c r="B4" s="265">
        <v>41548</v>
      </c>
      <c r="C4" s="265">
        <f>EOMONTH(B4,1)</f>
        <v>41608</v>
      </c>
      <c r="D4" s="265">
        <f t="shared" ref="D4:N4" si="0">EOMONTH(C4,1)</f>
        <v>41639</v>
      </c>
      <c r="E4" s="265">
        <f t="shared" si="0"/>
        <v>41670</v>
      </c>
      <c r="F4" s="265">
        <f t="shared" si="0"/>
        <v>41698</v>
      </c>
      <c r="G4" s="265">
        <f t="shared" si="0"/>
        <v>41729</v>
      </c>
      <c r="H4" s="265">
        <f t="shared" si="0"/>
        <v>41759</v>
      </c>
      <c r="I4" s="265">
        <f t="shared" si="0"/>
        <v>41790</v>
      </c>
      <c r="J4" s="265">
        <f t="shared" si="0"/>
        <v>41820</v>
      </c>
      <c r="K4" s="265">
        <f t="shared" si="0"/>
        <v>41851</v>
      </c>
      <c r="L4" s="265">
        <f t="shared" si="0"/>
        <v>41882</v>
      </c>
      <c r="M4" s="265">
        <f t="shared" si="0"/>
        <v>41912</v>
      </c>
      <c r="N4" s="265">
        <f t="shared" si="0"/>
        <v>41943</v>
      </c>
      <c r="P4" s="682"/>
      <c r="Q4" s="682"/>
      <c r="R4" s="682"/>
      <c r="S4" s="682"/>
      <c r="T4" s="682"/>
      <c r="U4" s="682"/>
      <c r="V4" s="682"/>
      <c r="W4" s="682"/>
      <c r="X4" s="682"/>
      <c r="Z4" s="682"/>
      <c r="AA4" s="682"/>
      <c r="AB4" s="682"/>
      <c r="AC4" s="682"/>
      <c r="AD4" s="682"/>
      <c r="AE4" s="682"/>
      <c r="AF4" s="682"/>
      <c r="AG4" s="682"/>
    </row>
    <row r="6" spans="1:34">
      <c r="A6" s="266" t="s">
        <v>298</v>
      </c>
    </row>
    <row r="7" spans="1:34">
      <c r="A7" s="267"/>
      <c r="B7" s="268" t="str">
        <f t="shared" ref="B7:N7" si="1">TEXT(B4,"mmmmm-YY")</f>
        <v>O-13</v>
      </c>
      <c r="C7" s="268" t="str">
        <f t="shared" si="1"/>
        <v>N-13</v>
      </c>
      <c r="D7" s="540" t="str">
        <f t="shared" si="1"/>
        <v>D-13</v>
      </c>
      <c r="E7" s="268" t="str">
        <f t="shared" si="1"/>
        <v>J-14</v>
      </c>
      <c r="F7" s="268" t="str">
        <f t="shared" si="1"/>
        <v>F-14</v>
      </c>
      <c r="G7" s="540" t="str">
        <f t="shared" si="1"/>
        <v>M-14</v>
      </c>
      <c r="H7" s="540" t="str">
        <f t="shared" si="1"/>
        <v>A-14</v>
      </c>
      <c r="I7" s="540" t="str">
        <f t="shared" si="1"/>
        <v>M-14</v>
      </c>
      <c r="J7" s="540" t="str">
        <f t="shared" si="1"/>
        <v>J-14</v>
      </c>
      <c r="K7" s="540" t="str">
        <f t="shared" si="1"/>
        <v>J-14</v>
      </c>
      <c r="L7" s="540" t="str">
        <f t="shared" si="1"/>
        <v>A-14</v>
      </c>
      <c r="M7" s="540" t="str">
        <f t="shared" si="1"/>
        <v>S-14</v>
      </c>
      <c r="N7" s="540" t="str">
        <f t="shared" si="1"/>
        <v>O-14</v>
      </c>
    </row>
    <row r="8" spans="1:34">
      <c r="A8" s="539" t="s">
        <v>301</v>
      </c>
      <c r="B8" s="535">
        <f>0.33052*10</f>
        <v>3.3051999999999997</v>
      </c>
      <c r="C8" s="535">
        <v>3.6246661221178802</v>
      </c>
      <c r="D8" s="535">
        <v>3.6234780920677898</v>
      </c>
      <c r="E8" s="535">
        <f>-Jan!$H$53/Jan!$G$46*10</f>
        <v>2.1817000000000006</v>
      </c>
      <c r="F8" s="535">
        <f>-Feb!$H$53/Feb!$G$46*10</f>
        <v>1.4844931785530684</v>
      </c>
      <c r="G8" s="535">
        <f>-Mar!$H$53/Mar!$G$46*10</f>
        <v>1.6408659872789688</v>
      </c>
      <c r="H8" s="535">
        <f>-Mar!$H$53/Mar!$G$46*10</f>
        <v>1.6408659872789688</v>
      </c>
      <c r="I8" s="535">
        <f>-Mar!$H$53/Mar!$G$46*10</f>
        <v>1.6408659872789688</v>
      </c>
      <c r="J8" s="535">
        <f>-Mar!$H$53/Mar!$G$46*10</f>
        <v>1.6408659872789688</v>
      </c>
      <c r="K8" s="535">
        <f>-Mar!$H$53/Mar!$G$46*10</f>
        <v>1.6408659872789688</v>
      </c>
      <c r="L8" s="535">
        <f>-Mar!$H$53/Mar!$G$46*10</f>
        <v>1.6408659872789688</v>
      </c>
      <c r="M8" s="535">
        <f>-Mar!$H$53/Mar!$G$46*10</f>
        <v>1.6408659872789688</v>
      </c>
      <c r="N8" s="535">
        <f>-Mar!$H$53/Mar!$G$46*10</f>
        <v>1.6408659872789688</v>
      </c>
    </row>
    <row r="9" spans="1:34" s="539" customFormat="1">
      <c r="A9" t="s">
        <v>302</v>
      </c>
      <c r="B9" s="535">
        <f>N9</f>
        <v>3.5167999999999999</v>
      </c>
      <c r="C9" s="535">
        <v>3.8812999999999995</v>
      </c>
      <c r="D9" s="535">
        <v>3.6348000000000003</v>
      </c>
      <c r="E9" s="535">
        <v>3.6143999999999998</v>
      </c>
      <c r="F9" s="535">
        <v>3.6770000000000005</v>
      </c>
      <c r="G9" s="535">
        <v>3.9145000000000003</v>
      </c>
      <c r="H9" s="535">
        <v>3.3395999999999999</v>
      </c>
      <c r="I9" s="535">
        <v>3.3895</v>
      </c>
      <c r="J9" s="535">
        <v>3.3272000000000004</v>
      </c>
      <c r="K9" s="535">
        <v>3.3701999999999996</v>
      </c>
      <c r="L9" s="535">
        <v>3.3369</v>
      </c>
      <c r="M9" s="535">
        <v>3.3742000000000001</v>
      </c>
      <c r="N9" s="535">
        <v>3.5167999999999999</v>
      </c>
    </row>
    <row r="10" spans="1:34">
      <c r="A10" t="s">
        <v>300</v>
      </c>
      <c r="B10" s="535">
        <f>0.278008560641104*10</f>
        <v>2.7800856064110402</v>
      </c>
      <c r="C10" s="535">
        <v>3.4540440792083</v>
      </c>
      <c r="D10" s="535">
        <v>3.1876161555634601</v>
      </c>
      <c r="E10" s="535">
        <f>Jan!$K$14/Jan!$G$46*10</f>
        <v>1.9109764729943237</v>
      </c>
      <c r="F10" s="535">
        <f>Feb!$K$14/Feb!$G$46*10</f>
        <v>2.0607503649396444</v>
      </c>
      <c r="G10" s="535">
        <f>Mar!$K$14/Mar!$G$46*10</f>
        <v>1.7605439757226338</v>
      </c>
      <c r="H10" s="535"/>
      <c r="I10" s="535"/>
      <c r="J10" s="535"/>
      <c r="K10" s="535"/>
      <c r="L10" s="535"/>
      <c r="M10" s="535"/>
      <c r="N10" s="535"/>
    </row>
    <row r="11" spans="1:34">
      <c r="A11" s="539" t="s">
        <v>301</v>
      </c>
      <c r="B11" s="535">
        <f>0.0865086772229614*10</f>
        <v>0.86508677222961405</v>
      </c>
      <c r="C11" s="535">
        <v>0.98017103319810395</v>
      </c>
      <c r="D11" s="535">
        <v>0.99766447491792298</v>
      </c>
      <c r="E11" s="535">
        <f>(-Jan!$I$53/Jan!$G$33)*10</f>
        <v>0.92847436019644525</v>
      </c>
      <c r="F11" s="535">
        <f>-Feb!$I$53/Feb!$G$33*10</f>
        <v>0.98246968830434289</v>
      </c>
      <c r="G11" s="535">
        <f>-Mar!$I$53/Mar!$G$33*10</f>
        <v>0.90898238183410318</v>
      </c>
      <c r="H11" s="535"/>
      <c r="I11" s="535"/>
      <c r="J11" s="535"/>
      <c r="K11" s="535"/>
      <c r="L11" s="535"/>
      <c r="M11" s="535"/>
      <c r="N11" s="535"/>
    </row>
    <row r="12" spans="1:34" s="539" customFormat="1">
      <c r="A12" s="539" t="s">
        <v>302</v>
      </c>
      <c r="B12" s="535">
        <f>N12</f>
        <v>1.4529330378220591</v>
      </c>
      <c r="C12" s="535">
        <v>0.79431349782690841</v>
      </c>
      <c r="D12" s="535">
        <v>0.60296290558547094</v>
      </c>
      <c r="E12" s="535">
        <v>0.60895264158951812</v>
      </c>
      <c r="F12" s="535">
        <v>0.60656225946654285</v>
      </c>
      <c r="G12" s="535">
        <v>0.87532504655494603</v>
      </c>
      <c r="H12" s="535">
        <v>1.1232232940560019</v>
      </c>
      <c r="I12" s="535">
        <v>2.0020366178222502</v>
      </c>
      <c r="J12" s="535">
        <v>2.9050208439006555</v>
      </c>
      <c r="K12" s="535">
        <v>3.9176133126746118</v>
      </c>
      <c r="L12" s="535">
        <v>3.8752231593583324</v>
      </c>
      <c r="M12" s="535">
        <v>3.4387986026867114</v>
      </c>
      <c r="N12" s="535">
        <v>1.4529330378220591</v>
      </c>
    </row>
    <row r="13" spans="1:34">
      <c r="A13" s="539" t="s">
        <v>300</v>
      </c>
      <c r="B13" s="535">
        <f>0.102504522593617*10</f>
        <v>1.02504522593617</v>
      </c>
      <c r="C13" s="535">
        <v>0.65827334268652904</v>
      </c>
      <c r="D13" s="535">
        <v>0.51365176254981604</v>
      </c>
      <c r="E13" s="535">
        <f>(Jan!$I$14/Jan!$G$33)*10</f>
        <v>0.50045120250443931</v>
      </c>
      <c r="F13" s="535">
        <f>(Feb!$I$14/Feb!$G$33)*10</f>
        <v>0.47829937322915161</v>
      </c>
      <c r="G13" s="535">
        <f>(Mar!$I$14/Mar!$G$33)*10</f>
        <v>0.60308315586841887</v>
      </c>
      <c r="H13" s="535"/>
      <c r="I13" s="535"/>
      <c r="J13" s="535"/>
      <c r="K13" s="535"/>
      <c r="L13" s="535"/>
      <c r="M13" s="535"/>
      <c r="N13" s="535"/>
    </row>
    <row r="15" spans="1:34">
      <c r="A15" s="266" t="s">
        <v>297</v>
      </c>
    </row>
    <row r="16" spans="1:34">
      <c r="A16" s="267"/>
      <c r="B16" s="537" t="str">
        <f>TEXT(B4,"mmmmm-YY")</f>
        <v>O-13</v>
      </c>
      <c r="C16" s="538" t="str">
        <f t="shared" ref="C16:N16" si="2">TEXT(C4,"mmmmm-YY")</f>
        <v>N-13</v>
      </c>
      <c r="D16" s="268" t="str">
        <f t="shared" si="2"/>
        <v>D-13</v>
      </c>
      <c r="E16" s="268" t="str">
        <f t="shared" si="2"/>
        <v>J-14</v>
      </c>
      <c r="F16" s="268" t="str">
        <f t="shared" si="2"/>
        <v>F-14</v>
      </c>
      <c r="G16" s="268" t="str">
        <f t="shared" si="2"/>
        <v>M-14</v>
      </c>
      <c r="H16" s="268" t="str">
        <f t="shared" si="2"/>
        <v>A-14</v>
      </c>
      <c r="I16" s="268" t="str">
        <f t="shared" si="2"/>
        <v>M-14</v>
      </c>
      <c r="J16" s="268" t="str">
        <f t="shared" si="2"/>
        <v>J-14</v>
      </c>
      <c r="K16" s="268" t="str">
        <f t="shared" si="2"/>
        <v>J-14</v>
      </c>
      <c r="L16" s="268" t="str">
        <f t="shared" si="2"/>
        <v>A-14</v>
      </c>
      <c r="M16" s="268" t="str">
        <f t="shared" si="2"/>
        <v>S-14</v>
      </c>
      <c r="N16" s="268" t="str">
        <f t="shared" si="2"/>
        <v>O-14</v>
      </c>
    </row>
    <row r="17" spans="1:20">
      <c r="A17" s="539" t="s">
        <v>301</v>
      </c>
      <c r="B17" s="535">
        <v>3.7138086914005299</v>
      </c>
      <c r="C17" s="535">
        <v>3.71000032320786</v>
      </c>
      <c r="D17" s="535">
        <v>3.7124000000000001</v>
      </c>
      <c r="E17" s="535">
        <f>-Jan!$J$53/Jan!$K$44*10</f>
        <v>2.1724999999999999</v>
      </c>
      <c r="F17" s="535">
        <f>-Feb!$J$53/Feb!$K$44*10</f>
        <v>1.4722145172786092</v>
      </c>
      <c r="G17" s="535">
        <f>-Mar!$J$53/Mar!$K$44*10</f>
        <v>1.6266661960612308</v>
      </c>
      <c r="H17" s="535">
        <f>-Apr!$J$53/Apr!$K$44*10</f>
        <v>1.6235999999999997</v>
      </c>
      <c r="I17" s="535">
        <f>-May!$J$53/May!$K$44*10</f>
        <v>1.6236000000000004</v>
      </c>
      <c r="J17" s="535">
        <f>-Jun!$J$53/Jun!$K$44*10</f>
        <v>1.6236000000000002</v>
      </c>
      <c r="K17" s="535">
        <f>-Jul!$J$53/Jul!$K$44*10</f>
        <v>1.6236000000000002</v>
      </c>
      <c r="L17" s="535">
        <f>-Aug!$J$53/Aug!$K$44*10</f>
        <v>1.6236000000000002</v>
      </c>
      <c r="M17" s="535">
        <f>-Sep!$J$53/Sep!$K$44*10</f>
        <v>1.6236000000000002</v>
      </c>
      <c r="N17" s="535">
        <f>-Oct!$J$53/Oct!$K$44*10</f>
        <v>1.6236000000000002</v>
      </c>
    </row>
    <row r="18" spans="1:20" s="539" customFormat="1">
      <c r="A18" s="539" t="s">
        <v>302</v>
      </c>
      <c r="B18" s="535">
        <v>2.9957000000000003</v>
      </c>
      <c r="C18" s="535">
        <v>3.9822000000000002</v>
      </c>
      <c r="D18" s="535">
        <v>3.8203999999999998</v>
      </c>
      <c r="E18" s="535">
        <v>3.7982</v>
      </c>
      <c r="F18" s="535">
        <v>3.8423000000000003</v>
      </c>
      <c r="G18" s="535">
        <v>4.0292000000000003</v>
      </c>
      <c r="H18" s="535">
        <v>3.4569000000000001</v>
      </c>
      <c r="I18" s="535">
        <v>3.5224000000000002</v>
      </c>
      <c r="J18" s="535">
        <v>3.4592000000000001</v>
      </c>
      <c r="K18" s="535">
        <v>3.4888000000000003</v>
      </c>
      <c r="L18" s="535">
        <v>3.4600999999999997</v>
      </c>
      <c r="M18" s="535">
        <v>3.4959000000000002</v>
      </c>
      <c r="N18" s="535">
        <v>3.6281000000000003</v>
      </c>
    </row>
    <row r="19" spans="1:20">
      <c r="A19" s="539" t="s">
        <v>300</v>
      </c>
      <c r="B19" s="535">
        <v>2.76346512007138</v>
      </c>
      <c r="C19" s="535">
        <v>3.4542924833702302</v>
      </c>
      <c r="D19" s="535">
        <v>3.1868860970503601</v>
      </c>
      <c r="E19" s="535">
        <f>Jan!$L$14/Jan!$K$43*10</f>
        <v>1.9124975010616809</v>
      </c>
      <c r="F19" s="535">
        <f>Feb!$L$14/Feb!$K$43*10</f>
        <v>2.0592958211022916</v>
      </c>
      <c r="G19" s="535">
        <f>Mar!$L$14/Mar!$K$43*10</f>
        <v>1.7605908567523985</v>
      </c>
      <c r="H19" s="535">
        <f>Apr!$L$14/Apr!$K$43*10</f>
        <v>0.75256414460221688</v>
      </c>
      <c r="I19" s="535">
        <f>May!$L$14/May!$K$43*10</f>
        <v>-0.41598966812152832</v>
      </c>
      <c r="J19" s="535">
        <f>Jun!$L$14/Jun!$K$43*10</f>
        <v>-0.20363394226163323</v>
      </c>
      <c r="K19" s="535">
        <f>Jul!$L$14/Jul!$K$43*10</f>
        <v>-3.5288889202430829</v>
      </c>
      <c r="L19" s="535">
        <f>Aug!$L$14/Aug!$K$43*10</f>
        <v>-5.3246486156443691</v>
      </c>
      <c r="M19" s="535">
        <f>Sep!$L$14/Sep!$K$43*10</f>
        <v>-0.66031888397992256</v>
      </c>
      <c r="N19" s="535">
        <f>Oct!$L$14/Oct!$K$43*10</f>
        <v>-1.4101521193489974</v>
      </c>
    </row>
    <row r="20" spans="1:20">
      <c r="A20" s="539" t="s">
        <v>301</v>
      </c>
      <c r="B20" s="535">
        <v>1.0742522128918399</v>
      </c>
      <c r="C20" s="535">
        <v>1.0741263842636799</v>
      </c>
      <c r="D20" s="535">
        <v>1.0744</v>
      </c>
      <c r="E20" s="535">
        <f>-Jan!$K$53/Jan!$K$29*10</f>
        <v>1.0496999999999999</v>
      </c>
      <c r="F20" s="535">
        <f>-Feb!$K$53/Feb!$K$29*10</f>
        <v>1.1157640072436985</v>
      </c>
      <c r="G20" s="535">
        <f>-Mar!$K$53/Mar!$K$29*10</f>
        <v>1.0518903962583694</v>
      </c>
      <c r="H20" s="535">
        <f>-Apr!$K$53/Apr!$K$29*10</f>
        <v>1.0497000000000001</v>
      </c>
      <c r="I20" s="535">
        <f>-May!$K$53/May!$K$29*10</f>
        <v>1.0496999999999999</v>
      </c>
      <c r="J20" s="535">
        <f>-Jun!$K$53/Jun!$K$29*10</f>
        <v>1.0497000000000001</v>
      </c>
      <c r="K20" s="535">
        <f>-Jul!$K$53/Jul!$K$29*10</f>
        <v>1.0496999999999999</v>
      </c>
      <c r="L20" s="535">
        <f>-Aug!$K$53/Aug!$K$29*10</f>
        <v>1.0496999999999999</v>
      </c>
      <c r="M20" s="535">
        <f>-Sep!$K$53/Sep!$K$29*10</f>
        <v>1.0496999999999999</v>
      </c>
      <c r="N20" s="535">
        <f>-Oct!$K$53/Oct!$K$29*10</f>
        <v>1.0496999999999999</v>
      </c>
    </row>
    <row r="21" spans="1:20" s="539" customFormat="1">
      <c r="A21" s="539" t="s">
        <v>302</v>
      </c>
      <c r="B21" s="535">
        <v>1.2942886206113142</v>
      </c>
      <c r="C21" s="535">
        <v>0.74518730633512642</v>
      </c>
      <c r="D21" s="535">
        <v>0.58083452630008092</v>
      </c>
      <c r="E21" s="535">
        <v>0.60843027300764696</v>
      </c>
      <c r="F21" s="535">
        <v>0.68505702536755764</v>
      </c>
      <c r="G21" s="535">
        <v>0.81792088296424315</v>
      </c>
      <c r="H21" s="535">
        <v>1.0438035301560928</v>
      </c>
      <c r="I21" s="535">
        <v>1.8765356717896455</v>
      </c>
      <c r="J21" s="535">
        <v>2.5204558648798452</v>
      </c>
      <c r="K21" s="535">
        <v>3.0722913458699082</v>
      </c>
      <c r="L21" s="535">
        <v>3.0936566161461703</v>
      </c>
      <c r="M21" s="535">
        <v>2.484887676291045</v>
      </c>
      <c r="N21" s="535">
        <v>1.1747692347018237</v>
      </c>
    </row>
    <row r="22" spans="1:20">
      <c r="A22" s="539" t="s">
        <v>300</v>
      </c>
      <c r="B22" s="535">
        <v>1.2115295970631399</v>
      </c>
      <c r="C22" s="535">
        <v>0.708429666562987</v>
      </c>
      <c r="D22" s="535">
        <v>0.54697005486642902</v>
      </c>
      <c r="E22" s="535">
        <f>Jan!$J$14/Jan!$K$29*10</f>
        <v>0.60168243200814919</v>
      </c>
      <c r="F22" s="535">
        <f>Feb!$J$14/Feb!$K$29*10</f>
        <v>0.51321777211373421</v>
      </c>
      <c r="G22" s="535">
        <f>Mar!$J$14/Mar!$K$29*10</f>
        <v>0.67676667496835818</v>
      </c>
      <c r="H22" s="535">
        <f>Apr!$J$14/Apr!$K$29*10</f>
        <v>0.93274455310206039</v>
      </c>
      <c r="I22" s="535">
        <f>May!$J$14/May!$K$29*10</f>
        <v>2.4703962205892962</v>
      </c>
      <c r="J22" s="535">
        <f>Jun!$J$14/Jun!$K$29*10</f>
        <v>2.333215471348093</v>
      </c>
      <c r="K22" s="535">
        <f>Jul!$J$14/Jul!$K$29*10</f>
        <v>2.8431266705308627</v>
      </c>
      <c r="L22" s="535">
        <f>Aug!$J$14/Aug!$K$29*10</f>
        <v>3.1050693516601919</v>
      </c>
      <c r="M22" s="535">
        <f>Sep!$J$14/Sep!$K$29*10</f>
        <v>2.1567304971058898</v>
      </c>
      <c r="N22" s="535">
        <f>Oct!$J$14/Oct!$K$29*10</f>
        <v>1.0026406856583154</v>
      </c>
    </row>
    <row r="23" spans="1:20">
      <c r="C23" s="539"/>
      <c r="D23" s="539"/>
      <c r="E23" s="539"/>
      <c r="F23" s="539"/>
      <c r="G23" s="539"/>
      <c r="H23" s="539"/>
      <c r="I23" s="539"/>
      <c r="J23" s="539"/>
      <c r="K23" s="539"/>
      <c r="L23" s="539"/>
      <c r="M23" s="539"/>
      <c r="N23" s="539"/>
      <c r="S23" s="539"/>
      <c r="T23" s="539"/>
    </row>
    <row r="24" spans="1:20">
      <c r="S24" s="539"/>
      <c r="T24" s="539"/>
    </row>
    <row r="25" spans="1:20">
      <c r="S25" s="539"/>
      <c r="T25" s="539"/>
    </row>
    <row r="26" spans="1:20">
      <c r="R26" s="539"/>
      <c r="S26" s="539"/>
      <c r="T26" s="539"/>
    </row>
    <row r="27" spans="1:20">
      <c r="R27" s="539"/>
      <c r="S27" s="539"/>
      <c r="T27" s="539"/>
    </row>
    <row r="28" spans="1:20">
      <c r="R28" s="539"/>
      <c r="S28" s="539"/>
      <c r="T28" s="539"/>
    </row>
    <row r="29" spans="1:20">
      <c r="R29" s="539"/>
      <c r="S29" s="539"/>
      <c r="T29" s="539"/>
    </row>
    <row r="30" spans="1:20">
      <c r="R30" s="539"/>
      <c r="S30" s="539"/>
      <c r="T30" s="539"/>
    </row>
    <row r="31" spans="1:20">
      <c r="R31" s="539"/>
      <c r="S31" s="539"/>
      <c r="T31" s="539"/>
    </row>
    <row r="32" spans="1:20">
      <c r="R32" s="539"/>
      <c r="S32" s="539"/>
      <c r="T32" s="539"/>
    </row>
    <row r="33" spans="18:30">
      <c r="R33" s="539"/>
      <c r="S33" s="539"/>
      <c r="T33" s="539"/>
    </row>
    <row r="34" spans="18:30">
      <c r="R34" s="539"/>
      <c r="S34" s="539"/>
      <c r="T34" s="539"/>
    </row>
    <row r="35" spans="18:30">
      <c r="R35" s="539"/>
      <c r="S35" s="539"/>
      <c r="T35" s="539"/>
      <c r="U35" s="539"/>
      <c r="V35" s="539"/>
      <c r="W35" s="539"/>
      <c r="X35" s="539"/>
      <c r="Y35" s="539"/>
      <c r="Z35" s="539"/>
      <c r="AA35" s="539"/>
      <c r="AB35" s="539"/>
      <c r="AC35" s="539"/>
      <c r="AD35" s="539"/>
    </row>
    <row r="36" spans="18:30">
      <c r="R36" s="539"/>
      <c r="S36" s="539"/>
      <c r="T36" s="539"/>
      <c r="U36" s="539"/>
      <c r="V36" s="539"/>
      <c r="W36" s="539"/>
      <c r="X36" s="539"/>
      <c r="Y36" s="539"/>
      <c r="Z36" s="539"/>
      <c r="AA36" s="539"/>
      <c r="AB36" s="539"/>
      <c r="AC36" s="539"/>
      <c r="AD36" s="539"/>
    </row>
    <row r="37" spans="18:30">
      <c r="R37" s="539"/>
      <c r="S37" s="539"/>
      <c r="T37" s="539"/>
      <c r="U37" s="539"/>
      <c r="V37" s="539"/>
      <c r="W37" s="539"/>
      <c r="X37" s="539"/>
      <c r="Y37" s="539"/>
      <c r="Z37" s="539"/>
      <c r="AA37" s="539"/>
      <c r="AB37" s="539"/>
      <c r="AC37" s="539"/>
      <c r="AD37" s="539"/>
    </row>
    <row r="38" spans="18:30">
      <c r="R38" s="539"/>
      <c r="S38" s="539"/>
      <c r="T38" s="539"/>
      <c r="U38" s="539"/>
      <c r="V38" s="539"/>
      <c r="W38" s="539"/>
      <c r="X38" s="539"/>
      <c r="Y38" s="539"/>
      <c r="Z38" s="539"/>
      <c r="AA38" s="539"/>
      <c r="AB38" s="539"/>
      <c r="AC38" s="539"/>
      <c r="AD38" s="539"/>
    </row>
    <row r="39" spans="18:30">
      <c r="R39" s="539"/>
      <c r="S39" s="539"/>
      <c r="T39" s="539"/>
      <c r="U39" s="539"/>
      <c r="V39" s="539"/>
      <c r="W39" s="539"/>
      <c r="X39" s="539"/>
      <c r="Y39" s="539"/>
      <c r="Z39" s="539"/>
      <c r="AA39" s="539"/>
      <c r="AB39" s="539"/>
      <c r="AC39" s="539"/>
      <c r="AD39" s="539"/>
    </row>
    <row r="40" spans="18:30">
      <c r="R40" s="539"/>
      <c r="S40" s="539"/>
      <c r="T40" s="539"/>
      <c r="U40" s="539"/>
      <c r="V40" s="539"/>
      <c r="W40" s="539"/>
      <c r="X40" s="539"/>
      <c r="Y40" s="539"/>
      <c r="Z40" s="539"/>
      <c r="AA40" s="539"/>
      <c r="AB40" s="539"/>
      <c r="AC40" s="539"/>
      <c r="AD40" s="539"/>
    </row>
    <row r="41" spans="18:30">
      <c r="R41" s="539"/>
      <c r="S41" s="539"/>
      <c r="T41" s="539"/>
      <c r="U41" s="539"/>
      <c r="V41" s="539"/>
      <c r="W41" s="539"/>
      <c r="X41" s="539"/>
      <c r="Y41" s="539"/>
      <c r="Z41" s="539"/>
      <c r="AA41" s="539"/>
      <c r="AB41" s="539"/>
      <c r="AC41" s="539"/>
      <c r="AD41" s="539"/>
    </row>
    <row r="42" spans="18:30">
      <c r="R42" s="539"/>
      <c r="S42" s="539"/>
      <c r="T42" s="539"/>
      <c r="U42" s="539"/>
      <c r="V42" s="539"/>
      <c r="W42" s="539"/>
      <c r="X42" s="539"/>
      <c r="Y42" s="539"/>
      <c r="Z42" s="539"/>
      <c r="AA42" s="539"/>
      <c r="AB42" s="539"/>
      <c r="AC42" s="539"/>
      <c r="AD42" s="539"/>
    </row>
    <row r="43" spans="18:30" ht="15">
      <c r="S43" s="536"/>
    </row>
    <row r="44" spans="18:30" ht="15">
      <c r="S44" s="536"/>
    </row>
    <row r="45" spans="18:30" ht="15">
      <c r="S45" s="536"/>
    </row>
    <row r="46" spans="18:30" ht="15">
      <c r="S46" s="536"/>
    </row>
    <row r="47" spans="18:30" ht="15">
      <c r="S47" s="536"/>
    </row>
    <row r="48" spans="18:30" ht="15">
      <c r="S48" s="536"/>
    </row>
    <row r="56" ht="9.75" customHeight="1"/>
  </sheetData>
  <mergeCells count="10">
    <mergeCell ref="P4:X4"/>
    <mergeCell ref="Z4:AG4"/>
    <mergeCell ref="C1:K1"/>
    <mergeCell ref="P1:X1"/>
    <mergeCell ref="C2:K2"/>
    <mergeCell ref="P2:X2"/>
    <mergeCell ref="Z2:AH2"/>
    <mergeCell ref="C3:K3"/>
    <mergeCell ref="P3:X3"/>
    <mergeCell ref="Z3:AH3"/>
  </mergeCells>
  <printOptions horizontalCentered="1"/>
  <pageMargins left="0.7" right="0.7" top="0.75" bottom="0.5" header="0.3" footer="0.3"/>
  <pageSetup scale="61" orientation="landscape" r:id="rId1"/>
  <headerFooter>
    <oddFooter>&amp;L&amp;F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tabColor rgb="FF92D050"/>
    <pageSetUpPr fitToPage="1"/>
  </sheetPr>
  <dimension ref="A1:P118"/>
  <sheetViews>
    <sheetView showGridLines="0" view="pageBreakPreview" topLeftCell="A34" zoomScale="80" zoomScaleNormal="100" zoomScaleSheetLayoutView="80" workbookViewId="0">
      <selection activeCell="G51" sqref="G51:J55"/>
    </sheetView>
  </sheetViews>
  <sheetFormatPr defaultColWidth="9.140625" defaultRowHeight="15"/>
  <cols>
    <col min="1" max="1" width="13.140625" style="382" customWidth="1"/>
    <col min="2" max="2" width="9.28515625" style="382" customWidth="1"/>
    <col min="3" max="3" width="17.85546875" style="382" customWidth="1"/>
    <col min="4" max="4" width="18.42578125" style="382" customWidth="1"/>
    <col min="5" max="5" width="20.140625" style="318" bestFit="1" customWidth="1"/>
    <col min="6" max="6" width="16.140625" style="382" customWidth="1"/>
    <col min="7" max="7" width="34.5703125" style="382" bestFit="1" customWidth="1"/>
    <col min="8" max="8" width="16.85546875" style="382" customWidth="1"/>
    <col min="9" max="9" width="18.28515625" style="382" bestFit="1" customWidth="1"/>
    <col min="10" max="10" width="18.28515625" style="382" customWidth="1"/>
    <col min="11" max="11" width="3.42578125" style="382" customWidth="1"/>
    <col min="12" max="16384" width="9.140625" style="382"/>
  </cols>
  <sheetData>
    <row r="1" spans="1:10" ht="15.75">
      <c r="A1" s="51" t="s">
        <v>13</v>
      </c>
    </row>
    <row r="2" spans="1:10" ht="15.75">
      <c r="A2" s="51" t="s">
        <v>46</v>
      </c>
    </row>
    <row r="3" spans="1:10" ht="15.75">
      <c r="A3" s="51" t="s">
        <v>170</v>
      </c>
    </row>
    <row r="4" spans="1:10" ht="15.75">
      <c r="A4" s="51" t="s">
        <v>171</v>
      </c>
    </row>
    <row r="7" spans="1:10" s="383" customFormat="1" ht="16.5" thickBot="1">
      <c r="D7" s="142" t="s">
        <v>223</v>
      </c>
      <c r="E7" s="327">
        <f>'ID Holdback 191015'!C101</f>
        <v>-1565571.2499999998</v>
      </c>
    </row>
    <row r="8" spans="1:10" ht="16.5" thickTop="1" thickBot="1"/>
    <row r="9" spans="1:10" ht="15.75">
      <c r="A9" s="73" t="s">
        <v>142</v>
      </c>
      <c r="B9" s="74"/>
      <c r="C9" s="75"/>
      <c r="D9" s="76"/>
      <c r="E9" s="319"/>
      <c r="G9" s="16"/>
      <c r="H9" s="5"/>
      <c r="I9" s="56"/>
      <c r="J9" s="56"/>
    </row>
    <row r="10" spans="1:10" ht="15.75">
      <c r="A10" s="219">
        <v>41578</v>
      </c>
      <c r="B10" s="71"/>
      <c r="C10" s="16"/>
      <c r="D10" s="72" t="s">
        <v>23</v>
      </c>
      <c r="E10" s="320" t="s">
        <v>21</v>
      </c>
      <c r="G10" s="5"/>
      <c r="H10" s="5"/>
      <c r="I10" s="8"/>
      <c r="J10" s="10"/>
    </row>
    <row r="11" spans="1:10" ht="16.5" thickBot="1">
      <c r="A11" s="14"/>
      <c r="B11" s="18"/>
      <c r="C11" s="131" t="s">
        <v>21</v>
      </c>
      <c r="D11" s="131" t="s">
        <v>22</v>
      </c>
      <c r="E11" s="321" t="s">
        <v>23</v>
      </c>
      <c r="F11" s="383"/>
      <c r="G11" s="7"/>
      <c r="H11" s="7"/>
      <c r="I11" s="10"/>
      <c r="J11" s="10"/>
    </row>
    <row r="12" spans="1:10" ht="15.75">
      <c r="A12" s="2" t="s">
        <v>24</v>
      </c>
      <c r="B12" s="17">
        <v>101</v>
      </c>
      <c r="C12" s="251">
        <v>0</v>
      </c>
      <c r="D12" s="387" t="s">
        <v>187</v>
      </c>
      <c r="E12" s="322">
        <v>61399.94</v>
      </c>
      <c r="F12" s="383"/>
      <c r="G12" s="7"/>
      <c r="H12" s="7"/>
      <c r="I12" s="8"/>
      <c r="J12" s="7"/>
    </row>
    <row r="13" spans="1:10" ht="16.5" thickBot="1">
      <c r="A13" s="2" t="s">
        <v>24</v>
      </c>
      <c r="B13" s="17">
        <v>111</v>
      </c>
      <c r="C13" s="251">
        <v>0</v>
      </c>
      <c r="D13" s="387" t="s">
        <v>187</v>
      </c>
      <c r="E13" s="322">
        <v>26738.47</v>
      </c>
      <c r="F13" s="383"/>
      <c r="G13" s="146">
        <f>A10</f>
        <v>41578</v>
      </c>
      <c r="H13" s="147"/>
      <c r="I13" s="147"/>
      <c r="J13" s="147"/>
    </row>
    <row r="14" spans="1:10" ht="16.5" thickBot="1">
      <c r="A14" s="2" t="s">
        <v>24</v>
      </c>
      <c r="B14" s="17">
        <v>112</v>
      </c>
      <c r="C14" s="251"/>
      <c r="D14" s="387" t="s">
        <v>187</v>
      </c>
      <c r="E14" s="322">
        <v>367.45</v>
      </c>
      <c r="F14" s="383"/>
      <c r="G14" s="102" t="s">
        <v>25</v>
      </c>
      <c r="H14" s="148"/>
      <c r="I14" s="149" t="s">
        <v>18</v>
      </c>
      <c r="J14" s="150" t="s">
        <v>19</v>
      </c>
    </row>
    <row r="15" spans="1:10" ht="15.75">
      <c r="A15" s="2" t="s">
        <v>24</v>
      </c>
      <c r="B15" s="17">
        <v>121</v>
      </c>
      <c r="C15" s="251"/>
      <c r="D15" s="220"/>
      <c r="E15" s="322">
        <v>0</v>
      </c>
      <c r="F15" s="383"/>
      <c r="G15" s="151" t="s">
        <v>28</v>
      </c>
      <c r="H15" s="152" t="s">
        <v>77</v>
      </c>
      <c r="I15" s="108"/>
      <c r="J15" s="392">
        <f>IF(E24&gt;0,-E24,0)</f>
        <v>0</v>
      </c>
    </row>
    <row r="16" spans="1:10" ht="15.75">
      <c r="A16" s="2" t="s">
        <v>24</v>
      </c>
      <c r="B16" s="17">
        <v>122</v>
      </c>
      <c r="C16" s="252"/>
      <c r="D16" s="220"/>
      <c r="E16" s="322">
        <v>0</v>
      </c>
      <c r="F16" s="383"/>
      <c r="G16" s="153" t="s">
        <v>29</v>
      </c>
      <c r="H16" s="7" t="s">
        <v>78</v>
      </c>
      <c r="I16" s="393">
        <f>IF(E24&lt;0,-E24,0)</f>
        <v>1267.76</v>
      </c>
      <c r="J16" s="222"/>
    </row>
    <row r="17" spans="1:10" ht="15.75">
      <c r="A17" s="2" t="s">
        <v>24</v>
      </c>
      <c r="B17" s="17">
        <v>131</v>
      </c>
      <c r="C17" s="251">
        <v>0</v>
      </c>
      <c r="D17" s="387" t="s">
        <v>187</v>
      </c>
      <c r="E17" s="322">
        <v>0</v>
      </c>
      <c r="F17" s="383"/>
      <c r="G17" s="153" t="s">
        <v>99</v>
      </c>
      <c r="H17" s="7" t="s">
        <v>228</v>
      </c>
      <c r="I17" s="393">
        <f>IF((E7-E23)&gt;0,E7-E23,0)</f>
        <v>0</v>
      </c>
      <c r="J17" s="393">
        <f>IF((E7-E23)&lt;0,E7-E23,0)</f>
        <v>-88526.800000000047</v>
      </c>
    </row>
    <row r="18" spans="1:10" ht="15.75">
      <c r="A18" s="2" t="s">
        <v>24</v>
      </c>
      <c r="B18" s="17">
        <v>132</v>
      </c>
      <c r="C18" s="252"/>
      <c r="D18" s="387" t="s">
        <v>187</v>
      </c>
      <c r="E18" s="322">
        <v>20.94</v>
      </c>
      <c r="F18" s="383"/>
      <c r="G18" s="153" t="s">
        <v>10</v>
      </c>
      <c r="H18" s="7" t="s">
        <v>58</v>
      </c>
      <c r="I18" s="7"/>
      <c r="J18" s="458"/>
    </row>
    <row r="19" spans="1:10" ht="16.5" thickBot="1">
      <c r="A19" s="2" t="s">
        <v>24</v>
      </c>
      <c r="B19" s="17" t="s">
        <v>61</v>
      </c>
      <c r="C19" s="252"/>
      <c r="D19" s="121"/>
      <c r="E19" s="322">
        <v>0</v>
      </c>
      <c r="F19" s="383"/>
      <c r="G19" s="154" t="s">
        <v>100</v>
      </c>
      <c r="H19" s="147" t="s">
        <v>207</v>
      </c>
      <c r="I19" s="460">
        <f>IF((E25-E7)&gt;0,E25-E7,0)</f>
        <v>87259.040000000037</v>
      </c>
      <c r="J19" s="107">
        <f>IF((E25-E7)&lt;0,E25-E7,0)</f>
        <v>0</v>
      </c>
    </row>
    <row r="20" spans="1:10" ht="15.75">
      <c r="A20" s="2" t="s">
        <v>156</v>
      </c>
      <c r="B20" s="70"/>
      <c r="C20" s="250"/>
      <c r="D20" s="136"/>
      <c r="E20" s="325">
        <v>0</v>
      </c>
      <c r="F20" s="383"/>
      <c r="G20" s="7"/>
      <c r="H20" s="7"/>
      <c r="I20" s="8"/>
      <c r="J20" s="259">
        <f>ROUND(SUM(I15:J19),2)</f>
        <v>0</v>
      </c>
    </row>
    <row r="21" spans="1:10" ht="16.5" thickBot="1">
      <c r="B21" s="6"/>
      <c r="C21" s="253">
        <f>SUM(C12:C20)</f>
        <v>0</v>
      </c>
      <c r="D21" s="155"/>
      <c r="E21" s="324">
        <f>SUM(E12:E20)</f>
        <v>88526.8</v>
      </c>
      <c r="F21" s="383"/>
      <c r="G21" s="7"/>
      <c r="H21" s="7"/>
      <c r="I21" s="7"/>
      <c r="J21" s="7"/>
    </row>
    <row r="22" spans="1:10" ht="16.5" thickTop="1">
      <c r="B22" s="6"/>
      <c r="C22" s="254">
        <v>0</v>
      </c>
      <c r="D22" s="66" t="s">
        <v>161</v>
      </c>
      <c r="E22" s="325">
        <v>0</v>
      </c>
      <c r="F22" s="383"/>
      <c r="G22" s="65" t="s">
        <v>158</v>
      </c>
      <c r="H22" s="7"/>
      <c r="I22" s="12"/>
      <c r="J22" s="12"/>
    </row>
    <row r="23" spans="1:10" ht="15.75">
      <c r="C23" s="315">
        <f>C21-C22</f>
        <v>0</v>
      </c>
      <c r="D23" s="66" t="s">
        <v>87</v>
      </c>
      <c r="E23" s="324">
        <f>E21+E22+E7</f>
        <v>-1477044.4499999997</v>
      </c>
      <c r="F23" s="383"/>
      <c r="G23" s="8">
        <f>(E7*(D24/12))+((E21-E20)*(D24/24))</f>
        <v>-1267.7565416666666</v>
      </c>
      <c r="H23" s="7"/>
      <c r="I23" s="8"/>
      <c r="J23" s="10"/>
    </row>
    <row r="24" spans="1:10" ht="15.75">
      <c r="C24" s="50"/>
      <c r="D24" s="225">
        <v>0.01</v>
      </c>
      <c r="E24" s="326">
        <f>ROUND(((E7)+(E21-E20)/2)*(D24/12),2)</f>
        <v>-1267.76</v>
      </c>
      <c r="F24" s="383"/>
      <c r="G24" s="65"/>
      <c r="H24" s="7"/>
      <c r="I24" s="10"/>
      <c r="J24" s="10"/>
    </row>
    <row r="25" spans="1:10" ht="16.5" thickBot="1">
      <c r="A25" s="5"/>
      <c r="B25" s="5"/>
      <c r="C25" s="50" t="s">
        <v>1</v>
      </c>
      <c r="D25" s="143">
        <f>A10</f>
        <v>41578</v>
      </c>
      <c r="E25" s="327">
        <f>SUM(E23:E24)</f>
        <v>-1478312.2099999997</v>
      </c>
      <c r="F25" s="383"/>
      <c r="G25" s="7"/>
      <c r="H25" s="7"/>
      <c r="I25" s="8"/>
      <c r="J25" s="7"/>
    </row>
    <row r="26" spans="1:10" ht="16.5" thickTop="1" thickBot="1"/>
    <row r="27" spans="1:10" ht="15.75">
      <c r="A27" s="73" t="s">
        <v>142</v>
      </c>
      <c r="B27" s="74"/>
      <c r="C27" s="75"/>
      <c r="D27" s="76"/>
      <c r="E27" s="319"/>
      <c r="G27" s="16"/>
      <c r="H27" s="5"/>
      <c r="I27" s="56"/>
      <c r="J27" s="56"/>
    </row>
    <row r="28" spans="1:10" ht="15.75">
      <c r="A28" s="219">
        <v>41608</v>
      </c>
      <c r="B28" s="71"/>
      <c r="C28" s="16"/>
      <c r="D28" s="72" t="s">
        <v>23</v>
      </c>
      <c r="E28" s="320" t="s">
        <v>21</v>
      </c>
      <c r="G28" s="5"/>
      <c r="H28" s="5"/>
      <c r="I28" s="8"/>
      <c r="J28" s="10"/>
    </row>
    <row r="29" spans="1:10" ht="16.5" thickBot="1">
      <c r="A29" s="14"/>
      <c r="B29" s="18"/>
      <c r="C29" s="131" t="s">
        <v>21</v>
      </c>
      <c r="D29" s="131" t="s">
        <v>22</v>
      </c>
      <c r="E29" s="321" t="s">
        <v>23</v>
      </c>
      <c r="F29" s="383"/>
      <c r="G29" s="7"/>
      <c r="H29" s="7"/>
      <c r="I29" s="10"/>
      <c r="J29" s="10"/>
    </row>
    <row r="30" spans="1:10" ht="15.75">
      <c r="A30" s="2" t="s">
        <v>24</v>
      </c>
      <c r="B30" s="17">
        <v>101</v>
      </c>
      <c r="C30" s="251">
        <v>7085932</v>
      </c>
      <c r="D30" s="387" t="s">
        <v>187</v>
      </c>
      <c r="E30" s="322">
        <v>104530.84</v>
      </c>
      <c r="F30" s="383"/>
      <c r="G30" s="7"/>
      <c r="H30" s="7"/>
      <c r="I30" s="8"/>
      <c r="J30" s="7"/>
    </row>
    <row r="31" spans="1:10" ht="16.5" thickBot="1">
      <c r="A31" s="2" t="s">
        <v>24</v>
      </c>
      <c r="B31" s="17">
        <v>111</v>
      </c>
      <c r="C31" s="251">
        <v>2422167</v>
      </c>
      <c r="D31" s="387" t="s">
        <v>187</v>
      </c>
      <c r="E31" s="322">
        <v>35529.620000000003</v>
      </c>
      <c r="F31" s="383"/>
      <c r="G31" s="146">
        <f>A28</f>
        <v>41608</v>
      </c>
      <c r="H31" s="147"/>
      <c r="I31" s="147"/>
      <c r="J31" s="147"/>
    </row>
    <row r="32" spans="1:10" ht="16.5" thickBot="1">
      <c r="A32" s="2" t="s">
        <v>24</v>
      </c>
      <c r="B32" s="17">
        <v>112</v>
      </c>
      <c r="C32" s="251">
        <v>24496</v>
      </c>
      <c r="D32" s="387" t="s">
        <v>187</v>
      </c>
      <c r="E32" s="322">
        <v>363.03</v>
      </c>
      <c r="F32" s="383"/>
      <c r="G32" s="102" t="s">
        <v>25</v>
      </c>
      <c r="H32" s="148"/>
      <c r="I32" s="149" t="s">
        <v>18</v>
      </c>
      <c r="J32" s="150" t="s">
        <v>19</v>
      </c>
    </row>
    <row r="33" spans="1:10" ht="15.75">
      <c r="A33" s="2" t="s">
        <v>24</v>
      </c>
      <c r="B33" s="17">
        <v>121</v>
      </c>
      <c r="C33" s="251"/>
      <c r="D33" s="220"/>
      <c r="E33" s="322">
        <v>0</v>
      </c>
      <c r="F33" s="383"/>
      <c r="G33" s="151" t="s">
        <v>28</v>
      </c>
      <c r="H33" s="152" t="s">
        <v>77</v>
      </c>
      <c r="I33" s="108"/>
      <c r="J33" s="392">
        <f>IF(E42&gt;0,-E42,0)</f>
        <v>0</v>
      </c>
    </row>
    <row r="34" spans="1:10" ht="15.75">
      <c r="A34" s="2" t="s">
        <v>24</v>
      </c>
      <c r="B34" s="17">
        <v>122</v>
      </c>
      <c r="C34" s="251"/>
      <c r="D34" s="220"/>
      <c r="E34" s="322">
        <v>0</v>
      </c>
      <c r="F34" s="383"/>
      <c r="G34" s="153" t="s">
        <v>29</v>
      </c>
      <c r="H34" s="7" t="s">
        <v>78</v>
      </c>
      <c r="I34" s="393">
        <f>IF(E42&lt;0,-E42,0)</f>
        <v>1173.9403833333333</v>
      </c>
      <c r="J34" s="222"/>
    </row>
    <row r="35" spans="1:10" ht="15.75">
      <c r="A35" s="2" t="s">
        <v>24</v>
      </c>
      <c r="B35" s="17">
        <v>131</v>
      </c>
      <c r="C35" s="251">
        <v>0</v>
      </c>
      <c r="D35" s="387" t="s">
        <v>187</v>
      </c>
      <c r="E35" s="322">
        <v>0</v>
      </c>
      <c r="F35" s="383"/>
      <c r="G35" s="153" t="s">
        <v>99</v>
      </c>
      <c r="H35" s="7" t="s">
        <v>228</v>
      </c>
      <c r="I35" s="393">
        <f>IF((E25-E41)&gt;0,E25-E41,0)</f>
        <v>0</v>
      </c>
      <c r="J35" s="393">
        <f>IF((E25-E41)&lt;0,E25-E41,0)</f>
        <v>-140007.26</v>
      </c>
    </row>
    <row r="36" spans="1:10" ht="15.75">
      <c r="A36" s="2" t="s">
        <v>24</v>
      </c>
      <c r="B36" s="17">
        <v>132</v>
      </c>
      <c r="C36" s="251">
        <v>27816</v>
      </c>
      <c r="D36" s="387" t="s">
        <v>187</v>
      </c>
      <c r="E36" s="322">
        <v>412.23</v>
      </c>
      <c r="F36" s="383"/>
      <c r="G36" s="153" t="s">
        <v>10</v>
      </c>
      <c r="H36" s="7" t="s">
        <v>58</v>
      </c>
      <c r="I36" s="7"/>
      <c r="J36" s="458"/>
    </row>
    <row r="37" spans="1:10" ht="16.5" thickBot="1">
      <c r="A37" s="2" t="s">
        <v>24</v>
      </c>
      <c r="B37" s="17" t="s">
        <v>61</v>
      </c>
      <c r="C37" s="251"/>
      <c r="D37" s="121"/>
      <c r="E37" s="322">
        <v>0</v>
      </c>
      <c r="F37" s="383"/>
      <c r="G37" s="154" t="s">
        <v>100</v>
      </c>
      <c r="H37" s="147" t="s">
        <v>207</v>
      </c>
      <c r="I37" s="460">
        <f>IF((E43-E25)&gt;0,E43-E25,0)</f>
        <v>138833.31961666676</v>
      </c>
      <c r="J37" s="107">
        <f>IF((E43-E25)&lt;0,E43-E25,0)</f>
        <v>0</v>
      </c>
    </row>
    <row r="38" spans="1:10" ht="15.75">
      <c r="A38" s="2" t="s">
        <v>156</v>
      </c>
      <c r="B38" s="70"/>
      <c r="C38" s="250"/>
      <c r="D38" s="136"/>
      <c r="E38" s="325">
        <v>0</v>
      </c>
      <c r="F38" s="383"/>
      <c r="G38" s="7"/>
      <c r="H38" s="7"/>
      <c r="I38" s="8"/>
      <c r="J38" s="259">
        <f>ROUND(SUM(I33:J37),2)</f>
        <v>0</v>
      </c>
    </row>
    <row r="39" spans="1:10" ht="16.5" thickBot="1">
      <c r="B39" s="6"/>
      <c r="C39" s="253">
        <f>SUM(C30:C38)</f>
        <v>9560411</v>
      </c>
      <c r="D39" s="155"/>
      <c r="E39" s="324">
        <f>SUM(E30:E38)</f>
        <v>140835.72</v>
      </c>
      <c r="F39" s="383"/>
      <c r="G39" s="7"/>
      <c r="H39" s="7"/>
      <c r="I39" s="7"/>
      <c r="J39" s="7"/>
    </row>
    <row r="40" spans="1:10" ht="16.5" thickTop="1">
      <c r="B40" s="6"/>
      <c r="C40" s="254">
        <v>9560411</v>
      </c>
      <c r="D40" s="66" t="s">
        <v>161</v>
      </c>
      <c r="E40" s="325">
        <f>-828.46</f>
        <v>-828.46</v>
      </c>
      <c r="F40" s="383"/>
      <c r="G40" s="65" t="s">
        <v>158</v>
      </c>
      <c r="H40" s="7"/>
      <c r="I40" s="12"/>
      <c r="J40" s="12"/>
    </row>
    <row r="41" spans="1:10" ht="15.75">
      <c r="C41" s="315">
        <f>C39-C40</f>
        <v>0</v>
      </c>
      <c r="D41" s="66" t="s">
        <v>87</v>
      </c>
      <c r="E41" s="324">
        <f>E39+E40+E25</f>
        <v>-1338304.9499999997</v>
      </c>
      <c r="F41" s="383"/>
      <c r="G41" s="8">
        <f>(E25*(D42/12))+((E39-E38)*(D42/24))</f>
        <v>-1173.2452916666666</v>
      </c>
      <c r="H41" s="7"/>
      <c r="I41" s="8"/>
      <c r="J41" s="10"/>
    </row>
    <row r="42" spans="1:10" ht="15.75">
      <c r="C42" s="50"/>
      <c r="D42" s="225">
        <v>0.01</v>
      </c>
      <c r="E42" s="326">
        <f>ROUND(((E25)+(E39-E38)/2)*(D42/12),2)+(E40*0.01/12)</f>
        <v>-1173.9403833333333</v>
      </c>
      <c r="F42" s="383"/>
      <c r="G42" s="65">
        <f>E42-G41</f>
        <v>-0.69509166666671263</v>
      </c>
      <c r="H42" s="465" t="s">
        <v>229</v>
      </c>
      <c r="I42" s="10"/>
      <c r="J42" s="10"/>
    </row>
    <row r="43" spans="1:10" ht="16.5" thickBot="1">
      <c r="A43" s="5"/>
      <c r="B43" s="5"/>
      <c r="C43" s="50" t="s">
        <v>1</v>
      </c>
      <c r="D43" s="143">
        <f>A28</f>
        <v>41608</v>
      </c>
      <c r="E43" s="327">
        <f>SUM(E41:E42)</f>
        <v>-1339478.890383333</v>
      </c>
      <c r="F43" s="383"/>
      <c r="G43" s="7"/>
      <c r="H43" s="7"/>
      <c r="I43" s="8"/>
      <c r="J43" s="7"/>
    </row>
    <row r="44" spans="1:10" ht="16.5" thickTop="1" thickBot="1"/>
    <row r="45" spans="1:10" ht="15.75">
      <c r="A45" s="73" t="s">
        <v>142</v>
      </c>
      <c r="B45" s="74"/>
      <c r="C45" s="75"/>
      <c r="D45" s="76"/>
      <c r="E45" s="319"/>
      <c r="G45" s="16"/>
      <c r="H45" s="5"/>
      <c r="I45" s="56"/>
      <c r="J45" s="56"/>
    </row>
    <row r="46" spans="1:10" ht="15.75">
      <c r="A46" s="219">
        <f>EOMONTH(A28,1)</f>
        <v>41639</v>
      </c>
      <c r="B46" s="71"/>
      <c r="C46" s="16"/>
      <c r="D46" s="72" t="s">
        <v>23</v>
      </c>
      <c r="E46" s="320" t="s">
        <v>21</v>
      </c>
      <c r="G46" s="5"/>
      <c r="H46" s="5"/>
      <c r="I46" s="8"/>
      <c r="J46" s="10"/>
    </row>
    <row r="47" spans="1:10" ht="16.5" thickBot="1">
      <c r="A47" s="14"/>
      <c r="B47" s="18"/>
      <c r="C47" s="131" t="s">
        <v>21</v>
      </c>
      <c r="D47" s="131" t="s">
        <v>22</v>
      </c>
      <c r="E47" s="321" t="s">
        <v>23</v>
      </c>
      <c r="F47" s="383"/>
      <c r="G47" s="7"/>
      <c r="H47" s="7"/>
      <c r="I47" s="10"/>
      <c r="J47" s="10"/>
    </row>
    <row r="48" spans="1:10" ht="15.75">
      <c r="A48" s="2" t="s">
        <v>24</v>
      </c>
      <c r="B48" s="17">
        <v>101</v>
      </c>
      <c r="C48" s="251">
        <f>Jan!$K$36</f>
        <v>8822773</v>
      </c>
      <c r="D48" s="387">
        <v>1.482E-2</v>
      </c>
      <c r="E48" s="322">
        <f>C48*D48</f>
        <v>130753.49586</v>
      </c>
      <c r="F48" s="383"/>
      <c r="G48" s="7"/>
      <c r="H48" s="7"/>
      <c r="I48" s="8"/>
      <c r="J48" s="7"/>
    </row>
    <row r="49" spans="1:10" ht="16.5" thickBot="1">
      <c r="A49" s="2" t="s">
        <v>24</v>
      </c>
      <c r="B49" s="17">
        <v>111</v>
      </c>
      <c r="C49" s="251">
        <f>Jan!$K$37</f>
        <v>2761366</v>
      </c>
      <c r="D49" s="387">
        <v>1.482E-2</v>
      </c>
      <c r="E49" s="322">
        <f t="shared" ref="E49:E55" si="0">C49*D49</f>
        <v>40923.44412</v>
      </c>
      <c r="F49" s="383"/>
      <c r="G49" s="146">
        <f>A46</f>
        <v>41639</v>
      </c>
      <c r="H49" s="147"/>
      <c r="I49" s="147"/>
      <c r="J49" s="147"/>
    </row>
    <row r="50" spans="1:10" ht="16.5" thickBot="1">
      <c r="A50" s="2" t="s">
        <v>24</v>
      </c>
      <c r="B50" s="17">
        <v>112</v>
      </c>
      <c r="C50" s="251">
        <f>Jan!$K$38</f>
        <v>3610</v>
      </c>
      <c r="D50" s="387">
        <v>1.482E-2</v>
      </c>
      <c r="E50" s="322">
        <f t="shared" si="0"/>
        <v>53.5002</v>
      </c>
      <c r="F50" s="383"/>
      <c r="G50" s="102" t="s">
        <v>25</v>
      </c>
      <c r="H50" s="148"/>
      <c r="I50" s="149" t="s">
        <v>18</v>
      </c>
      <c r="J50" s="150" t="s">
        <v>19</v>
      </c>
    </row>
    <row r="51" spans="1:10" ht="15.75">
      <c r="A51" s="2" t="s">
        <v>24</v>
      </c>
      <c r="B51" s="17">
        <v>121</v>
      </c>
      <c r="C51" s="251">
        <f>Jan!$K$39</f>
        <v>0</v>
      </c>
      <c r="D51" s="387">
        <v>1.482E-2</v>
      </c>
      <c r="E51" s="322">
        <f t="shared" si="0"/>
        <v>0</v>
      </c>
      <c r="F51" s="383"/>
      <c r="G51" s="151" t="s">
        <v>28</v>
      </c>
      <c r="H51" s="152" t="s">
        <v>77</v>
      </c>
      <c r="I51" s="108"/>
      <c r="J51" s="392">
        <f>IF(E60&gt;0,-E60,0)</f>
        <v>0</v>
      </c>
    </row>
    <row r="52" spans="1:10" ht="15.75">
      <c r="A52" s="2" t="s">
        <v>24</v>
      </c>
      <c r="B52" s="17">
        <v>122</v>
      </c>
      <c r="C52" s="251"/>
      <c r="D52" s="220"/>
      <c r="E52" s="322">
        <f t="shared" si="0"/>
        <v>0</v>
      </c>
      <c r="F52" s="383"/>
      <c r="G52" s="153" t="s">
        <v>29</v>
      </c>
      <c r="H52" s="7" t="s">
        <v>78</v>
      </c>
      <c r="I52" s="393">
        <f>IF(E60&lt;0,-E60,0)</f>
        <v>1044.68</v>
      </c>
      <c r="J52" s="222"/>
    </row>
    <row r="53" spans="1:10" ht="15.75">
      <c r="A53" s="2" t="s">
        <v>24</v>
      </c>
      <c r="B53" s="17">
        <v>131</v>
      </c>
      <c r="C53" s="251"/>
      <c r="D53" s="387"/>
      <c r="E53" s="322">
        <f t="shared" si="0"/>
        <v>0</v>
      </c>
      <c r="F53" s="383"/>
      <c r="G53" s="153" t="s">
        <v>99</v>
      </c>
      <c r="H53" s="7" t="s">
        <v>228</v>
      </c>
      <c r="I53" s="393">
        <f>IF((E43-E59)&gt;0,E43-E59,0)</f>
        <v>0</v>
      </c>
      <c r="J53" s="393">
        <f>IF((E43-E59)&lt;0,E43-E59,0)</f>
        <v>-171730.44017999992</v>
      </c>
    </row>
    <row r="54" spans="1:10" ht="15.75">
      <c r="A54" s="2" t="s">
        <v>24</v>
      </c>
      <c r="B54" s="17">
        <v>132</v>
      </c>
      <c r="C54" s="251">
        <f>Jan!$K$42</f>
        <v>0</v>
      </c>
      <c r="D54" s="387">
        <v>1.482E-2</v>
      </c>
      <c r="E54" s="322">
        <f t="shared" si="0"/>
        <v>0</v>
      </c>
      <c r="F54" s="383"/>
      <c r="G54" s="153" t="s">
        <v>10</v>
      </c>
      <c r="H54" s="7" t="s">
        <v>58</v>
      </c>
      <c r="I54" s="7"/>
      <c r="J54" s="458"/>
    </row>
    <row r="55" spans="1:10" ht="16.5" thickBot="1">
      <c r="A55" s="2" t="s">
        <v>24</v>
      </c>
      <c r="B55" s="17" t="s">
        <v>61</v>
      </c>
      <c r="C55" s="251"/>
      <c r="D55" s="121"/>
      <c r="E55" s="322">
        <f t="shared" si="0"/>
        <v>0</v>
      </c>
      <c r="F55" s="383"/>
      <c r="G55" s="154" t="s">
        <v>100</v>
      </c>
      <c r="H55" s="147" t="s">
        <v>207</v>
      </c>
      <c r="I55" s="460">
        <f>IF((E61-E43)&gt;0,E61-E43,0)</f>
        <v>170685.76017999998</v>
      </c>
      <c r="J55" s="107">
        <f>IF((E61-E43)&lt;0,E61-E43,0)</f>
        <v>0</v>
      </c>
    </row>
    <row r="56" spans="1:10" ht="15.75">
      <c r="A56" s="2" t="s">
        <v>156</v>
      </c>
      <c r="B56" s="70"/>
      <c r="C56" s="250"/>
      <c r="D56" s="136"/>
      <c r="E56" s="325">
        <v>0</v>
      </c>
      <c r="F56" s="383"/>
      <c r="G56" s="7"/>
      <c r="H56" s="7"/>
      <c r="I56" s="8"/>
      <c r="J56" s="259">
        <f>ROUND(SUM(I51:J55),2)</f>
        <v>0</v>
      </c>
    </row>
    <row r="57" spans="1:10" ht="16.5" thickBot="1">
      <c r="B57" s="6"/>
      <c r="C57" s="253">
        <f>SUM(C48:C56)</f>
        <v>11587749</v>
      </c>
      <c r="D57" s="155"/>
      <c r="E57" s="324">
        <f>SUM(E48:E56)</f>
        <v>171730.44018000001</v>
      </c>
      <c r="F57" s="383"/>
      <c r="G57" s="7"/>
      <c r="H57" s="7"/>
      <c r="I57" s="7"/>
      <c r="J57" s="7"/>
    </row>
    <row r="58" spans="1:10" ht="16.5" thickTop="1">
      <c r="B58" s="6"/>
      <c r="C58" s="254">
        <v>13799763</v>
      </c>
      <c r="D58" s="66" t="s">
        <v>161</v>
      </c>
      <c r="E58" s="325">
        <v>0</v>
      </c>
      <c r="F58" s="383"/>
      <c r="G58" s="65" t="s">
        <v>158</v>
      </c>
      <c r="H58" s="7"/>
      <c r="I58" s="12"/>
      <c r="J58" s="12"/>
    </row>
    <row r="59" spans="1:10" ht="15.75">
      <c r="C59" s="315">
        <f>C57-C58</f>
        <v>-2212014</v>
      </c>
      <c r="D59" s="66" t="s">
        <v>87</v>
      </c>
      <c r="E59" s="324">
        <f>E57+E58+E43</f>
        <v>-1167748.4502033331</v>
      </c>
      <c r="F59" s="383"/>
      <c r="G59" s="8">
        <f>(E43*(D60/12))+((E57-E56)*(D60/24))</f>
        <v>-1044.6780585777776</v>
      </c>
      <c r="H59" s="7"/>
      <c r="I59" s="8"/>
      <c r="J59" s="10"/>
    </row>
    <row r="60" spans="1:10" ht="15.75">
      <c r="C60" s="50"/>
      <c r="D60" s="225">
        <v>0.01</v>
      </c>
      <c r="E60" s="326">
        <f>ROUND(((E43)+(E57-E56)/2)*(D60/12),2)</f>
        <v>-1044.68</v>
      </c>
      <c r="F60" s="383"/>
      <c r="G60" s="65"/>
      <c r="H60" s="465"/>
      <c r="I60" s="10"/>
      <c r="J60" s="10"/>
    </row>
    <row r="61" spans="1:10" ht="16.5" thickBot="1">
      <c r="A61" s="5"/>
      <c r="B61" s="5"/>
      <c r="C61" s="50" t="s">
        <v>1</v>
      </c>
      <c r="D61" s="143">
        <f>A46</f>
        <v>41639</v>
      </c>
      <c r="E61" s="327">
        <f>SUM(E59:E60)</f>
        <v>-1168793.130203333</v>
      </c>
      <c r="F61" s="383"/>
      <c r="G61" s="473" t="s">
        <v>244</v>
      </c>
      <c r="H61" s="474" t="e">
        <f>_xll.Get_Balance(I61,"YTD","USD","Total","A","","001","191015","GD","ID","DL")-E61</f>
        <v>#VALUE!</v>
      </c>
      <c r="I61" s="475">
        <v>201312</v>
      </c>
      <c r="J61" s="7"/>
    </row>
    <row r="62" spans="1:10" ht="15.75" thickTop="1"/>
    <row r="118" spans="16:16">
      <c r="P118" s="382">
        <f>(C106*M117)/12+((C109+C112+C113)*M117)/24</f>
        <v>0</v>
      </c>
    </row>
  </sheetData>
  <conditionalFormatting sqref="C23">
    <cfRule type="cellIs" dxfId="172" priority="45" operator="notEqual">
      <formula>0</formula>
    </cfRule>
  </conditionalFormatting>
  <conditionalFormatting sqref="J20">
    <cfRule type="cellIs" dxfId="171" priority="43" stopIfTrue="1" operator="equal">
      <formula>0</formula>
    </cfRule>
    <cfRule type="cellIs" dxfId="170" priority="44" stopIfTrue="1" operator="notEqual">
      <formula>0</formula>
    </cfRule>
  </conditionalFormatting>
  <conditionalFormatting sqref="C41">
    <cfRule type="cellIs" dxfId="169" priority="6" operator="notEqual">
      <formula>0</formula>
    </cfRule>
  </conditionalFormatting>
  <conditionalFormatting sqref="J38">
    <cfRule type="cellIs" dxfId="168" priority="4" stopIfTrue="1" operator="equal">
      <formula>0</formula>
    </cfRule>
    <cfRule type="cellIs" dxfId="167" priority="5" stopIfTrue="1" operator="notEqual">
      <formula>0</formula>
    </cfRule>
  </conditionalFormatting>
  <conditionalFormatting sqref="C59">
    <cfRule type="cellIs" dxfId="166" priority="3" operator="notEqual">
      <formula>0</formula>
    </cfRule>
  </conditionalFormatting>
  <conditionalFormatting sqref="J56">
    <cfRule type="cellIs" dxfId="165" priority="1" stopIfTrue="1" operator="equal">
      <formula>0</formula>
    </cfRule>
    <cfRule type="cellIs" dxfId="164" priority="2" stopIfTrue="1" operator="notEqual">
      <formula>0</formula>
    </cfRule>
  </conditionalFormatting>
  <printOptions gridLinesSet="0"/>
  <pageMargins left="0.5" right="0.5" top="1.04" bottom="0.5" header="0.25" footer="0.25"/>
  <pageSetup scale="53" orientation="portrait" horizontalDpi="300" verticalDpi="300" r:id="rId1"/>
  <headerFooter alignWithMargins="0">
    <oddHeader>&amp;L&amp;12Prior Period Unrecovered Gas Costs
Idaho
191000</oddHeader>
    <oddFooter>&amp;L&amp;F&amp;C&amp;A&amp;R&amp;D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2"/>
  <sheetViews>
    <sheetView zoomScale="85" zoomScaleNormal="85" workbookViewId="0">
      <selection activeCell="H2" sqref="H2"/>
    </sheetView>
  </sheetViews>
  <sheetFormatPr defaultRowHeight="12.75"/>
  <cols>
    <col min="1" max="1" width="17.5703125" bestFit="1" customWidth="1"/>
    <col min="2" max="2" width="7.28515625" bestFit="1" customWidth="1"/>
    <col min="3" max="3" width="4.85546875" bestFit="1" customWidth="1"/>
    <col min="4" max="4" width="16.7109375" bestFit="1" customWidth="1"/>
    <col min="5" max="5" width="12.28515625" bestFit="1" customWidth="1"/>
    <col min="6" max="6" width="9.28515625" bestFit="1" customWidth="1"/>
    <col min="7" max="7" width="7.140625" bestFit="1" customWidth="1"/>
    <col min="8" max="8" width="12.42578125" bestFit="1" customWidth="1"/>
    <col min="9" max="9" width="22.85546875" bestFit="1" customWidth="1"/>
    <col min="10" max="10" width="18.140625" bestFit="1" customWidth="1"/>
    <col min="11" max="11" width="12.42578125" bestFit="1" customWidth="1"/>
    <col min="12" max="12" width="23.5703125" bestFit="1" customWidth="1"/>
    <col min="13" max="13" width="40.42578125" bestFit="1" customWidth="1"/>
    <col min="15" max="15" width="12.85546875" customWidth="1"/>
  </cols>
  <sheetData>
    <row r="1" spans="1:13" ht="15">
      <c r="A1" s="497" t="s">
        <v>266</v>
      </c>
      <c r="B1" s="498" t="s">
        <v>267</v>
      </c>
      <c r="C1" s="499" t="s">
        <v>268</v>
      </c>
      <c r="D1" s="500" t="s">
        <v>269</v>
      </c>
      <c r="E1" s="499" t="s">
        <v>270</v>
      </c>
      <c r="F1" s="497" t="s">
        <v>271</v>
      </c>
      <c r="G1" s="497" t="s">
        <v>272</v>
      </c>
      <c r="H1" s="497" t="s">
        <v>273</v>
      </c>
      <c r="I1" s="497" t="s">
        <v>274</v>
      </c>
      <c r="J1" s="497" t="s">
        <v>275</v>
      </c>
      <c r="K1" s="501" t="s">
        <v>276</v>
      </c>
      <c r="L1" s="501" t="s">
        <v>277</v>
      </c>
      <c r="M1" s="499" t="s">
        <v>278</v>
      </c>
    </row>
    <row r="2" spans="1:13" ht="15">
      <c r="A2" s="502" t="s">
        <v>279</v>
      </c>
      <c r="B2" s="503"/>
      <c r="C2" s="503"/>
      <c r="D2" s="503"/>
      <c r="E2" s="503"/>
      <c r="F2" s="502">
        <v>1</v>
      </c>
      <c r="G2" s="504" t="str">
        <f>LEFT('WA - Def-Amtz (current)'!AP5,6)</f>
        <v>419600</v>
      </c>
      <c r="H2" s="504" t="str">
        <f>LEFT('WA - Def-Amtz (current)'!AQ5,6)</f>
        <v>GD</v>
      </c>
      <c r="I2" s="504" t="str">
        <f>LEFT('WA - Def-Amtz (current)'!AR5,6)</f>
        <v>WA</v>
      </c>
      <c r="J2" s="502" t="s">
        <v>282</v>
      </c>
      <c r="K2" s="505">
        <f>'WA - Def-Amtz (current)'!AS5</f>
        <v>0</v>
      </c>
      <c r="L2" s="505">
        <f>'WA - Def-Amtz (current)'!AT5</f>
        <v>0</v>
      </c>
      <c r="M2" s="525" t="str">
        <f>'WA - Def-Amtz (current)'!AO5</f>
        <v>WA Deferral Interest Income</v>
      </c>
    </row>
    <row r="3" spans="1:13" ht="15">
      <c r="A3" s="502" t="s">
        <v>279</v>
      </c>
      <c r="B3" s="503"/>
      <c r="C3" s="503"/>
      <c r="D3" s="503"/>
      <c r="E3" s="503"/>
      <c r="F3" s="502">
        <v>1</v>
      </c>
      <c r="G3" s="504" t="str">
        <f>LEFT('WA - Def-Amtz (current)'!AP6,6)</f>
        <v>431600</v>
      </c>
      <c r="H3" s="504" t="str">
        <f>LEFT('WA - Def-Amtz (current)'!AQ6,6)</f>
        <v>GD</v>
      </c>
      <c r="I3" s="504" t="str">
        <f>LEFT('WA - Def-Amtz (current)'!AR6,6)</f>
        <v>WA</v>
      </c>
      <c r="J3" s="502" t="s">
        <v>282</v>
      </c>
      <c r="K3" s="505">
        <f>'WA - Def-Amtz (current)'!AS6</f>
        <v>38292.79</v>
      </c>
      <c r="L3" s="505">
        <f>'WA - Def-Amtz (current)'!AT6</f>
        <v>0</v>
      </c>
      <c r="M3" s="525" t="str">
        <f>'WA - Def-Amtz (current)'!AO6</f>
        <v>WA Deferral Interest Expense</v>
      </c>
    </row>
    <row r="4" spans="1:13" ht="15">
      <c r="A4" s="502" t="s">
        <v>279</v>
      </c>
      <c r="B4" s="503"/>
      <c r="C4" s="503"/>
      <c r="D4" s="503"/>
      <c r="E4" s="503"/>
      <c r="F4" s="502">
        <v>1</v>
      </c>
      <c r="G4" s="504" t="str">
        <f>LEFT('WA - Def-Amtz (current)'!AP7,6)</f>
        <v>191010</v>
      </c>
      <c r="H4" s="504" t="str">
        <f>LEFT('WA - Def-Amtz (current)'!AQ7,6)</f>
        <v>GD</v>
      </c>
      <c r="I4" s="504" t="str">
        <f>LEFT('WA - Def-Amtz (current)'!AR7,6)</f>
        <v>WA</v>
      </c>
      <c r="J4" s="502" t="s">
        <v>282</v>
      </c>
      <c r="K4" s="505">
        <f>'WA - Def-Amtz (current)'!AS7</f>
        <v>0</v>
      </c>
      <c r="L4" s="505">
        <f>'WA - Def-Amtz (current)'!AT7</f>
        <v>4030611.9215600025</v>
      </c>
      <c r="M4" s="525" t="str">
        <f>'WA - Def-Amtz (current)'!AO7</f>
        <v>WA Deferral</v>
      </c>
    </row>
    <row r="5" spans="1:13" ht="15">
      <c r="A5" s="502" t="s">
        <v>279</v>
      </c>
      <c r="B5" s="503"/>
      <c r="C5" s="503"/>
      <c r="D5" s="503"/>
      <c r="E5" s="503"/>
      <c r="F5" s="502">
        <v>1</v>
      </c>
      <c r="G5" s="504" t="str">
        <f>LEFT('WA - Def-Amtz (current)'!AP8,6)</f>
        <v>805120</v>
      </c>
      <c r="H5" s="504" t="str">
        <f>LEFT('WA - Def-Amtz (current)'!AQ8,6)</f>
        <v>GD</v>
      </c>
      <c r="I5" s="504" t="str">
        <f>LEFT('WA - Def-Amtz (current)'!AR8,6)</f>
        <v>WA</v>
      </c>
      <c r="J5" s="502" t="s">
        <v>282</v>
      </c>
      <c r="K5" s="505">
        <f>'WA - Def-Amtz (current)'!AS8</f>
        <v>3992319.1315600025</v>
      </c>
      <c r="L5" s="505">
        <f>'WA - Def-Amtz (current)'!AT8</f>
        <v>0</v>
      </c>
      <c r="M5" s="525" t="str">
        <f>'WA - Def-Amtz (current)'!AO8</f>
        <v>WA Deferral Expense</v>
      </c>
    </row>
    <row r="6" spans="1:13" ht="15">
      <c r="A6" s="502" t="s">
        <v>279</v>
      </c>
      <c r="B6" s="503"/>
      <c r="C6" s="503"/>
      <c r="D6" s="503"/>
      <c r="E6" s="503"/>
      <c r="F6" s="502">
        <v>1</v>
      </c>
      <c r="G6" s="504" t="str">
        <f>LEFT('WA - Def-Amtz (current)'!AP36,6)</f>
        <v>431600</v>
      </c>
      <c r="H6" s="504" t="str">
        <f>LEFT('WA - Def-Amtz (current)'!AQ36,6)</f>
        <v>GD</v>
      </c>
      <c r="I6" s="504" t="str">
        <f>LEFT('WA - Def-Amtz (current)'!AR36,6)</f>
        <v>WA</v>
      </c>
      <c r="J6" s="502" t="s">
        <v>282</v>
      </c>
      <c r="K6" s="505">
        <f>'WA - Def-Amtz (current)'!AS36</f>
        <v>52658.465151281016</v>
      </c>
      <c r="L6" s="505">
        <f>'WA - Def-Amtz (current)'!AT36</f>
        <v>0</v>
      </c>
      <c r="M6" s="525" t="str">
        <f>'WA - Def-Amtz (current)'!AO36</f>
        <v>WA Amortization Interest Expense</v>
      </c>
    </row>
    <row r="7" spans="1:13" ht="15">
      <c r="A7" s="502" t="s">
        <v>279</v>
      </c>
      <c r="B7" s="503"/>
      <c r="C7" s="503"/>
      <c r="D7" s="503"/>
      <c r="E7" s="503"/>
      <c r="F7" s="502">
        <v>1</v>
      </c>
      <c r="G7" s="504" t="str">
        <f>LEFT('WA - Def-Amtz (current)'!AP37,6)</f>
        <v>191000</v>
      </c>
      <c r="H7" s="504" t="str">
        <f>LEFT('WA - Def-Amtz (current)'!AQ37,6)</f>
        <v>GD</v>
      </c>
      <c r="I7" s="504" t="str">
        <f>LEFT('WA - Def-Amtz (current)'!AR37,6)</f>
        <v>WA</v>
      </c>
      <c r="J7" s="502" t="s">
        <v>282</v>
      </c>
      <c r="K7" s="505">
        <f>'WA - Def-Amtz (current)'!AS37</f>
        <v>1827436.5348487189</v>
      </c>
      <c r="L7" s="505">
        <f>'WA - Def-Amtz (current)'!AT37</f>
        <v>0</v>
      </c>
      <c r="M7" s="525" t="str">
        <f>'WA - Def-Amtz (current)'!AO37</f>
        <v>WA Amortization</v>
      </c>
    </row>
    <row r="8" spans="1:13" ht="15">
      <c r="A8" s="502" t="s">
        <v>279</v>
      </c>
      <c r="B8" s="503"/>
      <c r="C8" s="503"/>
      <c r="D8" s="503"/>
      <c r="E8" s="503"/>
      <c r="F8" s="502">
        <v>1</v>
      </c>
      <c r="G8" s="504" t="str">
        <f>LEFT('WA - Def-Amtz (current)'!AP38,6)</f>
        <v>805110</v>
      </c>
      <c r="H8" s="504" t="str">
        <f>LEFT('WA - Def-Amtz (current)'!AQ38,6)</f>
        <v>GD</v>
      </c>
      <c r="I8" s="504" t="str">
        <f>LEFT('WA - Def-Amtz (current)'!AR38,6)</f>
        <v>WA</v>
      </c>
      <c r="J8" s="502" t="s">
        <v>282</v>
      </c>
      <c r="K8" s="505">
        <f>'WA - Def-Amtz (current)'!AS38</f>
        <v>0</v>
      </c>
      <c r="L8" s="505">
        <f>'WA - Def-Amtz (current)'!AT38</f>
        <v>1880095</v>
      </c>
      <c r="M8" s="525" t="str">
        <f>'WA - Def-Amtz (current)'!AO38</f>
        <v>WA Amortization Expense</v>
      </c>
    </row>
    <row r="9" spans="1:13" ht="15">
      <c r="A9" s="502" t="s">
        <v>279</v>
      </c>
      <c r="B9" s="503"/>
      <c r="C9" s="503"/>
      <c r="D9" s="503"/>
      <c r="E9" s="503"/>
      <c r="F9" s="502">
        <v>1</v>
      </c>
      <c r="G9" s="504" t="str">
        <f>LEFT('WA - Def-Amtz (current)'!AP70,6)</f>
        <v>191025</v>
      </c>
      <c r="H9" s="504" t="str">
        <f>LEFT('WA - Def-Amtz (current)'!AQ70,6)</f>
        <v>GD</v>
      </c>
      <c r="I9" s="504" t="str">
        <f>LEFT('WA - Def-Amtz (current)'!AR70,6)</f>
        <v>WA</v>
      </c>
      <c r="J9" s="502" t="s">
        <v>282</v>
      </c>
      <c r="K9" s="505">
        <f>'WA - Def-Amtz (current)'!AS70</f>
        <v>0</v>
      </c>
      <c r="L9" s="505">
        <f>'WA - Def-Amtz (current)'!AT70</f>
        <v>0</v>
      </c>
      <c r="M9" s="525" t="str">
        <f>'WA - Def-Amtz (current)'!AO70</f>
        <v>WA Amortization JP</v>
      </c>
    </row>
    <row r="10" spans="1:13" ht="15">
      <c r="A10" s="502" t="s">
        <v>279</v>
      </c>
      <c r="B10" s="503"/>
      <c r="C10" s="503"/>
      <c r="D10" s="503"/>
      <c r="E10" s="503"/>
      <c r="F10" s="502">
        <v>1</v>
      </c>
      <c r="G10" s="504" t="str">
        <f>LEFT('WA - Def-Amtz (current)'!AP71,6)</f>
        <v>805110</v>
      </c>
      <c r="H10" s="504" t="str">
        <f>LEFT('WA - Def-Amtz (current)'!AQ71,6)</f>
        <v>GD</v>
      </c>
      <c r="I10" s="504" t="str">
        <f>LEFT('WA - Def-Amtz (current)'!AR71,6)</f>
        <v>WA</v>
      </c>
      <c r="J10" s="502" t="s">
        <v>282</v>
      </c>
      <c r="K10" s="505">
        <f>'WA - Def-Amtz (current)'!AS71</f>
        <v>0</v>
      </c>
      <c r="L10" s="505">
        <f>'WA - Def-Amtz (current)'!AT71</f>
        <v>0</v>
      </c>
      <c r="M10" s="525" t="str">
        <f>'WA - Def-Amtz (current)'!AO71</f>
        <v>WA Amortization Expense JP</v>
      </c>
    </row>
    <row r="11" spans="1:13" ht="15">
      <c r="A11" s="502"/>
      <c r="B11" s="503"/>
      <c r="C11" s="503"/>
      <c r="D11" s="503"/>
      <c r="E11" s="503"/>
      <c r="F11" s="502"/>
      <c r="G11" s="504"/>
      <c r="H11" s="504"/>
      <c r="I11" s="504"/>
      <c r="J11" s="502"/>
      <c r="K11" s="505"/>
      <c r="L11" s="505"/>
      <c r="M11" s="525"/>
    </row>
    <row r="12" spans="1:13" ht="15">
      <c r="A12" s="502"/>
      <c r="B12" s="503"/>
      <c r="C12" s="503"/>
      <c r="D12" s="503"/>
      <c r="E12" s="503"/>
      <c r="F12" s="502"/>
      <c r="G12" s="504"/>
      <c r="H12" s="504"/>
      <c r="I12" s="504"/>
      <c r="J12" s="502"/>
      <c r="K12" s="505"/>
      <c r="L12" s="505"/>
      <c r="M12" s="525"/>
    </row>
    <row r="13" spans="1:13" ht="15">
      <c r="A13" s="502" t="s">
        <v>279</v>
      </c>
      <c r="B13" s="503"/>
      <c r="C13" s="503"/>
      <c r="D13" s="503"/>
      <c r="E13" s="503"/>
      <c r="F13" s="502">
        <v>1</v>
      </c>
      <c r="G13" s="504" t="e">
        <f>LEFT(#REF!,6)</f>
        <v>#REF!</v>
      </c>
      <c r="H13" s="504" t="e">
        <f>LEFT(#REF!,6)</f>
        <v>#REF!</v>
      </c>
      <c r="I13" s="504" t="e">
        <f>LEFT(#REF!,6)</f>
        <v>#REF!</v>
      </c>
      <c r="J13" s="502" t="s">
        <v>282</v>
      </c>
      <c r="K13" s="505" t="e">
        <f>#REF!</f>
        <v>#REF!</v>
      </c>
      <c r="L13" s="505" t="e">
        <f>#REF!</f>
        <v>#REF!</v>
      </c>
      <c r="M13" s="525" t="e">
        <f>#REF!</f>
        <v>#REF!</v>
      </c>
    </row>
    <row r="14" spans="1:13" ht="15">
      <c r="A14" s="502" t="s">
        <v>279</v>
      </c>
      <c r="B14" s="503"/>
      <c r="C14" s="503"/>
      <c r="D14" s="503"/>
      <c r="E14" s="503"/>
      <c r="F14" s="502">
        <v>1</v>
      </c>
      <c r="G14" s="504" t="e">
        <f>LEFT(#REF!,6)</f>
        <v>#REF!</v>
      </c>
      <c r="H14" s="504" t="e">
        <f>LEFT(#REF!,6)</f>
        <v>#REF!</v>
      </c>
      <c r="I14" s="504" t="e">
        <f>LEFT(#REF!,6)</f>
        <v>#REF!</v>
      </c>
      <c r="J14" s="502" t="s">
        <v>282</v>
      </c>
      <c r="K14" s="505" t="e">
        <f>#REF!</f>
        <v>#REF!</v>
      </c>
      <c r="L14" s="505" t="e">
        <f>#REF!</f>
        <v>#REF!</v>
      </c>
      <c r="M14" s="525" t="e">
        <f>#REF!</f>
        <v>#REF!</v>
      </c>
    </row>
    <row r="15" spans="1:13" ht="15">
      <c r="A15" s="502" t="s">
        <v>279</v>
      </c>
      <c r="B15" s="503"/>
      <c r="C15" s="503"/>
      <c r="D15" s="503"/>
      <c r="E15" s="503"/>
      <c r="F15" s="502">
        <v>1</v>
      </c>
      <c r="G15" s="504" t="e">
        <f>LEFT(#REF!,6)</f>
        <v>#REF!</v>
      </c>
      <c r="H15" s="504" t="e">
        <f>LEFT(#REF!,6)</f>
        <v>#REF!</v>
      </c>
      <c r="I15" s="504" t="e">
        <f>LEFT(#REF!,6)</f>
        <v>#REF!</v>
      </c>
      <c r="J15" s="502" t="s">
        <v>282</v>
      </c>
      <c r="K15" s="505" t="e">
        <f>#REF!</f>
        <v>#REF!</v>
      </c>
      <c r="L15" s="505" t="e">
        <f>#REF!</f>
        <v>#REF!</v>
      </c>
      <c r="M15" s="525" t="e">
        <f>#REF!</f>
        <v>#REF!</v>
      </c>
    </row>
    <row r="16" spans="1:13" ht="15">
      <c r="A16" s="502" t="s">
        <v>279</v>
      </c>
      <c r="B16" s="503"/>
      <c r="C16" s="503"/>
      <c r="D16" s="503"/>
      <c r="E16" s="503"/>
      <c r="F16" s="502">
        <v>1</v>
      </c>
      <c r="G16" s="504" t="e">
        <f>LEFT(#REF!,6)</f>
        <v>#REF!</v>
      </c>
      <c r="H16" s="504" t="e">
        <f>LEFT(#REF!,6)</f>
        <v>#REF!</v>
      </c>
      <c r="I16" s="504" t="e">
        <f>LEFT(#REF!,6)</f>
        <v>#REF!</v>
      </c>
      <c r="J16" s="502" t="s">
        <v>282</v>
      </c>
      <c r="K16" s="505" t="e">
        <f>#REF!</f>
        <v>#REF!</v>
      </c>
      <c r="L16" s="505" t="e">
        <f>#REF!</f>
        <v>#REF!</v>
      </c>
      <c r="M16" s="525" t="e">
        <f>#REF!</f>
        <v>#REF!</v>
      </c>
    </row>
    <row r="17" spans="1:13" ht="15">
      <c r="A17" s="502" t="s">
        <v>279</v>
      </c>
      <c r="B17" s="503"/>
      <c r="C17" s="503"/>
      <c r="D17" s="503"/>
      <c r="E17" s="503"/>
      <c r="F17" s="502">
        <v>1</v>
      </c>
      <c r="G17" s="504" t="e">
        <f>LEFT(#REF!,6)</f>
        <v>#REF!</v>
      </c>
      <c r="H17" s="504" t="e">
        <f>LEFT(#REF!,6)</f>
        <v>#REF!</v>
      </c>
      <c r="I17" s="504" t="e">
        <f>LEFT(#REF!,6)</f>
        <v>#REF!</v>
      </c>
      <c r="J17" s="502" t="s">
        <v>282</v>
      </c>
      <c r="K17" s="505" t="e">
        <f>#REF!</f>
        <v>#REF!</v>
      </c>
      <c r="L17" s="505" t="e">
        <f>#REF!</f>
        <v>#REF!</v>
      </c>
      <c r="M17" s="525" t="e">
        <f>#REF!</f>
        <v>#REF!</v>
      </c>
    </row>
    <row r="18" spans="1:13" ht="15">
      <c r="A18" s="502" t="s">
        <v>279</v>
      </c>
      <c r="B18" s="503"/>
      <c r="C18" s="503"/>
      <c r="D18" s="503"/>
      <c r="E18" s="503"/>
      <c r="F18" s="502">
        <v>1</v>
      </c>
      <c r="G18" s="504" t="e">
        <f>LEFT(#REF!,6)</f>
        <v>#REF!</v>
      </c>
      <c r="H18" s="504" t="e">
        <f>LEFT(#REF!,6)</f>
        <v>#REF!</v>
      </c>
      <c r="I18" s="504" t="e">
        <f>LEFT(#REF!,6)</f>
        <v>#REF!</v>
      </c>
      <c r="J18" s="502" t="s">
        <v>282</v>
      </c>
      <c r="K18" s="505" t="e">
        <f>#REF!</f>
        <v>#REF!</v>
      </c>
      <c r="L18" s="505" t="e">
        <f>#REF!</f>
        <v>#REF!</v>
      </c>
      <c r="M18" s="525" t="e">
        <f>#REF!</f>
        <v>#REF!</v>
      </c>
    </row>
    <row r="19" spans="1:13" ht="15">
      <c r="A19" s="502" t="s">
        <v>279</v>
      </c>
      <c r="B19" s="503"/>
      <c r="C19" s="503"/>
      <c r="D19" s="503"/>
      <c r="E19" s="503"/>
      <c r="F19" s="502">
        <v>1</v>
      </c>
      <c r="G19" s="504" t="e">
        <f>LEFT(#REF!,6)</f>
        <v>#REF!</v>
      </c>
      <c r="H19" s="504" t="e">
        <f>LEFT(#REF!,6)</f>
        <v>#REF!</v>
      </c>
      <c r="I19" s="504" t="e">
        <f>LEFT(#REF!,6)</f>
        <v>#REF!</v>
      </c>
      <c r="J19" s="502" t="s">
        <v>282</v>
      </c>
      <c r="K19" s="505" t="e">
        <f>#REF!</f>
        <v>#REF!</v>
      </c>
      <c r="L19" s="505" t="e">
        <f>#REF!</f>
        <v>#REF!</v>
      </c>
      <c r="M19" s="525" t="e">
        <f>#REF!</f>
        <v>#REF!</v>
      </c>
    </row>
    <row r="20" spans="1:13" ht="15">
      <c r="A20" s="502" t="s">
        <v>279</v>
      </c>
      <c r="B20" s="503"/>
      <c r="C20" s="503"/>
      <c r="D20" s="503"/>
      <c r="E20" s="503"/>
      <c r="F20" s="502">
        <v>1</v>
      </c>
      <c r="G20" s="504" t="e">
        <f>LEFT(#REF!,6)</f>
        <v>#REF!</v>
      </c>
      <c r="H20" s="504" t="e">
        <f>LEFT(#REF!,6)</f>
        <v>#REF!</v>
      </c>
      <c r="I20" s="504" t="e">
        <f>LEFT(#REF!,6)</f>
        <v>#REF!</v>
      </c>
      <c r="J20" s="502" t="s">
        <v>282</v>
      </c>
      <c r="K20" s="505" t="e">
        <f>#REF!</f>
        <v>#REF!</v>
      </c>
      <c r="L20" s="505" t="e">
        <f>#REF!</f>
        <v>#REF!</v>
      </c>
      <c r="M20" s="525" t="e">
        <f>#REF!</f>
        <v>#REF!</v>
      </c>
    </row>
    <row r="21" spans="1:13" ht="15">
      <c r="A21" s="502"/>
      <c r="B21" s="503"/>
      <c r="C21" s="503"/>
      <c r="D21" s="503"/>
      <c r="E21" s="503"/>
      <c r="F21" s="502"/>
      <c r="G21" s="504"/>
      <c r="H21" s="504"/>
      <c r="I21" s="504"/>
      <c r="J21" s="502"/>
      <c r="K21" s="505"/>
      <c r="L21" s="505"/>
      <c r="M21" s="525"/>
    </row>
    <row r="22" spans="1:13" ht="15">
      <c r="A22" s="502"/>
      <c r="B22" s="503"/>
      <c r="C22" s="503"/>
      <c r="D22" s="503"/>
      <c r="E22" s="503"/>
      <c r="F22" s="502"/>
      <c r="G22" s="504"/>
      <c r="H22" s="504"/>
      <c r="I22" s="504"/>
      <c r="J22" s="502"/>
      <c r="K22" s="505"/>
      <c r="L22" s="505"/>
      <c r="M22" s="525"/>
    </row>
    <row r="23" spans="1:13" s="539" customFormat="1" ht="15">
      <c r="A23" s="502"/>
      <c r="B23" s="503"/>
      <c r="C23" s="503"/>
      <c r="D23" s="503"/>
      <c r="E23" s="503"/>
      <c r="F23" s="502"/>
      <c r="G23" s="504"/>
      <c r="H23" s="504"/>
      <c r="I23" s="504"/>
      <c r="J23" s="502"/>
      <c r="K23" s="505"/>
      <c r="L23" s="505"/>
      <c r="M23" s="546"/>
    </row>
    <row r="24" spans="1:13" s="539" customFormat="1" ht="15">
      <c r="A24" s="502"/>
      <c r="B24" s="503"/>
      <c r="C24" s="503"/>
      <c r="D24" s="503"/>
      <c r="E24" s="503"/>
      <c r="F24" s="502"/>
      <c r="G24" s="504"/>
      <c r="H24" s="504"/>
      <c r="I24" s="504"/>
      <c r="J24" s="502"/>
      <c r="K24" s="505"/>
      <c r="L24" s="505"/>
      <c r="M24" s="546"/>
    </row>
    <row r="25" spans="1:13" ht="15">
      <c r="A25" s="502" t="s">
        <v>279</v>
      </c>
      <c r="B25" s="503"/>
      <c r="C25" s="503"/>
      <c r="D25" s="503"/>
      <c r="E25" s="503"/>
      <c r="F25" s="502">
        <v>1</v>
      </c>
      <c r="G25" s="504" t="e">
        <f>LEFT(#REF!,6)</f>
        <v>#REF!</v>
      </c>
      <c r="H25" s="504" t="e">
        <f>LEFT(#REF!,6)</f>
        <v>#REF!</v>
      </c>
      <c r="I25" s="504" t="e">
        <f>LEFT(#REF!,6)</f>
        <v>#REF!</v>
      </c>
      <c r="J25" s="502" t="s">
        <v>282</v>
      </c>
      <c r="K25" s="505" t="e">
        <f>#REF!</f>
        <v>#REF!</v>
      </c>
      <c r="L25" s="505" t="e">
        <f>#REF!</f>
        <v>#REF!</v>
      </c>
      <c r="M25" s="525" t="e">
        <f>#REF!</f>
        <v>#REF!</v>
      </c>
    </row>
    <row r="26" spans="1:13" ht="15">
      <c r="A26" s="502" t="s">
        <v>279</v>
      </c>
      <c r="B26" s="503"/>
      <c r="C26" s="503"/>
      <c r="D26" s="503"/>
      <c r="E26" s="503"/>
      <c r="F26" s="502">
        <v>1</v>
      </c>
      <c r="G26" s="504" t="e">
        <f>LEFT(#REF!,6)</f>
        <v>#REF!</v>
      </c>
      <c r="H26" s="504" t="e">
        <f>LEFT(#REF!,6)</f>
        <v>#REF!</v>
      </c>
      <c r="I26" s="504" t="e">
        <f>LEFT(#REF!,6)</f>
        <v>#REF!</v>
      </c>
      <c r="J26" s="502" t="s">
        <v>282</v>
      </c>
      <c r="K26" s="505" t="e">
        <f>#REF!</f>
        <v>#REF!</v>
      </c>
      <c r="L26" s="505" t="e">
        <f>#REF!</f>
        <v>#REF!</v>
      </c>
      <c r="M26" s="525" t="e">
        <f>#REF!</f>
        <v>#REF!</v>
      </c>
    </row>
    <row r="27" spans="1:13" ht="15">
      <c r="A27" s="502" t="s">
        <v>279</v>
      </c>
      <c r="B27" s="503"/>
      <c r="C27" s="503"/>
      <c r="D27" s="503"/>
      <c r="E27" s="503"/>
      <c r="F27" s="502">
        <v>1</v>
      </c>
      <c r="G27" s="504" t="e">
        <f>LEFT(#REF!,6)</f>
        <v>#REF!</v>
      </c>
      <c r="H27" s="504" t="e">
        <f>LEFT(#REF!,6)</f>
        <v>#REF!</v>
      </c>
      <c r="I27" s="504" t="e">
        <f>LEFT(#REF!,6)</f>
        <v>#REF!</v>
      </c>
      <c r="J27" s="502" t="s">
        <v>282</v>
      </c>
      <c r="K27" s="505" t="e">
        <f>#REF!</f>
        <v>#REF!</v>
      </c>
      <c r="L27" s="505" t="e">
        <f>#REF!</f>
        <v>#REF!</v>
      </c>
      <c r="M27" s="525" t="e">
        <f>#REF!</f>
        <v>#REF!</v>
      </c>
    </row>
    <row r="28" spans="1:13" ht="15">
      <c r="A28" s="502" t="s">
        <v>279</v>
      </c>
      <c r="B28" s="503"/>
      <c r="C28" s="503"/>
      <c r="D28" s="503"/>
      <c r="E28" s="503"/>
      <c r="F28" s="502">
        <v>1</v>
      </c>
      <c r="G28" s="504" t="e">
        <f>LEFT(#REF!,6)</f>
        <v>#REF!</v>
      </c>
      <c r="H28" s="504" t="e">
        <f>LEFT(#REF!,6)</f>
        <v>#REF!</v>
      </c>
      <c r="I28" s="504" t="e">
        <f>LEFT(#REF!,6)</f>
        <v>#REF!</v>
      </c>
      <c r="J28" s="502" t="s">
        <v>282</v>
      </c>
      <c r="K28" s="505" t="e">
        <f>#REF!</f>
        <v>#REF!</v>
      </c>
      <c r="L28" s="505" t="e">
        <f>#REF!</f>
        <v>#REF!</v>
      </c>
      <c r="M28" s="525" t="e">
        <f>#REF!</f>
        <v>#REF!</v>
      </c>
    </row>
    <row r="29" spans="1:13" ht="15">
      <c r="A29" s="502" t="s">
        <v>279</v>
      </c>
      <c r="B29" s="503"/>
      <c r="C29" s="503"/>
      <c r="D29" s="503"/>
      <c r="E29" s="503"/>
      <c r="F29" s="502">
        <v>1</v>
      </c>
      <c r="G29" s="504" t="e">
        <f>LEFT(#REF!,6)</f>
        <v>#REF!</v>
      </c>
      <c r="H29" s="504" t="e">
        <f>LEFT(#REF!,6)</f>
        <v>#REF!</v>
      </c>
      <c r="I29" s="504" t="e">
        <f>LEFT(#REF!,6)</f>
        <v>#REF!</v>
      </c>
      <c r="J29" s="502" t="s">
        <v>282</v>
      </c>
      <c r="K29" s="505" t="e">
        <f>#REF!</f>
        <v>#REF!</v>
      </c>
      <c r="L29" s="505" t="e">
        <f>#REF!</f>
        <v>#REF!</v>
      </c>
      <c r="M29" s="525" t="e">
        <f>#REF!</f>
        <v>#REF!</v>
      </c>
    </row>
    <row r="30" spans="1:13" ht="15">
      <c r="A30" s="502" t="s">
        <v>279</v>
      </c>
      <c r="B30" s="503"/>
      <c r="C30" s="503"/>
      <c r="D30" s="503"/>
      <c r="E30" s="503"/>
      <c r="F30" s="502">
        <v>1</v>
      </c>
      <c r="G30" s="504" t="e">
        <f>LEFT(#REF!,6)</f>
        <v>#REF!</v>
      </c>
      <c r="H30" s="504" t="e">
        <f>LEFT(#REF!,6)</f>
        <v>#REF!</v>
      </c>
      <c r="I30" s="504" t="e">
        <f>LEFT(#REF!,6)</f>
        <v>#REF!</v>
      </c>
      <c r="J30" s="502" t="s">
        <v>282</v>
      </c>
      <c r="K30" s="505" t="e">
        <f>#REF!</f>
        <v>#REF!</v>
      </c>
      <c r="L30" s="505" t="e">
        <f>#REF!</f>
        <v>#REF!</v>
      </c>
      <c r="M30" s="525" t="e">
        <f>#REF!</f>
        <v>#REF!</v>
      </c>
    </row>
    <row r="31" spans="1:13" ht="15">
      <c r="A31" s="502"/>
      <c r="B31" s="503"/>
      <c r="C31" s="503"/>
      <c r="D31" s="503"/>
      <c r="E31" s="503"/>
      <c r="F31" s="502"/>
      <c r="G31" s="504"/>
      <c r="H31" s="504"/>
      <c r="I31" s="504"/>
      <c r="J31" s="502"/>
    </row>
    <row r="32" spans="1:13">
      <c r="K32" t="e">
        <f>SUM(K2:K31)</f>
        <v>#REF!</v>
      </c>
      <c r="L32" t="e">
        <f>SUM(L2:L31)</f>
        <v>#REF!</v>
      </c>
    </row>
  </sheetData>
  <pageMargins left="0.7" right="0.7" top="0.75" bottom="0.75" header="0.3" footer="0.3"/>
  <pageSetup scale="6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tabColor rgb="FF92D050"/>
    <pageSetUpPr fitToPage="1"/>
  </sheetPr>
  <dimension ref="A1:P355"/>
  <sheetViews>
    <sheetView showGridLines="0" view="pageBreakPreview" topLeftCell="A276" zoomScale="80" zoomScaleNormal="100" zoomScaleSheetLayoutView="80" workbookViewId="0">
      <selection activeCell="G51" sqref="G51:J55"/>
    </sheetView>
  </sheetViews>
  <sheetFormatPr defaultColWidth="9.140625" defaultRowHeight="15"/>
  <cols>
    <col min="1" max="1" width="13.140625" style="1" customWidth="1"/>
    <col min="2" max="2" width="9.28515625" style="1" customWidth="1"/>
    <col min="3" max="3" width="17.85546875" style="1" customWidth="1"/>
    <col min="4" max="4" width="18.42578125" style="1" customWidth="1"/>
    <col min="5" max="5" width="20.140625" style="318" bestFit="1" customWidth="1"/>
    <col min="6" max="6" width="16.140625" style="1" customWidth="1"/>
    <col min="7" max="7" width="34.5703125" style="1" bestFit="1" customWidth="1"/>
    <col min="8" max="8" width="16.85546875" style="1" customWidth="1"/>
    <col min="9" max="9" width="18.28515625" style="1" bestFit="1" customWidth="1"/>
    <col min="10" max="10" width="18.28515625" style="1" customWidth="1"/>
    <col min="11" max="11" width="3.42578125" style="1" customWidth="1"/>
    <col min="12" max="16384" width="9.140625" style="1"/>
  </cols>
  <sheetData>
    <row r="1" spans="1:10" ht="15.75">
      <c r="A1" s="51" t="s">
        <v>13</v>
      </c>
    </row>
    <row r="2" spans="1:10" ht="15.75">
      <c r="A2" s="51" t="s">
        <v>46</v>
      </c>
    </row>
    <row r="3" spans="1:10" ht="15.75">
      <c r="A3" s="51" t="s">
        <v>170</v>
      </c>
    </row>
    <row r="4" spans="1:10" ht="15.75">
      <c r="A4" s="51" t="s">
        <v>171</v>
      </c>
    </row>
    <row r="7" spans="1:10" s="329" customFormat="1" ht="16.5" hidden="1" thickBot="1">
      <c r="A7" s="5"/>
      <c r="B7" s="5"/>
      <c r="C7" s="50" t="s">
        <v>1</v>
      </c>
      <c r="D7" s="143">
        <v>41182</v>
      </c>
      <c r="E7" s="327">
        <v>802311.62372397084</v>
      </c>
      <c r="F7" s="331"/>
      <c r="G7" s="7"/>
      <c r="H7" s="7"/>
      <c r="I7" s="8"/>
      <c r="J7" s="7"/>
    </row>
    <row r="8" spans="1:10" s="383" customFormat="1" ht="16.5" hidden="1" thickTop="1">
      <c r="D8" s="142" t="s">
        <v>208</v>
      </c>
      <c r="E8" s="324">
        <f>'ID Def 191010'!T17</f>
        <v>-2122091.5699999998</v>
      </c>
    </row>
    <row r="9" spans="1:10" s="383" customFormat="1" ht="16.5" hidden="1" thickBot="1">
      <c r="D9" s="142" t="s">
        <v>204</v>
      </c>
      <c r="E9" s="327">
        <f>E8+E7</f>
        <v>-1319779.9462760291</v>
      </c>
    </row>
    <row r="10" spans="1:10" s="329" customFormat="1" ht="16.5" hidden="1" thickTop="1" thickBot="1">
      <c r="E10" s="318"/>
    </row>
    <row r="11" spans="1:10" ht="15.75" hidden="1">
      <c r="A11" s="73" t="s">
        <v>142</v>
      </c>
      <c r="B11" s="74"/>
      <c r="C11" s="75"/>
      <c r="D11" s="76"/>
      <c r="E11" s="319"/>
      <c r="F11" s="329"/>
      <c r="G11" s="16"/>
      <c r="H11" s="5"/>
      <c r="I11" s="56"/>
      <c r="J11" s="56"/>
    </row>
    <row r="12" spans="1:10" ht="15.75" hidden="1">
      <c r="A12" s="219">
        <v>41213</v>
      </c>
      <c r="B12" s="71"/>
      <c r="C12" s="16"/>
      <c r="D12" s="72" t="s">
        <v>23</v>
      </c>
      <c r="E12" s="320" t="s">
        <v>21</v>
      </c>
      <c r="F12" s="329"/>
      <c r="G12" s="5"/>
      <c r="H12" s="5"/>
      <c r="I12" s="8"/>
      <c r="J12" s="10"/>
    </row>
    <row r="13" spans="1:10" ht="16.5" hidden="1" thickBot="1">
      <c r="A13" s="14"/>
      <c r="B13" s="18"/>
      <c r="C13" s="131" t="s">
        <v>21</v>
      </c>
      <c r="D13" s="131" t="s">
        <v>22</v>
      </c>
      <c r="E13" s="321" t="s">
        <v>23</v>
      </c>
      <c r="F13" s="331"/>
      <c r="G13" s="7"/>
      <c r="H13" s="7"/>
      <c r="I13" s="10"/>
      <c r="J13" s="10"/>
    </row>
    <row r="14" spans="1:10" ht="15.75" hidden="1">
      <c r="A14" s="2" t="s">
        <v>24</v>
      </c>
      <c r="B14" s="17">
        <v>101</v>
      </c>
      <c r="C14" s="251">
        <v>3765205</v>
      </c>
      <c r="D14" s="233">
        <v>1.7780000000000001E-2</v>
      </c>
      <c r="E14" s="322">
        <v>66929.279999999999</v>
      </c>
      <c r="F14" s="383" t="s">
        <v>187</v>
      </c>
      <c r="G14" s="7"/>
      <c r="H14" s="7"/>
      <c r="I14" s="8"/>
      <c r="J14" s="7"/>
    </row>
    <row r="15" spans="1:10" ht="16.5" hidden="1" thickBot="1">
      <c r="A15" s="2" t="s">
        <v>24</v>
      </c>
      <c r="B15" s="17">
        <v>111</v>
      </c>
      <c r="C15" s="251">
        <v>1887716</v>
      </c>
      <c r="D15" s="233">
        <v>1.7780000000000001E-2</v>
      </c>
      <c r="E15" s="322">
        <v>32198.03</v>
      </c>
      <c r="F15" s="383" t="s">
        <v>187</v>
      </c>
      <c r="G15" s="146">
        <f>A12</f>
        <v>41213</v>
      </c>
      <c r="H15" s="147"/>
      <c r="I15" s="147"/>
      <c r="J15" s="147"/>
    </row>
    <row r="16" spans="1:10" ht="16.5" hidden="1" thickBot="1">
      <c r="A16" s="2" t="s">
        <v>24</v>
      </c>
      <c r="B16" s="17">
        <v>112</v>
      </c>
      <c r="C16" s="251"/>
      <c r="D16" s="233"/>
      <c r="E16" s="322">
        <v>0</v>
      </c>
      <c r="F16" s="331"/>
      <c r="G16" s="102" t="s">
        <v>25</v>
      </c>
      <c r="H16" s="148"/>
      <c r="I16" s="149" t="s">
        <v>18</v>
      </c>
      <c r="J16" s="150" t="s">
        <v>19</v>
      </c>
    </row>
    <row r="17" spans="1:10" ht="15.75" hidden="1">
      <c r="A17" s="2" t="s">
        <v>24</v>
      </c>
      <c r="B17" s="17">
        <v>121</v>
      </c>
      <c r="C17" s="251"/>
      <c r="D17" s="220"/>
      <c r="E17" s="322">
        <v>0</v>
      </c>
      <c r="F17" s="331"/>
      <c r="G17" s="151" t="s">
        <v>28</v>
      </c>
      <c r="H17" s="152" t="s">
        <v>77</v>
      </c>
      <c r="I17" s="108"/>
      <c r="J17" s="392">
        <v>0</v>
      </c>
    </row>
    <row r="18" spans="1:10" ht="15.75" hidden="1">
      <c r="A18" s="2" t="s">
        <v>24</v>
      </c>
      <c r="B18" s="17">
        <v>122</v>
      </c>
      <c r="C18" s="252"/>
      <c r="D18" s="220"/>
      <c r="E18" s="322">
        <v>0</v>
      </c>
      <c r="F18" s="331"/>
      <c r="G18" s="153" t="s">
        <v>29</v>
      </c>
      <c r="H18" s="7" t="s">
        <v>78</v>
      </c>
      <c r="I18" s="393">
        <f>-E26</f>
        <v>1058.51</v>
      </c>
      <c r="J18" s="222"/>
    </row>
    <row r="19" spans="1:10" ht="15.75" hidden="1">
      <c r="A19" s="2" t="s">
        <v>24</v>
      </c>
      <c r="B19" s="17">
        <v>131</v>
      </c>
      <c r="C19" s="251">
        <v>0</v>
      </c>
      <c r="D19" s="233">
        <v>1.6570000000000001E-2</v>
      </c>
      <c r="E19" s="322">
        <v>0</v>
      </c>
      <c r="F19" s="331"/>
      <c r="G19" s="153" t="s">
        <v>99</v>
      </c>
      <c r="H19" s="7" t="s">
        <v>60</v>
      </c>
      <c r="I19" s="8"/>
      <c r="J19" s="98">
        <f>-E23-E24</f>
        <v>-147173</v>
      </c>
    </row>
    <row r="20" spans="1:10" ht="15.75" hidden="1">
      <c r="A20" s="2" t="s">
        <v>24</v>
      </c>
      <c r="B20" s="17">
        <v>132</v>
      </c>
      <c r="C20" s="252"/>
      <c r="D20" s="121"/>
      <c r="E20" s="322">
        <v>0</v>
      </c>
      <c r="F20" s="331"/>
      <c r="G20" s="153" t="s">
        <v>10</v>
      </c>
      <c r="H20" s="7" t="s">
        <v>58</v>
      </c>
      <c r="I20" s="7">
        <v>0</v>
      </c>
      <c r="J20" s="109"/>
    </row>
    <row r="21" spans="1:10" ht="16.5" hidden="1" thickBot="1">
      <c r="A21" s="2" t="s">
        <v>24</v>
      </c>
      <c r="B21" s="17" t="s">
        <v>61</v>
      </c>
      <c r="C21" s="252"/>
      <c r="D21" s="121"/>
      <c r="E21" s="322">
        <v>0</v>
      </c>
      <c r="F21" s="331"/>
      <c r="G21" s="154" t="s">
        <v>100</v>
      </c>
      <c r="H21" s="147" t="s">
        <v>62</v>
      </c>
      <c r="I21" s="110">
        <f>-E9+E27</f>
        <v>146114.49</v>
      </c>
      <c r="J21" s="107">
        <v>0</v>
      </c>
    </row>
    <row r="22" spans="1:10" ht="15.75" hidden="1">
      <c r="A22" s="2" t="s">
        <v>156</v>
      </c>
      <c r="B22" s="70"/>
      <c r="C22" s="250"/>
      <c r="D22" s="136"/>
      <c r="E22" s="323">
        <v>48045.69</v>
      </c>
      <c r="F22" s="331"/>
      <c r="G22" s="7"/>
      <c r="H22" s="7"/>
      <c r="I22" s="8"/>
      <c r="J22" s="259">
        <f>ROUND(SUM(I17:J21),2)</f>
        <v>0</v>
      </c>
    </row>
    <row r="23" spans="1:10" ht="16.5" hidden="1" thickBot="1">
      <c r="A23" s="329"/>
      <c r="B23" s="6"/>
      <c r="C23" s="253">
        <f>SUM(C14:C22)</f>
        <v>5652921</v>
      </c>
      <c r="D23" s="155"/>
      <c r="E23" s="324">
        <f>SUM(E14:E22)</f>
        <v>147173</v>
      </c>
      <c r="F23" s="331"/>
      <c r="G23" s="7"/>
      <c r="H23" s="7"/>
      <c r="I23" s="7"/>
      <c r="J23" s="7"/>
    </row>
    <row r="24" spans="1:10" ht="16.5" hidden="1" thickTop="1">
      <c r="A24" s="329"/>
      <c r="B24" s="6"/>
      <c r="C24" s="254">
        <v>5652921</v>
      </c>
      <c r="D24" s="66" t="s">
        <v>161</v>
      </c>
      <c r="E24" s="325">
        <v>0</v>
      </c>
      <c r="F24" s="331"/>
      <c r="G24" s="65" t="s">
        <v>158</v>
      </c>
      <c r="H24" s="7"/>
      <c r="I24" s="12"/>
      <c r="J24" s="12"/>
    </row>
    <row r="25" spans="1:10" ht="15.75" hidden="1">
      <c r="A25" s="329"/>
      <c r="B25" s="329"/>
      <c r="C25" s="315">
        <f>C23-C24</f>
        <v>0</v>
      </c>
      <c r="D25" s="66" t="s">
        <v>87</v>
      </c>
      <c r="E25" s="324">
        <f>E23+E24+E9</f>
        <v>-1172606.9462760291</v>
      </c>
      <c r="F25" s="331"/>
      <c r="G25" s="8">
        <f>(E9*(D26/12))+((E23-E22)*(D26/24))</f>
        <v>-1058.5135760633577</v>
      </c>
      <c r="H25" s="7"/>
      <c r="I25" s="8"/>
      <c r="J25" s="10"/>
    </row>
    <row r="26" spans="1:10" ht="15.75" hidden="1">
      <c r="A26" s="329"/>
      <c r="B26" s="329"/>
      <c r="C26" s="50"/>
      <c r="D26" s="225">
        <v>0.01</v>
      </c>
      <c r="E26" s="326">
        <f>ROUND(((E9)+(E23-E22)/2)*(D26/12),2)</f>
        <v>-1058.51</v>
      </c>
      <c r="F26" s="331"/>
      <c r="G26" s="65"/>
      <c r="H26" s="7"/>
      <c r="I26" s="10"/>
      <c r="J26" s="10"/>
    </row>
    <row r="27" spans="1:10" ht="16.5" hidden="1" thickBot="1">
      <c r="A27" s="5"/>
      <c r="B27" s="5"/>
      <c r="C27" s="50" t="s">
        <v>1</v>
      </c>
      <c r="D27" s="143">
        <f>A12</f>
        <v>41213</v>
      </c>
      <c r="E27" s="327">
        <f>SUM(E25:E26)</f>
        <v>-1173665.4562760291</v>
      </c>
      <c r="F27" s="331"/>
      <c r="G27" s="7"/>
      <c r="H27" s="7"/>
      <c r="I27" s="8"/>
      <c r="J27" s="7"/>
    </row>
    <row r="28" spans="1:10" ht="16.5" hidden="1" thickTop="1" thickBot="1"/>
    <row r="29" spans="1:10" ht="15.75" hidden="1">
      <c r="A29" s="73" t="s">
        <v>142</v>
      </c>
      <c r="B29" s="74"/>
      <c r="C29" s="75"/>
      <c r="D29" s="76"/>
      <c r="E29" s="319"/>
      <c r="F29" s="382"/>
      <c r="G29" s="16"/>
      <c r="H29" s="5"/>
      <c r="I29" s="56"/>
      <c r="J29" s="56"/>
    </row>
    <row r="30" spans="1:10" ht="15.75" hidden="1">
      <c r="A30" s="219">
        <v>41243</v>
      </c>
      <c r="B30" s="71"/>
      <c r="C30" s="16"/>
      <c r="D30" s="72" t="s">
        <v>23</v>
      </c>
      <c r="E30" s="320" t="s">
        <v>21</v>
      </c>
      <c r="F30" s="382"/>
      <c r="G30" s="5"/>
      <c r="H30" s="5"/>
      <c r="I30" s="8"/>
      <c r="J30" s="10"/>
    </row>
    <row r="31" spans="1:10" ht="16.5" hidden="1" thickBot="1">
      <c r="A31" s="14"/>
      <c r="B31" s="18"/>
      <c r="C31" s="131" t="s">
        <v>21</v>
      </c>
      <c r="D31" s="131" t="s">
        <v>22</v>
      </c>
      <c r="E31" s="321" t="s">
        <v>23</v>
      </c>
      <c r="F31" s="383"/>
      <c r="G31" s="7"/>
      <c r="H31" s="7"/>
      <c r="I31" s="10"/>
      <c r="J31" s="10"/>
    </row>
    <row r="32" spans="1:10" ht="15.75" hidden="1">
      <c r="A32" s="2" t="s">
        <v>24</v>
      </c>
      <c r="B32" s="17">
        <v>101</v>
      </c>
      <c r="C32" s="251">
        <v>6036412</v>
      </c>
      <c r="D32" s="387">
        <v>1.7780000000000001E-2</v>
      </c>
      <c r="E32" s="322">
        <v>74956.77</v>
      </c>
      <c r="F32" s="383" t="s">
        <v>187</v>
      </c>
      <c r="G32" s="7"/>
      <c r="H32" s="7"/>
      <c r="I32" s="8"/>
      <c r="J32" s="7"/>
    </row>
    <row r="33" spans="1:10" ht="16.5" hidden="1" thickBot="1">
      <c r="A33" s="2" t="s">
        <v>24</v>
      </c>
      <c r="B33" s="17">
        <v>111</v>
      </c>
      <c r="C33" s="251">
        <v>1867362</v>
      </c>
      <c r="D33" s="387">
        <v>1.7780000000000001E-2</v>
      </c>
      <c r="E33" s="322">
        <v>15979.81</v>
      </c>
      <c r="F33" s="383" t="s">
        <v>187</v>
      </c>
      <c r="G33" s="146">
        <v>41243</v>
      </c>
      <c r="H33" s="147"/>
      <c r="I33" s="147"/>
      <c r="J33" s="147"/>
    </row>
    <row r="34" spans="1:10" ht="16.5" hidden="1" thickBot="1">
      <c r="A34" s="2" t="s">
        <v>24</v>
      </c>
      <c r="B34" s="17">
        <v>112</v>
      </c>
      <c r="C34" s="251"/>
      <c r="D34" s="387"/>
      <c r="E34" s="322">
        <v>0</v>
      </c>
      <c r="F34" s="383"/>
      <c r="G34" s="102" t="s">
        <v>214</v>
      </c>
      <c r="H34" s="148"/>
      <c r="I34" s="149" t="s">
        <v>18</v>
      </c>
      <c r="J34" s="150" t="s">
        <v>19</v>
      </c>
    </row>
    <row r="35" spans="1:10" ht="15.75" hidden="1">
      <c r="A35" s="2" t="s">
        <v>24</v>
      </c>
      <c r="B35" s="17">
        <v>121</v>
      </c>
      <c r="C35" s="251"/>
      <c r="D35" s="220"/>
      <c r="E35" s="322">
        <v>0</v>
      </c>
      <c r="F35" s="383"/>
      <c r="G35" s="151" t="s">
        <v>28</v>
      </c>
      <c r="H35" s="152" t="s">
        <v>77</v>
      </c>
      <c r="I35" s="108"/>
      <c r="J35" s="392">
        <v>0</v>
      </c>
    </row>
    <row r="36" spans="1:10" ht="15.75" hidden="1">
      <c r="A36" s="2" t="s">
        <v>24</v>
      </c>
      <c r="B36" s="17">
        <v>122</v>
      </c>
      <c r="C36" s="252"/>
      <c r="D36" s="220"/>
      <c r="E36" s="322">
        <v>0</v>
      </c>
      <c r="F36" s="383"/>
      <c r="G36" s="153" t="s">
        <v>29</v>
      </c>
      <c r="H36" s="7" t="s">
        <v>78</v>
      </c>
      <c r="I36" s="393">
        <v>940.16</v>
      </c>
      <c r="J36" s="222"/>
    </row>
    <row r="37" spans="1:10" ht="15.75" hidden="1">
      <c r="A37" s="2" t="s">
        <v>24</v>
      </c>
      <c r="B37" s="17">
        <v>131</v>
      </c>
      <c r="C37" s="251">
        <v>0</v>
      </c>
      <c r="D37" s="387">
        <v>1.6570000000000001E-2</v>
      </c>
      <c r="E37" s="322">
        <v>0</v>
      </c>
      <c r="F37" s="383"/>
      <c r="G37" s="153" t="s">
        <v>99</v>
      </c>
      <c r="H37" s="7" t="s">
        <v>60</v>
      </c>
      <c r="I37" s="8"/>
      <c r="J37" s="98">
        <v>-90758.61</v>
      </c>
    </row>
    <row r="38" spans="1:10" ht="15.75" hidden="1">
      <c r="A38" s="2" t="s">
        <v>24</v>
      </c>
      <c r="B38" s="17">
        <v>132</v>
      </c>
      <c r="C38" s="252"/>
      <c r="D38" s="121"/>
      <c r="E38" s="322">
        <v>0</v>
      </c>
      <c r="F38" s="383"/>
      <c r="G38" s="153" t="s">
        <v>10</v>
      </c>
      <c r="H38" s="7" t="s">
        <v>58</v>
      </c>
      <c r="I38" s="7">
        <v>0</v>
      </c>
      <c r="J38" s="109"/>
    </row>
    <row r="39" spans="1:10" ht="16.5" hidden="1" thickBot="1">
      <c r="A39" s="2" t="s">
        <v>24</v>
      </c>
      <c r="B39" s="17" t="s">
        <v>61</v>
      </c>
      <c r="C39" s="252"/>
      <c r="D39" s="121"/>
      <c r="E39" s="322">
        <v>0</v>
      </c>
      <c r="F39" s="383"/>
      <c r="G39" s="154" t="s">
        <v>100</v>
      </c>
      <c r="H39" s="147" t="s">
        <v>62</v>
      </c>
      <c r="I39" s="110">
        <v>89818.450000000186</v>
      </c>
      <c r="J39" s="107">
        <v>0</v>
      </c>
    </row>
    <row r="40" spans="1:10" ht="15.75" hidden="1">
      <c r="A40" s="2" t="s">
        <v>156</v>
      </c>
      <c r="B40" s="70"/>
      <c r="C40" s="250"/>
      <c r="D40" s="136"/>
      <c r="E40" s="323">
        <v>0</v>
      </c>
      <c r="F40" s="383"/>
      <c r="G40" s="7"/>
      <c r="H40" s="7"/>
      <c r="I40" s="8"/>
      <c r="J40" s="259">
        <v>0</v>
      </c>
    </row>
    <row r="41" spans="1:10" ht="16.5" hidden="1" thickBot="1">
      <c r="A41" s="382"/>
      <c r="B41" s="6"/>
      <c r="C41" s="253">
        <v>7903774</v>
      </c>
      <c r="D41" s="155"/>
      <c r="E41" s="324">
        <v>90936.58</v>
      </c>
      <c r="F41" s="383"/>
      <c r="G41" s="7"/>
      <c r="H41" s="7"/>
      <c r="I41" s="7"/>
      <c r="J41" s="7"/>
    </row>
    <row r="42" spans="1:10" ht="16.5" hidden="1" thickTop="1">
      <c r="A42" s="382"/>
      <c r="B42" s="6"/>
      <c r="C42" s="254">
        <v>7903774</v>
      </c>
      <c r="D42" s="66" t="s">
        <v>161</v>
      </c>
      <c r="E42" s="325">
        <v>-177.97000000000116</v>
      </c>
      <c r="F42" s="383"/>
      <c r="G42" s="65" t="s">
        <v>158</v>
      </c>
      <c r="H42" s="7"/>
      <c r="I42" s="12"/>
      <c r="J42" s="12"/>
    </row>
    <row r="43" spans="1:10" ht="15.75" hidden="1">
      <c r="A43" s="382"/>
      <c r="B43" s="382"/>
      <c r="C43" s="315">
        <v>0</v>
      </c>
      <c r="D43" s="66" t="s">
        <v>87</v>
      </c>
      <c r="E43" s="324">
        <v>-1082906.846276029</v>
      </c>
      <c r="F43" s="383"/>
      <c r="G43" s="8">
        <v>-940.16430523002441</v>
      </c>
      <c r="H43" s="7"/>
      <c r="I43" s="8"/>
      <c r="J43" s="10"/>
    </row>
    <row r="44" spans="1:10" ht="15.75" hidden="1">
      <c r="A44" s="382"/>
      <c r="B44" s="382"/>
      <c r="C44" s="50"/>
      <c r="D44" s="225">
        <v>0.01</v>
      </c>
      <c r="E44" s="326">
        <v>-940.16</v>
      </c>
      <c r="F44" s="383"/>
      <c r="G44" s="65"/>
      <c r="H44" s="7"/>
      <c r="I44" s="10"/>
      <c r="J44" s="10"/>
    </row>
    <row r="45" spans="1:10" ht="16.5" hidden="1" thickBot="1">
      <c r="A45" s="5"/>
      <c r="B45" s="5"/>
      <c r="C45" s="50" t="s">
        <v>1</v>
      </c>
      <c r="D45" s="143">
        <v>41243</v>
      </c>
      <c r="E45" s="327">
        <v>-1083847.0062760289</v>
      </c>
      <c r="F45" s="383"/>
      <c r="G45" s="7"/>
      <c r="H45" s="7"/>
      <c r="I45" s="8"/>
      <c r="J45" s="7"/>
    </row>
    <row r="46" spans="1:10" s="382" customFormat="1" ht="16.5" hidden="1" thickTop="1" thickBot="1">
      <c r="E46" s="318"/>
    </row>
    <row r="47" spans="1:10" s="382" customFormat="1" ht="15.75" hidden="1">
      <c r="A47" s="73" t="s">
        <v>142</v>
      </c>
      <c r="B47" s="74"/>
      <c r="C47" s="75"/>
      <c r="D47" s="76"/>
      <c r="E47" s="319"/>
      <c r="G47" s="16"/>
      <c r="H47" s="5"/>
      <c r="I47" s="56"/>
      <c r="J47" s="56"/>
    </row>
    <row r="48" spans="1:10" s="382" customFormat="1" ht="15.75" hidden="1">
      <c r="A48" s="219" t="s">
        <v>219</v>
      </c>
      <c r="B48" s="71"/>
      <c r="C48" s="16"/>
      <c r="D48" s="72" t="s">
        <v>23</v>
      </c>
      <c r="E48" s="320" t="s">
        <v>21</v>
      </c>
      <c r="G48" s="5"/>
      <c r="H48" s="5"/>
      <c r="I48" s="8"/>
      <c r="J48" s="10"/>
    </row>
    <row r="49" spans="1:10" s="382" customFormat="1" ht="16.5" hidden="1" thickBot="1">
      <c r="A49" s="14"/>
      <c r="B49" s="18"/>
      <c r="C49" s="131" t="s">
        <v>21</v>
      </c>
      <c r="D49" s="131" t="s">
        <v>22</v>
      </c>
      <c r="E49" s="321" t="s">
        <v>23</v>
      </c>
      <c r="F49" s="383"/>
      <c r="G49" s="7"/>
      <c r="H49" s="7"/>
      <c r="I49" s="10"/>
      <c r="J49" s="10"/>
    </row>
    <row r="50" spans="1:10" s="382" customFormat="1" ht="15.75" hidden="1">
      <c r="A50" s="2" t="s">
        <v>24</v>
      </c>
      <c r="B50" s="17">
        <v>101</v>
      </c>
      <c r="C50" s="251">
        <v>6036412</v>
      </c>
      <c r="D50" s="387">
        <v>1.7780000000000001E-2</v>
      </c>
      <c r="E50" s="322">
        <v>107587.32</v>
      </c>
      <c r="F50" s="383" t="s">
        <v>187</v>
      </c>
      <c r="G50" s="7"/>
      <c r="H50" s="7"/>
      <c r="I50" s="8"/>
      <c r="J50" s="7"/>
    </row>
    <row r="51" spans="1:10" s="382" customFormat="1" ht="16.5" hidden="1" thickBot="1">
      <c r="A51" s="2" t="s">
        <v>24</v>
      </c>
      <c r="B51" s="17">
        <v>111</v>
      </c>
      <c r="C51" s="251">
        <v>1867362</v>
      </c>
      <c r="D51" s="387">
        <v>1.7780000000000001E-2</v>
      </c>
      <c r="E51" s="322">
        <v>33861.39</v>
      </c>
      <c r="F51" s="383" t="s">
        <v>187</v>
      </c>
      <c r="G51" s="397" t="str">
        <f>A48</f>
        <v>11-30-2012 - Corrected</v>
      </c>
      <c r="H51" s="398"/>
      <c r="I51" s="398"/>
      <c r="J51" s="398"/>
    </row>
    <row r="52" spans="1:10" s="382" customFormat="1" ht="16.5" hidden="1" thickBot="1">
      <c r="A52" s="2" t="s">
        <v>24</v>
      </c>
      <c r="B52" s="17">
        <v>112</v>
      </c>
      <c r="C52" s="251"/>
      <c r="D52" s="387"/>
      <c r="E52" s="322">
        <f t="shared" ref="E52:E57" si="0">C52*D52</f>
        <v>0</v>
      </c>
      <c r="F52" s="383"/>
      <c r="G52" s="399" t="s">
        <v>215</v>
      </c>
      <c r="H52" s="400"/>
      <c r="I52" s="401" t="s">
        <v>18</v>
      </c>
      <c r="J52" s="402" t="s">
        <v>19</v>
      </c>
    </row>
    <row r="53" spans="1:10" s="382" customFormat="1" ht="15.75" hidden="1">
      <c r="A53" s="2" t="s">
        <v>24</v>
      </c>
      <c r="B53" s="17">
        <v>121</v>
      </c>
      <c r="C53" s="251"/>
      <c r="D53" s="220"/>
      <c r="E53" s="322">
        <f t="shared" si="0"/>
        <v>0</v>
      </c>
      <c r="F53" s="383"/>
      <c r="G53" s="403" t="s">
        <v>28</v>
      </c>
      <c r="H53" s="404" t="s">
        <v>77</v>
      </c>
      <c r="I53" s="405"/>
      <c r="J53" s="406">
        <v>0</v>
      </c>
    </row>
    <row r="54" spans="1:10" s="382" customFormat="1" ht="15.75" hidden="1">
      <c r="A54" s="2" t="s">
        <v>24</v>
      </c>
      <c r="B54" s="17">
        <v>122</v>
      </c>
      <c r="C54" s="252"/>
      <c r="D54" s="220"/>
      <c r="E54" s="322">
        <f t="shared" si="0"/>
        <v>0</v>
      </c>
      <c r="F54" s="383"/>
      <c r="G54" s="407" t="s">
        <v>29</v>
      </c>
      <c r="H54" s="408" t="s">
        <v>78</v>
      </c>
      <c r="I54" s="409">
        <v>0</v>
      </c>
      <c r="J54" s="410">
        <f>-E62+E44</f>
        <v>-95.889999999999986</v>
      </c>
    </row>
    <row r="55" spans="1:10" s="382" customFormat="1" ht="15.75" hidden="1">
      <c r="A55" s="2" t="s">
        <v>24</v>
      </c>
      <c r="B55" s="17">
        <v>131</v>
      </c>
      <c r="C55" s="251">
        <v>0</v>
      </c>
      <c r="D55" s="387">
        <v>1.6570000000000001E-2</v>
      </c>
      <c r="E55" s="322">
        <f t="shared" si="0"/>
        <v>0</v>
      </c>
      <c r="F55" s="383"/>
      <c r="G55" s="407" t="s">
        <v>99</v>
      </c>
      <c r="H55" s="408" t="s">
        <v>60</v>
      </c>
      <c r="I55" s="328">
        <v>0</v>
      </c>
      <c r="J55" s="411">
        <f>E41-E59</f>
        <v>-50512.130000000019</v>
      </c>
    </row>
    <row r="56" spans="1:10" s="382" customFormat="1" ht="15.75" hidden="1">
      <c r="A56" s="2" t="s">
        <v>24</v>
      </c>
      <c r="B56" s="17">
        <v>132</v>
      </c>
      <c r="C56" s="252"/>
      <c r="D56" s="121"/>
      <c r="E56" s="322">
        <f t="shared" si="0"/>
        <v>0</v>
      </c>
      <c r="F56" s="383"/>
      <c r="G56" s="407" t="s">
        <v>10</v>
      </c>
      <c r="H56" s="408" t="s">
        <v>58</v>
      </c>
      <c r="I56" s="408">
        <v>0</v>
      </c>
      <c r="J56" s="412"/>
    </row>
    <row r="57" spans="1:10" s="382" customFormat="1" ht="16.5" hidden="1" thickBot="1">
      <c r="A57" s="2" t="s">
        <v>24</v>
      </c>
      <c r="B57" s="17" t="s">
        <v>61</v>
      </c>
      <c r="C57" s="252"/>
      <c r="D57" s="121"/>
      <c r="E57" s="322">
        <f t="shared" si="0"/>
        <v>0</v>
      </c>
      <c r="F57" s="383"/>
      <c r="G57" s="413" t="s">
        <v>100</v>
      </c>
      <c r="H57" s="398" t="s">
        <v>62</v>
      </c>
      <c r="I57" s="414">
        <f>-J55-J54</f>
        <v>50608.020000000019</v>
      </c>
      <c r="J57" s="415">
        <v>0</v>
      </c>
    </row>
    <row r="58" spans="1:10" s="382" customFormat="1" ht="15.75" hidden="1">
      <c r="A58" s="2" t="s">
        <v>156</v>
      </c>
      <c r="B58" s="70"/>
      <c r="C58" s="250"/>
      <c r="D58" s="136"/>
      <c r="E58" s="323">
        <v>0</v>
      </c>
      <c r="F58" s="383"/>
      <c r="G58" s="408"/>
      <c r="H58" s="408"/>
      <c r="I58" s="328"/>
      <c r="J58" s="328">
        <f>ROUND(SUM(I53:J57),2)</f>
        <v>0</v>
      </c>
    </row>
    <row r="59" spans="1:10" s="382" customFormat="1" ht="16.5" hidden="1" thickBot="1">
      <c r="B59" s="6"/>
      <c r="C59" s="253">
        <f>SUM(C50:C58)</f>
        <v>7903774</v>
      </c>
      <c r="D59" s="155"/>
      <c r="E59" s="324">
        <f>SUM(E50:E58)</f>
        <v>141448.71000000002</v>
      </c>
      <c r="F59" s="383"/>
      <c r="G59" s="7"/>
      <c r="H59" s="7"/>
      <c r="I59" s="7"/>
      <c r="J59" s="7"/>
    </row>
    <row r="60" spans="1:10" s="382" customFormat="1" ht="16.5" hidden="1" thickTop="1">
      <c r="B60" s="6"/>
      <c r="C60" s="254">
        <v>7903774</v>
      </c>
      <c r="D60" s="66" t="s">
        <v>161</v>
      </c>
      <c r="E60" s="325">
        <f>47867.72-48045.69</f>
        <v>-177.97000000000116</v>
      </c>
      <c r="F60" s="383"/>
      <c r="G60" s="65" t="s">
        <v>158</v>
      </c>
      <c r="H60" s="7"/>
      <c r="I60" s="12"/>
      <c r="J60" s="12"/>
    </row>
    <row r="61" spans="1:10" s="382" customFormat="1" ht="15.75" hidden="1">
      <c r="C61" s="315">
        <f>C59-C60</f>
        <v>0</v>
      </c>
      <c r="D61" s="66" t="s">
        <v>87</v>
      </c>
      <c r="E61" s="324">
        <f>E59+E60+E27</f>
        <v>-1032394.7162760291</v>
      </c>
      <c r="F61" s="383"/>
      <c r="G61" s="8">
        <f>(E45*(D62/12))+(E59*(D62/24))</f>
        <v>-844.26887606335742</v>
      </c>
      <c r="H61" s="7"/>
      <c r="I61" s="8"/>
      <c r="J61" s="10"/>
    </row>
    <row r="62" spans="1:10" s="382" customFormat="1" ht="15.75" hidden="1">
      <c r="C62" s="50"/>
      <c r="D62" s="225">
        <v>0.01</v>
      </c>
      <c r="E62" s="326">
        <f>ROUND(((E45)+(E59)/2)*(D62/12),2)</f>
        <v>-844.27</v>
      </c>
      <c r="F62" s="383"/>
      <c r="G62" s="65"/>
      <c r="H62" s="7"/>
      <c r="I62" s="10"/>
      <c r="J62" s="10"/>
    </row>
    <row r="63" spans="1:10" s="382" customFormat="1" ht="16.5" hidden="1" thickBot="1">
      <c r="A63" s="5"/>
      <c r="B63" s="5"/>
      <c r="C63" s="50" t="s">
        <v>1</v>
      </c>
      <c r="D63" s="143" t="str">
        <f>A48</f>
        <v>11-30-2012 - Corrected</v>
      </c>
      <c r="E63" s="327">
        <f>SUM(E61:E62)</f>
        <v>-1033238.9862760291</v>
      </c>
      <c r="F63" s="383"/>
      <c r="G63" s="7"/>
      <c r="H63" s="7"/>
      <c r="I63" s="8"/>
      <c r="J63" s="7"/>
    </row>
    <row r="64" spans="1:10" s="382" customFormat="1" ht="16.5" hidden="1" thickTop="1" thickBot="1">
      <c r="E64" s="318"/>
    </row>
    <row r="65" spans="1:10" s="382" customFormat="1" ht="15.75" hidden="1">
      <c r="A65" s="73" t="s">
        <v>142</v>
      </c>
      <c r="B65" s="74"/>
      <c r="C65" s="75"/>
      <c r="D65" s="76"/>
      <c r="E65" s="319"/>
      <c r="G65" s="16"/>
      <c r="H65" s="5"/>
      <c r="I65" s="56"/>
      <c r="J65" s="56"/>
    </row>
    <row r="66" spans="1:10" s="382" customFormat="1" ht="15.75" hidden="1">
      <c r="A66" s="219">
        <v>41274</v>
      </c>
      <c r="B66" s="71"/>
      <c r="C66" s="16"/>
      <c r="D66" s="72" t="s">
        <v>23</v>
      </c>
      <c r="E66" s="320" t="s">
        <v>21</v>
      </c>
      <c r="G66" s="5"/>
      <c r="H66" s="5"/>
      <c r="I66" s="8"/>
      <c r="J66" s="10"/>
    </row>
    <row r="67" spans="1:10" s="382" customFormat="1" ht="16.5" hidden="1" thickBot="1">
      <c r="A67" s="14"/>
      <c r="B67" s="18"/>
      <c r="C67" s="131" t="s">
        <v>21</v>
      </c>
      <c r="D67" s="131" t="s">
        <v>22</v>
      </c>
      <c r="E67" s="321" t="s">
        <v>23</v>
      </c>
      <c r="F67" s="383"/>
      <c r="G67" s="7"/>
      <c r="H67" s="7"/>
      <c r="I67" s="10"/>
      <c r="J67" s="10"/>
    </row>
    <row r="68" spans="1:10" s="382" customFormat="1" ht="15.75" hidden="1">
      <c r="A68" s="2" t="s">
        <v>24</v>
      </c>
      <c r="B68" s="17">
        <v>101</v>
      </c>
      <c r="C68" s="251">
        <v>8220978</v>
      </c>
      <c r="D68" s="387">
        <v>1.7780000000000001E-2</v>
      </c>
      <c r="E68" s="322">
        <f>C68*D68</f>
        <v>146168.98884000001</v>
      </c>
      <c r="F68" s="383"/>
      <c r="G68" s="7"/>
      <c r="H68" s="7"/>
      <c r="I68" s="8"/>
      <c r="J68" s="7"/>
    </row>
    <row r="69" spans="1:10" s="382" customFormat="1" ht="16.5" hidden="1" thickBot="1">
      <c r="A69" s="2" t="s">
        <v>24</v>
      </c>
      <c r="B69" s="17">
        <v>111</v>
      </c>
      <c r="C69" s="251">
        <v>2679003</v>
      </c>
      <c r="D69" s="387">
        <v>1.7780000000000001E-2</v>
      </c>
      <c r="E69" s="322">
        <f t="shared" ref="E69:E76" si="1">C69*D69</f>
        <v>47632.673340000001</v>
      </c>
      <c r="F69" s="383"/>
      <c r="G69" s="146">
        <f>A66</f>
        <v>41274</v>
      </c>
      <c r="H69" s="147"/>
      <c r="I69" s="147"/>
      <c r="J69" s="147"/>
    </row>
    <row r="70" spans="1:10" s="382" customFormat="1" ht="16.5" hidden="1" thickBot="1">
      <c r="A70" s="2" t="s">
        <v>24</v>
      </c>
      <c r="B70" s="17">
        <v>112</v>
      </c>
      <c r="C70" s="251"/>
      <c r="D70" s="387"/>
      <c r="E70" s="322">
        <f t="shared" si="1"/>
        <v>0</v>
      </c>
      <c r="F70" s="383"/>
      <c r="G70" s="102" t="s">
        <v>25</v>
      </c>
      <c r="H70" s="148"/>
      <c r="I70" s="149" t="s">
        <v>18</v>
      </c>
      <c r="J70" s="150" t="s">
        <v>19</v>
      </c>
    </row>
    <row r="71" spans="1:10" s="382" customFormat="1" ht="15.75" hidden="1">
      <c r="A71" s="2" t="s">
        <v>24</v>
      </c>
      <c r="B71" s="17">
        <v>121</v>
      </c>
      <c r="C71" s="251"/>
      <c r="D71" s="220"/>
      <c r="E71" s="322">
        <f t="shared" si="1"/>
        <v>0</v>
      </c>
      <c r="F71" s="383"/>
      <c r="G71" s="151" t="s">
        <v>28</v>
      </c>
      <c r="H71" s="152" t="s">
        <v>77</v>
      </c>
      <c r="I71" s="108"/>
      <c r="J71" s="392">
        <v>0</v>
      </c>
    </row>
    <row r="72" spans="1:10" s="382" customFormat="1" ht="15.75" hidden="1">
      <c r="A72" s="2" t="s">
        <v>24</v>
      </c>
      <c r="B72" s="17">
        <v>122</v>
      </c>
      <c r="C72" s="252"/>
      <c r="D72" s="220"/>
      <c r="E72" s="322">
        <f t="shared" si="1"/>
        <v>0</v>
      </c>
      <c r="F72" s="383"/>
      <c r="G72" s="153" t="s">
        <v>29</v>
      </c>
      <c r="H72" s="7" t="s">
        <v>78</v>
      </c>
      <c r="I72" s="393">
        <f>-E80</f>
        <v>780.28</v>
      </c>
      <c r="J72" s="222"/>
    </row>
    <row r="73" spans="1:10" s="382" customFormat="1" ht="15.75" hidden="1">
      <c r="A73" s="2" t="s">
        <v>24</v>
      </c>
      <c r="B73" s="17">
        <v>131</v>
      </c>
      <c r="C73" s="251">
        <v>0</v>
      </c>
      <c r="D73" s="387">
        <v>1.6570000000000001E-2</v>
      </c>
      <c r="E73" s="322">
        <f t="shared" si="1"/>
        <v>0</v>
      </c>
      <c r="F73" s="383"/>
      <c r="G73" s="153" t="s">
        <v>99</v>
      </c>
      <c r="H73" s="7" t="s">
        <v>60</v>
      </c>
      <c r="I73" s="8"/>
      <c r="J73" s="98">
        <f>-E77-E78</f>
        <v>-193801.66218000001</v>
      </c>
    </row>
    <row r="74" spans="1:10" s="382" customFormat="1" ht="15.75" hidden="1">
      <c r="A74" s="2" t="s">
        <v>24</v>
      </c>
      <c r="B74" s="17">
        <v>132</v>
      </c>
      <c r="C74" s="252"/>
      <c r="D74" s="121"/>
      <c r="E74" s="322">
        <f t="shared" si="1"/>
        <v>0</v>
      </c>
      <c r="F74" s="383"/>
      <c r="G74" s="153" t="s">
        <v>10</v>
      </c>
      <c r="H74" s="7" t="s">
        <v>58</v>
      </c>
      <c r="I74" s="7">
        <v>0</v>
      </c>
      <c r="J74" s="109"/>
    </row>
    <row r="75" spans="1:10" s="382" customFormat="1" ht="16.5" hidden="1" thickBot="1">
      <c r="A75" s="2" t="s">
        <v>24</v>
      </c>
      <c r="B75" s="17" t="s">
        <v>61</v>
      </c>
      <c r="C75" s="252"/>
      <c r="D75" s="121"/>
      <c r="E75" s="322">
        <f t="shared" si="1"/>
        <v>0</v>
      </c>
      <c r="F75" s="383"/>
      <c r="G75" s="154" t="s">
        <v>100</v>
      </c>
      <c r="H75" s="147" t="s">
        <v>62</v>
      </c>
      <c r="I75" s="110">
        <f>-E63+E81</f>
        <v>193021.38217999996</v>
      </c>
      <c r="J75" s="107">
        <v>0</v>
      </c>
    </row>
    <row r="76" spans="1:10" s="382" customFormat="1" ht="15.75" hidden="1">
      <c r="A76" s="2" t="s">
        <v>156</v>
      </c>
      <c r="B76" s="70"/>
      <c r="C76" s="250"/>
      <c r="D76" s="136"/>
      <c r="E76" s="323">
        <f t="shared" si="1"/>
        <v>0</v>
      </c>
      <c r="F76" s="383"/>
      <c r="G76" s="7"/>
      <c r="H76" s="7"/>
      <c r="I76" s="8"/>
      <c r="J76" s="259">
        <f>ROUND(SUM(I71:J75),2)</f>
        <v>0</v>
      </c>
    </row>
    <row r="77" spans="1:10" s="382" customFormat="1" ht="16.5" hidden="1" thickBot="1">
      <c r="B77" s="6"/>
      <c r="C77" s="253">
        <f>SUM(C68:C76)</f>
        <v>10899981</v>
      </c>
      <c r="D77" s="155"/>
      <c r="E77" s="324">
        <f>SUM(E68:E76)</f>
        <v>193801.66218000001</v>
      </c>
      <c r="F77" s="383"/>
      <c r="G77" s="7"/>
      <c r="H77" s="7"/>
      <c r="I77" s="7"/>
      <c r="J77" s="7"/>
    </row>
    <row r="78" spans="1:10" s="382" customFormat="1" ht="16.5" hidden="1" thickTop="1">
      <c r="B78" s="6"/>
      <c r="C78" s="254">
        <v>10899981</v>
      </c>
      <c r="D78" s="66" t="s">
        <v>161</v>
      </c>
      <c r="E78" s="325">
        <v>0</v>
      </c>
      <c r="F78" s="383"/>
      <c r="G78" s="65" t="s">
        <v>158</v>
      </c>
      <c r="H78" s="7"/>
      <c r="I78" s="12"/>
      <c r="J78" s="12"/>
    </row>
    <row r="79" spans="1:10" s="382" customFormat="1" ht="15.75" hidden="1">
      <c r="C79" s="315">
        <f>C77-C78</f>
        <v>0</v>
      </c>
      <c r="D79" s="66" t="s">
        <v>87</v>
      </c>
      <c r="E79" s="324">
        <f>E77+E78+E63</f>
        <v>-839437.32409602916</v>
      </c>
      <c r="F79" s="383"/>
      <c r="G79" s="8">
        <f>(E63*(D80/12))+(E77*(D80/24))</f>
        <v>-780.28179598835766</v>
      </c>
      <c r="H79" s="7"/>
      <c r="I79" s="8"/>
      <c r="J79" s="10"/>
    </row>
    <row r="80" spans="1:10" s="382" customFormat="1" ht="15.75" hidden="1">
      <c r="C80" s="50"/>
      <c r="D80" s="225">
        <v>0.01</v>
      </c>
      <c r="E80" s="326">
        <f>ROUND(((E63)+(E77)/2)*(D80/12),2)</f>
        <v>-780.28</v>
      </c>
      <c r="F80" s="383"/>
      <c r="G80" s="65"/>
      <c r="H80" s="7"/>
      <c r="I80" s="10"/>
      <c r="J80" s="10"/>
    </row>
    <row r="81" spans="1:10" s="382" customFormat="1" ht="16.5" hidden="1" thickBot="1">
      <c r="A81" s="5"/>
      <c r="B81" s="5"/>
      <c r="C81" s="50" t="s">
        <v>1</v>
      </c>
      <c r="D81" s="143">
        <f>A66</f>
        <v>41274</v>
      </c>
      <c r="E81" s="327">
        <f>SUM(E79:E80)</f>
        <v>-840217.60409602919</v>
      </c>
      <c r="F81" s="383"/>
      <c r="G81" s="7"/>
      <c r="H81" s="7"/>
      <c r="I81" s="8"/>
      <c r="J81" s="7"/>
    </row>
    <row r="82" spans="1:10" s="382" customFormat="1" ht="15.75" hidden="1" thickTop="1">
      <c r="E82" s="318"/>
    </row>
    <row r="83" spans="1:10" s="382" customFormat="1" ht="15.75" hidden="1">
      <c r="A83" s="73" t="s">
        <v>142</v>
      </c>
      <c r="B83" s="74"/>
      <c r="C83" s="75"/>
      <c r="D83" s="76"/>
      <c r="E83" s="319"/>
      <c r="G83" s="16"/>
      <c r="H83" s="5"/>
      <c r="I83" s="56"/>
      <c r="J83" s="56"/>
    </row>
    <row r="84" spans="1:10" s="382" customFormat="1" ht="15.75" hidden="1">
      <c r="A84" s="219">
        <v>41275</v>
      </c>
      <c r="B84" s="71"/>
      <c r="C84" s="16"/>
      <c r="D84" s="72" t="s">
        <v>23</v>
      </c>
      <c r="E84" s="320" t="s">
        <v>21</v>
      </c>
      <c r="G84" s="5"/>
      <c r="H84" s="5"/>
      <c r="I84" s="8"/>
      <c r="J84" s="10"/>
    </row>
    <row r="85" spans="1:10" s="382" customFormat="1" ht="16.5" hidden="1" thickBot="1">
      <c r="A85" s="14"/>
      <c r="B85" s="18"/>
      <c r="C85" s="131" t="s">
        <v>21</v>
      </c>
      <c r="D85" s="131" t="s">
        <v>22</v>
      </c>
      <c r="E85" s="321" t="s">
        <v>23</v>
      </c>
      <c r="F85" s="383"/>
      <c r="G85" s="7"/>
      <c r="H85" s="7"/>
      <c r="I85" s="10"/>
      <c r="J85" s="10"/>
    </row>
    <row r="86" spans="1:10" s="382" customFormat="1" ht="15.75" hidden="1">
      <c r="A86" s="2" t="s">
        <v>24</v>
      </c>
      <c r="B86" s="17">
        <v>101</v>
      </c>
      <c r="C86" s="251">
        <v>9764920</v>
      </c>
      <c r="D86" s="387">
        <v>1.7780000000000001E-2</v>
      </c>
      <c r="E86" s="322">
        <f>C86*D86</f>
        <v>173620.2776</v>
      </c>
      <c r="F86" s="383"/>
      <c r="G86" s="7"/>
      <c r="H86" s="7"/>
      <c r="I86" s="8"/>
      <c r="J86" s="7"/>
    </row>
    <row r="87" spans="1:10" s="382" customFormat="1" ht="16.5" hidden="1" thickBot="1">
      <c r="A87" s="2" t="s">
        <v>24</v>
      </c>
      <c r="B87" s="17">
        <v>111</v>
      </c>
      <c r="C87" s="251">
        <v>3069039</v>
      </c>
      <c r="D87" s="387">
        <v>1.7780000000000001E-2</v>
      </c>
      <c r="E87" s="322">
        <f>C87*D87</f>
        <v>54567.513420000003</v>
      </c>
      <c r="F87" s="383"/>
      <c r="G87" s="146">
        <f>A84</f>
        <v>41275</v>
      </c>
      <c r="H87" s="147"/>
      <c r="I87" s="147"/>
      <c r="J87" s="147"/>
    </row>
    <row r="88" spans="1:10" s="382" customFormat="1" ht="16.5" hidden="1" thickBot="1">
      <c r="A88" s="2" t="s">
        <v>24</v>
      </c>
      <c r="B88" s="17">
        <v>112</v>
      </c>
      <c r="C88" s="251"/>
      <c r="D88" s="387"/>
      <c r="E88" s="322">
        <f t="shared" ref="E88:E94" si="2">C88*D88</f>
        <v>0</v>
      </c>
      <c r="F88" s="383"/>
      <c r="G88" s="102" t="s">
        <v>25</v>
      </c>
      <c r="H88" s="148"/>
      <c r="I88" s="149" t="s">
        <v>18</v>
      </c>
      <c r="J88" s="150" t="s">
        <v>19</v>
      </c>
    </row>
    <row r="89" spans="1:10" s="382" customFormat="1" ht="15.75" hidden="1">
      <c r="A89" s="2" t="s">
        <v>24</v>
      </c>
      <c r="B89" s="17">
        <v>121</v>
      </c>
      <c r="C89" s="251"/>
      <c r="D89" s="220"/>
      <c r="E89" s="322">
        <f t="shared" si="2"/>
        <v>0</v>
      </c>
      <c r="F89" s="383"/>
      <c r="G89" s="151" t="s">
        <v>28</v>
      </c>
      <c r="H89" s="152" t="s">
        <v>77</v>
      </c>
      <c r="I89" s="108"/>
      <c r="J89" s="392">
        <v>0</v>
      </c>
    </row>
    <row r="90" spans="1:10" s="382" customFormat="1" ht="15.75" hidden="1">
      <c r="A90" s="2" t="s">
        <v>24</v>
      </c>
      <c r="B90" s="17">
        <v>122</v>
      </c>
      <c r="C90" s="252"/>
      <c r="D90" s="220"/>
      <c r="E90" s="322">
        <f t="shared" si="2"/>
        <v>0</v>
      </c>
      <c r="F90" s="383"/>
      <c r="G90" s="153" t="s">
        <v>29</v>
      </c>
      <c r="H90" s="7" t="s">
        <v>78</v>
      </c>
      <c r="I90" s="393">
        <f>-E98</f>
        <v>605.1</v>
      </c>
      <c r="J90" s="222"/>
    </row>
    <row r="91" spans="1:10" s="382" customFormat="1" ht="15.75" hidden="1">
      <c r="A91" s="2" t="s">
        <v>24</v>
      </c>
      <c r="B91" s="17">
        <v>131</v>
      </c>
      <c r="C91" s="251">
        <v>0</v>
      </c>
      <c r="D91" s="387">
        <v>1.6570000000000001E-2</v>
      </c>
      <c r="E91" s="322">
        <f>C91*D91</f>
        <v>0</v>
      </c>
      <c r="F91" s="383"/>
      <c r="G91" s="153" t="s">
        <v>99</v>
      </c>
      <c r="H91" s="7" t="s">
        <v>60</v>
      </c>
      <c r="I91" s="8"/>
      <c r="J91" s="98">
        <f>-E95-E96</f>
        <v>-228187.79102</v>
      </c>
    </row>
    <row r="92" spans="1:10" s="382" customFormat="1" ht="15.75" hidden="1">
      <c r="A92" s="2" t="s">
        <v>24</v>
      </c>
      <c r="B92" s="17">
        <v>132</v>
      </c>
      <c r="C92" s="252"/>
      <c r="D92" s="121"/>
      <c r="E92" s="322">
        <f t="shared" si="2"/>
        <v>0</v>
      </c>
      <c r="F92" s="383"/>
      <c r="G92" s="153" t="s">
        <v>10</v>
      </c>
      <c r="H92" s="7" t="s">
        <v>58</v>
      </c>
      <c r="I92" s="7">
        <v>0</v>
      </c>
      <c r="J92" s="109"/>
    </row>
    <row r="93" spans="1:10" s="382" customFormat="1" ht="16.5" hidden="1" thickBot="1">
      <c r="A93" s="2" t="s">
        <v>24</v>
      </c>
      <c r="B93" s="17" t="s">
        <v>61</v>
      </c>
      <c r="C93" s="252"/>
      <c r="D93" s="121"/>
      <c r="E93" s="322">
        <f t="shared" si="2"/>
        <v>0</v>
      </c>
      <c r="F93" s="383"/>
      <c r="G93" s="154" t="s">
        <v>100</v>
      </c>
      <c r="H93" s="147" t="s">
        <v>62</v>
      </c>
      <c r="I93" s="110">
        <f>-E81+E99</f>
        <v>227582.69102000003</v>
      </c>
      <c r="J93" s="107">
        <v>0</v>
      </c>
    </row>
    <row r="94" spans="1:10" s="382" customFormat="1" ht="15.75" hidden="1">
      <c r="A94" s="2" t="s">
        <v>156</v>
      </c>
      <c r="B94" s="70"/>
      <c r="C94" s="250"/>
      <c r="D94" s="136"/>
      <c r="E94" s="323">
        <f t="shared" si="2"/>
        <v>0</v>
      </c>
      <c r="F94" s="383"/>
      <c r="G94" s="7"/>
      <c r="H94" s="7"/>
      <c r="I94" s="8"/>
      <c r="J94" s="259">
        <f>ROUND(SUM(I89:J93),2)</f>
        <v>0</v>
      </c>
    </row>
    <row r="95" spans="1:10" s="382" customFormat="1" ht="16.5" hidden="1" thickBot="1">
      <c r="B95" s="6"/>
      <c r="C95" s="253">
        <f>SUM(C86:C94)</f>
        <v>12833959</v>
      </c>
      <c r="D95" s="155"/>
      <c r="E95" s="324">
        <f>SUM(E86:E94)</f>
        <v>228187.79102</v>
      </c>
      <c r="F95" s="383"/>
      <c r="G95" s="7"/>
      <c r="H95" s="7"/>
      <c r="I95" s="7"/>
      <c r="J95" s="7"/>
    </row>
    <row r="96" spans="1:10" s="382" customFormat="1" ht="16.5" hidden="1" thickTop="1">
      <c r="B96" s="6"/>
      <c r="C96" s="254">
        <v>12833959</v>
      </c>
      <c r="D96" s="66" t="s">
        <v>161</v>
      </c>
      <c r="E96" s="325">
        <v>0</v>
      </c>
      <c r="F96" s="383"/>
      <c r="G96" s="65" t="s">
        <v>158</v>
      </c>
      <c r="H96" s="7"/>
      <c r="I96" s="12"/>
      <c r="J96" s="12"/>
    </row>
    <row r="97" spans="1:10" s="382" customFormat="1" ht="15.75" hidden="1">
      <c r="C97" s="315">
        <f>C95-C96</f>
        <v>0</v>
      </c>
      <c r="D97" s="66" t="s">
        <v>87</v>
      </c>
      <c r="E97" s="324">
        <f>E95+E96+E81</f>
        <v>-612029.81307602918</v>
      </c>
      <c r="F97" s="383"/>
      <c r="G97" s="8">
        <f>(E81*(D98/12))+(E95*(D98/24))</f>
        <v>-605.10309048835768</v>
      </c>
      <c r="H97" s="7"/>
      <c r="I97" s="8"/>
      <c r="J97" s="10"/>
    </row>
    <row r="98" spans="1:10" s="382" customFormat="1" ht="15.75" hidden="1">
      <c r="C98" s="50"/>
      <c r="D98" s="225">
        <v>0.01</v>
      </c>
      <c r="E98" s="326">
        <f>ROUND(((E81)+(E95)/2)*(D98/12),2)</f>
        <v>-605.1</v>
      </c>
      <c r="F98" s="383"/>
      <c r="G98" s="65"/>
      <c r="H98" s="7"/>
      <c r="I98" s="10"/>
      <c r="J98" s="10"/>
    </row>
    <row r="99" spans="1:10" s="382" customFormat="1" ht="16.5" hidden="1" thickBot="1">
      <c r="A99" s="5"/>
      <c r="B99" s="5"/>
      <c r="C99" s="50" t="s">
        <v>1</v>
      </c>
      <c r="D99" s="143">
        <f>A84</f>
        <v>41275</v>
      </c>
      <c r="E99" s="327">
        <f>SUM(E97:E98)</f>
        <v>-612634.91307602916</v>
      </c>
      <c r="F99" s="383"/>
      <c r="G99" s="7"/>
      <c r="H99" s="7"/>
      <c r="I99" s="8"/>
      <c r="J99" s="7"/>
    </row>
    <row r="100" spans="1:10" s="382" customFormat="1" ht="16.5" hidden="1" thickTop="1" thickBot="1">
      <c r="E100" s="318"/>
    </row>
    <row r="101" spans="1:10" s="382" customFormat="1" ht="15.75" hidden="1">
      <c r="A101" s="73" t="s">
        <v>142</v>
      </c>
      <c r="B101" s="74"/>
      <c r="C101" s="75"/>
      <c r="D101" s="76"/>
      <c r="E101" s="319"/>
      <c r="G101" s="16"/>
      <c r="H101" s="5"/>
      <c r="I101" s="56"/>
      <c r="J101" s="56"/>
    </row>
    <row r="102" spans="1:10" s="382" customFormat="1" ht="15.75" hidden="1">
      <c r="A102" s="219">
        <v>41333</v>
      </c>
      <c r="B102" s="71"/>
      <c r="C102" s="16"/>
      <c r="D102" s="72" t="s">
        <v>23</v>
      </c>
      <c r="E102" s="320" t="s">
        <v>21</v>
      </c>
      <c r="G102" s="5"/>
      <c r="H102" s="5"/>
      <c r="I102" s="8"/>
      <c r="J102" s="10"/>
    </row>
    <row r="103" spans="1:10" s="382" customFormat="1" ht="16.5" hidden="1" thickBot="1">
      <c r="A103" s="14"/>
      <c r="B103" s="18"/>
      <c r="C103" s="131" t="s">
        <v>21</v>
      </c>
      <c r="D103" s="131" t="s">
        <v>22</v>
      </c>
      <c r="E103" s="321" t="s">
        <v>23</v>
      </c>
      <c r="F103" s="383"/>
      <c r="G103" s="7"/>
      <c r="H103" s="7"/>
      <c r="I103" s="10"/>
      <c r="J103" s="10"/>
    </row>
    <row r="104" spans="1:10" s="382" customFormat="1" ht="15.75" hidden="1">
      <c r="A104" s="2" t="s">
        <v>24</v>
      </c>
      <c r="B104" s="17">
        <v>101</v>
      </c>
      <c r="C104" s="251">
        <v>6162035</v>
      </c>
      <c r="D104" s="387">
        <v>1.7780000000000001E-2</v>
      </c>
      <c r="E104" s="322">
        <f>C104*D104</f>
        <v>109560.9823</v>
      </c>
      <c r="F104" s="383"/>
      <c r="G104" s="7"/>
      <c r="H104" s="7"/>
      <c r="I104" s="8"/>
      <c r="J104" s="7"/>
    </row>
    <row r="105" spans="1:10" s="382" customFormat="1" ht="16.5" hidden="1" thickBot="1">
      <c r="A105" s="2" t="s">
        <v>24</v>
      </c>
      <c r="B105" s="17">
        <v>111</v>
      </c>
      <c r="C105" s="251">
        <v>2375460</v>
      </c>
      <c r="D105" s="387">
        <v>1.7780000000000001E-2</v>
      </c>
      <c r="E105" s="322">
        <f>C105*D105</f>
        <v>42235.678800000002</v>
      </c>
      <c r="F105" s="383"/>
      <c r="G105" s="146">
        <f>A102</f>
        <v>41333</v>
      </c>
      <c r="H105" s="147"/>
      <c r="I105" s="147"/>
      <c r="J105" s="147"/>
    </row>
    <row r="106" spans="1:10" s="382" customFormat="1" ht="16.5" hidden="1" thickBot="1">
      <c r="A106" s="2" t="s">
        <v>24</v>
      </c>
      <c r="B106" s="17">
        <v>112</v>
      </c>
      <c r="C106" s="251"/>
      <c r="D106" s="387"/>
      <c r="E106" s="322">
        <f t="shared" ref="E106:E108" si="3">C106*D106</f>
        <v>0</v>
      </c>
      <c r="F106" s="383"/>
      <c r="G106" s="102" t="s">
        <v>25</v>
      </c>
      <c r="H106" s="148"/>
      <c r="I106" s="149" t="s">
        <v>18</v>
      </c>
      <c r="J106" s="150" t="s">
        <v>19</v>
      </c>
    </row>
    <row r="107" spans="1:10" s="382" customFormat="1" ht="15.75" hidden="1">
      <c r="A107" s="2" t="s">
        <v>24</v>
      </c>
      <c r="B107" s="17">
        <v>121</v>
      </c>
      <c r="C107" s="251"/>
      <c r="D107" s="220"/>
      <c r="E107" s="322">
        <f t="shared" si="3"/>
        <v>0</v>
      </c>
      <c r="F107" s="383"/>
      <c r="G107" s="151" t="s">
        <v>28</v>
      </c>
      <c r="H107" s="152" t="s">
        <v>77</v>
      </c>
      <c r="I107" s="108"/>
      <c r="J107" s="392">
        <v>0</v>
      </c>
    </row>
    <row r="108" spans="1:10" s="382" customFormat="1" ht="15.75" hidden="1">
      <c r="A108" s="2" t="s">
        <v>24</v>
      </c>
      <c r="B108" s="17">
        <v>122</v>
      </c>
      <c r="C108" s="252"/>
      <c r="D108" s="220"/>
      <c r="E108" s="322">
        <f t="shared" si="3"/>
        <v>0</v>
      </c>
      <c r="F108" s="383"/>
      <c r="G108" s="153" t="s">
        <v>29</v>
      </c>
      <c r="H108" s="7" t="s">
        <v>78</v>
      </c>
      <c r="I108" s="393">
        <f>-E116</f>
        <v>447.28</v>
      </c>
      <c r="J108" s="222"/>
    </row>
    <row r="109" spans="1:10" s="382" customFormat="1" ht="15.75" hidden="1">
      <c r="A109" s="2" t="s">
        <v>24</v>
      </c>
      <c r="B109" s="17">
        <v>131</v>
      </c>
      <c r="C109" s="251">
        <v>0</v>
      </c>
      <c r="D109" s="387">
        <v>1.6570000000000001E-2</v>
      </c>
      <c r="E109" s="322">
        <f>C109*D109</f>
        <v>0</v>
      </c>
      <c r="F109" s="383"/>
      <c r="G109" s="153" t="s">
        <v>99</v>
      </c>
      <c r="H109" s="7" t="s">
        <v>60</v>
      </c>
      <c r="I109" s="8"/>
      <c r="J109" s="98">
        <f>-E113-E114</f>
        <v>-151796.6611</v>
      </c>
    </row>
    <row r="110" spans="1:10" s="382" customFormat="1" ht="15.75" hidden="1">
      <c r="A110" s="2" t="s">
        <v>24</v>
      </c>
      <c r="B110" s="17">
        <v>132</v>
      </c>
      <c r="C110" s="252"/>
      <c r="D110" s="121"/>
      <c r="E110" s="322">
        <f t="shared" ref="E110:E112" si="4">C110*D110</f>
        <v>0</v>
      </c>
      <c r="F110" s="383"/>
      <c r="G110" s="153" t="s">
        <v>10</v>
      </c>
      <c r="H110" s="7" t="s">
        <v>58</v>
      </c>
      <c r="I110" s="7">
        <v>0</v>
      </c>
      <c r="J110" s="109"/>
    </row>
    <row r="111" spans="1:10" s="382" customFormat="1" ht="16.5" hidden="1" thickBot="1">
      <c r="A111" s="2" t="s">
        <v>24</v>
      </c>
      <c r="B111" s="17" t="s">
        <v>61</v>
      </c>
      <c r="C111" s="252"/>
      <c r="D111" s="121"/>
      <c r="E111" s="322">
        <f t="shared" si="4"/>
        <v>0</v>
      </c>
      <c r="F111" s="383"/>
      <c r="G111" s="154" t="s">
        <v>100</v>
      </c>
      <c r="H111" s="147" t="s">
        <v>62</v>
      </c>
      <c r="I111" s="110">
        <f>-E99+E117</f>
        <v>151349.3811</v>
      </c>
      <c r="J111" s="107">
        <v>0</v>
      </c>
    </row>
    <row r="112" spans="1:10" s="382" customFormat="1" ht="15.75" hidden="1">
      <c r="A112" s="2" t="s">
        <v>156</v>
      </c>
      <c r="B112" s="70"/>
      <c r="C112" s="250"/>
      <c r="D112" s="136"/>
      <c r="E112" s="323">
        <f t="shared" si="4"/>
        <v>0</v>
      </c>
      <c r="F112" s="383"/>
      <c r="G112" s="7"/>
      <c r="H112" s="7"/>
      <c r="I112" s="8"/>
      <c r="J112" s="259">
        <f>ROUND(SUM(I107:J111),2)</f>
        <v>0</v>
      </c>
    </row>
    <row r="113" spans="1:10" s="382" customFormat="1" ht="16.5" hidden="1" thickBot="1">
      <c r="B113" s="6"/>
      <c r="C113" s="253">
        <f>SUM(C104:C112)</f>
        <v>8537495</v>
      </c>
      <c r="D113" s="155"/>
      <c r="E113" s="324">
        <f>SUM(E104:E112)</f>
        <v>151796.6611</v>
      </c>
      <c r="F113" s="383"/>
      <c r="G113" s="7"/>
      <c r="H113" s="7"/>
      <c r="I113" s="7"/>
      <c r="J113" s="7"/>
    </row>
    <row r="114" spans="1:10" s="382" customFormat="1" ht="16.5" hidden="1" thickTop="1">
      <c r="B114" s="6"/>
      <c r="C114" s="254">
        <v>8537495</v>
      </c>
      <c r="D114" s="66" t="s">
        <v>161</v>
      </c>
      <c r="E114" s="325">
        <v>0</v>
      </c>
      <c r="F114" s="383"/>
      <c r="G114" s="65" t="s">
        <v>158</v>
      </c>
      <c r="H114" s="7"/>
      <c r="I114" s="12"/>
      <c r="J114" s="12"/>
    </row>
    <row r="115" spans="1:10" s="382" customFormat="1" ht="15.75" hidden="1">
      <c r="C115" s="315">
        <f>C113-C114</f>
        <v>0</v>
      </c>
      <c r="D115" s="66" t="s">
        <v>87</v>
      </c>
      <c r="E115" s="324">
        <f>E113+E114+E99</f>
        <v>-460838.25197602913</v>
      </c>
      <c r="F115" s="383"/>
      <c r="G115" s="8">
        <f>(E99*(D116/12))+(E113*(D116/24))</f>
        <v>-447.28048543835769</v>
      </c>
      <c r="H115" s="7"/>
      <c r="I115" s="8"/>
      <c r="J115" s="10"/>
    </row>
    <row r="116" spans="1:10" s="382" customFormat="1" ht="15.75" hidden="1">
      <c r="C116" s="50"/>
      <c r="D116" s="225">
        <v>0.01</v>
      </c>
      <c r="E116" s="326">
        <f>ROUND(((E99)+(E113)/2)*(D116/12),2)</f>
        <v>-447.28</v>
      </c>
      <c r="F116" s="383"/>
      <c r="G116" s="65"/>
      <c r="H116" s="7"/>
      <c r="I116" s="10"/>
      <c r="J116" s="10"/>
    </row>
    <row r="117" spans="1:10" s="382" customFormat="1" ht="16.5" hidden="1" thickBot="1">
      <c r="A117" s="5"/>
      <c r="B117" s="5"/>
      <c r="C117" s="50" t="s">
        <v>1</v>
      </c>
      <c r="D117" s="143">
        <f>A102</f>
        <v>41333</v>
      </c>
      <c r="E117" s="327">
        <f>SUM(E115:E116)</f>
        <v>-461285.53197602916</v>
      </c>
      <c r="F117" s="383"/>
      <c r="G117" s="7"/>
      <c r="H117" s="7"/>
      <c r="I117" s="8"/>
      <c r="J117" s="7"/>
    </row>
    <row r="118" spans="1:10" s="382" customFormat="1" ht="16.5" hidden="1" thickTop="1" thickBot="1">
      <c r="E118" s="318"/>
    </row>
    <row r="119" spans="1:10" s="382" customFormat="1" ht="15.75" hidden="1">
      <c r="A119" s="73" t="s">
        <v>142</v>
      </c>
      <c r="B119" s="74"/>
      <c r="C119" s="75"/>
      <c r="D119" s="76"/>
      <c r="E119" s="319"/>
      <c r="G119" s="16"/>
      <c r="H119" s="5"/>
      <c r="I119" s="56"/>
      <c r="J119" s="56"/>
    </row>
    <row r="120" spans="1:10" s="382" customFormat="1" ht="15.75" hidden="1">
      <c r="A120" s="219">
        <v>41364</v>
      </c>
      <c r="B120" s="71"/>
      <c r="C120" s="16"/>
      <c r="D120" s="72" t="s">
        <v>23</v>
      </c>
      <c r="E120" s="320" t="s">
        <v>21</v>
      </c>
      <c r="G120" s="5"/>
      <c r="H120" s="5"/>
      <c r="I120" s="8"/>
      <c r="J120" s="10"/>
    </row>
    <row r="121" spans="1:10" s="382" customFormat="1" ht="16.5" hidden="1" thickBot="1">
      <c r="A121" s="14"/>
      <c r="B121" s="18"/>
      <c r="C121" s="131" t="s">
        <v>21</v>
      </c>
      <c r="D121" s="131" t="s">
        <v>22</v>
      </c>
      <c r="E121" s="321" t="s">
        <v>23</v>
      </c>
      <c r="F121" s="383"/>
      <c r="G121" s="7"/>
      <c r="H121" s="7"/>
      <c r="I121" s="10"/>
      <c r="J121" s="10"/>
    </row>
    <row r="122" spans="1:10" s="382" customFormat="1" ht="15.75" hidden="1">
      <c r="A122" s="2" t="s">
        <v>24</v>
      </c>
      <c r="B122" s="17">
        <v>101</v>
      </c>
      <c r="C122" s="251">
        <v>6046642</v>
      </c>
      <c r="D122" s="387">
        <v>1.7780000000000001E-2</v>
      </c>
      <c r="E122" s="322">
        <v>107509.29476</v>
      </c>
      <c r="F122" s="383"/>
      <c r="G122" s="7"/>
      <c r="H122" s="7"/>
      <c r="I122" s="8"/>
      <c r="J122" s="7"/>
    </row>
    <row r="123" spans="1:10" s="382" customFormat="1" ht="16.5" hidden="1" thickBot="1">
      <c r="A123" s="2" t="s">
        <v>24</v>
      </c>
      <c r="B123" s="17">
        <v>111</v>
      </c>
      <c r="C123" s="251">
        <v>2214620</v>
      </c>
      <c r="D123" s="387">
        <v>1.7780000000000001E-2</v>
      </c>
      <c r="E123" s="322">
        <v>39375.943599999999</v>
      </c>
      <c r="F123" s="383"/>
      <c r="G123" s="146">
        <f>A120</f>
        <v>41364</v>
      </c>
      <c r="H123" s="147"/>
      <c r="I123" s="147"/>
      <c r="J123" s="147"/>
    </row>
    <row r="124" spans="1:10" s="382" customFormat="1" ht="16.5" hidden="1" thickBot="1">
      <c r="A124" s="2" t="s">
        <v>24</v>
      </c>
      <c r="B124" s="17">
        <v>112</v>
      </c>
      <c r="C124" s="251"/>
      <c r="D124" s="387"/>
      <c r="E124" s="322">
        <v>0</v>
      </c>
      <c r="F124" s="383"/>
      <c r="G124" s="102" t="s">
        <v>25</v>
      </c>
      <c r="H124" s="148"/>
      <c r="I124" s="149" t="s">
        <v>18</v>
      </c>
      <c r="J124" s="150" t="s">
        <v>19</v>
      </c>
    </row>
    <row r="125" spans="1:10" s="382" customFormat="1" ht="15.75" hidden="1">
      <c r="A125" s="2" t="s">
        <v>24</v>
      </c>
      <c r="B125" s="17">
        <v>121</v>
      </c>
      <c r="C125" s="251"/>
      <c r="D125" s="220"/>
      <c r="E125" s="322">
        <v>0</v>
      </c>
      <c r="F125" s="383"/>
      <c r="G125" s="151" t="s">
        <v>28</v>
      </c>
      <c r="H125" s="152" t="s">
        <v>77</v>
      </c>
      <c r="I125" s="108"/>
      <c r="J125" s="392">
        <v>0</v>
      </c>
    </row>
    <row r="126" spans="1:10" s="382" customFormat="1" ht="15.75" hidden="1">
      <c r="A126" s="2" t="s">
        <v>24</v>
      </c>
      <c r="B126" s="17">
        <v>122</v>
      </c>
      <c r="C126" s="252"/>
      <c r="D126" s="220"/>
      <c r="E126" s="322">
        <v>0</v>
      </c>
      <c r="F126" s="383"/>
      <c r="G126" s="153" t="s">
        <v>29</v>
      </c>
      <c r="H126" s="7" t="s">
        <v>78</v>
      </c>
      <c r="I126" s="393">
        <f>-E134</f>
        <v>323.2</v>
      </c>
      <c r="J126" s="222"/>
    </row>
    <row r="127" spans="1:10" s="382" customFormat="1" ht="15.75" hidden="1">
      <c r="A127" s="2" t="s">
        <v>24</v>
      </c>
      <c r="B127" s="17">
        <v>131</v>
      </c>
      <c r="C127" s="251">
        <v>0</v>
      </c>
      <c r="D127" s="387">
        <v>1.6570000000000001E-2</v>
      </c>
      <c r="E127" s="322">
        <v>0</v>
      </c>
      <c r="F127" s="383"/>
      <c r="G127" s="153" t="s">
        <v>99</v>
      </c>
      <c r="H127" s="7" t="s">
        <v>60</v>
      </c>
      <c r="I127" s="8"/>
      <c r="J127" s="98">
        <f>-E131-E132</f>
        <v>-146885.23836000002</v>
      </c>
    </row>
    <row r="128" spans="1:10" s="382" customFormat="1" ht="15.75" hidden="1">
      <c r="A128" s="2" t="s">
        <v>24</v>
      </c>
      <c r="B128" s="17">
        <v>132</v>
      </c>
      <c r="C128" s="252"/>
      <c r="D128" s="121"/>
      <c r="E128" s="322">
        <v>0</v>
      </c>
      <c r="F128" s="383"/>
      <c r="G128" s="153" t="s">
        <v>10</v>
      </c>
      <c r="H128" s="7" t="s">
        <v>58</v>
      </c>
      <c r="I128" s="7">
        <v>0</v>
      </c>
      <c r="J128" s="109"/>
    </row>
    <row r="129" spans="1:10" s="382" customFormat="1" ht="16.5" hidden="1" thickBot="1">
      <c r="A129" s="2" t="s">
        <v>24</v>
      </c>
      <c r="B129" s="17" t="s">
        <v>61</v>
      </c>
      <c r="C129" s="252"/>
      <c r="D129" s="121"/>
      <c r="E129" s="322">
        <v>0</v>
      </c>
      <c r="F129" s="383"/>
      <c r="G129" s="154" t="s">
        <v>100</v>
      </c>
      <c r="H129" s="147" t="s">
        <v>62</v>
      </c>
      <c r="I129" s="110">
        <f>-E117+E135</f>
        <v>146562.03836000001</v>
      </c>
      <c r="J129" s="107">
        <v>0</v>
      </c>
    </row>
    <row r="130" spans="1:10" s="382" customFormat="1" ht="15.75" hidden="1">
      <c r="A130" s="2" t="s">
        <v>156</v>
      </c>
      <c r="B130" s="70"/>
      <c r="C130" s="250"/>
      <c r="D130" s="136"/>
      <c r="E130" s="323">
        <v>0</v>
      </c>
      <c r="F130" s="383"/>
      <c r="G130" s="7"/>
      <c r="H130" s="7"/>
      <c r="I130" s="8"/>
      <c r="J130" s="259">
        <f>ROUND(SUM(I125:J129),2)</f>
        <v>0</v>
      </c>
    </row>
    <row r="131" spans="1:10" s="382" customFormat="1" ht="16.5" hidden="1" thickBot="1">
      <c r="B131" s="6"/>
      <c r="C131" s="253">
        <f>SUM(C122:C130)</f>
        <v>8261262</v>
      </c>
      <c r="D131" s="155"/>
      <c r="E131" s="324">
        <f>SUM(E122:E130)</f>
        <v>146885.23836000002</v>
      </c>
      <c r="F131" s="383"/>
      <c r="G131" s="7"/>
      <c r="H131" s="7"/>
      <c r="I131" s="7"/>
      <c r="J131" s="7"/>
    </row>
    <row r="132" spans="1:10" s="382" customFormat="1" ht="16.5" hidden="1" thickTop="1">
      <c r="B132" s="6"/>
      <c r="C132" s="254">
        <v>8261262</v>
      </c>
      <c r="D132" s="66" t="s">
        <v>161</v>
      </c>
      <c r="E132" s="325">
        <v>0</v>
      </c>
      <c r="F132" s="383"/>
      <c r="G132" s="65" t="s">
        <v>158</v>
      </c>
      <c r="H132" s="7"/>
      <c r="I132" s="12"/>
      <c r="J132" s="12"/>
    </row>
    <row r="133" spans="1:10" s="382" customFormat="1" ht="15.75" hidden="1">
      <c r="C133" s="315">
        <f>C131-C132</f>
        <v>0</v>
      </c>
      <c r="D133" s="66" t="s">
        <v>87</v>
      </c>
      <c r="E133" s="324">
        <f>E131+E132+E117</f>
        <v>-314400.29361602914</v>
      </c>
      <c r="F133" s="383"/>
      <c r="G133" s="8">
        <f>(E117*(D134/12))+(E131*(D134/24))</f>
        <v>-323.20242733002431</v>
      </c>
      <c r="H133" s="7"/>
      <c r="I133" s="8"/>
      <c r="J133" s="10"/>
    </row>
    <row r="134" spans="1:10" s="382" customFormat="1" ht="15.75" hidden="1">
      <c r="C134" s="50"/>
      <c r="D134" s="225">
        <v>0.01</v>
      </c>
      <c r="E134" s="326">
        <f>ROUND(((E117)+(E131)/2)*(D134/12),2)</f>
        <v>-323.2</v>
      </c>
      <c r="F134" s="383"/>
      <c r="G134" s="65"/>
      <c r="H134" s="7"/>
      <c r="I134" s="10"/>
      <c r="J134" s="10"/>
    </row>
    <row r="135" spans="1:10" s="382" customFormat="1" ht="16.5" hidden="1" thickBot="1">
      <c r="A135" s="5"/>
      <c r="B135" s="5"/>
      <c r="C135" s="50" t="s">
        <v>1</v>
      </c>
      <c r="D135" s="143">
        <f>A120</f>
        <v>41364</v>
      </c>
      <c r="E135" s="327">
        <f>SUM(E133:E134)</f>
        <v>-314723.49361602915</v>
      </c>
      <c r="F135" s="383"/>
      <c r="G135" s="7"/>
      <c r="H135" s="7"/>
      <c r="I135" s="8"/>
      <c r="J135" s="7"/>
    </row>
    <row r="136" spans="1:10" ht="16.5" hidden="1" thickTop="1" thickBot="1">
      <c r="A136" s="382"/>
      <c r="B136" s="382"/>
      <c r="C136" s="382"/>
      <c r="D136" s="382"/>
      <c r="F136" s="382"/>
      <c r="G136" s="382"/>
      <c r="H136" s="382"/>
      <c r="I136" s="382"/>
      <c r="J136" s="382"/>
    </row>
    <row r="137" spans="1:10" ht="15.75" hidden="1">
      <c r="A137" s="73" t="s">
        <v>142</v>
      </c>
      <c r="B137" s="74"/>
      <c r="C137" s="75"/>
      <c r="D137" s="76"/>
      <c r="E137" s="319"/>
      <c r="F137" s="382"/>
      <c r="G137" s="16"/>
      <c r="H137" s="5"/>
      <c r="I137" s="56"/>
      <c r="J137" s="56"/>
    </row>
    <row r="138" spans="1:10" ht="15.75" hidden="1">
      <c r="A138" s="219">
        <v>41394</v>
      </c>
      <c r="B138" s="71"/>
      <c r="C138" s="16"/>
      <c r="D138" s="72" t="s">
        <v>23</v>
      </c>
      <c r="E138" s="320" t="s">
        <v>21</v>
      </c>
      <c r="F138" s="382"/>
      <c r="G138" s="5"/>
      <c r="H138" s="5"/>
      <c r="I138" s="8"/>
      <c r="J138" s="10"/>
    </row>
    <row r="139" spans="1:10" ht="16.5" hidden="1" thickBot="1">
      <c r="A139" s="14"/>
      <c r="B139" s="18"/>
      <c r="C139" s="131" t="s">
        <v>21</v>
      </c>
      <c r="D139" s="131" t="s">
        <v>22</v>
      </c>
      <c r="E139" s="321" t="s">
        <v>23</v>
      </c>
      <c r="F139" s="383"/>
      <c r="G139" s="7"/>
      <c r="H139" s="7"/>
      <c r="I139" s="10"/>
      <c r="J139" s="10"/>
    </row>
    <row r="140" spans="1:10" ht="15.75" hidden="1">
      <c r="A140" s="2" t="s">
        <v>24</v>
      </c>
      <c r="B140" s="17">
        <v>101</v>
      </c>
      <c r="C140" s="251">
        <v>4076497</v>
      </c>
      <c r="D140" s="387">
        <v>1.7780000000000001E-2</v>
      </c>
      <c r="E140" s="322">
        <v>72480.11666</v>
      </c>
      <c r="F140" s="383"/>
      <c r="G140" s="7"/>
      <c r="H140" s="7"/>
      <c r="I140" s="8"/>
      <c r="J140" s="7"/>
    </row>
    <row r="141" spans="1:10" ht="16.5" hidden="1" thickBot="1">
      <c r="A141" s="2" t="s">
        <v>24</v>
      </c>
      <c r="B141" s="17">
        <v>111</v>
      </c>
      <c r="C141" s="251">
        <v>1757142</v>
      </c>
      <c r="D141" s="387">
        <v>1.7780000000000001E-2</v>
      </c>
      <c r="E141" s="322">
        <v>31241.984759999999</v>
      </c>
      <c r="F141" s="383"/>
      <c r="G141" s="146">
        <f>A138</f>
        <v>41394</v>
      </c>
      <c r="H141" s="147"/>
      <c r="I141" s="147"/>
      <c r="J141" s="147"/>
    </row>
    <row r="142" spans="1:10" ht="16.5" hidden="1" thickBot="1">
      <c r="A142" s="2" t="s">
        <v>24</v>
      </c>
      <c r="B142" s="17">
        <v>112</v>
      </c>
      <c r="C142" s="251"/>
      <c r="D142" s="387"/>
      <c r="E142" s="322">
        <v>0</v>
      </c>
      <c r="F142" s="383"/>
      <c r="G142" s="102" t="s">
        <v>25</v>
      </c>
      <c r="H142" s="148"/>
      <c r="I142" s="149" t="s">
        <v>18</v>
      </c>
      <c r="J142" s="150" t="s">
        <v>19</v>
      </c>
    </row>
    <row r="143" spans="1:10" ht="15.75" hidden="1">
      <c r="A143" s="2" t="s">
        <v>24</v>
      </c>
      <c r="B143" s="17">
        <v>121</v>
      </c>
      <c r="C143" s="251"/>
      <c r="D143" s="220"/>
      <c r="E143" s="322">
        <v>0</v>
      </c>
      <c r="F143" s="383"/>
      <c r="G143" s="151" t="s">
        <v>28</v>
      </c>
      <c r="H143" s="152" t="s">
        <v>77</v>
      </c>
      <c r="I143" s="108"/>
      <c r="J143" s="392">
        <v>0</v>
      </c>
    </row>
    <row r="144" spans="1:10" ht="15.75" hidden="1">
      <c r="A144" s="2" t="s">
        <v>24</v>
      </c>
      <c r="B144" s="17">
        <v>122</v>
      </c>
      <c r="C144" s="252"/>
      <c r="D144" s="220"/>
      <c r="E144" s="322">
        <v>0</v>
      </c>
      <c r="F144" s="383"/>
      <c r="G144" s="153" t="s">
        <v>29</v>
      </c>
      <c r="H144" s="7" t="s">
        <v>78</v>
      </c>
      <c r="I144" s="393">
        <f>-E152</f>
        <v>219.05</v>
      </c>
      <c r="J144" s="222"/>
    </row>
    <row r="145" spans="1:10" ht="15.75" hidden="1">
      <c r="A145" s="2" t="s">
        <v>24</v>
      </c>
      <c r="B145" s="17">
        <v>131</v>
      </c>
      <c r="C145" s="251">
        <v>0</v>
      </c>
      <c r="D145" s="387">
        <v>1.6570000000000001E-2</v>
      </c>
      <c r="E145" s="322">
        <v>0</v>
      </c>
      <c r="F145" s="383"/>
      <c r="G145" s="153" t="s">
        <v>99</v>
      </c>
      <c r="H145" s="7" t="s">
        <v>60</v>
      </c>
      <c r="I145" s="8"/>
      <c r="J145" s="98">
        <f>-E149-E150</f>
        <v>-103722.10141999999</v>
      </c>
    </row>
    <row r="146" spans="1:10" ht="15.75" hidden="1">
      <c r="A146" s="2" t="s">
        <v>24</v>
      </c>
      <c r="B146" s="17">
        <v>132</v>
      </c>
      <c r="C146" s="252"/>
      <c r="D146" s="121"/>
      <c r="E146" s="322">
        <v>0</v>
      </c>
      <c r="F146" s="383"/>
      <c r="G146" s="153" t="s">
        <v>10</v>
      </c>
      <c r="H146" s="7" t="s">
        <v>58</v>
      </c>
      <c r="I146" s="7">
        <v>0</v>
      </c>
      <c r="J146" s="109"/>
    </row>
    <row r="147" spans="1:10" ht="16.5" hidden="1" thickBot="1">
      <c r="A147" s="2" t="s">
        <v>24</v>
      </c>
      <c r="B147" s="17" t="s">
        <v>61</v>
      </c>
      <c r="C147" s="252"/>
      <c r="D147" s="121"/>
      <c r="E147" s="322">
        <v>0</v>
      </c>
      <c r="F147" s="383"/>
      <c r="G147" s="154" t="s">
        <v>100</v>
      </c>
      <c r="H147" s="147" t="s">
        <v>62</v>
      </c>
      <c r="I147" s="110">
        <f>-E135+E153</f>
        <v>103503.05142</v>
      </c>
      <c r="J147" s="107">
        <v>0</v>
      </c>
    </row>
    <row r="148" spans="1:10" ht="15.75" hidden="1">
      <c r="A148" s="2" t="s">
        <v>156</v>
      </c>
      <c r="B148" s="70"/>
      <c r="C148" s="250"/>
      <c r="D148" s="136"/>
      <c r="E148" s="323">
        <v>0</v>
      </c>
      <c r="F148" s="383"/>
      <c r="G148" s="7"/>
      <c r="H148" s="7"/>
      <c r="I148" s="8"/>
      <c r="J148" s="259">
        <f>ROUND(SUM(I143:J147),2)</f>
        <v>0</v>
      </c>
    </row>
    <row r="149" spans="1:10" ht="16.5" hidden="1" thickBot="1">
      <c r="A149" s="382"/>
      <c r="B149" s="6"/>
      <c r="C149" s="253">
        <f>SUM(C140:C148)</f>
        <v>5833639</v>
      </c>
      <c r="D149" s="155"/>
      <c r="E149" s="324">
        <f>SUM(E140:E148)</f>
        <v>103722.10141999999</v>
      </c>
      <c r="F149" s="383"/>
      <c r="G149" s="7"/>
      <c r="H149" s="7"/>
      <c r="I149" s="7"/>
      <c r="J149" s="7"/>
    </row>
    <row r="150" spans="1:10" ht="16.5" hidden="1" thickTop="1">
      <c r="A150" s="382"/>
      <c r="B150" s="6"/>
      <c r="C150" s="254">
        <v>5833639</v>
      </c>
      <c r="D150" s="66" t="s">
        <v>161</v>
      </c>
      <c r="E150" s="325">
        <v>0</v>
      </c>
      <c r="F150" s="383"/>
      <c r="G150" s="65" t="s">
        <v>158</v>
      </c>
      <c r="H150" s="7"/>
      <c r="I150" s="12"/>
      <c r="J150" s="12"/>
    </row>
    <row r="151" spans="1:10" ht="15.75" hidden="1">
      <c r="A151" s="382"/>
      <c r="B151" s="382"/>
      <c r="C151" s="315">
        <f>C149-C150</f>
        <v>0</v>
      </c>
      <c r="D151" s="66" t="s">
        <v>87</v>
      </c>
      <c r="E151" s="324">
        <f>E149+E150+E135</f>
        <v>-211001.39219602916</v>
      </c>
      <c r="F151" s="383"/>
      <c r="G151" s="8">
        <f>(E135*(D152/12))+(E149*(D152/24))</f>
        <v>-219.05203575502432</v>
      </c>
      <c r="H151" s="7"/>
      <c r="I151" s="8"/>
      <c r="J151" s="10"/>
    </row>
    <row r="152" spans="1:10" ht="15.75" hidden="1">
      <c r="A152" s="382"/>
      <c r="B152" s="382"/>
      <c r="C152" s="50"/>
      <c r="D152" s="225">
        <v>0.01</v>
      </c>
      <c r="E152" s="326">
        <f>ROUND(((E135)+(E149)/2)*(D152/12),2)</f>
        <v>-219.05</v>
      </c>
      <c r="F152" s="383"/>
      <c r="G152" s="65"/>
      <c r="H152" s="7"/>
      <c r="I152" s="10"/>
      <c r="J152" s="10"/>
    </row>
    <row r="153" spans="1:10" ht="16.5" hidden="1" thickBot="1">
      <c r="A153" s="5"/>
      <c r="B153" s="5"/>
      <c r="C153" s="50" t="s">
        <v>1</v>
      </c>
      <c r="D153" s="143">
        <f>A138</f>
        <v>41394</v>
      </c>
      <c r="E153" s="327">
        <f>SUM(E151:E152)</f>
        <v>-211220.44219602915</v>
      </c>
      <c r="F153" s="383"/>
      <c r="G153" s="7"/>
      <c r="H153" s="7"/>
      <c r="I153" s="8"/>
      <c r="J153" s="7"/>
    </row>
    <row r="154" spans="1:10" s="382" customFormat="1" ht="16.5" hidden="1" thickTop="1" thickBot="1">
      <c r="E154" s="318"/>
    </row>
    <row r="155" spans="1:10" s="382" customFormat="1" ht="15.75" hidden="1">
      <c r="A155" s="73" t="s">
        <v>142</v>
      </c>
      <c r="B155" s="74"/>
      <c r="C155" s="75"/>
      <c r="D155" s="76"/>
      <c r="E155" s="319"/>
      <c r="G155" s="16"/>
      <c r="H155" s="5"/>
      <c r="I155" s="56"/>
      <c r="J155" s="56"/>
    </row>
    <row r="156" spans="1:10" s="382" customFormat="1" ht="15.75" hidden="1">
      <c r="A156" s="219">
        <v>41425</v>
      </c>
      <c r="B156" s="71"/>
      <c r="C156" s="16"/>
      <c r="D156" s="72" t="s">
        <v>23</v>
      </c>
      <c r="E156" s="320" t="s">
        <v>21</v>
      </c>
      <c r="G156" s="5"/>
      <c r="H156" s="5"/>
      <c r="I156" s="8"/>
      <c r="J156" s="10"/>
    </row>
    <row r="157" spans="1:10" s="382" customFormat="1" ht="16.5" hidden="1" thickBot="1">
      <c r="A157" s="14"/>
      <c r="B157" s="18"/>
      <c r="C157" s="131" t="s">
        <v>21</v>
      </c>
      <c r="D157" s="131" t="s">
        <v>22</v>
      </c>
      <c r="E157" s="321" t="s">
        <v>23</v>
      </c>
      <c r="F157" s="383"/>
      <c r="G157" s="7"/>
      <c r="H157" s="7"/>
      <c r="I157" s="10"/>
      <c r="J157" s="10"/>
    </row>
    <row r="158" spans="1:10" s="382" customFormat="1" ht="15.75" hidden="1">
      <c r="A158" s="2" t="s">
        <v>24</v>
      </c>
      <c r="B158" s="17">
        <v>101</v>
      </c>
      <c r="C158" s="251">
        <v>1886293</v>
      </c>
      <c r="D158" s="387">
        <v>1.7780000000000001E-2</v>
      </c>
      <c r="E158" s="322">
        <v>33538.289539999998</v>
      </c>
      <c r="F158" s="383"/>
      <c r="G158" s="7"/>
      <c r="H158" s="7"/>
      <c r="I158" s="8"/>
      <c r="J158" s="7"/>
    </row>
    <row r="159" spans="1:10" s="382" customFormat="1" ht="16.5" hidden="1" thickBot="1">
      <c r="A159" s="2" t="s">
        <v>24</v>
      </c>
      <c r="B159" s="17">
        <v>111</v>
      </c>
      <c r="C159" s="251">
        <v>1075171</v>
      </c>
      <c r="D159" s="387">
        <v>1.7780000000000001E-2</v>
      </c>
      <c r="E159" s="322">
        <v>19116.540380000002</v>
      </c>
      <c r="F159" s="383"/>
      <c r="G159" s="146">
        <f>A156</f>
        <v>41425</v>
      </c>
      <c r="H159" s="147"/>
      <c r="I159" s="147"/>
      <c r="J159" s="147"/>
    </row>
    <row r="160" spans="1:10" s="382" customFormat="1" ht="16.5" hidden="1" thickBot="1">
      <c r="A160" s="2" t="s">
        <v>24</v>
      </c>
      <c r="B160" s="17">
        <v>112</v>
      </c>
      <c r="C160" s="251"/>
      <c r="D160" s="387"/>
      <c r="E160" s="322">
        <v>0</v>
      </c>
      <c r="F160" s="383"/>
      <c r="G160" s="102" t="s">
        <v>25</v>
      </c>
      <c r="H160" s="148"/>
      <c r="I160" s="149" t="s">
        <v>18</v>
      </c>
      <c r="J160" s="150" t="s">
        <v>19</v>
      </c>
    </row>
    <row r="161" spans="1:10" s="382" customFormat="1" ht="15.75" hidden="1">
      <c r="A161" s="2" t="s">
        <v>24</v>
      </c>
      <c r="B161" s="17">
        <v>121</v>
      </c>
      <c r="C161" s="251"/>
      <c r="D161" s="220"/>
      <c r="E161" s="322">
        <v>0</v>
      </c>
      <c r="F161" s="383"/>
      <c r="G161" s="151" t="s">
        <v>28</v>
      </c>
      <c r="H161" s="152" t="s">
        <v>77</v>
      </c>
      <c r="I161" s="108"/>
      <c r="J161" s="392">
        <v>0</v>
      </c>
    </row>
    <row r="162" spans="1:10" s="382" customFormat="1" ht="15.75" hidden="1">
      <c r="A162" s="2" t="s">
        <v>24</v>
      </c>
      <c r="B162" s="17">
        <v>122</v>
      </c>
      <c r="C162" s="252"/>
      <c r="D162" s="220"/>
      <c r="E162" s="322">
        <v>0</v>
      </c>
      <c r="F162" s="383"/>
      <c r="G162" s="153" t="s">
        <v>29</v>
      </c>
      <c r="H162" s="7" t="s">
        <v>78</v>
      </c>
      <c r="I162" s="393">
        <f>-E170</f>
        <v>154.08000000000001</v>
      </c>
      <c r="J162" s="222"/>
    </row>
    <row r="163" spans="1:10" s="382" customFormat="1" ht="15.75" hidden="1">
      <c r="A163" s="2" t="s">
        <v>24</v>
      </c>
      <c r="B163" s="17">
        <v>131</v>
      </c>
      <c r="C163" s="251">
        <v>0</v>
      </c>
      <c r="D163" s="387">
        <v>1.6570000000000001E-2</v>
      </c>
      <c r="E163" s="322">
        <v>0</v>
      </c>
      <c r="F163" s="383"/>
      <c r="G163" s="153" t="s">
        <v>99</v>
      </c>
      <c r="H163" s="7" t="s">
        <v>60</v>
      </c>
      <c r="I163" s="8"/>
      <c r="J163" s="98">
        <f>-E167-E168</f>
        <v>-52654.829920000004</v>
      </c>
    </row>
    <row r="164" spans="1:10" s="382" customFormat="1" ht="15.75" hidden="1">
      <c r="A164" s="2" t="s">
        <v>24</v>
      </c>
      <c r="B164" s="17">
        <v>132</v>
      </c>
      <c r="C164" s="252"/>
      <c r="D164" s="121"/>
      <c r="E164" s="322">
        <v>0</v>
      </c>
      <c r="F164" s="383"/>
      <c r="G164" s="153" t="s">
        <v>10</v>
      </c>
      <c r="H164" s="7" t="s">
        <v>58</v>
      </c>
      <c r="I164" s="7">
        <v>0</v>
      </c>
      <c r="J164" s="109"/>
    </row>
    <row r="165" spans="1:10" s="382" customFormat="1" ht="16.5" hidden="1" thickBot="1">
      <c r="A165" s="2" t="s">
        <v>24</v>
      </c>
      <c r="B165" s="17" t="s">
        <v>61</v>
      </c>
      <c r="C165" s="252"/>
      <c r="D165" s="121"/>
      <c r="E165" s="322">
        <v>0</v>
      </c>
      <c r="F165" s="383"/>
      <c r="G165" s="154" t="s">
        <v>100</v>
      </c>
      <c r="H165" s="147" t="s">
        <v>62</v>
      </c>
      <c r="I165" s="110">
        <f>-E153+E171</f>
        <v>52500.749920000031</v>
      </c>
      <c r="J165" s="107">
        <v>0</v>
      </c>
    </row>
    <row r="166" spans="1:10" s="382" customFormat="1" ht="15.75" hidden="1">
      <c r="A166" s="2" t="s">
        <v>156</v>
      </c>
      <c r="B166" s="70"/>
      <c r="C166" s="250"/>
      <c r="D166" s="136"/>
      <c r="E166" s="323">
        <v>0</v>
      </c>
      <c r="F166" s="383"/>
      <c r="G166" s="7"/>
      <c r="H166" s="7"/>
      <c r="I166" s="8"/>
      <c r="J166" s="259">
        <f>ROUND(SUM(I161:J165),2)</f>
        <v>0</v>
      </c>
    </row>
    <row r="167" spans="1:10" s="382" customFormat="1" ht="16.5" hidden="1" thickBot="1">
      <c r="B167" s="6"/>
      <c r="C167" s="253">
        <f>SUM(C158:C166)</f>
        <v>2961464</v>
      </c>
      <c r="D167" s="155"/>
      <c r="E167" s="324">
        <f>SUM(E158:E166)</f>
        <v>52654.829920000004</v>
      </c>
      <c r="F167" s="383"/>
      <c r="G167" s="7"/>
      <c r="H167" s="7"/>
      <c r="I167" s="7"/>
      <c r="J167" s="7"/>
    </row>
    <row r="168" spans="1:10" s="382" customFormat="1" ht="16.5" hidden="1" thickTop="1">
      <c r="B168" s="6"/>
      <c r="C168" s="254">
        <v>2961464</v>
      </c>
      <c r="D168" s="66" t="s">
        <v>161</v>
      </c>
      <c r="E168" s="325">
        <v>0</v>
      </c>
      <c r="F168" s="383"/>
      <c r="G168" s="65" t="s">
        <v>158</v>
      </c>
      <c r="H168" s="7"/>
      <c r="I168" s="12"/>
      <c r="J168" s="12"/>
    </row>
    <row r="169" spans="1:10" s="382" customFormat="1" ht="15.75" hidden="1">
      <c r="C169" s="315">
        <f>C167-C168</f>
        <v>0</v>
      </c>
      <c r="D169" s="66" t="s">
        <v>87</v>
      </c>
      <c r="E169" s="324">
        <f>E167+E168+E153</f>
        <v>-158565.61227602913</v>
      </c>
      <c r="F169" s="383"/>
      <c r="G169" s="8">
        <f>(E153*(D170/12))+(E167*(D170/24))</f>
        <v>-154.07752269669095</v>
      </c>
      <c r="H169" s="7"/>
      <c r="I169" s="8"/>
      <c r="J169" s="10"/>
    </row>
    <row r="170" spans="1:10" s="382" customFormat="1" ht="15.75" hidden="1">
      <c r="C170" s="50"/>
      <c r="D170" s="225">
        <v>0.01</v>
      </c>
      <c r="E170" s="326">
        <f>ROUND(((E153)+(E167)/2)*(D170/12),2)</f>
        <v>-154.08000000000001</v>
      </c>
      <c r="F170" s="383"/>
      <c r="G170" s="65"/>
      <c r="H170" s="7"/>
      <c r="I170" s="10"/>
      <c r="J170" s="10"/>
    </row>
    <row r="171" spans="1:10" s="382" customFormat="1" ht="16.5" hidden="1" thickBot="1">
      <c r="A171" s="5"/>
      <c r="B171" s="5"/>
      <c r="C171" s="50" t="s">
        <v>1</v>
      </c>
      <c r="D171" s="143">
        <f>A156</f>
        <v>41425</v>
      </c>
      <c r="E171" s="327">
        <f>SUM(E169:E170)</f>
        <v>-158719.69227602912</v>
      </c>
      <c r="F171" s="383"/>
      <c r="G171" s="7"/>
      <c r="H171" s="7"/>
      <c r="I171" s="8"/>
      <c r="J171" s="7"/>
    </row>
    <row r="172" spans="1:10" s="382" customFormat="1" ht="16.5" hidden="1" thickTop="1" thickBot="1">
      <c r="E172" s="318"/>
    </row>
    <row r="173" spans="1:10" s="382" customFormat="1" ht="15.75" hidden="1">
      <c r="A173" s="73" t="s">
        <v>142</v>
      </c>
      <c r="B173" s="74"/>
      <c r="C173" s="75"/>
      <c r="D173" s="76"/>
      <c r="E173" s="319"/>
      <c r="G173" s="16"/>
      <c r="H173" s="5"/>
      <c r="I173" s="56"/>
      <c r="J173" s="56"/>
    </row>
    <row r="174" spans="1:10" s="382" customFormat="1" ht="15.75" hidden="1">
      <c r="A174" s="219">
        <v>41426</v>
      </c>
      <c r="B174" s="71"/>
      <c r="C174" s="16"/>
      <c r="D174" s="72" t="s">
        <v>23</v>
      </c>
      <c r="E174" s="320" t="s">
        <v>21</v>
      </c>
      <c r="G174" s="5"/>
      <c r="H174" s="5"/>
      <c r="I174" s="8"/>
      <c r="J174" s="10"/>
    </row>
    <row r="175" spans="1:10" s="382" customFormat="1" ht="16.5" hidden="1" thickBot="1">
      <c r="A175" s="14"/>
      <c r="B175" s="18"/>
      <c r="C175" s="131" t="s">
        <v>21</v>
      </c>
      <c r="D175" s="131" t="s">
        <v>22</v>
      </c>
      <c r="E175" s="321" t="s">
        <v>23</v>
      </c>
      <c r="F175" s="383"/>
      <c r="G175" s="7"/>
      <c r="H175" s="7"/>
      <c r="I175" s="10"/>
      <c r="J175" s="10"/>
    </row>
    <row r="176" spans="1:10" s="382" customFormat="1" ht="15.75" hidden="1">
      <c r="A176" s="2" t="s">
        <v>24</v>
      </c>
      <c r="B176" s="17">
        <v>101</v>
      </c>
      <c r="C176" s="251">
        <v>1322327</v>
      </c>
      <c r="D176" s="387">
        <v>1.7780000000000001E-2</v>
      </c>
      <c r="E176" s="322">
        <v>23510.97406</v>
      </c>
      <c r="F176" s="383"/>
      <c r="G176" s="7"/>
      <c r="H176" s="7"/>
      <c r="I176" s="8"/>
      <c r="J176" s="7"/>
    </row>
    <row r="177" spans="1:10" s="382" customFormat="1" ht="16.5" hidden="1" thickBot="1">
      <c r="A177" s="2" t="s">
        <v>24</v>
      </c>
      <c r="B177" s="17">
        <v>111</v>
      </c>
      <c r="C177" s="251">
        <v>1044472</v>
      </c>
      <c r="D177" s="387">
        <v>1.7780000000000001E-2</v>
      </c>
      <c r="E177" s="322">
        <v>18570.712159999999</v>
      </c>
      <c r="F177" s="383"/>
      <c r="G177" s="146">
        <f>A174</f>
        <v>41426</v>
      </c>
      <c r="H177" s="147"/>
      <c r="I177" s="147"/>
      <c r="J177" s="147"/>
    </row>
    <row r="178" spans="1:10" s="382" customFormat="1" ht="16.5" hidden="1" thickBot="1">
      <c r="A178" s="2" t="s">
        <v>24</v>
      </c>
      <c r="B178" s="17">
        <v>112</v>
      </c>
      <c r="C178" s="251"/>
      <c r="D178" s="387"/>
      <c r="E178" s="322">
        <v>0</v>
      </c>
      <c r="F178" s="383"/>
      <c r="G178" s="102" t="s">
        <v>25</v>
      </c>
      <c r="H178" s="148"/>
      <c r="I178" s="149" t="s">
        <v>18</v>
      </c>
      <c r="J178" s="150" t="s">
        <v>19</v>
      </c>
    </row>
    <row r="179" spans="1:10" s="382" customFormat="1" ht="15.75" hidden="1">
      <c r="A179" s="2" t="s">
        <v>24</v>
      </c>
      <c r="B179" s="17">
        <v>121</v>
      </c>
      <c r="C179" s="251"/>
      <c r="D179" s="220"/>
      <c r="E179" s="322">
        <v>0</v>
      </c>
      <c r="F179" s="383"/>
      <c r="G179" s="151" t="s">
        <v>28</v>
      </c>
      <c r="H179" s="152" t="s">
        <v>77</v>
      </c>
      <c r="I179" s="108"/>
      <c r="J179" s="392">
        <v>0</v>
      </c>
    </row>
    <row r="180" spans="1:10" s="382" customFormat="1" ht="15.75" hidden="1">
      <c r="A180" s="2" t="s">
        <v>24</v>
      </c>
      <c r="B180" s="17">
        <v>122</v>
      </c>
      <c r="C180" s="252"/>
      <c r="D180" s="220"/>
      <c r="E180" s="322">
        <v>0</v>
      </c>
      <c r="F180" s="383"/>
      <c r="G180" s="153" t="s">
        <v>29</v>
      </c>
      <c r="H180" s="7" t="s">
        <v>78</v>
      </c>
      <c r="I180" s="393">
        <f>-E188</f>
        <v>114.73</v>
      </c>
      <c r="J180" s="222"/>
    </row>
    <row r="181" spans="1:10" s="382" customFormat="1" ht="15.75" hidden="1">
      <c r="A181" s="2" t="s">
        <v>24</v>
      </c>
      <c r="B181" s="17">
        <v>131</v>
      </c>
      <c r="C181" s="251">
        <v>0</v>
      </c>
      <c r="D181" s="387">
        <v>1.6570000000000001E-2</v>
      </c>
      <c r="E181" s="322">
        <v>0</v>
      </c>
      <c r="F181" s="383"/>
      <c r="G181" s="153" t="s">
        <v>99</v>
      </c>
      <c r="H181" s="7" t="s">
        <v>60</v>
      </c>
      <c r="I181" s="8"/>
      <c r="J181" s="98">
        <f>-E185-E186</f>
        <v>-42081.686220000003</v>
      </c>
    </row>
    <row r="182" spans="1:10" s="382" customFormat="1" ht="15.75" hidden="1">
      <c r="A182" s="2" t="s">
        <v>24</v>
      </c>
      <c r="B182" s="17">
        <v>132</v>
      </c>
      <c r="C182" s="252"/>
      <c r="D182" s="121"/>
      <c r="E182" s="322">
        <v>0</v>
      </c>
      <c r="F182" s="383"/>
      <c r="G182" s="153" t="s">
        <v>10</v>
      </c>
      <c r="H182" s="7" t="s">
        <v>58</v>
      </c>
      <c r="I182" s="7">
        <v>0</v>
      </c>
      <c r="J182" s="109"/>
    </row>
    <row r="183" spans="1:10" s="382" customFormat="1" ht="16.5" hidden="1" thickBot="1">
      <c r="A183" s="2" t="s">
        <v>24</v>
      </c>
      <c r="B183" s="17" t="s">
        <v>61</v>
      </c>
      <c r="C183" s="252"/>
      <c r="D183" s="121"/>
      <c r="E183" s="322">
        <v>0</v>
      </c>
      <c r="F183" s="383"/>
      <c r="G183" s="154" t="s">
        <v>100</v>
      </c>
      <c r="H183" s="147" t="s">
        <v>62</v>
      </c>
      <c r="I183" s="110">
        <f>-E171+E189</f>
        <v>41966.956220000007</v>
      </c>
      <c r="J183" s="107">
        <v>0</v>
      </c>
    </row>
    <row r="184" spans="1:10" s="382" customFormat="1" ht="15.75" hidden="1">
      <c r="A184" s="2" t="s">
        <v>156</v>
      </c>
      <c r="B184" s="70"/>
      <c r="C184" s="250"/>
      <c r="D184" s="136"/>
      <c r="E184" s="323">
        <v>0</v>
      </c>
      <c r="F184" s="383"/>
      <c r="G184" s="7"/>
      <c r="H184" s="7"/>
      <c r="I184" s="8"/>
      <c r="J184" s="259">
        <f>ROUND(SUM(I179:J183),2)</f>
        <v>0</v>
      </c>
    </row>
    <row r="185" spans="1:10" s="382" customFormat="1" ht="16.5" hidden="1" thickBot="1">
      <c r="B185" s="6"/>
      <c r="C185" s="253">
        <f>SUM(C176:C184)</f>
        <v>2366799</v>
      </c>
      <c r="D185" s="155"/>
      <c r="E185" s="324">
        <f>SUM(E176:E184)</f>
        <v>42081.686220000003</v>
      </c>
      <c r="F185" s="383"/>
      <c r="G185" s="7"/>
      <c r="H185" s="7"/>
      <c r="I185" s="7"/>
      <c r="J185" s="7"/>
    </row>
    <row r="186" spans="1:10" s="382" customFormat="1" ht="16.5" hidden="1" thickTop="1">
      <c r="B186" s="6"/>
      <c r="C186" s="254">
        <v>2366799</v>
      </c>
      <c r="D186" s="66" t="s">
        <v>161</v>
      </c>
      <c r="E186" s="325">
        <v>0</v>
      </c>
      <c r="F186" s="383"/>
      <c r="G186" s="65" t="s">
        <v>158</v>
      </c>
      <c r="H186" s="7"/>
      <c r="I186" s="12"/>
      <c r="J186" s="12"/>
    </row>
    <row r="187" spans="1:10" s="382" customFormat="1" ht="15.75" hidden="1">
      <c r="C187" s="315">
        <f>C185-C186</f>
        <v>0</v>
      </c>
      <c r="D187" s="66" t="s">
        <v>87</v>
      </c>
      <c r="E187" s="324">
        <f>E185+E186+E171</f>
        <v>-116638.00605602912</v>
      </c>
      <c r="F187" s="383"/>
      <c r="G187" s="8">
        <f>(E171*(D188/12))+(E185*(D188/24))</f>
        <v>-114.73237430502427</v>
      </c>
      <c r="H187" s="7"/>
      <c r="I187" s="8"/>
      <c r="J187" s="10"/>
    </row>
    <row r="188" spans="1:10" s="382" customFormat="1" ht="15.75" hidden="1">
      <c r="C188" s="50"/>
      <c r="D188" s="225">
        <v>0.01</v>
      </c>
      <c r="E188" s="326">
        <f>ROUND(((E171)+(E185)/2)*(D188/12),2)</f>
        <v>-114.73</v>
      </c>
      <c r="F188" s="383"/>
      <c r="G188" s="65"/>
      <c r="H188" s="7"/>
      <c r="I188" s="10"/>
      <c r="J188" s="10"/>
    </row>
    <row r="189" spans="1:10" s="382" customFormat="1" ht="16.5" thickBot="1">
      <c r="A189" s="5"/>
      <c r="B189" s="5"/>
      <c r="C189" s="50" t="s">
        <v>1</v>
      </c>
      <c r="D189" s="143">
        <f>A174</f>
        <v>41426</v>
      </c>
      <c r="E189" s="327">
        <f>SUM(E187:E188)</f>
        <v>-116752.73605602911</v>
      </c>
      <c r="F189" s="383"/>
      <c r="G189" s="7"/>
      <c r="H189" s="7"/>
      <c r="I189" s="8"/>
      <c r="J189" s="7"/>
    </row>
    <row r="190" spans="1:10" s="382" customFormat="1" ht="16.5" thickTop="1" thickBot="1">
      <c r="E190" s="318"/>
    </row>
    <row r="191" spans="1:10" s="382" customFormat="1" ht="15.75">
      <c r="A191" s="73" t="s">
        <v>142</v>
      </c>
      <c r="B191" s="74"/>
      <c r="C191" s="75"/>
      <c r="D191" s="76"/>
      <c r="E191" s="319"/>
      <c r="G191" s="16"/>
      <c r="H191" s="5"/>
      <c r="I191" s="56"/>
      <c r="J191" s="56"/>
    </row>
    <row r="192" spans="1:10" s="382" customFormat="1" ht="15.75">
      <c r="A192" s="219">
        <v>41456</v>
      </c>
      <c r="B192" s="71"/>
      <c r="C192" s="16"/>
      <c r="D192" s="72" t="s">
        <v>23</v>
      </c>
      <c r="E192" s="320" t="s">
        <v>21</v>
      </c>
      <c r="G192" s="5"/>
      <c r="H192" s="5"/>
      <c r="I192" s="8"/>
      <c r="J192" s="10"/>
    </row>
    <row r="193" spans="1:10" s="382" customFormat="1" ht="16.5" thickBot="1">
      <c r="A193" s="14"/>
      <c r="B193" s="18"/>
      <c r="C193" s="131" t="s">
        <v>21</v>
      </c>
      <c r="D193" s="131" t="s">
        <v>22</v>
      </c>
      <c r="E193" s="321" t="s">
        <v>23</v>
      </c>
      <c r="F193" s="383"/>
      <c r="G193" s="7"/>
      <c r="H193" s="7"/>
      <c r="I193" s="10"/>
      <c r="J193" s="10"/>
    </row>
    <row r="194" spans="1:10" s="382" customFormat="1" ht="15.75">
      <c r="A194" s="2" t="s">
        <v>24</v>
      </c>
      <c r="B194" s="17">
        <v>101</v>
      </c>
      <c r="C194" s="251">
        <v>970543</v>
      </c>
      <c r="D194" s="387">
        <v>1.7780000000000001E-2</v>
      </c>
      <c r="E194" s="322">
        <v>17256.254540000002</v>
      </c>
      <c r="F194" s="383"/>
      <c r="G194" s="7"/>
      <c r="H194" s="7"/>
      <c r="I194" s="8"/>
      <c r="J194" s="7"/>
    </row>
    <row r="195" spans="1:10" s="382" customFormat="1" ht="16.5" thickBot="1">
      <c r="A195" s="2" t="s">
        <v>24</v>
      </c>
      <c r="B195" s="17">
        <v>111</v>
      </c>
      <c r="C195" s="251">
        <v>805059</v>
      </c>
      <c r="D195" s="387">
        <v>1.7780000000000001E-2</v>
      </c>
      <c r="E195" s="322">
        <v>14313.94902</v>
      </c>
      <c r="F195" s="383"/>
      <c r="G195" s="146">
        <f>A192</f>
        <v>41456</v>
      </c>
      <c r="H195" s="147"/>
      <c r="I195" s="147"/>
      <c r="J195" s="147"/>
    </row>
    <row r="196" spans="1:10" s="382" customFormat="1" ht="16.5" thickBot="1">
      <c r="A196" s="2" t="s">
        <v>24</v>
      </c>
      <c r="B196" s="17">
        <v>112</v>
      </c>
      <c r="C196" s="251"/>
      <c r="D196" s="387"/>
      <c r="E196" s="322">
        <v>0</v>
      </c>
      <c r="F196" s="383"/>
      <c r="G196" s="102" t="s">
        <v>25</v>
      </c>
      <c r="H196" s="148"/>
      <c r="I196" s="149" t="s">
        <v>18</v>
      </c>
      <c r="J196" s="150" t="s">
        <v>19</v>
      </c>
    </row>
    <row r="197" spans="1:10" s="382" customFormat="1" ht="15.75">
      <c r="A197" s="2" t="s">
        <v>24</v>
      </c>
      <c r="B197" s="17">
        <v>121</v>
      </c>
      <c r="C197" s="251"/>
      <c r="D197" s="220"/>
      <c r="E197" s="322">
        <v>0</v>
      </c>
      <c r="F197" s="383"/>
      <c r="G197" s="151" t="s">
        <v>28</v>
      </c>
      <c r="H197" s="152" t="s">
        <v>77</v>
      </c>
      <c r="I197" s="108"/>
      <c r="J197" s="392">
        <v>0</v>
      </c>
    </row>
    <row r="198" spans="1:10" s="382" customFormat="1" ht="15.75">
      <c r="A198" s="2" t="s">
        <v>24</v>
      </c>
      <c r="B198" s="17">
        <v>122</v>
      </c>
      <c r="C198" s="252"/>
      <c r="D198" s="220"/>
      <c r="E198" s="322">
        <v>0</v>
      </c>
      <c r="F198" s="383"/>
      <c r="G198" s="153" t="s">
        <v>29</v>
      </c>
      <c r="H198" s="7" t="s">
        <v>78</v>
      </c>
      <c r="I198" s="393">
        <f>-E206</f>
        <v>84.14</v>
      </c>
      <c r="J198" s="222"/>
    </row>
    <row r="199" spans="1:10" s="382" customFormat="1" ht="15.75">
      <c r="A199" s="2" t="s">
        <v>24</v>
      </c>
      <c r="B199" s="17">
        <v>131</v>
      </c>
      <c r="C199" s="251">
        <v>0</v>
      </c>
      <c r="D199" s="387">
        <v>1.6570000000000001E-2</v>
      </c>
      <c r="E199" s="322">
        <v>0</v>
      </c>
      <c r="F199" s="383"/>
      <c r="G199" s="153" t="s">
        <v>99</v>
      </c>
      <c r="H199" s="7" t="s">
        <v>60</v>
      </c>
      <c r="I199" s="8"/>
      <c r="J199" s="98">
        <f>-E203-E204</f>
        <v>-31570.203560000002</v>
      </c>
    </row>
    <row r="200" spans="1:10" s="382" customFormat="1" ht="15.75">
      <c r="A200" s="2" t="s">
        <v>24</v>
      </c>
      <c r="B200" s="17">
        <v>132</v>
      </c>
      <c r="C200" s="252"/>
      <c r="D200" s="121"/>
      <c r="E200" s="322">
        <v>0</v>
      </c>
      <c r="F200" s="383"/>
      <c r="G200" s="153" t="s">
        <v>10</v>
      </c>
      <c r="H200" s="7" t="s">
        <v>58</v>
      </c>
      <c r="I200" s="7">
        <v>0</v>
      </c>
      <c r="J200" s="109"/>
    </row>
    <row r="201" spans="1:10" s="382" customFormat="1" ht="16.5" thickBot="1">
      <c r="A201" s="2" t="s">
        <v>24</v>
      </c>
      <c r="B201" s="17" t="s">
        <v>61</v>
      </c>
      <c r="C201" s="252"/>
      <c r="D201" s="121"/>
      <c r="E201" s="322">
        <v>0</v>
      </c>
      <c r="F201" s="383"/>
      <c r="G201" s="154" t="s">
        <v>100</v>
      </c>
      <c r="H201" s="147" t="s">
        <v>62</v>
      </c>
      <c r="I201" s="110">
        <f>-E189+E207</f>
        <v>31486.06356000001</v>
      </c>
      <c r="J201" s="107">
        <v>0</v>
      </c>
    </row>
    <row r="202" spans="1:10" s="382" customFormat="1" ht="15.75">
      <c r="A202" s="2" t="s">
        <v>156</v>
      </c>
      <c r="B202" s="70"/>
      <c r="C202" s="250"/>
      <c r="D202" s="136"/>
      <c r="E202" s="323">
        <v>0</v>
      </c>
      <c r="F202" s="383"/>
      <c r="G202" s="7"/>
      <c r="H202" s="7"/>
      <c r="I202" s="8"/>
      <c r="J202" s="259">
        <f>ROUND(SUM(I197:J201),2)</f>
        <v>0</v>
      </c>
    </row>
    <row r="203" spans="1:10" s="382" customFormat="1" ht="16.5" thickBot="1">
      <c r="B203" s="6"/>
      <c r="C203" s="253">
        <f>SUM(C194:C202)</f>
        <v>1775602</v>
      </c>
      <c r="D203" s="155"/>
      <c r="E203" s="324">
        <f>SUM(E194:E202)</f>
        <v>31570.203560000002</v>
      </c>
      <c r="F203" s="383"/>
      <c r="G203" s="7"/>
      <c r="H203" s="7"/>
      <c r="I203" s="7"/>
      <c r="J203" s="7"/>
    </row>
    <row r="204" spans="1:10" s="382" customFormat="1" ht="16.5" thickTop="1">
      <c r="B204" s="6"/>
      <c r="C204" s="254">
        <v>1775602</v>
      </c>
      <c r="D204" s="66" t="s">
        <v>161</v>
      </c>
      <c r="E204" s="325">
        <v>0</v>
      </c>
      <c r="F204" s="383"/>
      <c r="G204" s="65" t="s">
        <v>158</v>
      </c>
      <c r="H204" s="7"/>
      <c r="I204" s="12"/>
      <c r="J204" s="12"/>
    </row>
    <row r="205" spans="1:10" s="382" customFormat="1" ht="15.75">
      <c r="C205" s="315">
        <f>C203-C204</f>
        <v>0</v>
      </c>
      <c r="D205" s="66" t="s">
        <v>87</v>
      </c>
      <c r="E205" s="324">
        <f>E203+E204+E189</f>
        <v>-85182.532496029104</v>
      </c>
      <c r="F205" s="383"/>
      <c r="G205" s="8">
        <f>(E189*(D206/12))+(E203*(D206/24))</f>
        <v>-84.139695230024259</v>
      </c>
      <c r="H205" s="7"/>
      <c r="I205" s="8"/>
      <c r="J205" s="10"/>
    </row>
    <row r="206" spans="1:10" s="382" customFormat="1" ht="15.75">
      <c r="C206" s="50"/>
      <c r="D206" s="225">
        <v>0.01</v>
      </c>
      <c r="E206" s="326">
        <f>ROUND(((E189)+(E203)/2)*(D206/12),2)</f>
        <v>-84.14</v>
      </c>
      <c r="F206" s="383"/>
      <c r="G206" s="65"/>
      <c r="H206" s="7"/>
      <c r="I206" s="10"/>
      <c r="J206" s="10"/>
    </row>
    <row r="207" spans="1:10" s="382" customFormat="1" ht="16.5" thickBot="1">
      <c r="A207" s="5"/>
      <c r="B207" s="5"/>
      <c r="C207" s="50" t="s">
        <v>1</v>
      </c>
      <c r="D207" s="143">
        <f>A192</f>
        <v>41456</v>
      </c>
      <c r="E207" s="327">
        <f>SUM(E205:E206)</f>
        <v>-85266.672496029103</v>
      </c>
      <c r="F207" s="383"/>
      <c r="G207" s="7"/>
      <c r="H207" s="7"/>
      <c r="I207" s="8"/>
      <c r="J207" s="7"/>
    </row>
    <row r="208" spans="1:10" ht="16.5" thickTop="1" thickBot="1"/>
    <row r="209" spans="1:10" s="382" customFormat="1" ht="15.75">
      <c r="A209" s="73" t="s">
        <v>142</v>
      </c>
      <c r="B209" s="74"/>
      <c r="C209" s="75"/>
      <c r="D209" s="76"/>
      <c r="E209" s="319"/>
      <c r="G209" s="16"/>
      <c r="H209" s="5"/>
      <c r="I209" s="56"/>
      <c r="J209" s="56"/>
    </row>
    <row r="210" spans="1:10" s="382" customFormat="1" ht="15.75">
      <c r="A210" s="219">
        <v>41487</v>
      </c>
      <c r="B210" s="71"/>
      <c r="C210" s="16"/>
      <c r="D210" s="72" t="s">
        <v>23</v>
      </c>
      <c r="E210" s="320" t="s">
        <v>21</v>
      </c>
      <c r="G210" s="5"/>
      <c r="H210" s="5"/>
      <c r="I210" s="8"/>
      <c r="J210" s="10"/>
    </row>
    <row r="211" spans="1:10" s="382" customFormat="1" ht="16.5" thickBot="1">
      <c r="A211" s="14"/>
      <c r="B211" s="18"/>
      <c r="C211" s="131" t="s">
        <v>21</v>
      </c>
      <c r="D211" s="131" t="s">
        <v>22</v>
      </c>
      <c r="E211" s="321" t="s">
        <v>23</v>
      </c>
      <c r="F211" s="383"/>
      <c r="G211" s="7"/>
      <c r="H211" s="7"/>
      <c r="I211" s="10"/>
      <c r="J211" s="10"/>
    </row>
    <row r="212" spans="1:10" s="382" customFormat="1" ht="15.75">
      <c r="A212" s="2" t="s">
        <v>24</v>
      </c>
      <c r="B212" s="17">
        <v>101</v>
      </c>
      <c r="C212" s="251">
        <v>985214</v>
      </c>
      <c r="D212" s="387">
        <v>1.7780000000000001E-2</v>
      </c>
      <c r="E212" s="322">
        <v>17517.104920000002</v>
      </c>
      <c r="F212" s="383"/>
      <c r="G212" s="7"/>
      <c r="H212" s="7"/>
      <c r="I212" s="8"/>
      <c r="J212" s="7"/>
    </row>
    <row r="213" spans="1:10" s="382" customFormat="1" ht="16.5" thickBot="1">
      <c r="A213" s="2" t="s">
        <v>24</v>
      </c>
      <c r="B213" s="17">
        <v>111</v>
      </c>
      <c r="C213" s="251">
        <v>994287</v>
      </c>
      <c r="D213" s="387">
        <v>1.7780000000000001E-2</v>
      </c>
      <c r="E213" s="322">
        <v>17678.422860000002</v>
      </c>
      <c r="F213" s="383"/>
      <c r="G213" s="146">
        <f>A210</f>
        <v>41487</v>
      </c>
      <c r="H213" s="147"/>
      <c r="I213" s="147"/>
      <c r="J213" s="147"/>
    </row>
    <row r="214" spans="1:10" s="382" customFormat="1" ht="16.5" thickBot="1">
      <c r="A214" s="2" t="s">
        <v>24</v>
      </c>
      <c r="B214" s="17">
        <v>112</v>
      </c>
      <c r="C214" s="251"/>
      <c r="D214" s="387"/>
      <c r="E214" s="322">
        <v>0</v>
      </c>
      <c r="F214" s="383"/>
      <c r="G214" s="102" t="s">
        <v>25</v>
      </c>
      <c r="H214" s="148"/>
      <c r="I214" s="149" t="s">
        <v>18</v>
      </c>
      <c r="J214" s="150" t="s">
        <v>19</v>
      </c>
    </row>
    <row r="215" spans="1:10" s="382" customFormat="1" ht="15.75">
      <c r="A215" s="2" t="s">
        <v>24</v>
      </c>
      <c r="B215" s="17">
        <v>121</v>
      </c>
      <c r="C215" s="251"/>
      <c r="D215" s="220"/>
      <c r="E215" s="322">
        <v>0</v>
      </c>
      <c r="F215" s="383"/>
      <c r="G215" s="151" t="s">
        <v>28</v>
      </c>
      <c r="H215" s="152" t="s">
        <v>77</v>
      </c>
      <c r="I215" s="108"/>
      <c r="J215" s="392">
        <v>0</v>
      </c>
    </row>
    <row r="216" spans="1:10" s="382" customFormat="1" ht="15.75">
      <c r="A216" s="2" t="s">
        <v>24</v>
      </c>
      <c r="B216" s="17">
        <v>122</v>
      </c>
      <c r="C216" s="252"/>
      <c r="D216" s="220"/>
      <c r="E216" s="322">
        <v>0</v>
      </c>
      <c r="F216" s="383"/>
      <c r="G216" s="153" t="s">
        <v>29</v>
      </c>
      <c r="H216" s="7" t="s">
        <v>78</v>
      </c>
      <c r="I216" s="393">
        <f>-E224</f>
        <v>56.39</v>
      </c>
      <c r="J216" s="222"/>
    </row>
    <row r="217" spans="1:10" s="382" customFormat="1" ht="15.75">
      <c r="A217" s="2" t="s">
        <v>24</v>
      </c>
      <c r="B217" s="17">
        <v>131</v>
      </c>
      <c r="C217" s="251">
        <v>0</v>
      </c>
      <c r="D217" s="387">
        <v>1.6570000000000001E-2</v>
      </c>
      <c r="E217" s="322">
        <v>0</v>
      </c>
      <c r="F217" s="383"/>
      <c r="G217" s="153" t="s">
        <v>99</v>
      </c>
      <c r="H217" s="7" t="s">
        <v>60</v>
      </c>
      <c r="I217" s="8"/>
      <c r="J217" s="98">
        <f>-E221-E222</f>
        <v>-35195.527780000004</v>
      </c>
    </row>
    <row r="218" spans="1:10" s="382" customFormat="1" ht="15.75">
      <c r="A218" s="2" t="s">
        <v>24</v>
      </c>
      <c r="B218" s="17">
        <v>132</v>
      </c>
      <c r="C218" s="252"/>
      <c r="D218" s="121"/>
      <c r="E218" s="322">
        <v>0</v>
      </c>
      <c r="F218" s="383"/>
      <c r="G218" s="153" t="s">
        <v>10</v>
      </c>
      <c r="H218" s="7" t="s">
        <v>58</v>
      </c>
      <c r="I218" s="7">
        <v>0</v>
      </c>
      <c r="J218" s="109"/>
    </row>
    <row r="219" spans="1:10" s="382" customFormat="1" ht="16.5" thickBot="1">
      <c r="A219" s="2" t="s">
        <v>24</v>
      </c>
      <c r="B219" s="17" t="s">
        <v>61</v>
      </c>
      <c r="C219" s="252"/>
      <c r="D219" s="121"/>
      <c r="E219" s="322">
        <v>0</v>
      </c>
      <c r="F219" s="383"/>
      <c r="G219" s="154" t="s">
        <v>100</v>
      </c>
      <c r="H219" s="147" t="s">
        <v>62</v>
      </c>
      <c r="I219" s="110">
        <f>-E207+E225</f>
        <v>35139.137780000005</v>
      </c>
      <c r="J219" s="107">
        <v>0</v>
      </c>
    </row>
    <row r="220" spans="1:10" s="382" customFormat="1" ht="15.75">
      <c r="A220" s="2" t="s">
        <v>156</v>
      </c>
      <c r="B220" s="70"/>
      <c r="C220" s="250"/>
      <c r="D220" s="136"/>
      <c r="E220" s="323">
        <v>0</v>
      </c>
      <c r="F220" s="383"/>
      <c r="G220" s="7"/>
      <c r="H220" s="7"/>
      <c r="I220" s="8"/>
      <c r="J220" s="259">
        <f>ROUND(SUM(I215:J219),2)</f>
        <v>0</v>
      </c>
    </row>
    <row r="221" spans="1:10" s="382" customFormat="1" ht="16.5" thickBot="1">
      <c r="B221" s="6"/>
      <c r="C221" s="253">
        <f>SUM(C212:C220)</f>
        <v>1979501</v>
      </c>
      <c r="D221" s="155"/>
      <c r="E221" s="324">
        <f>SUM(E212:E220)</f>
        <v>35195.527780000004</v>
      </c>
      <c r="F221" s="383"/>
      <c r="G221" s="7"/>
      <c r="H221" s="7"/>
      <c r="I221" s="7"/>
      <c r="J221" s="7"/>
    </row>
    <row r="222" spans="1:10" s="382" customFormat="1" ht="16.5" thickTop="1">
      <c r="B222" s="6"/>
      <c r="C222" s="254">
        <v>1979501</v>
      </c>
      <c r="D222" s="66" t="s">
        <v>161</v>
      </c>
      <c r="E222" s="325">
        <v>0</v>
      </c>
      <c r="F222" s="383"/>
      <c r="G222" s="65" t="s">
        <v>158</v>
      </c>
      <c r="H222" s="7"/>
      <c r="I222" s="12"/>
      <c r="J222" s="12"/>
    </row>
    <row r="223" spans="1:10" s="382" customFormat="1" ht="15.75">
      <c r="C223" s="315">
        <f>C221-C222</f>
        <v>0</v>
      </c>
      <c r="D223" s="66" t="s">
        <v>87</v>
      </c>
      <c r="E223" s="324">
        <f>E221+E222+E207</f>
        <v>-50071.144716029099</v>
      </c>
      <c r="F223" s="383"/>
      <c r="G223" s="8">
        <f>(E207*(D224/12))+(E221*(D224/24))</f>
        <v>-56.390757171690929</v>
      </c>
      <c r="H223" s="7"/>
      <c r="I223" s="8"/>
      <c r="J223" s="10"/>
    </row>
    <row r="224" spans="1:10" s="382" customFormat="1" ht="15.75">
      <c r="C224" s="50"/>
      <c r="D224" s="225">
        <v>0.01</v>
      </c>
      <c r="E224" s="326">
        <f>ROUND(((E207)+(E221)/2)*(D224/12),2)</f>
        <v>-56.39</v>
      </c>
      <c r="F224" s="383"/>
      <c r="G224" s="65"/>
      <c r="H224" s="7"/>
      <c r="I224" s="10"/>
      <c r="J224" s="10"/>
    </row>
    <row r="225" spans="1:10" s="382" customFormat="1" ht="16.5" thickBot="1">
      <c r="A225" s="5"/>
      <c r="B225" s="5"/>
      <c r="C225" s="50" t="s">
        <v>1</v>
      </c>
      <c r="D225" s="143">
        <f>A210</f>
        <v>41487</v>
      </c>
      <c r="E225" s="327">
        <f>SUM(E223:E224)</f>
        <v>-50127.534716029098</v>
      </c>
      <c r="F225" s="383"/>
      <c r="G225" s="7"/>
      <c r="H225" s="7"/>
      <c r="I225" s="8"/>
      <c r="J225" s="7"/>
    </row>
    <row r="226" spans="1:10" ht="16.5" thickTop="1" thickBot="1"/>
    <row r="227" spans="1:10" s="382" customFormat="1" ht="15.75">
      <c r="A227" s="73" t="s">
        <v>142</v>
      </c>
      <c r="B227" s="74"/>
      <c r="C227" s="75"/>
      <c r="D227" s="76"/>
      <c r="E227" s="319"/>
      <c r="G227" s="16"/>
      <c r="H227" s="5"/>
      <c r="I227" s="56"/>
      <c r="J227" s="56"/>
    </row>
    <row r="228" spans="1:10" s="382" customFormat="1" ht="15.75">
      <c r="A228" s="219">
        <v>41518</v>
      </c>
      <c r="B228" s="71"/>
      <c r="C228" s="16"/>
      <c r="D228" s="72" t="s">
        <v>23</v>
      </c>
      <c r="E228" s="320" t="s">
        <v>21</v>
      </c>
      <c r="G228" s="5"/>
      <c r="H228" s="5"/>
      <c r="I228" s="8"/>
      <c r="J228" s="10"/>
    </row>
    <row r="229" spans="1:10" s="382" customFormat="1" ht="16.5" thickBot="1">
      <c r="A229" s="14"/>
      <c r="B229" s="18"/>
      <c r="C229" s="131" t="s">
        <v>21</v>
      </c>
      <c r="D229" s="131" t="s">
        <v>22</v>
      </c>
      <c r="E229" s="321" t="s">
        <v>23</v>
      </c>
      <c r="F229" s="383"/>
      <c r="G229" s="7"/>
      <c r="H229" s="7"/>
      <c r="I229" s="10"/>
      <c r="J229" s="10"/>
    </row>
    <row r="230" spans="1:10" s="382" customFormat="1" ht="15.75">
      <c r="A230" s="2" t="s">
        <v>24</v>
      </c>
      <c r="B230" s="17">
        <v>101</v>
      </c>
      <c r="C230" s="251">
        <v>1338764</v>
      </c>
      <c r="D230" s="387">
        <v>1.7780000000000001E-2</v>
      </c>
      <c r="E230" s="322">
        <v>23803.22392</v>
      </c>
      <c r="F230" s="383"/>
      <c r="G230" s="7"/>
      <c r="H230" s="7"/>
      <c r="I230" s="8"/>
      <c r="J230" s="7"/>
    </row>
    <row r="231" spans="1:10" s="382" customFormat="1" ht="16.5" thickBot="1">
      <c r="A231" s="2" t="s">
        <v>24</v>
      </c>
      <c r="B231" s="17">
        <v>111</v>
      </c>
      <c r="C231" s="251">
        <v>1168974</v>
      </c>
      <c r="D231" s="387">
        <v>1.7780000000000001E-2</v>
      </c>
      <c r="E231" s="322">
        <v>20784.35772</v>
      </c>
      <c r="F231" s="383"/>
      <c r="G231" s="146">
        <f>A228</f>
        <v>41518</v>
      </c>
      <c r="H231" s="147"/>
      <c r="I231" s="147"/>
      <c r="J231" s="147"/>
    </row>
    <row r="232" spans="1:10" s="382" customFormat="1" ht="16.5" thickBot="1">
      <c r="A232" s="2" t="s">
        <v>24</v>
      </c>
      <c r="B232" s="17">
        <v>112</v>
      </c>
      <c r="C232" s="251"/>
      <c r="D232" s="387"/>
      <c r="E232" s="322">
        <v>0</v>
      </c>
      <c r="F232" s="383"/>
      <c r="G232" s="102" t="s">
        <v>25</v>
      </c>
      <c r="H232" s="148"/>
      <c r="I232" s="149" t="s">
        <v>18</v>
      </c>
      <c r="J232" s="150" t="s">
        <v>19</v>
      </c>
    </row>
    <row r="233" spans="1:10" s="382" customFormat="1" ht="15.75">
      <c r="A233" s="2" t="s">
        <v>24</v>
      </c>
      <c r="B233" s="17">
        <v>121</v>
      </c>
      <c r="C233" s="251"/>
      <c r="D233" s="220"/>
      <c r="E233" s="322">
        <v>0</v>
      </c>
      <c r="F233" s="383"/>
      <c r="G233" s="151" t="s">
        <v>28</v>
      </c>
      <c r="H233" s="152" t="s">
        <v>77</v>
      </c>
      <c r="I233" s="108"/>
      <c r="J233" s="392">
        <v>0</v>
      </c>
    </row>
    <row r="234" spans="1:10" s="382" customFormat="1" ht="15.75">
      <c r="A234" s="2" t="s">
        <v>24</v>
      </c>
      <c r="B234" s="17">
        <v>122</v>
      </c>
      <c r="C234" s="252"/>
      <c r="D234" s="220"/>
      <c r="E234" s="322">
        <v>0</v>
      </c>
      <c r="F234" s="383"/>
      <c r="G234" s="153" t="s">
        <v>29</v>
      </c>
      <c r="H234" s="7" t="s">
        <v>78</v>
      </c>
      <c r="I234" s="393">
        <f>-E242</f>
        <v>23.19</v>
      </c>
      <c r="J234" s="222"/>
    </row>
    <row r="235" spans="1:10" s="382" customFormat="1" ht="15.75">
      <c r="A235" s="2" t="s">
        <v>24</v>
      </c>
      <c r="B235" s="17">
        <v>131</v>
      </c>
      <c r="C235" s="251">
        <v>0</v>
      </c>
      <c r="D235" s="387">
        <v>1.6570000000000001E-2</v>
      </c>
      <c r="E235" s="322">
        <v>0</v>
      </c>
      <c r="F235" s="383"/>
      <c r="G235" s="153" t="s">
        <v>99</v>
      </c>
      <c r="H235" s="7" t="s">
        <v>60</v>
      </c>
      <c r="I235" s="8"/>
      <c r="J235" s="98">
        <f>-E239-E240</f>
        <v>-44587.581640000004</v>
      </c>
    </row>
    <row r="236" spans="1:10" s="382" customFormat="1" ht="15.75">
      <c r="A236" s="2" t="s">
        <v>24</v>
      </c>
      <c r="B236" s="17">
        <v>132</v>
      </c>
      <c r="C236" s="252"/>
      <c r="D236" s="121"/>
      <c r="E236" s="322">
        <v>0</v>
      </c>
      <c r="F236" s="383"/>
      <c r="G236" s="153" t="s">
        <v>10</v>
      </c>
      <c r="H236" s="7" t="s">
        <v>58</v>
      </c>
      <c r="I236" s="7">
        <v>0</v>
      </c>
      <c r="J236" s="109"/>
    </row>
    <row r="237" spans="1:10" s="382" customFormat="1" ht="16.5" thickBot="1">
      <c r="A237" s="2" t="s">
        <v>24</v>
      </c>
      <c r="B237" s="17" t="s">
        <v>61</v>
      </c>
      <c r="C237" s="252"/>
      <c r="D237" s="121"/>
      <c r="E237" s="322">
        <v>0</v>
      </c>
      <c r="F237" s="383"/>
      <c r="G237" s="154" t="s">
        <v>100</v>
      </c>
      <c r="H237" s="147" t="s">
        <v>62</v>
      </c>
      <c r="I237" s="110">
        <f>-E225+E243</f>
        <v>44564.391640000002</v>
      </c>
      <c r="J237" s="107">
        <v>0</v>
      </c>
    </row>
    <row r="238" spans="1:10" s="382" customFormat="1" ht="15.75">
      <c r="A238" s="2" t="s">
        <v>156</v>
      </c>
      <c r="B238" s="70"/>
      <c r="C238" s="250"/>
      <c r="D238" s="136"/>
      <c r="E238" s="323">
        <v>0</v>
      </c>
      <c r="F238" s="383"/>
      <c r="G238" s="7"/>
      <c r="H238" s="7"/>
      <c r="I238" s="8"/>
      <c r="J238" s="259">
        <f>ROUND(SUM(I233:J237),2)</f>
        <v>0</v>
      </c>
    </row>
    <row r="239" spans="1:10" s="382" customFormat="1" ht="16.5" thickBot="1">
      <c r="B239" s="6"/>
      <c r="C239" s="253">
        <f>SUM(C230:C238)</f>
        <v>2507738</v>
      </c>
      <c r="D239" s="155"/>
      <c r="E239" s="324">
        <f>SUM(E230:E238)</f>
        <v>44587.581640000004</v>
      </c>
      <c r="F239" s="383"/>
      <c r="G239" s="7"/>
      <c r="H239" s="7"/>
      <c r="I239" s="7"/>
      <c r="J239" s="7"/>
    </row>
    <row r="240" spans="1:10" s="382" customFormat="1" ht="16.5" thickTop="1">
      <c r="B240" s="6"/>
      <c r="C240" s="254">
        <v>2507738</v>
      </c>
      <c r="D240" s="66" t="s">
        <v>161</v>
      </c>
      <c r="E240" s="325">
        <v>0</v>
      </c>
      <c r="F240" s="383"/>
      <c r="G240" s="65" t="s">
        <v>158</v>
      </c>
      <c r="H240" s="7"/>
      <c r="I240" s="12"/>
      <c r="J240" s="12"/>
    </row>
    <row r="241" spans="1:10" s="382" customFormat="1" ht="15.75">
      <c r="C241" s="315">
        <f>C239-C240</f>
        <v>0</v>
      </c>
      <c r="D241" s="66" t="s">
        <v>87</v>
      </c>
      <c r="E241" s="324">
        <f>E239+E240+E225</f>
        <v>-5539.9530760290945</v>
      </c>
      <c r="F241" s="383"/>
      <c r="G241" s="8">
        <f>(E225*(D242/12))+(E239*(D242/24))</f>
        <v>-23.194786580024246</v>
      </c>
      <c r="H241" s="7"/>
      <c r="I241" s="8"/>
      <c r="J241" s="10"/>
    </row>
    <row r="242" spans="1:10" s="382" customFormat="1" ht="15.75">
      <c r="C242" s="50"/>
      <c r="D242" s="225">
        <v>0.01</v>
      </c>
      <c r="E242" s="326">
        <f>ROUND(((E225)+(E239)/2)*(D242/12),2)</f>
        <v>-23.19</v>
      </c>
      <c r="F242" s="383"/>
      <c r="G242" s="65"/>
      <c r="H242" s="7"/>
      <c r="I242" s="10"/>
      <c r="J242" s="10"/>
    </row>
    <row r="243" spans="1:10" s="382" customFormat="1" ht="15.75">
      <c r="A243" s="5"/>
      <c r="B243" s="5"/>
      <c r="C243" s="50" t="s">
        <v>1</v>
      </c>
      <c r="D243" s="143">
        <f>A228</f>
        <v>41518</v>
      </c>
      <c r="E243" s="326">
        <f>SUM(E241:E242)</f>
        <v>-5563.1430760290941</v>
      </c>
      <c r="F243" s="383"/>
      <c r="G243" s="7"/>
      <c r="H243" s="7"/>
      <c r="I243" s="8"/>
      <c r="J243" s="7"/>
    </row>
    <row r="244" spans="1:10" s="382" customFormat="1" ht="15.75">
      <c r="A244" s="5"/>
      <c r="B244" s="5"/>
      <c r="C244" s="50"/>
      <c r="D244" s="459" t="s">
        <v>225</v>
      </c>
      <c r="E244" s="461">
        <f>'ID Def 191010'!C131*-1</f>
        <v>108659.43754694135</v>
      </c>
      <c r="F244" s="383"/>
      <c r="G244" s="7"/>
      <c r="H244" s="7"/>
      <c r="I244" s="8"/>
      <c r="J244" s="7"/>
    </row>
    <row r="245" spans="1:10" s="382" customFormat="1" ht="16.5" thickBot="1">
      <c r="A245" s="5"/>
      <c r="B245" s="5"/>
      <c r="C245" s="50"/>
      <c r="D245" s="459" t="s">
        <v>226</v>
      </c>
      <c r="E245" s="462">
        <f>SUM(E243:E244)</f>
        <v>103096.29447091225</v>
      </c>
      <c r="F245" s="383"/>
      <c r="G245" s="7"/>
      <c r="H245" s="7"/>
      <c r="I245" s="8"/>
      <c r="J245" s="7"/>
    </row>
    <row r="246" spans="1:10" ht="16.5" thickTop="1" thickBot="1"/>
    <row r="247" spans="1:10" s="382" customFormat="1" ht="15.75">
      <c r="A247" s="73" t="s">
        <v>142</v>
      </c>
      <c r="B247" s="74"/>
      <c r="C247" s="75"/>
      <c r="D247" s="76"/>
      <c r="E247" s="319"/>
      <c r="G247" s="16"/>
      <c r="H247" s="5"/>
      <c r="I247" s="56"/>
      <c r="J247" s="56"/>
    </row>
    <row r="248" spans="1:10" s="382" customFormat="1" ht="15.75">
      <c r="A248" s="219">
        <v>41578</v>
      </c>
      <c r="B248" s="71"/>
      <c r="C248" s="16"/>
      <c r="D248" s="72" t="s">
        <v>23</v>
      </c>
      <c r="E248" s="320" t="s">
        <v>21</v>
      </c>
      <c r="G248" s="5"/>
      <c r="H248" s="5"/>
      <c r="I248" s="8"/>
      <c r="J248" s="10"/>
    </row>
    <row r="249" spans="1:10" s="382" customFormat="1" ht="16.5" thickBot="1">
      <c r="A249" s="14"/>
      <c r="B249" s="18"/>
      <c r="C249" s="131" t="s">
        <v>21</v>
      </c>
      <c r="D249" s="131" t="s">
        <v>22</v>
      </c>
      <c r="E249" s="321" t="s">
        <v>23</v>
      </c>
      <c r="F249" s="383"/>
      <c r="G249" s="7"/>
      <c r="H249" s="7"/>
      <c r="I249" s="10"/>
      <c r="J249" s="10"/>
    </row>
    <row r="250" spans="1:10" s="382" customFormat="1" ht="15.75">
      <c r="A250" s="2" t="s">
        <v>24</v>
      </c>
      <c r="B250" s="17">
        <v>101</v>
      </c>
      <c r="C250" s="251">
        <v>4291264</v>
      </c>
      <c r="D250" s="387" t="s">
        <v>187</v>
      </c>
      <c r="E250" s="322">
        <v>2709.04</v>
      </c>
      <c r="F250" s="383"/>
      <c r="G250" s="7"/>
      <c r="H250" s="7"/>
      <c r="I250" s="8"/>
      <c r="J250" s="7"/>
    </row>
    <row r="251" spans="1:10" s="382" customFormat="1" ht="16.5" thickBot="1">
      <c r="A251" s="2" t="s">
        <v>24</v>
      </c>
      <c r="B251" s="17">
        <v>111</v>
      </c>
      <c r="C251" s="251">
        <v>1602282</v>
      </c>
      <c r="D251" s="387" t="s">
        <v>187</v>
      </c>
      <c r="E251" s="322">
        <v>-3558.27</v>
      </c>
      <c r="F251" s="383"/>
      <c r="G251" s="146">
        <f>A248</f>
        <v>41578</v>
      </c>
      <c r="H251" s="147"/>
      <c r="I251" s="147"/>
      <c r="J251" s="147"/>
    </row>
    <row r="252" spans="1:10" s="382" customFormat="1" ht="16.5" thickBot="1">
      <c r="A252" s="2" t="s">
        <v>24</v>
      </c>
      <c r="B252" s="17">
        <v>112</v>
      </c>
      <c r="C252" s="251"/>
      <c r="D252" s="387"/>
      <c r="E252" s="322">
        <v>0</v>
      </c>
      <c r="F252" s="383"/>
      <c r="G252" s="102" t="s">
        <v>25</v>
      </c>
      <c r="H252" s="148"/>
      <c r="I252" s="149" t="s">
        <v>18</v>
      </c>
      <c r="J252" s="150" t="s">
        <v>19</v>
      </c>
    </row>
    <row r="253" spans="1:10" s="382" customFormat="1" ht="15.75">
      <c r="A253" s="2" t="s">
        <v>24</v>
      </c>
      <c r="B253" s="17">
        <v>121</v>
      </c>
      <c r="C253" s="251"/>
      <c r="D253" s="220"/>
      <c r="E253" s="322">
        <v>0</v>
      </c>
      <c r="F253" s="383"/>
      <c r="G253" s="151" t="s">
        <v>28</v>
      </c>
      <c r="H253" s="152" t="s">
        <v>77</v>
      </c>
      <c r="I253" s="108"/>
      <c r="J253" s="392">
        <f>IF(E262&gt;0,-E262,0)</f>
        <v>-93.84</v>
      </c>
    </row>
    <row r="254" spans="1:10" s="382" customFormat="1" ht="15.75">
      <c r="A254" s="2" t="s">
        <v>24</v>
      </c>
      <c r="B254" s="17">
        <v>122</v>
      </c>
      <c r="C254" s="252"/>
      <c r="D254" s="220"/>
      <c r="E254" s="322">
        <v>0</v>
      </c>
      <c r="F254" s="383"/>
      <c r="G254" s="153" t="s">
        <v>29</v>
      </c>
      <c r="H254" s="7" t="s">
        <v>78</v>
      </c>
      <c r="I254" s="393">
        <f>IF(E262&lt;0,-E262,0)</f>
        <v>0</v>
      </c>
      <c r="J254" s="222"/>
    </row>
    <row r="255" spans="1:10" s="382" customFormat="1" ht="15.75">
      <c r="A255" s="2" t="s">
        <v>24</v>
      </c>
      <c r="B255" s="17">
        <v>131</v>
      </c>
      <c r="C255" s="251">
        <v>0</v>
      </c>
      <c r="D255" s="387" t="s">
        <v>187</v>
      </c>
      <c r="E255" s="322">
        <v>0</v>
      </c>
      <c r="F255" s="383"/>
      <c r="G255" s="153" t="s">
        <v>99</v>
      </c>
      <c r="H255" s="7" t="s">
        <v>60</v>
      </c>
      <c r="I255" s="393">
        <f>IF((E245-E261)&gt;0,E245-E261,0)</f>
        <v>0</v>
      </c>
      <c r="J255" s="393">
        <f>IF((E245-E261)&lt;0,E245-E261,0)</f>
        <v>-19013.619999999995</v>
      </c>
    </row>
    <row r="256" spans="1:10" s="382" customFormat="1" ht="15.75">
      <c r="A256" s="2" t="s">
        <v>24</v>
      </c>
      <c r="B256" s="17">
        <v>132</v>
      </c>
      <c r="C256" s="252"/>
      <c r="D256" s="121"/>
      <c r="E256" s="322">
        <v>0</v>
      </c>
      <c r="F256" s="383"/>
      <c r="G256" s="153" t="s">
        <v>10</v>
      </c>
      <c r="H256" s="7" t="s">
        <v>58</v>
      </c>
      <c r="I256" s="7"/>
      <c r="J256" s="458"/>
    </row>
    <row r="257" spans="1:10" s="382" customFormat="1" ht="16.5" thickBot="1">
      <c r="A257" s="2" t="s">
        <v>24</v>
      </c>
      <c r="B257" s="17" t="s">
        <v>61</v>
      </c>
      <c r="C257" s="252"/>
      <c r="D257" s="121"/>
      <c r="E257" s="322">
        <v>0</v>
      </c>
      <c r="F257" s="383"/>
      <c r="G257" s="154" t="s">
        <v>100</v>
      </c>
      <c r="H257" s="147" t="s">
        <v>62</v>
      </c>
      <c r="I257" s="460">
        <f>IF((E263-E245)&gt;0,E263-E245,0)</f>
        <v>19107.459999999992</v>
      </c>
      <c r="J257" s="107">
        <f>IF((E263-E245)&lt;0,E263-E245,0)</f>
        <v>0</v>
      </c>
    </row>
    <row r="258" spans="1:10" s="382" customFormat="1" ht="15.75">
      <c r="A258" s="2" t="s">
        <v>156</v>
      </c>
      <c r="B258" s="70"/>
      <c r="C258" s="250"/>
      <c r="D258" s="136"/>
      <c r="E258" s="323">
        <v>19862.850000000002</v>
      </c>
      <c r="F258" s="383"/>
      <c r="G258" s="7"/>
      <c r="H258" s="7"/>
      <c r="I258" s="8"/>
      <c r="J258" s="259">
        <f>ROUND(SUM(I253:J257),2)</f>
        <v>0</v>
      </c>
    </row>
    <row r="259" spans="1:10" s="382" customFormat="1" ht="16.5" thickBot="1">
      <c r="B259" s="6"/>
      <c r="C259" s="253">
        <f>SUM(C250:C258)</f>
        <v>5893546</v>
      </c>
      <c r="D259" s="155"/>
      <c r="E259" s="324">
        <f>SUM(E250:E258)</f>
        <v>19013.620000000003</v>
      </c>
      <c r="F259" s="383"/>
      <c r="G259" s="7"/>
      <c r="H259" s="7"/>
      <c r="I259" s="7"/>
      <c r="J259" s="7"/>
    </row>
    <row r="260" spans="1:10" s="382" customFormat="1" ht="16.5" thickTop="1">
      <c r="B260" s="6"/>
      <c r="C260" s="254"/>
      <c r="D260" s="66" t="s">
        <v>161</v>
      </c>
      <c r="E260" s="325">
        <v>0</v>
      </c>
      <c r="F260" s="383">
        <f>E251+E250</f>
        <v>-849.23</v>
      </c>
      <c r="G260" s="65" t="s">
        <v>158</v>
      </c>
      <c r="H260" s="7"/>
      <c r="I260" s="12"/>
      <c r="J260" s="12"/>
    </row>
    <row r="261" spans="1:10" s="382" customFormat="1" ht="15.75">
      <c r="C261" s="315">
        <f>C259-C260</f>
        <v>5893546</v>
      </c>
      <c r="D261" s="66" t="s">
        <v>87</v>
      </c>
      <c r="E261" s="324">
        <f>E259+E260+E245</f>
        <v>122109.91447091225</v>
      </c>
      <c r="F261" s="383"/>
      <c r="G261" s="8">
        <f>(E243*(D262/12))+(E259*(D262/24))</f>
        <v>3.2863891033090891</v>
      </c>
      <c r="H261" s="7">
        <f>E262-G261</f>
        <v>90.553610896690913</v>
      </c>
      <c r="I261" s="8"/>
      <c r="J261" s="10"/>
    </row>
    <row r="262" spans="1:10" s="382" customFormat="1" ht="15.75">
      <c r="C262" s="50"/>
      <c r="D262" s="225">
        <v>0.01</v>
      </c>
      <c r="E262" s="326">
        <f>ROUND(((E245)+(E259)/2)*(D262/12),2)</f>
        <v>93.84</v>
      </c>
      <c r="F262" s="383"/>
      <c r="G262" s="65"/>
      <c r="H262" s="7"/>
      <c r="I262" s="10"/>
      <c r="J262" s="10"/>
    </row>
    <row r="263" spans="1:10" s="382" customFormat="1" ht="16.5" thickBot="1">
      <c r="A263" s="5"/>
      <c r="B263" s="5"/>
      <c r="C263" s="50" t="s">
        <v>1</v>
      </c>
      <c r="D263" s="143">
        <f>A248</f>
        <v>41578</v>
      </c>
      <c r="E263" s="327">
        <f>SUM(E261:E262)</f>
        <v>122203.75447091224</v>
      </c>
      <c r="F263" s="383"/>
      <c r="G263" s="7"/>
      <c r="H263" s="7"/>
      <c r="I263" s="8"/>
      <c r="J263" s="7"/>
    </row>
    <row r="264" spans="1:10" s="382" customFormat="1" ht="16.5" thickTop="1" thickBot="1">
      <c r="E264" s="318"/>
    </row>
    <row r="265" spans="1:10" s="382" customFormat="1" ht="15.75">
      <c r="A265" s="73" t="s">
        <v>142</v>
      </c>
      <c r="B265" s="74"/>
      <c r="C265" s="75"/>
      <c r="D265" s="76"/>
      <c r="E265" s="319"/>
      <c r="G265" s="16"/>
      <c r="H265" s="5"/>
      <c r="I265" s="56"/>
      <c r="J265" s="56"/>
    </row>
    <row r="266" spans="1:10" s="382" customFormat="1" ht="15.75">
      <c r="A266" s="219">
        <f>EOMONTH(A248,1)</f>
        <v>41608</v>
      </c>
      <c r="B266" s="71"/>
      <c r="C266" s="16"/>
      <c r="D266" s="72" t="s">
        <v>23</v>
      </c>
      <c r="E266" s="320" t="s">
        <v>21</v>
      </c>
      <c r="G266" s="5"/>
      <c r="H266" s="5"/>
      <c r="I266" s="8"/>
      <c r="J266" s="10"/>
    </row>
    <row r="267" spans="1:10" s="382" customFormat="1" ht="16.5" thickBot="1">
      <c r="A267" s="14"/>
      <c r="B267" s="18"/>
      <c r="C267" s="131" t="s">
        <v>21</v>
      </c>
      <c r="D267" s="131" t="s">
        <v>22</v>
      </c>
      <c r="E267" s="321" t="s">
        <v>23</v>
      </c>
      <c r="F267" s="383"/>
      <c r="G267" s="7"/>
      <c r="H267" s="7"/>
      <c r="I267" s="10"/>
      <c r="J267" s="10"/>
    </row>
    <row r="268" spans="1:10" s="382" customFormat="1" ht="15.75">
      <c r="A268" s="2" t="s">
        <v>24</v>
      </c>
      <c r="B268" s="17">
        <v>101</v>
      </c>
      <c r="C268" s="251">
        <v>7085932</v>
      </c>
      <c r="D268" s="387" t="s">
        <v>187</v>
      </c>
      <c r="E268" s="322">
        <v>-478.93</v>
      </c>
      <c r="F268" s="383"/>
      <c r="G268" s="7"/>
      <c r="H268" s="7"/>
      <c r="I268" s="8"/>
      <c r="J268" s="7"/>
    </row>
    <row r="269" spans="1:10" s="382" customFormat="1" ht="16.5" thickBot="1">
      <c r="A269" s="2" t="s">
        <v>24</v>
      </c>
      <c r="B269" s="17">
        <v>111</v>
      </c>
      <c r="C269" s="251">
        <v>2422167</v>
      </c>
      <c r="D269" s="387" t="s">
        <v>187</v>
      </c>
      <c r="E269" s="322">
        <v>80.569999999999993</v>
      </c>
      <c r="F269" s="383"/>
      <c r="G269" s="146">
        <f>A266</f>
        <v>41608</v>
      </c>
      <c r="H269" s="147"/>
      <c r="I269" s="147"/>
      <c r="J269" s="147"/>
    </row>
    <row r="270" spans="1:10" s="382" customFormat="1" ht="16.5" thickBot="1">
      <c r="A270" s="2" t="s">
        <v>24</v>
      </c>
      <c r="B270" s="17">
        <v>112</v>
      </c>
      <c r="C270" s="251"/>
      <c r="D270" s="387"/>
      <c r="E270" s="322">
        <v>0</v>
      </c>
      <c r="F270" s="383"/>
      <c r="G270" s="102" t="s">
        <v>25</v>
      </c>
      <c r="H270" s="148"/>
      <c r="I270" s="149" t="s">
        <v>18</v>
      </c>
      <c r="J270" s="150" t="s">
        <v>19</v>
      </c>
    </row>
    <row r="271" spans="1:10" s="382" customFormat="1" ht="15.75">
      <c r="A271" s="2" t="s">
        <v>24</v>
      </c>
      <c r="B271" s="17">
        <v>121</v>
      </c>
      <c r="C271" s="251"/>
      <c r="D271" s="220"/>
      <c r="E271" s="322">
        <v>0</v>
      </c>
      <c r="F271" s="383"/>
      <c r="G271" s="151" t="s">
        <v>28</v>
      </c>
      <c r="H271" s="152" t="s">
        <v>77</v>
      </c>
      <c r="I271" s="108"/>
      <c r="J271" s="392">
        <f>IF(E280&gt;0,-E280,0)</f>
        <v>-101.67</v>
      </c>
    </row>
    <row r="272" spans="1:10" s="382" customFormat="1" ht="15.75">
      <c r="A272" s="2" t="s">
        <v>24</v>
      </c>
      <c r="B272" s="17">
        <v>122</v>
      </c>
      <c r="C272" s="252"/>
      <c r="D272" s="220"/>
      <c r="E272" s="322">
        <v>0</v>
      </c>
      <c r="F272" s="383"/>
      <c r="G272" s="153" t="s">
        <v>29</v>
      </c>
      <c r="H272" s="7" t="s">
        <v>78</v>
      </c>
      <c r="I272" s="393">
        <f>IF(E280&lt;0,-E280,0)</f>
        <v>0</v>
      </c>
      <c r="J272" s="222"/>
    </row>
    <row r="273" spans="1:10" s="382" customFormat="1" ht="15.75">
      <c r="A273" s="2" t="s">
        <v>24</v>
      </c>
      <c r="B273" s="17">
        <v>131</v>
      </c>
      <c r="C273" s="251">
        <v>0</v>
      </c>
      <c r="D273" s="387" t="s">
        <v>187</v>
      </c>
      <c r="E273" s="322">
        <v>0</v>
      </c>
      <c r="F273" s="383"/>
      <c r="G273" s="153" t="s">
        <v>99</v>
      </c>
      <c r="H273" s="7" t="s">
        <v>60</v>
      </c>
      <c r="I273" s="393">
        <f>IF((E263-E279)&gt;0,E263-E279,0)</f>
        <v>398.36000000000058</v>
      </c>
      <c r="J273" s="393">
        <f>IF((E263-E279)&lt;0,E263-E279,0)</f>
        <v>0</v>
      </c>
    </row>
    <row r="274" spans="1:10" s="382" customFormat="1" ht="15.75">
      <c r="A274" s="2" t="s">
        <v>24</v>
      </c>
      <c r="B274" s="17">
        <v>132</v>
      </c>
      <c r="C274" s="252"/>
      <c r="D274" s="121"/>
      <c r="E274" s="322">
        <v>0</v>
      </c>
      <c r="F274" s="383"/>
      <c r="G274" s="153" t="s">
        <v>10</v>
      </c>
      <c r="H274" s="7" t="s">
        <v>58</v>
      </c>
      <c r="I274" s="7"/>
      <c r="J274" s="458"/>
    </row>
    <row r="275" spans="1:10" s="382" customFormat="1" ht="16.5" thickBot="1">
      <c r="A275" s="2" t="s">
        <v>24</v>
      </c>
      <c r="B275" s="17" t="s">
        <v>61</v>
      </c>
      <c r="C275" s="252"/>
      <c r="D275" s="121"/>
      <c r="E275" s="322">
        <v>0</v>
      </c>
      <c r="F275" s="383"/>
      <c r="G275" s="154" t="s">
        <v>100</v>
      </c>
      <c r="H275" s="147" t="s">
        <v>62</v>
      </c>
      <c r="I275" s="460">
        <f>IF((E281-E263)&gt;0,E281-E263,0)</f>
        <v>0</v>
      </c>
      <c r="J275" s="107">
        <f>IF((E281-E263)&lt;0,E281-E263,0)</f>
        <v>-296.69000000000233</v>
      </c>
    </row>
    <row r="276" spans="1:10" s="382" customFormat="1" ht="15.75">
      <c r="A276" s="2" t="s">
        <v>156</v>
      </c>
      <c r="B276" s="70"/>
      <c r="C276" s="250"/>
      <c r="D276" s="136"/>
      <c r="E276" s="323">
        <v>0</v>
      </c>
      <c r="F276" s="383"/>
      <c r="G276" s="7"/>
      <c r="H276" s="7"/>
      <c r="I276" s="8"/>
      <c r="J276" s="259">
        <f>ROUND(SUM(I271:J275),2)</f>
        <v>0</v>
      </c>
    </row>
    <row r="277" spans="1:10" s="382" customFormat="1" ht="16.5" thickBot="1">
      <c r="B277" s="6"/>
      <c r="C277" s="253">
        <f>SUM(C268:C276)</f>
        <v>9508099</v>
      </c>
      <c r="D277" s="155"/>
      <c r="E277" s="324">
        <f>SUM(E268:E276)</f>
        <v>-398.36</v>
      </c>
      <c r="F277" s="383"/>
      <c r="G277" s="7"/>
      <c r="H277" s="7"/>
      <c r="I277" s="7"/>
      <c r="J277" s="7"/>
    </row>
    <row r="278" spans="1:10" s="382" customFormat="1" ht="16.5" thickTop="1">
      <c r="B278" s="6"/>
      <c r="C278" s="254">
        <v>9508099</v>
      </c>
      <c r="D278" s="66" t="s">
        <v>161</v>
      </c>
      <c r="E278" s="325">
        <v>0</v>
      </c>
      <c r="F278" s="383"/>
      <c r="G278" s="65" t="s">
        <v>158</v>
      </c>
      <c r="H278" s="7"/>
      <c r="I278" s="12"/>
      <c r="J278" s="12"/>
    </row>
    <row r="279" spans="1:10" s="382" customFormat="1" ht="15.75">
      <c r="C279" s="315">
        <f>C277-C278</f>
        <v>0</v>
      </c>
      <c r="D279" s="66" t="s">
        <v>87</v>
      </c>
      <c r="E279" s="324">
        <f>E277+E278+E263</f>
        <v>121805.39447091224</v>
      </c>
      <c r="F279" s="383"/>
      <c r="G279" s="8">
        <f>(E261*(D280/12))+(E277*(D280/24))</f>
        <v>101.59227872576022</v>
      </c>
      <c r="H279" s="7">
        <f>E280-G279</f>
        <v>7.7721274239777927E-2</v>
      </c>
      <c r="I279" s="8"/>
      <c r="J279" s="10"/>
    </row>
    <row r="280" spans="1:10" s="382" customFormat="1" ht="15.75">
      <c r="C280" s="50"/>
      <c r="D280" s="225">
        <v>0.01</v>
      </c>
      <c r="E280" s="326">
        <f>ROUND(((E263)+(E277)/2)*(D280/12),2)</f>
        <v>101.67</v>
      </c>
      <c r="F280" s="383"/>
      <c r="G280" s="65"/>
      <c r="H280" s="7"/>
      <c r="I280" s="10"/>
      <c r="J280" s="10"/>
    </row>
    <row r="281" spans="1:10" s="382" customFormat="1" ht="16.5" thickBot="1">
      <c r="A281" s="5"/>
      <c r="B281" s="5"/>
      <c r="C281" s="50" t="s">
        <v>1</v>
      </c>
      <c r="D281" s="143">
        <f>A266</f>
        <v>41608</v>
      </c>
      <c r="E281" s="327">
        <f>SUM(E279:E280)</f>
        <v>121907.06447091224</v>
      </c>
      <c r="F281" s="383"/>
      <c r="G281" s="7"/>
      <c r="H281" s="7"/>
      <c r="I281" s="8"/>
      <c r="J281" s="7"/>
    </row>
    <row r="282" spans="1:10" s="382" customFormat="1" ht="16.5" thickTop="1" thickBot="1">
      <c r="E282" s="318"/>
    </row>
    <row r="283" spans="1:10" s="382" customFormat="1" ht="15.75">
      <c r="A283" s="73" t="s">
        <v>142</v>
      </c>
      <c r="B283" s="74"/>
      <c r="C283" s="75"/>
      <c r="D283" s="76"/>
      <c r="E283" s="319"/>
      <c r="G283" s="16"/>
      <c r="H283" s="5"/>
      <c r="I283" s="56"/>
      <c r="J283" s="56"/>
    </row>
    <row r="284" spans="1:10" s="382" customFormat="1" ht="15.75">
      <c r="A284" s="219">
        <f>EOMONTH(A266,1)</f>
        <v>41639</v>
      </c>
      <c r="B284" s="71"/>
      <c r="C284" s="16"/>
      <c r="D284" s="72" t="s">
        <v>23</v>
      </c>
      <c r="E284" s="320" t="s">
        <v>21</v>
      </c>
      <c r="G284" s="5"/>
      <c r="H284" s="5"/>
      <c r="I284" s="8"/>
      <c r="J284" s="10"/>
    </row>
    <row r="285" spans="1:10" s="382" customFormat="1" ht="16.5" thickBot="1">
      <c r="A285" s="14"/>
      <c r="B285" s="18"/>
      <c r="C285" s="131" t="s">
        <v>21</v>
      </c>
      <c r="D285" s="131" t="s">
        <v>22</v>
      </c>
      <c r="E285" s="321" t="s">
        <v>23</v>
      </c>
      <c r="F285" s="383"/>
      <c r="G285" s="7"/>
      <c r="H285" s="7"/>
      <c r="I285" s="10"/>
      <c r="J285" s="10"/>
    </row>
    <row r="286" spans="1:10" s="382" customFormat="1" ht="15.75">
      <c r="A286" s="2" t="s">
        <v>24</v>
      </c>
      <c r="B286" s="17">
        <v>101</v>
      </c>
      <c r="C286" s="251">
        <f>Jan!$K$23</f>
        <v>8822773</v>
      </c>
      <c r="D286" s="387">
        <v>-1.4999999999999999E-4</v>
      </c>
      <c r="E286" s="322">
        <f>C286*D286</f>
        <v>-1323.4159499999998</v>
      </c>
      <c r="F286" s="383"/>
      <c r="G286" s="7"/>
      <c r="H286" s="7"/>
      <c r="I286" s="8"/>
      <c r="J286" s="7"/>
    </row>
    <row r="287" spans="1:10" s="382" customFormat="1" ht="16.5" thickBot="1">
      <c r="A287" s="2" t="s">
        <v>24</v>
      </c>
      <c r="B287" s="17">
        <v>111</v>
      </c>
      <c r="C287" s="251">
        <f>Jan!$K$24</f>
        <v>2761366</v>
      </c>
      <c r="D287" s="387">
        <v>-1.4999999999999999E-4</v>
      </c>
      <c r="E287" s="322">
        <f t="shared" ref="E287:E293" si="5">C287*D287</f>
        <v>-414.20489999999995</v>
      </c>
      <c r="F287" s="383"/>
      <c r="G287" s="146">
        <f>A284</f>
        <v>41639</v>
      </c>
      <c r="H287" s="147"/>
      <c r="I287" s="147"/>
      <c r="J287" s="147"/>
    </row>
    <row r="288" spans="1:10" s="382" customFormat="1" ht="16.5" thickBot="1">
      <c r="A288" s="2" t="s">
        <v>24</v>
      </c>
      <c r="B288" s="17">
        <v>112</v>
      </c>
      <c r="C288" s="251"/>
      <c r="D288" s="387"/>
      <c r="E288" s="322">
        <f t="shared" si="5"/>
        <v>0</v>
      </c>
      <c r="F288" s="383"/>
      <c r="G288" s="102" t="s">
        <v>25</v>
      </c>
      <c r="H288" s="148"/>
      <c r="I288" s="149" t="s">
        <v>18</v>
      </c>
      <c r="J288" s="150" t="s">
        <v>19</v>
      </c>
    </row>
    <row r="289" spans="1:10" s="382" customFormat="1" ht="15.75">
      <c r="A289" s="2" t="s">
        <v>24</v>
      </c>
      <c r="B289" s="17">
        <v>121</v>
      </c>
      <c r="C289" s="251"/>
      <c r="D289" s="220"/>
      <c r="E289" s="322">
        <f t="shared" si="5"/>
        <v>0</v>
      </c>
      <c r="F289" s="383"/>
      <c r="G289" s="151" t="s">
        <v>28</v>
      </c>
      <c r="H289" s="152" t="s">
        <v>77</v>
      </c>
      <c r="I289" s="108"/>
      <c r="J289" s="392">
        <f>IF(E298&gt;0,-E298,0)</f>
        <v>-100.87</v>
      </c>
    </row>
    <row r="290" spans="1:10" s="382" customFormat="1" ht="15.75">
      <c r="A290" s="2" t="s">
        <v>24</v>
      </c>
      <c r="B290" s="17">
        <v>122</v>
      </c>
      <c r="C290" s="252"/>
      <c r="D290" s="220"/>
      <c r="E290" s="322">
        <f t="shared" si="5"/>
        <v>0</v>
      </c>
      <c r="F290" s="383"/>
      <c r="G290" s="153" t="s">
        <v>29</v>
      </c>
      <c r="H290" s="7" t="s">
        <v>78</v>
      </c>
      <c r="I290" s="393">
        <f>IF(E298&lt;0,-E298,0)</f>
        <v>0</v>
      </c>
      <c r="J290" s="222"/>
    </row>
    <row r="291" spans="1:10" s="382" customFormat="1" ht="15.75">
      <c r="A291" s="2" t="s">
        <v>24</v>
      </c>
      <c r="B291" s="17">
        <v>131</v>
      </c>
      <c r="C291" s="251">
        <f>Jan!$K$41</f>
        <v>0</v>
      </c>
      <c r="D291" s="387">
        <v>1.042E-2</v>
      </c>
      <c r="E291" s="322">
        <f t="shared" si="5"/>
        <v>0</v>
      </c>
      <c r="F291" s="383"/>
      <c r="G291" s="153" t="s">
        <v>99</v>
      </c>
      <c r="H291" s="7" t="s">
        <v>60</v>
      </c>
      <c r="I291" s="393">
        <f>IF((E281-E297)&gt;0,E281-E297,0)</f>
        <v>1737.6208500000066</v>
      </c>
      <c r="J291" s="393">
        <f>IF((E281-E297)&lt;0,E281-E297,0)</f>
        <v>0</v>
      </c>
    </row>
    <row r="292" spans="1:10" s="382" customFormat="1" ht="15.75">
      <c r="A292" s="2" t="s">
        <v>24</v>
      </c>
      <c r="B292" s="17">
        <v>132</v>
      </c>
      <c r="C292" s="252"/>
      <c r="D292" s="121"/>
      <c r="E292" s="322">
        <f t="shared" si="5"/>
        <v>0</v>
      </c>
      <c r="F292" s="383"/>
      <c r="G292" s="153" t="s">
        <v>10</v>
      </c>
      <c r="H292" s="7" t="s">
        <v>58</v>
      </c>
      <c r="I292" s="7"/>
      <c r="J292" s="458"/>
    </row>
    <row r="293" spans="1:10" s="382" customFormat="1" ht="16.5" thickBot="1">
      <c r="A293" s="2" t="s">
        <v>24</v>
      </c>
      <c r="B293" s="17" t="s">
        <v>61</v>
      </c>
      <c r="C293" s="252"/>
      <c r="D293" s="121"/>
      <c r="E293" s="322">
        <f t="shared" si="5"/>
        <v>0</v>
      </c>
      <c r="F293" s="383"/>
      <c r="G293" s="154" t="s">
        <v>100</v>
      </c>
      <c r="H293" s="147" t="s">
        <v>62</v>
      </c>
      <c r="I293" s="460">
        <f>IF((E299-E281)&gt;0,E299-E281,0)</f>
        <v>0</v>
      </c>
      <c r="J293" s="107">
        <f>IF((E299-E281)&lt;0,E299-E281,0)</f>
        <v>-1636.7508500000113</v>
      </c>
    </row>
    <row r="294" spans="1:10" s="382" customFormat="1" ht="15.75">
      <c r="A294" s="2" t="s">
        <v>156</v>
      </c>
      <c r="B294" s="70"/>
      <c r="C294" s="250"/>
      <c r="D294" s="136"/>
      <c r="E294" s="323">
        <v>0</v>
      </c>
      <c r="F294" s="383"/>
      <c r="G294" s="7"/>
      <c r="H294" s="7"/>
      <c r="I294" s="8"/>
      <c r="J294" s="259">
        <f>ROUND(SUM(I289:J293),2)</f>
        <v>0</v>
      </c>
    </row>
    <row r="295" spans="1:10" s="382" customFormat="1" ht="16.5" thickBot="1">
      <c r="B295" s="6"/>
      <c r="C295" s="253">
        <f>SUM(C286:C294)</f>
        <v>11584139</v>
      </c>
      <c r="D295" s="155"/>
      <c r="E295" s="324">
        <f>SUM(E286:E294)</f>
        <v>-1737.6208499999998</v>
      </c>
      <c r="F295" s="383"/>
      <c r="G295" s="7"/>
      <c r="H295" s="7"/>
      <c r="I295" s="7"/>
      <c r="J295" s="7"/>
    </row>
    <row r="296" spans="1:10" s="382" customFormat="1" ht="16.5" thickTop="1">
      <c r="B296" s="6"/>
      <c r="C296" s="254">
        <v>13760186</v>
      </c>
      <c r="D296" s="66" t="s">
        <v>161</v>
      </c>
      <c r="E296" s="325">
        <v>0</v>
      </c>
      <c r="F296" s="383"/>
      <c r="G296" s="65" t="s">
        <v>158</v>
      </c>
      <c r="H296" s="7"/>
      <c r="I296" s="12"/>
      <c r="J296" s="12"/>
    </row>
    <row r="297" spans="1:10" s="382" customFormat="1" ht="15.75">
      <c r="C297" s="315">
        <f>C295-C296</f>
        <v>-2176047</v>
      </c>
      <c r="D297" s="66" t="s">
        <v>87</v>
      </c>
      <c r="E297" s="324">
        <f>E295+E296+E281</f>
        <v>120169.44362091224</v>
      </c>
      <c r="F297" s="383"/>
      <c r="G297" s="8">
        <f>(E279*(D298/12))+(E295*(D298/24))</f>
        <v>100.78048670492687</v>
      </c>
      <c r="H297" s="7">
        <f>E298-G297</f>
        <v>8.9513295073132326E-2</v>
      </c>
      <c r="I297" s="8"/>
      <c r="J297" s="10"/>
    </row>
    <row r="298" spans="1:10" s="382" customFormat="1" ht="15.75">
      <c r="C298" s="50"/>
      <c r="D298" s="225">
        <v>0.01</v>
      </c>
      <c r="E298" s="326">
        <f>ROUND(((E281)+(E295)/2)*(D298/12),2)</f>
        <v>100.87</v>
      </c>
      <c r="F298" s="383"/>
      <c r="G298" s="65"/>
      <c r="H298" s="7"/>
      <c r="I298" s="10"/>
      <c r="J298" s="10"/>
    </row>
    <row r="299" spans="1:10" s="382" customFormat="1" ht="16.5" thickBot="1">
      <c r="A299" s="5"/>
      <c r="B299" s="5"/>
      <c r="C299" s="50" t="s">
        <v>1</v>
      </c>
      <c r="D299" s="143">
        <f>A284</f>
        <v>41639</v>
      </c>
      <c r="E299" s="327">
        <f>SUM(E297:E298)</f>
        <v>120270.31362091223</v>
      </c>
      <c r="F299" s="383"/>
      <c r="G299" s="473" t="s">
        <v>244</v>
      </c>
      <c r="H299" s="474" t="e">
        <f>_xll.Get_Balance(I299,"YTD","USD","Total","A","","001","191000","GD","ID","DL")-E299</f>
        <v>#VALUE!</v>
      </c>
      <c r="I299" s="475">
        <v>201312</v>
      </c>
      <c r="J299" s="7"/>
    </row>
    <row r="300" spans="1:10" ht="15.75" thickTop="1"/>
    <row r="355" spans="16:16">
      <c r="P355" s="1">
        <f>(C343*M354)/12+((C346+C349+C350)*M354)/24</f>
        <v>0</v>
      </c>
    </row>
  </sheetData>
  <phoneticPr fontId="0" type="noConversion"/>
  <conditionalFormatting sqref="C25">
    <cfRule type="cellIs" dxfId="163" priority="48" operator="notEqual">
      <formula>0</formula>
    </cfRule>
  </conditionalFormatting>
  <conditionalFormatting sqref="J22">
    <cfRule type="cellIs" dxfId="162" priority="46" stopIfTrue="1" operator="equal">
      <formula>0</formula>
    </cfRule>
    <cfRule type="cellIs" dxfId="161" priority="47" stopIfTrue="1" operator="notEqual">
      <formula>0</formula>
    </cfRule>
  </conditionalFormatting>
  <conditionalFormatting sqref="C43">
    <cfRule type="cellIs" dxfId="160" priority="45" operator="notEqual">
      <formula>0</formula>
    </cfRule>
  </conditionalFormatting>
  <conditionalFormatting sqref="J40">
    <cfRule type="cellIs" dxfId="159" priority="43" stopIfTrue="1" operator="equal">
      <formula>0</formula>
    </cfRule>
    <cfRule type="cellIs" dxfId="158" priority="44" stopIfTrue="1" operator="notEqual">
      <formula>0</formula>
    </cfRule>
  </conditionalFormatting>
  <conditionalFormatting sqref="C61">
    <cfRule type="cellIs" dxfId="157" priority="42" operator="notEqual">
      <formula>0</formula>
    </cfRule>
  </conditionalFormatting>
  <conditionalFormatting sqref="J58">
    <cfRule type="cellIs" dxfId="156" priority="40" stopIfTrue="1" operator="equal">
      <formula>0</formula>
    </cfRule>
    <cfRule type="cellIs" dxfId="155" priority="41" stopIfTrue="1" operator="notEqual">
      <formula>0</formula>
    </cfRule>
  </conditionalFormatting>
  <conditionalFormatting sqref="C79">
    <cfRule type="cellIs" dxfId="154" priority="39" operator="notEqual">
      <formula>0</formula>
    </cfRule>
  </conditionalFormatting>
  <conditionalFormatting sqref="J76">
    <cfRule type="cellIs" dxfId="153" priority="37" stopIfTrue="1" operator="equal">
      <formula>0</formula>
    </cfRule>
    <cfRule type="cellIs" dxfId="152" priority="38" stopIfTrue="1" operator="notEqual">
      <formula>0</formula>
    </cfRule>
  </conditionalFormatting>
  <conditionalFormatting sqref="C97">
    <cfRule type="cellIs" dxfId="151" priority="36" operator="notEqual">
      <formula>0</formula>
    </cfRule>
  </conditionalFormatting>
  <conditionalFormatting sqref="J94">
    <cfRule type="cellIs" dxfId="150" priority="34" stopIfTrue="1" operator="equal">
      <formula>0</formula>
    </cfRule>
    <cfRule type="cellIs" dxfId="149" priority="35" stopIfTrue="1" operator="notEqual">
      <formula>0</formula>
    </cfRule>
  </conditionalFormatting>
  <conditionalFormatting sqref="C115">
    <cfRule type="cellIs" dxfId="148" priority="33" operator="notEqual">
      <formula>0</formula>
    </cfRule>
  </conditionalFormatting>
  <conditionalFormatting sqref="J112">
    <cfRule type="cellIs" dxfId="147" priority="31" stopIfTrue="1" operator="equal">
      <formula>0</formula>
    </cfRule>
    <cfRule type="cellIs" dxfId="146" priority="32" stopIfTrue="1" operator="notEqual">
      <formula>0</formula>
    </cfRule>
  </conditionalFormatting>
  <conditionalFormatting sqref="C133">
    <cfRule type="cellIs" dxfId="145" priority="30" operator="notEqual">
      <formula>0</formula>
    </cfRule>
  </conditionalFormatting>
  <conditionalFormatting sqref="J130">
    <cfRule type="cellIs" dxfId="144" priority="28" stopIfTrue="1" operator="equal">
      <formula>0</formula>
    </cfRule>
    <cfRule type="cellIs" dxfId="143" priority="29" stopIfTrue="1" operator="notEqual">
      <formula>0</formula>
    </cfRule>
  </conditionalFormatting>
  <conditionalFormatting sqref="C151">
    <cfRule type="cellIs" dxfId="142" priority="27" operator="notEqual">
      <formula>0</formula>
    </cfRule>
  </conditionalFormatting>
  <conditionalFormatting sqref="J148">
    <cfRule type="cellIs" dxfId="141" priority="25" stopIfTrue="1" operator="equal">
      <formula>0</formula>
    </cfRule>
    <cfRule type="cellIs" dxfId="140" priority="26" stopIfTrue="1" operator="notEqual">
      <formula>0</formula>
    </cfRule>
  </conditionalFormatting>
  <conditionalFormatting sqref="C169">
    <cfRule type="cellIs" dxfId="139" priority="24" operator="notEqual">
      <formula>0</formula>
    </cfRule>
  </conditionalFormatting>
  <conditionalFormatting sqref="J166">
    <cfRule type="cellIs" dxfId="138" priority="22" stopIfTrue="1" operator="equal">
      <formula>0</formula>
    </cfRule>
    <cfRule type="cellIs" dxfId="137" priority="23" stopIfTrue="1" operator="notEqual">
      <formula>0</formula>
    </cfRule>
  </conditionalFormatting>
  <conditionalFormatting sqref="C187">
    <cfRule type="cellIs" dxfId="136" priority="21" operator="notEqual">
      <formula>0</formula>
    </cfRule>
  </conditionalFormatting>
  <conditionalFormatting sqref="J184">
    <cfRule type="cellIs" dxfId="135" priority="19" stopIfTrue="1" operator="equal">
      <formula>0</formula>
    </cfRule>
    <cfRule type="cellIs" dxfId="134" priority="20" stopIfTrue="1" operator="notEqual">
      <formula>0</formula>
    </cfRule>
  </conditionalFormatting>
  <conditionalFormatting sqref="C205">
    <cfRule type="cellIs" dxfId="133" priority="18" operator="notEqual">
      <formula>0</formula>
    </cfRule>
  </conditionalFormatting>
  <conditionalFormatting sqref="J202">
    <cfRule type="cellIs" dxfId="132" priority="16" stopIfTrue="1" operator="equal">
      <formula>0</formula>
    </cfRule>
    <cfRule type="cellIs" dxfId="131" priority="17" stopIfTrue="1" operator="notEqual">
      <formula>0</formula>
    </cfRule>
  </conditionalFormatting>
  <conditionalFormatting sqref="C223">
    <cfRule type="cellIs" dxfId="130" priority="15" operator="notEqual">
      <formula>0</formula>
    </cfRule>
  </conditionalFormatting>
  <conditionalFormatting sqref="J220">
    <cfRule type="cellIs" dxfId="129" priority="13" stopIfTrue="1" operator="equal">
      <formula>0</formula>
    </cfRule>
    <cfRule type="cellIs" dxfId="128" priority="14" stopIfTrue="1" operator="notEqual">
      <formula>0</formula>
    </cfRule>
  </conditionalFormatting>
  <conditionalFormatting sqref="C241">
    <cfRule type="cellIs" dxfId="127" priority="12" operator="notEqual">
      <formula>0</formula>
    </cfRule>
  </conditionalFormatting>
  <conditionalFormatting sqref="J238">
    <cfRule type="cellIs" dxfId="126" priority="10" stopIfTrue="1" operator="equal">
      <formula>0</formula>
    </cfRule>
    <cfRule type="cellIs" dxfId="125" priority="11" stopIfTrue="1" operator="notEqual">
      <formula>0</formula>
    </cfRule>
  </conditionalFormatting>
  <conditionalFormatting sqref="C261">
    <cfRule type="cellIs" dxfId="124" priority="9" operator="notEqual">
      <formula>0</formula>
    </cfRule>
  </conditionalFormatting>
  <conditionalFormatting sqref="J258">
    <cfRule type="cellIs" dxfId="123" priority="7" stopIfTrue="1" operator="equal">
      <formula>0</formula>
    </cfRule>
    <cfRule type="cellIs" dxfId="122" priority="8" stopIfTrue="1" operator="notEqual">
      <formula>0</formula>
    </cfRule>
  </conditionalFormatting>
  <conditionalFormatting sqref="C279">
    <cfRule type="cellIs" dxfId="121" priority="6" operator="notEqual">
      <formula>0</formula>
    </cfRule>
  </conditionalFormatting>
  <conditionalFormatting sqref="J276">
    <cfRule type="cellIs" dxfId="120" priority="4" stopIfTrue="1" operator="equal">
      <formula>0</formula>
    </cfRule>
    <cfRule type="cellIs" dxfId="119" priority="5" stopIfTrue="1" operator="notEqual">
      <formula>0</formula>
    </cfRule>
  </conditionalFormatting>
  <conditionalFormatting sqref="C297">
    <cfRule type="cellIs" dxfId="118" priority="3" operator="notEqual">
      <formula>0</formula>
    </cfRule>
  </conditionalFormatting>
  <conditionalFormatting sqref="J294">
    <cfRule type="cellIs" dxfId="117" priority="1" stopIfTrue="1" operator="equal">
      <formula>0</formula>
    </cfRule>
    <cfRule type="cellIs" dxfId="116" priority="2" stopIfTrue="1" operator="notEqual">
      <formula>0</formula>
    </cfRule>
  </conditionalFormatting>
  <printOptions gridLinesSet="0"/>
  <pageMargins left="0.5" right="0.5" top="1.04" bottom="0.5" header="0.25" footer="0.25"/>
  <pageSetup scale="36" orientation="portrait" horizontalDpi="300" verticalDpi="300" r:id="rId1"/>
  <headerFooter alignWithMargins="0">
    <oddHeader>&amp;L&amp;12Prior Period Unrecovered Gas Costs
Idaho
191000</oddHeader>
    <oddFooter>&amp;L&amp;F&amp;C&amp;A&amp;R&amp;D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tabColor rgb="FFFFFF00"/>
    <pageSetUpPr fitToPage="1"/>
  </sheetPr>
  <dimension ref="A1:R1010"/>
  <sheetViews>
    <sheetView showGridLines="0" view="pageBreakPreview" topLeftCell="A109" zoomScaleNormal="100" zoomScaleSheetLayoutView="100" workbookViewId="0">
      <selection activeCell="E128" sqref="E128"/>
    </sheetView>
  </sheetViews>
  <sheetFormatPr defaultColWidth="9.85546875" defaultRowHeight="15"/>
  <cols>
    <col min="1" max="1" width="12.42578125" style="53" customWidth="1"/>
    <col min="2" max="2" width="39.85546875" style="1" customWidth="1"/>
    <col min="3" max="3" width="24.85546875" style="1" customWidth="1"/>
    <col min="4" max="4" width="20.140625" style="1" bestFit="1" customWidth="1"/>
    <col min="5" max="5" width="19.7109375" style="1" customWidth="1"/>
    <col min="6" max="6" width="16.7109375" style="1" customWidth="1"/>
    <col min="7" max="7" width="16.7109375" style="1" hidden="1" customWidth="1"/>
    <col min="8" max="8" width="13.140625" style="1" hidden="1" customWidth="1"/>
    <col min="9" max="9" width="14.28515625" style="1" hidden="1" customWidth="1"/>
    <col min="10" max="10" width="16" style="1" hidden="1" customWidth="1"/>
    <col min="11" max="11" width="11.28515625" style="1" hidden="1" customWidth="1"/>
    <col min="12" max="12" width="25.7109375" style="1" bestFit="1" customWidth="1"/>
    <col min="13" max="13" width="18" style="52" customWidth="1"/>
    <col min="14" max="14" width="3.140625" style="1" customWidth="1"/>
    <col min="15" max="15" width="25.85546875" style="1" customWidth="1"/>
    <col min="16" max="16" width="20.28515625" style="1" customWidth="1"/>
    <col min="17" max="17" width="19.85546875" style="1" customWidth="1"/>
    <col min="18" max="18" width="20" style="1" customWidth="1"/>
    <col min="19" max="16384" width="9.85546875" style="1"/>
  </cols>
  <sheetData>
    <row r="1" spans="1:18" ht="18.75" customHeight="1">
      <c r="A1" s="51" t="s">
        <v>13</v>
      </c>
    </row>
    <row r="2" spans="1:18" ht="15.75">
      <c r="A2" s="51" t="s">
        <v>0</v>
      </c>
    </row>
    <row r="3" spans="1:18" ht="15.75">
      <c r="A3" s="51" t="s">
        <v>15</v>
      </c>
    </row>
    <row r="4" spans="1:18" ht="15.75">
      <c r="A4" s="51" t="s">
        <v>104</v>
      </c>
    </row>
    <row r="5" spans="1:18" ht="15.75">
      <c r="C5" s="55" t="s">
        <v>21</v>
      </c>
      <c r="D5" s="55" t="s">
        <v>2</v>
      </c>
      <c r="E5" s="55" t="s">
        <v>3</v>
      </c>
      <c r="F5" s="55"/>
      <c r="J5" s="46"/>
    </row>
    <row r="6" spans="1:18" ht="15.75">
      <c r="A6" s="62"/>
      <c r="B6" s="69"/>
      <c r="C6" s="55" t="s">
        <v>16</v>
      </c>
      <c r="D6" s="55" t="s">
        <v>7</v>
      </c>
      <c r="E6" s="55" t="s">
        <v>7</v>
      </c>
      <c r="F6" s="55" t="s">
        <v>4</v>
      </c>
      <c r="O6" s="92"/>
      <c r="P6" s="91"/>
      <c r="Q6" s="19"/>
      <c r="R6" s="19"/>
    </row>
    <row r="7" spans="1:18" ht="15.75">
      <c r="A7" s="62"/>
      <c r="B7" s="69"/>
      <c r="C7" s="55"/>
      <c r="D7" s="55"/>
      <c r="E7" s="55"/>
      <c r="O7" s="92"/>
      <c r="P7" s="91"/>
      <c r="Q7" s="19"/>
      <c r="R7" s="19"/>
    </row>
    <row r="8" spans="1:18" s="329" customFormat="1" ht="16.5" thickBot="1">
      <c r="A8" s="103">
        <v>41183</v>
      </c>
      <c r="B8" s="50" t="s">
        <v>56</v>
      </c>
      <c r="C8" s="158">
        <v>-6056575.765431677</v>
      </c>
      <c r="D8" s="158">
        <v>-6691252.0927546788</v>
      </c>
      <c r="E8" s="158">
        <v>809169.36732299952</v>
      </c>
      <c r="F8" s="158">
        <v>-174493.04</v>
      </c>
      <c r="G8" s="158">
        <v>0</v>
      </c>
      <c r="H8" s="158">
        <v>0</v>
      </c>
      <c r="I8" s="158">
        <v>0</v>
      </c>
      <c r="J8" s="158">
        <v>0</v>
      </c>
      <c r="K8" s="158">
        <v>0</v>
      </c>
      <c r="L8" s="158">
        <v>0</v>
      </c>
      <c r="M8" s="57"/>
      <c r="N8" s="331"/>
      <c r="O8" s="331"/>
      <c r="P8" s="331"/>
      <c r="Q8" s="331"/>
      <c r="R8" s="19"/>
    </row>
    <row r="9" spans="1:18" s="382" customFormat="1" ht="16.5" thickTop="1">
      <c r="A9" s="103"/>
      <c r="B9" s="50"/>
      <c r="C9" s="11"/>
      <c r="D9" s="11"/>
      <c r="E9" s="11"/>
      <c r="F9" s="11"/>
      <c r="G9" s="11"/>
      <c r="H9" s="11"/>
      <c r="I9" s="11"/>
      <c r="J9" s="11"/>
      <c r="K9" s="11"/>
      <c r="L9" s="11"/>
      <c r="M9" s="57"/>
      <c r="N9" s="383"/>
      <c r="O9" s="383"/>
      <c r="P9" s="383"/>
      <c r="Q9" s="383"/>
      <c r="R9" s="383"/>
    </row>
    <row r="10" spans="1:18" s="382" customFormat="1" ht="15.75">
      <c r="A10" s="255"/>
      <c r="B10" s="161" t="s">
        <v>11</v>
      </c>
      <c r="C10" s="203">
        <v>7340824.0093394704</v>
      </c>
      <c r="D10" s="203">
        <v>4103157.0665184702</v>
      </c>
      <c r="E10" s="203">
        <v>3134193.9628209998</v>
      </c>
      <c r="F10" s="203">
        <v>103472.98</v>
      </c>
      <c r="G10" s="203">
        <v>0</v>
      </c>
      <c r="H10" s="203">
        <v>0</v>
      </c>
      <c r="I10" s="203">
        <v>0</v>
      </c>
      <c r="J10" s="203">
        <v>0</v>
      </c>
      <c r="K10" s="203">
        <v>0</v>
      </c>
      <c r="L10" s="203">
        <v>0</v>
      </c>
      <c r="M10" s="203"/>
      <c r="N10" s="203"/>
      <c r="O10" s="202"/>
      <c r="P10" s="202"/>
      <c r="Q10" s="202"/>
      <c r="R10" s="202"/>
    </row>
    <row r="11" spans="1:18" s="382" customFormat="1" ht="16.5" thickBot="1">
      <c r="A11" s="255"/>
      <c r="B11" s="161" t="s">
        <v>210</v>
      </c>
      <c r="C11" s="388">
        <f>SUM(C8:C10)</f>
        <v>1284248.2439077934</v>
      </c>
      <c r="D11" s="388">
        <f>SUM(D8:D10)</f>
        <v>-2588095.0262362086</v>
      </c>
      <c r="E11" s="388">
        <f>SUM(E8:E10)</f>
        <v>3943363.3301439993</v>
      </c>
      <c r="F11" s="388">
        <f>SUM(F8:F10)</f>
        <v>-71020.060000000012</v>
      </c>
      <c r="G11" s="388">
        <v>0</v>
      </c>
      <c r="H11" s="388">
        <v>0</v>
      </c>
      <c r="I11" s="388">
        <v>0</v>
      </c>
      <c r="J11" s="388">
        <v>0</v>
      </c>
      <c r="K11" s="388">
        <v>0</v>
      </c>
      <c r="L11" s="388">
        <f>SUM(L8:L10)</f>
        <v>0</v>
      </c>
      <c r="M11" s="388"/>
      <c r="N11" s="388"/>
      <c r="O11" s="202"/>
      <c r="P11" s="202"/>
      <c r="Q11" s="202"/>
      <c r="R11" s="202"/>
    </row>
    <row r="12" spans="1:18" ht="16.5" thickTop="1" thickBot="1"/>
    <row r="13" spans="1:18" s="382" customFormat="1" ht="16.5" thickBot="1">
      <c r="A13" s="58">
        <v>41243</v>
      </c>
      <c r="B13" s="59" t="s">
        <v>84</v>
      </c>
      <c r="C13" s="50">
        <f>SUM(D13:L13)</f>
        <v>1615352.97</v>
      </c>
      <c r="D13" s="243">
        <v>1685691.83</v>
      </c>
      <c r="E13" s="243">
        <v>-70338.86</v>
      </c>
      <c r="F13" s="161">
        <v>0</v>
      </c>
      <c r="G13" s="161"/>
      <c r="H13" s="161"/>
      <c r="I13" s="161"/>
      <c r="J13" s="386"/>
      <c r="K13" s="161"/>
      <c r="L13" s="161">
        <v>0</v>
      </c>
      <c r="M13" s="133"/>
      <c r="N13" s="50"/>
      <c r="O13" s="334" t="s">
        <v>106</v>
      </c>
      <c r="P13" s="93"/>
      <c r="Q13" s="93"/>
      <c r="R13" s="94"/>
    </row>
    <row r="14" spans="1:18" s="382" customFormat="1" ht="15.75">
      <c r="A14" s="58"/>
      <c r="B14" s="59" t="s">
        <v>148</v>
      </c>
      <c r="C14" s="50">
        <f>SUM(D14:F14)</f>
        <v>0</v>
      </c>
      <c r="D14" s="240"/>
      <c r="E14" s="240">
        <v>0</v>
      </c>
      <c r="F14" s="161"/>
      <c r="G14" s="161"/>
      <c r="H14" s="161"/>
      <c r="I14" s="161"/>
      <c r="J14" s="161"/>
      <c r="K14" s="161"/>
      <c r="L14" s="161"/>
      <c r="M14" s="133"/>
      <c r="N14" s="50"/>
      <c r="O14" s="345" t="s">
        <v>211</v>
      </c>
      <c r="P14" s="337" t="s">
        <v>27</v>
      </c>
      <c r="Q14" s="333">
        <v>0</v>
      </c>
      <c r="R14" s="335">
        <f>-C10</f>
        <v>-7340824.0093394704</v>
      </c>
    </row>
    <row r="15" spans="1:18" s="382" customFormat="1" ht="15.75">
      <c r="A15" s="58"/>
      <c r="B15" s="20" t="s">
        <v>157</v>
      </c>
      <c r="C15" s="50">
        <f>SUM(D15:L15)</f>
        <v>0</v>
      </c>
      <c r="D15" s="241">
        <v>0</v>
      </c>
      <c r="E15" s="240"/>
      <c r="F15" s="161"/>
      <c r="G15" s="161"/>
      <c r="H15" s="161"/>
      <c r="I15" s="161"/>
      <c r="J15" s="161"/>
      <c r="K15" s="161"/>
      <c r="L15" s="161"/>
      <c r="M15" s="133"/>
      <c r="N15" s="50"/>
      <c r="O15" s="332" t="s">
        <v>79</v>
      </c>
      <c r="P15" s="337" t="s">
        <v>17</v>
      </c>
      <c r="Q15" s="333">
        <f>IF((-C8+C19)&gt;0,(-C8+C19),0)</f>
        <v>8961842.60933947</v>
      </c>
      <c r="R15" s="335">
        <f>IF((-C8+C19)&lt;0,(-C8+C19),0)</f>
        <v>0</v>
      </c>
    </row>
    <row r="16" spans="1:18" s="382" customFormat="1" ht="15.75">
      <c r="A16" s="58"/>
      <c r="B16" s="59" t="s">
        <v>49</v>
      </c>
      <c r="C16" s="50">
        <f>SUM(D16:L16)</f>
        <v>0</v>
      </c>
      <c r="D16" s="161"/>
      <c r="E16" s="161"/>
      <c r="F16" s="161"/>
      <c r="G16" s="161"/>
      <c r="H16" s="161"/>
      <c r="I16" s="161"/>
      <c r="J16" s="161"/>
      <c r="K16" s="161"/>
      <c r="L16" s="242">
        <v>0</v>
      </c>
      <c r="M16" s="134"/>
      <c r="N16" s="50"/>
      <c r="O16" s="338" t="s">
        <v>80</v>
      </c>
      <c r="P16" s="337" t="s">
        <v>20</v>
      </c>
      <c r="Q16" s="112">
        <f>IF((C13+C14)&lt;0,(-C13-C14),0)</f>
        <v>0</v>
      </c>
      <c r="R16" s="335">
        <f>IF((C13+C14)&gt;0,(-C13-C14),0)</f>
        <v>-1615352.97</v>
      </c>
    </row>
    <row r="17" spans="1:18" s="382" customFormat="1" ht="15.75">
      <c r="A17" s="58"/>
      <c r="B17" s="59" t="s">
        <v>144</v>
      </c>
      <c r="C17" s="50">
        <f>SUM(D17:L17)</f>
        <v>0</v>
      </c>
      <c r="D17" s="161"/>
      <c r="E17" s="161"/>
      <c r="F17" s="161"/>
      <c r="G17" s="161"/>
      <c r="H17" s="161"/>
      <c r="I17" s="161"/>
      <c r="J17" s="161"/>
      <c r="K17" s="161"/>
      <c r="L17" s="242">
        <v>0</v>
      </c>
      <c r="M17" s="134"/>
      <c r="N17" s="50"/>
      <c r="O17" s="340" t="s">
        <v>82</v>
      </c>
      <c r="P17" s="337" t="s">
        <v>75</v>
      </c>
      <c r="Q17" s="342">
        <v>0</v>
      </c>
      <c r="R17" s="335">
        <f>IF(C18&gt;0,-C18,0)</f>
        <v>-5665.63</v>
      </c>
    </row>
    <row r="18" spans="1:18" s="382" customFormat="1" ht="16.5" thickBot="1">
      <c r="A18" s="61"/>
      <c r="B18" s="59" t="s">
        <v>12</v>
      </c>
      <c r="C18" s="50">
        <f>SUM(D18:L18)</f>
        <v>5665.63</v>
      </c>
      <c r="D18" s="161"/>
      <c r="E18" s="161"/>
      <c r="F18" s="161">
        <v>5665.63</v>
      </c>
      <c r="G18" s="161"/>
      <c r="H18" s="161"/>
      <c r="I18" s="161"/>
      <c r="J18" s="161"/>
      <c r="K18" s="161"/>
      <c r="L18" s="244"/>
      <c r="M18" s="237">
        <v>3.2500000000000001E-2</v>
      </c>
      <c r="N18" s="50"/>
      <c r="O18" s="341" t="s">
        <v>83</v>
      </c>
      <c r="P18" s="339" t="s">
        <v>76</v>
      </c>
      <c r="Q18" s="116">
        <f>IF(-C18&gt;0,-C18,0)</f>
        <v>0</v>
      </c>
      <c r="R18" s="116">
        <f>IF(C18&gt;0,0,0)</f>
        <v>0</v>
      </c>
    </row>
    <row r="19" spans="1:18" s="382" customFormat="1" ht="16.5" thickBot="1">
      <c r="A19" s="103">
        <f>A13</f>
        <v>41243</v>
      </c>
      <c r="B19" s="50" t="s">
        <v>56</v>
      </c>
      <c r="C19" s="158">
        <f>SUM(C11:C18)</f>
        <v>2905266.8439077931</v>
      </c>
      <c r="D19" s="158">
        <f>SUM(D11:D18)</f>
        <v>-902403.19623620855</v>
      </c>
      <c r="E19" s="158">
        <f>SUM(E11:E18)</f>
        <v>3873024.4701439994</v>
      </c>
      <c r="F19" s="158">
        <f>SUM(F11:F18)</f>
        <v>-65354.430000000015</v>
      </c>
      <c r="G19" s="158">
        <f>SUM(G8:G18)</f>
        <v>0</v>
      </c>
      <c r="H19" s="158">
        <f>SUM(H8:H18)</f>
        <v>0</v>
      </c>
      <c r="I19" s="158">
        <f>SUM(I8:I18)</f>
        <v>0</v>
      </c>
      <c r="J19" s="158">
        <f>SUM(J8:J18)</f>
        <v>0</v>
      </c>
      <c r="K19" s="158">
        <f>SUM(K8:K18)</f>
        <v>0</v>
      </c>
      <c r="L19" s="158">
        <f>SUM(L11:L18)</f>
        <v>0</v>
      </c>
      <c r="M19" s="57"/>
      <c r="N19" s="383"/>
      <c r="O19" s="383"/>
      <c r="P19" s="383"/>
      <c r="Q19" s="383"/>
      <c r="R19" s="336">
        <f>ROUND(SUM(Q14:R18),2)</f>
        <v>0</v>
      </c>
    </row>
    <row r="20" spans="1:18" ht="16.5" thickTop="1" thickBot="1"/>
    <row r="21" spans="1:18" s="382" customFormat="1" ht="16.5" thickBot="1">
      <c r="A21" s="58">
        <v>41274</v>
      </c>
      <c r="B21" s="59" t="s">
        <v>84</v>
      </c>
      <c r="C21" s="50">
        <f>SUM(D21:L21)</f>
        <v>338391.8734309976</v>
      </c>
      <c r="D21" s="243">
        <v>1143938.5575779974</v>
      </c>
      <c r="E21" s="243">
        <v>-805546.68414699985</v>
      </c>
      <c r="F21" s="161">
        <v>0</v>
      </c>
      <c r="G21" s="161"/>
      <c r="H21" s="161"/>
      <c r="I21" s="161"/>
      <c r="J21" s="386"/>
      <c r="K21" s="161"/>
      <c r="L21" s="161">
        <v>0</v>
      </c>
      <c r="M21" s="133"/>
      <c r="N21" s="50"/>
      <c r="O21" s="334" t="s">
        <v>106</v>
      </c>
      <c r="P21" s="93"/>
      <c r="Q21" s="93"/>
      <c r="R21" s="94"/>
    </row>
    <row r="22" spans="1:18" s="382" customFormat="1" ht="15.75">
      <c r="A22" s="58"/>
      <c r="B22" s="59" t="s">
        <v>148</v>
      </c>
      <c r="C22" s="50">
        <f>SUM(D22:F22)</f>
        <v>0</v>
      </c>
      <c r="D22" s="240"/>
      <c r="E22" s="240">
        <v>0</v>
      </c>
      <c r="F22" s="161"/>
      <c r="G22" s="161"/>
      <c r="H22" s="161"/>
      <c r="I22" s="161"/>
      <c r="J22" s="161"/>
      <c r="K22" s="161"/>
      <c r="L22" s="161"/>
      <c r="M22" s="133"/>
      <c r="N22" s="50"/>
      <c r="O22" s="345" t="s">
        <v>211</v>
      </c>
      <c r="P22" s="337" t="s">
        <v>27</v>
      </c>
      <c r="Q22" s="333">
        <v>0</v>
      </c>
      <c r="R22" s="335">
        <v>0</v>
      </c>
    </row>
    <row r="23" spans="1:18" s="382" customFormat="1" ht="15.75">
      <c r="A23" s="58"/>
      <c r="B23" s="20" t="s">
        <v>157</v>
      </c>
      <c r="C23" s="50">
        <f>SUM(D23:L23)</f>
        <v>0</v>
      </c>
      <c r="D23" s="241">
        <v>0</v>
      </c>
      <c r="E23" s="240"/>
      <c r="F23" s="161"/>
      <c r="G23" s="161"/>
      <c r="H23" s="161"/>
      <c r="I23" s="161"/>
      <c r="J23" s="161"/>
      <c r="K23" s="161"/>
      <c r="L23" s="161"/>
      <c r="M23" s="133"/>
      <c r="N23" s="50"/>
      <c r="O23" s="332" t="s">
        <v>79</v>
      </c>
      <c r="P23" s="337" t="s">
        <v>17</v>
      </c>
      <c r="Q23" s="333">
        <f>IF((-C19+C27)&gt;0,(-C19+C27),0)</f>
        <v>346718.54343099752</v>
      </c>
      <c r="R23" s="335">
        <f>IF((-C16+C27)&lt;0,(-C16+C27),0)</f>
        <v>0</v>
      </c>
    </row>
    <row r="24" spans="1:18" s="382" customFormat="1" ht="15.75">
      <c r="A24" s="58"/>
      <c r="B24" s="59" t="s">
        <v>49</v>
      </c>
      <c r="C24" s="50">
        <f>SUM(D24:L24)</f>
        <v>0</v>
      </c>
      <c r="D24" s="161"/>
      <c r="E24" s="161"/>
      <c r="F24" s="161"/>
      <c r="G24" s="161"/>
      <c r="H24" s="161"/>
      <c r="I24" s="161"/>
      <c r="J24" s="161"/>
      <c r="K24" s="161"/>
      <c r="L24" s="242">
        <v>0</v>
      </c>
      <c r="M24" s="134"/>
      <c r="N24" s="50"/>
      <c r="O24" s="338" t="s">
        <v>80</v>
      </c>
      <c r="P24" s="337" t="s">
        <v>20</v>
      </c>
      <c r="Q24" s="112">
        <f>IF((C21+C22)&lt;0,(-C21-C22),0)</f>
        <v>0</v>
      </c>
      <c r="R24" s="335">
        <f>IF((C21+C22)&gt;0,(-C21-C22),0)</f>
        <v>-338391.8734309976</v>
      </c>
    </row>
    <row r="25" spans="1:18" s="382" customFormat="1" ht="15.75">
      <c r="A25" s="58"/>
      <c r="B25" s="59" t="s">
        <v>144</v>
      </c>
      <c r="C25" s="50">
        <f>SUM(D25:L25)</f>
        <v>0</v>
      </c>
      <c r="D25" s="161"/>
      <c r="E25" s="161"/>
      <c r="F25" s="161"/>
      <c r="G25" s="161"/>
      <c r="H25" s="161"/>
      <c r="I25" s="161"/>
      <c r="J25" s="161"/>
      <c r="K25" s="161"/>
      <c r="L25" s="242">
        <v>0</v>
      </c>
      <c r="M25" s="134"/>
      <c r="N25" s="50"/>
      <c r="O25" s="340" t="s">
        <v>82</v>
      </c>
      <c r="P25" s="337" t="s">
        <v>75</v>
      </c>
      <c r="Q25" s="342">
        <v>0</v>
      </c>
      <c r="R25" s="335">
        <f>IF(C26&gt;0,-C26,0)</f>
        <v>-8326.67</v>
      </c>
    </row>
    <row r="26" spans="1:18" s="382" customFormat="1" ht="16.5" thickBot="1">
      <c r="A26" s="61"/>
      <c r="B26" s="59" t="s">
        <v>12</v>
      </c>
      <c r="C26" s="50">
        <f>SUM(D26:L26)</f>
        <v>8326.67</v>
      </c>
      <c r="D26" s="161"/>
      <c r="E26" s="161"/>
      <c r="F26" s="161">
        <v>8326.67</v>
      </c>
      <c r="G26" s="161"/>
      <c r="H26" s="161"/>
      <c r="I26" s="161"/>
      <c r="J26" s="161"/>
      <c r="K26" s="161"/>
      <c r="L26" s="244"/>
      <c r="M26" s="237">
        <v>3.2500000000000001E-2</v>
      </c>
      <c r="N26" s="50"/>
      <c r="O26" s="341" t="s">
        <v>83</v>
      </c>
      <c r="P26" s="339" t="s">
        <v>76</v>
      </c>
      <c r="Q26" s="116">
        <f>IF(-C26&gt;0,-C26,0)</f>
        <v>0</v>
      </c>
      <c r="R26" s="116">
        <f>IF(C26&gt;0,0,0)</f>
        <v>0</v>
      </c>
    </row>
    <row r="27" spans="1:18" s="382" customFormat="1" ht="16.5" thickBot="1">
      <c r="A27" s="103">
        <f>A21</f>
        <v>41274</v>
      </c>
      <c r="B27" s="50" t="s">
        <v>56</v>
      </c>
      <c r="C27" s="158">
        <f>SUM(C19:C26)</f>
        <v>3251985.3873387906</v>
      </c>
      <c r="D27" s="158">
        <f>SUM(D19:D26)</f>
        <v>241535.3613417889</v>
      </c>
      <c r="E27" s="158">
        <f>SUM(E19:E26)</f>
        <v>3067477.7859969996</v>
      </c>
      <c r="F27" s="158">
        <f>SUM(F19:F26)</f>
        <v>-57027.760000000017</v>
      </c>
      <c r="G27" s="158">
        <f t="shared" ref="G27:K27" si="0">SUM(G16:G26)</f>
        <v>0</v>
      </c>
      <c r="H27" s="158">
        <f t="shared" si="0"/>
        <v>0</v>
      </c>
      <c r="I27" s="158">
        <f t="shared" si="0"/>
        <v>0</v>
      </c>
      <c r="J27" s="158">
        <f t="shared" si="0"/>
        <v>0</v>
      </c>
      <c r="K27" s="158">
        <f t="shared" si="0"/>
        <v>0</v>
      </c>
      <c r="L27" s="158">
        <f>SUM(L19:L26)</f>
        <v>0</v>
      </c>
      <c r="M27" s="57"/>
      <c r="N27" s="383"/>
      <c r="O27" s="383"/>
      <c r="P27" s="383"/>
      <c r="Q27" s="383"/>
      <c r="R27" s="336">
        <f>ROUND(SUM(Q22:R26),2)</f>
        <v>0</v>
      </c>
    </row>
    <row r="28" spans="1:18" s="382" customFormat="1" ht="16.5" thickTop="1" thickBot="1">
      <c r="A28" s="53"/>
      <c r="M28" s="52"/>
    </row>
    <row r="29" spans="1:18" s="382" customFormat="1" ht="16.5" thickBot="1">
      <c r="A29" s="58">
        <v>41305</v>
      </c>
      <c r="B29" s="59" t="s">
        <v>84</v>
      </c>
      <c r="C29" s="50">
        <f>SUM(D29:L29)</f>
        <v>-3227933.8735419996</v>
      </c>
      <c r="D29" s="243">
        <v>-1853906.027032</v>
      </c>
      <c r="E29" s="243">
        <v>-1374027.8465099994</v>
      </c>
      <c r="F29" s="161">
        <v>0</v>
      </c>
      <c r="G29" s="161"/>
      <c r="H29" s="161"/>
      <c r="I29" s="161"/>
      <c r="J29" s="386"/>
      <c r="K29" s="161"/>
      <c r="L29" s="161">
        <v>0</v>
      </c>
      <c r="M29" s="133"/>
      <c r="N29" s="50"/>
      <c r="O29" s="334" t="s">
        <v>106</v>
      </c>
      <c r="P29" s="93"/>
      <c r="Q29" s="93"/>
      <c r="R29" s="94"/>
    </row>
    <row r="30" spans="1:18" s="382" customFormat="1" ht="15.75">
      <c r="A30" s="58"/>
      <c r="B30" s="59" t="s">
        <v>148</v>
      </c>
      <c r="C30" s="50">
        <f>SUM(D30:F30)</f>
        <v>0</v>
      </c>
      <c r="D30" s="240"/>
      <c r="E30" s="240">
        <v>0</v>
      </c>
      <c r="F30" s="161"/>
      <c r="G30" s="161"/>
      <c r="H30" s="161"/>
      <c r="I30" s="161"/>
      <c r="J30" s="161"/>
      <c r="K30" s="161"/>
      <c r="L30" s="161"/>
      <c r="M30" s="133"/>
      <c r="N30" s="50"/>
      <c r="O30" s="345" t="s">
        <v>211</v>
      </c>
      <c r="P30" s="337" t="s">
        <v>27</v>
      </c>
      <c r="Q30" s="333">
        <v>0</v>
      </c>
      <c r="R30" s="335">
        <v>0</v>
      </c>
    </row>
    <row r="31" spans="1:18" s="382" customFormat="1" ht="15.75">
      <c r="A31" s="58"/>
      <c r="B31" s="20" t="s">
        <v>157</v>
      </c>
      <c r="C31" s="50">
        <f>SUM(D31:L31)</f>
        <v>0</v>
      </c>
      <c r="D31" s="241">
        <v>0</v>
      </c>
      <c r="E31" s="240"/>
      <c r="F31" s="161"/>
      <c r="G31" s="161"/>
      <c r="H31" s="161"/>
      <c r="I31" s="161"/>
      <c r="J31" s="161"/>
      <c r="K31" s="161"/>
      <c r="L31" s="161"/>
      <c r="M31" s="133"/>
      <c r="N31" s="50"/>
      <c r="O31" s="332" t="s">
        <v>79</v>
      </c>
      <c r="P31" s="337" t="s">
        <v>17</v>
      </c>
      <c r="Q31" s="333">
        <f>IF((-C27+C35)&gt;0,(-C27+C35),0)</f>
        <v>0</v>
      </c>
      <c r="R31" s="335">
        <f>IF((-C27+C35)&lt;0,(-C27+C35),0)</f>
        <v>-3223497.5735419998</v>
      </c>
    </row>
    <row r="32" spans="1:18" s="382" customFormat="1" ht="15.75">
      <c r="A32" s="58"/>
      <c r="B32" s="59" t="s">
        <v>49</v>
      </c>
      <c r="C32" s="50">
        <f>SUM(D32:L32)</f>
        <v>0</v>
      </c>
      <c r="D32" s="161"/>
      <c r="E32" s="161"/>
      <c r="F32" s="161"/>
      <c r="G32" s="161"/>
      <c r="H32" s="161"/>
      <c r="I32" s="161"/>
      <c r="J32" s="161"/>
      <c r="K32" s="161"/>
      <c r="L32" s="242">
        <v>0</v>
      </c>
      <c r="M32" s="134"/>
      <c r="N32" s="50"/>
      <c r="O32" s="338" t="s">
        <v>80</v>
      </c>
      <c r="P32" s="337" t="s">
        <v>20</v>
      </c>
      <c r="Q32" s="112">
        <f>IF((C29+C30)&lt;0,(-C29-C30),0)</f>
        <v>3227933.8735419996</v>
      </c>
      <c r="R32" s="335">
        <f>IF((C29+C30)&gt;0,(-C29-C30),0)</f>
        <v>0</v>
      </c>
    </row>
    <row r="33" spans="1:18" s="382" customFormat="1" ht="15.75">
      <c r="A33" s="58"/>
      <c r="B33" s="59" t="s">
        <v>144</v>
      </c>
      <c r="C33" s="50">
        <f>SUM(D33:L33)</f>
        <v>0</v>
      </c>
      <c r="D33" s="161"/>
      <c r="E33" s="161"/>
      <c r="F33" s="161"/>
      <c r="G33" s="161"/>
      <c r="H33" s="161"/>
      <c r="I33" s="161"/>
      <c r="J33" s="161"/>
      <c r="K33" s="161"/>
      <c r="L33" s="242">
        <v>0</v>
      </c>
      <c r="M33" s="134"/>
      <c r="N33" s="50"/>
      <c r="O33" s="340" t="s">
        <v>82</v>
      </c>
      <c r="P33" s="337" t="s">
        <v>75</v>
      </c>
      <c r="Q33" s="342">
        <v>0</v>
      </c>
      <c r="R33" s="335">
        <f>IF(C34&gt;0,-C34,0)</f>
        <v>-4436.3</v>
      </c>
    </row>
    <row r="34" spans="1:18" s="382" customFormat="1" ht="16.5" thickBot="1">
      <c r="A34" s="61"/>
      <c r="B34" s="59" t="s">
        <v>12</v>
      </c>
      <c r="C34" s="50">
        <f>SUM(D34:L34)</f>
        <v>4436.3</v>
      </c>
      <c r="D34" s="161"/>
      <c r="E34" s="161"/>
      <c r="F34" s="161">
        <v>4436.3</v>
      </c>
      <c r="G34" s="161"/>
      <c r="H34" s="161"/>
      <c r="I34" s="161"/>
      <c r="J34" s="161"/>
      <c r="K34" s="161"/>
      <c r="L34" s="244"/>
      <c r="M34" s="237">
        <v>3.2500000000000001E-2</v>
      </c>
      <c r="N34" s="50"/>
      <c r="O34" s="341" t="s">
        <v>83</v>
      </c>
      <c r="P34" s="339" t="s">
        <v>76</v>
      </c>
      <c r="Q34" s="116">
        <f>IF(-C34&gt;0,-C34,0)</f>
        <v>0</v>
      </c>
      <c r="R34" s="116">
        <f>IF(C34&gt;0,0,0)</f>
        <v>0</v>
      </c>
    </row>
    <row r="35" spans="1:18" s="382" customFormat="1" ht="16.5" thickBot="1">
      <c r="A35" s="103">
        <f>A29</f>
        <v>41305</v>
      </c>
      <c r="B35" s="50" t="s">
        <v>56</v>
      </c>
      <c r="C35" s="158">
        <f>SUM(C27:C34)</f>
        <v>28487.813796790968</v>
      </c>
      <c r="D35" s="158">
        <f>SUM(D27:D34)</f>
        <v>-1612370.6656902111</v>
      </c>
      <c r="E35" s="158">
        <f>SUM(E27:E34)</f>
        <v>1693449.9394870002</v>
      </c>
      <c r="F35" s="158">
        <f>SUM(F27:F34)</f>
        <v>-52591.460000000014</v>
      </c>
      <c r="G35" s="158">
        <f t="shared" ref="G35:K35" si="1">SUM(G24:G34)</f>
        <v>0</v>
      </c>
      <c r="H35" s="158">
        <f t="shared" si="1"/>
        <v>0</v>
      </c>
      <c r="I35" s="158">
        <f t="shared" si="1"/>
        <v>0</v>
      </c>
      <c r="J35" s="158">
        <f t="shared" si="1"/>
        <v>0</v>
      </c>
      <c r="K35" s="158">
        <f t="shared" si="1"/>
        <v>0</v>
      </c>
      <c r="L35" s="158">
        <f>SUM(L27:L34)</f>
        <v>0</v>
      </c>
      <c r="M35" s="57"/>
      <c r="N35" s="383"/>
      <c r="O35" s="383"/>
      <c r="P35" s="383"/>
      <c r="Q35" s="383"/>
      <c r="R35" s="336">
        <f>ROUND(SUM(Q30:R34),2)</f>
        <v>0</v>
      </c>
    </row>
    <row r="36" spans="1:18" s="382" customFormat="1" ht="16.5" thickTop="1" thickBot="1">
      <c r="A36" s="53"/>
      <c r="M36" s="52"/>
    </row>
    <row r="37" spans="1:18" s="382" customFormat="1" ht="16.5" thickBot="1">
      <c r="A37" s="58">
        <v>41333</v>
      </c>
      <c r="B37" s="59" t="s">
        <v>84</v>
      </c>
      <c r="C37" s="50">
        <f>SUM(D37:L37)</f>
        <v>227268.08091399889</v>
      </c>
      <c r="D37" s="243">
        <v>964027.88181999885</v>
      </c>
      <c r="E37" s="243">
        <v>-736759.80090599996</v>
      </c>
      <c r="F37" s="161">
        <v>0</v>
      </c>
      <c r="G37" s="161"/>
      <c r="H37" s="161"/>
      <c r="I37" s="161"/>
      <c r="J37" s="386"/>
      <c r="K37" s="161"/>
      <c r="L37" s="161">
        <v>0</v>
      </c>
      <c r="M37" s="133"/>
      <c r="N37" s="50"/>
      <c r="O37" s="334" t="s">
        <v>106</v>
      </c>
      <c r="P37" s="93"/>
      <c r="Q37" s="93"/>
      <c r="R37" s="94"/>
    </row>
    <row r="38" spans="1:18" s="382" customFormat="1" ht="15.75">
      <c r="A38" s="58"/>
      <c r="B38" s="59" t="s">
        <v>148</v>
      </c>
      <c r="C38" s="50">
        <f>SUM(D38:F38)</f>
        <v>0</v>
      </c>
      <c r="D38" s="240"/>
      <c r="E38" s="240">
        <v>0</v>
      </c>
      <c r="F38" s="161"/>
      <c r="G38" s="161"/>
      <c r="H38" s="161"/>
      <c r="I38" s="161"/>
      <c r="J38" s="161"/>
      <c r="K38" s="161"/>
      <c r="L38" s="161"/>
      <c r="M38" s="133"/>
      <c r="N38" s="50"/>
      <c r="O38" s="345" t="s">
        <v>211</v>
      </c>
      <c r="P38" s="337" t="s">
        <v>27</v>
      </c>
      <c r="Q38" s="333">
        <v>0</v>
      </c>
      <c r="R38" s="335">
        <v>0</v>
      </c>
    </row>
    <row r="39" spans="1:18" s="382" customFormat="1" ht="15.75">
      <c r="A39" s="58"/>
      <c r="B39" s="20" t="s">
        <v>157</v>
      </c>
      <c r="C39" s="50">
        <f>SUM(D39:L39)</f>
        <v>0</v>
      </c>
      <c r="D39" s="241">
        <v>0</v>
      </c>
      <c r="E39" s="240"/>
      <c r="F39" s="161"/>
      <c r="G39" s="161"/>
      <c r="H39" s="161"/>
      <c r="I39" s="161"/>
      <c r="J39" s="161"/>
      <c r="K39" s="161"/>
      <c r="L39" s="161"/>
      <c r="M39" s="133"/>
      <c r="N39" s="50"/>
      <c r="O39" s="332" t="s">
        <v>79</v>
      </c>
      <c r="P39" s="337" t="s">
        <v>17</v>
      </c>
      <c r="Q39" s="333">
        <f>IF((-C35+C43)&gt;0,(-C35+C43),0)</f>
        <v>227652.99091399889</v>
      </c>
      <c r="R39" s="335">
        <f>IF((-C35+C43)&lt;0,(-C35+C43),0)</f>
        <v>0</v>
      </c>
    </row>
    <row r="40" spans="1:18" s="382" customFormat="1" ht="15.75">
      <c r="A40" s="58"/>
      <c r="B40" s="59" t="s">
        <v>49</v>
      </c>
      <c r="C40" s="50">
        <f>SUM(D40:L40)</f>
        <v>0</v>
      </c>
      <c r="D40" s="161"/>
      <c r="E40" s="161"/>
      <c r="F40" s="161"/>
      <c r="G40" s="161"/>
      <c r="H40" s="161"/>
      <c r="I40" s="161"/>
      <c r="J40" s="161"/>
      <c r="K40" s="161"/>
      <c r="L40" s="242">
        <v>0</v>
      </c>
      <c r="M40" s="134"/>
      <c r="N40" s="50"/>
      <c r="O40" s="338" t="s">
        <v>80</v>
      </c>
      <c r="P40" s="337" t="s">
        <v>20</v>
      </c>
      <c r="Q40" s="112">
        <f>IF((C37+C38)&lt;0,(-C37-C38),0)</f>
        <v>0</v>
      </c>
      <c r="R40" s="335">
        <f>IF((C37+C38)&gt;0,(-C37-C38),0)</f>
        <v>-227268.08091399889</v>
      </c>
    </row>
    <row r="41" spans="1:18" s="382" customFormat="1" ht="15.75">
      <c r="A41" s="58"/>
      <c r="B41" s="59" t="s">
        <v>144</v>
      </c>
      <c r="C41" s="50">
        <f>SUM(D41:L41)</f>
        <v>0</v>
      </c>
      <c r="D41" s="161"/>
      <c r="E41" s="161"/>
      <c r="F41" s="161"/>
      <c r="G41" s="161"/>
      <c r="H41" s="161"/>
      <c r="I41" s="161"/>
      <c r="J41" s="161"/>
      <c r="K41" s="161"/>
      <c r="L41" s="242">
        <v>0</v>
      </c>
      <c r="M41" s="134"/>
      <c r="N41" s="50"/>
      <c r="O41" s="340" t="s">
        <v>82</v>
      </c>
      <c r="P41" s="337" t="s">
        <v>75</v>
      </c>
      <c r="Q41" s="342">
        <v>0</v>
      </c>
      <c r="R41" s="335">
        <f>IF(C42&gt;0,-C42,0)</f>
        <v>-384.91</v>
      </c>
    </row>
    <row r="42" spans="1:18" s="382" customFormat="1" ht="16.5" thickBot="1">
      <c r="A42" s="61"/>
      <c r="B42" s="59" t="s">
        <v>12</v>
      </c>
      <c r="C42" s="50">
        <f>SUM(D42:L42)</f>
        <v>384.91</v>
      </c>
      <c r="D42" s="161"/>
      <c r="E42" s="161"/>
      <c r="F42" s="161">
        <v>384.91</v>
      </c>
      <c r="G42" s="161"/>
      <c r="H42" s="161"/>
      <c r="I42" s="161"/>
      <c r="J42" s="161"/>
      <c r="K42" s="161"/>
      <c r="L42" s="244"/>
      <c r="M42" s="237">
        <v>3.2500000000000001E-2</v>
      </c>
      <c r="N42" s="50"/>
      <c r="O42" s="341" t="s">
        <v>83</v>
      </c>
      <c r="P42" s="339" t="s">
        <v>76</v>
      </c>
      <c r="Q42" s="116">
        <f>IF(-C42&gt;0,-C42,0)</f>
        <v>0</v>
      </c>
      <c r="R42" s="116">
        <f>IF(C42&gt;0,0,0)</f>
        <v>0</v>
      </c>
    </row>
    <row r="43" spans="1:18" s="382" customFormat="1" ht="16.5" thickBot="1">
      <c r="A43" s="103">
        <f>A37</f>
        <v>41333</v>
      </c>
      <c r="B43" s="50" t="s">
        <v>56</v>
      </c>
      <c r="C43" s="158">
        <f>SUM(C35:C42)</f>
        <v>256140.80471078985</v>
      </c>
      <c r="D43" s="158">
        <f>SUM(D35:D42)</f>
        <v>-648342.78387021227</v>
      </c>
      <c r="E43" s="158">
        <f>SUM(E35:E42)</f>
        <v>956690.13858100027</v>
      </c>
      <c r="F43" s="158">
        <f>SUM(F35:F42)</f>
        <v>-52206.55000000001</v>
      </c>
      <c r="G43" s="158">
        <f t="shared" ref="G43:K43" si="2">SUM(G32:G42)</f>
        <v>0</v>
      </c>
      <c r="H43" s="158">
        <f t="shared" si="2"/>
        <v>0</v>
      </c>
      <c r="I43" s="158">
        <f t="shared" si="2"/>
        <v>0</v>
      </c>
      <c r="J43" s="158">
        <f t="shared" si="2"/>
        <v>0</v>
      </c>
      <c r="K43" s="158">
        <f t="shared" si="2"/>
        <v>0</v>
      </c>
      <c r="L43" s="158">
        <f>SUM(L35:L42)</f>
        <v>0</v>
      </c>
      <c r="M43" s="57"/>
      <c r="N43" s="383"/>
      <c r="O43" s="383"/>
      <c r="P43" s="383"/>
      <c r="Q43" s="383"/>
      <c r="R43" s="336">
        <f>ROUND(SUM(Q38:R42),2)</f>
        <v>0</v>
      </c>
    </row>
    <row r="44" spans="1:18" s="382" customFormat="1" ht="16.5" thickTop="1" thickBot="1">
      <c r="A44" s="53"/>
      <c r="M44" s="52"/>
    </row>
    <row r="45" spans="1:18" s="382" customFormat="1" ht="16.5" thickBot="1">
      <c r="A45" s="58">
        <v>41364</v>
      </c>
      <c r="B45" s="59" t="s">
        <v>84</v>
      </c>
      <c r="C45" s="50">
        <f>SUM(D45:L45)</f>
        <v>-83754.106502999784</v>
      </c>
      <c r="D45" s="243">
        <v>311623.77906699944</v>
      </c>
      <c r="E45" s="243">
        <v>-395377.88556999923</v>
      </c>
      <c r="F45" s="161">
        <v>0</v>
      </c>
      <c r="G45" s="161"/>
      <c r="H45" s="161"/>
      <c r="I45" s="161"/>
      <c r="J45" s="386"/>
      <c r="K45" s="161"/>
      <c r="L45" s="161">
        <v>0</v>
      </c>
      <c r="M45" s="133"/>
      <c r="N45" s="50"/>
      <c r="O45" s="334" t="s">
        <v>106</v>
      </c>
      <c r="P45" s="93"/>
      <c r="Q45" s="93"/>
      <c r="R45" s="94"/>
    </row>
    <row r="46" spans="1:18" s="382" customFormat="1" ht="15.75">
      <c r="A46" s="58"/>
      <c r="B46" s="59" t="s">
        <v>148</v>
      </c>
      <c r="C46" s="50">
        <f>SUM(D46:F46)</f>
        <v>0</v>
      </c>
      <c r="D46" s="240"/>
      <c r="E46" s="240">
        <v>0</v>
      </c>
      <c r="F46" s="161"/>
      <c r="G46" s="161"/>
      <c r="H46" s="161"/>
      <c r="I46" s="161"/>
      <c r="J46" s="161"/>
      <c r="K46" s="161"/>
      <c r="L46" s="161"/>
      <c r="M46" s="133"/>
      <c r="N46" s="50"/>
      <c r="O46" s="345" t="s">
        <v>211</v>
      </c>
      <c r="P46" s="337" t="s">
        <v>27</v>
      </c>
      <c r="Q46" s="333">
        <v>0</v>
      </c>
      <c r="R46" s="335">
        <v>0</v>
      </c>
    </row>
    <row r="47" spans="1:18" s="382" customFormat="1" ht="15.75">
      <c r="A47" s="58"/>
      <c r="B47" s="20" t="s">
        <v>157</v>
      </c>
      <c r="C47" s="50">
        <f>SUM(D47:L47)</f>
        <v>0</v>
      </c>
      <c r="D47" s="241">
        <v>0</v>
      </c>
      <c r="E47" s="240"/>
      <c r="F47" s="161"/>
      <c r="G47" s="161"/>
      <c r="H47" s="161"/>
      <c r="I47" s="161"/>
      <c r="J47" s="161"/>
      <c r="K47" s="161"/>
      <c r="L47" s="161"/>
      <c r="M47" s="133"/>
      <c r="N47" s="50"/>
      <c r="O47" s="332" t="s">
        <v>79</v>
      </c>
      <c r="P47" s="337" t="s">
        <v>17</v>
      </c>
      <c r="Q47" s="333">
        <f>IF((-C43+C51)&gt;0,(-C43+C51),0)</f>
        <v>0</v>
      </c>
      <c r="R47" s="335">
        <f>IF((-C43+C51)&lt;0,(-C43+C51),0)</f>
        <v>-83173.806502999796</v>
      </c>
    </row>
    <row r="48" spans="1:18" s="382" customFormat="1" ht="15.75">
      <c r="A48" s="58"/>
      <c r="B48" s="59" t="s">
        <v>49</v>
      </c>
      <c r="C48" s="50">
        <f>SUM(D48:L48)</f>
        <v>0</v>
      </c>
      <c r="D48" s="161"/>
      <c r="E48" s="161"/>
      <c r="F48" s="161"/>
      <c r="G48" s="161"/>
      <c r="H48" s="161"/>
      <c r="I48" s="161"/>
      <c r="J48" s="161"/>
      <c r="K48" s="161"/>
      <c r="L48" s="242">
        <v>0</v>
      </c>
      <c r="M48" s="134"/>
      <c r="N48" s="50"/>
      <c r="O48" s="338" t="s">
        <v>80</v>
      </c>
      <c r="P48" s="337" t="s">
        <v>20</v>
      </c>
      <c r="Q48" s="112">
        <f>IF((C45+C46)&lt;0,(-C45-C46),0)</f>
        <v>83754.106502999784</v>
      </c>
      <c r="R48" s="335">
        <f>IF((C45+C46)&gt;0,(-C45-C46),0)</f>
        <v>0</v>
      </c>
    </row>
    <row r="49" spans="1:18" s="382" customFormat="1" ht="15.75">
      <c r="A49" s="58"/>
      <c r="B49" s="59" t="s">
        <v>144</v>
      </c>
      <c r="C49" s="50">
        <f>SUM(D49:L49)</f>
        <v>0</v>
      </c>
      <c r="D49" s="161"/>
      <c r="E49" s="161"/>
      <c r="F49" s="161"/>
      <c r="G49" s="161"/>
      <c r="H49" s="161"/>
      <c r="I49" s="161"/>
      <c r="J49" s="161"/>
      <c r="K49" s="161"/>
      <c r="L49" s="242">
        <v>0</v>
      </c>
      <c r="M49" s="134"/>
      <c r="N49" s="50"/>
      <c r="O49" s="340" t="s">
        <v>82</v>
      </c>
      <c r="P49" s="337" t="s">
        <v>75</v>
      </c>
      <c r="Q49" s="342">
        <v>0</v>
      </c>
      <c r="R49" s="335">
        <f>IF(C50&gt;0,-C50,0)</f>
        <v>-580.29999999999995</v>
      </c>
    </row>
    <row r="50" spans="1:18" s="382" customFormat="1" ht="16.5" thickBot="1">
      <c r="A50" s="61"/>
      <c r="B50" s="59" t="s">
        <v>12</v>
      </c>
      <c r="C50" s="50">
        <f>SUM(D50:L50)</f>
        <v>580.29999999999995</v>
      </c>
      <c r="D50" s="161"/>
      <c r="E50" s="161"/>
      <c r="F50" s="161">
        <v>580.29999999999995</v>
      </c>
      <c r="G50" s="161"/>
      <c r="H50" s="161"/>
      <c r="I50" s="161"/>
      <c r="J50" s="161"/>
      <c r="K50" s="161"/>
      <c r="L50" s="244"/>
      <c r="M50" s="237">
        <v>3.2500000000000001E-2</v>
      </c>
      <c r="N50" s="50"/>
      <c r="O50" s="341" t="s">
        <v>83</v>
      </c>
      <c r="P50" s="339" t="s">
        <v>76</v>
      </c>
      <c r="Q50" s="116">
        <f>IF(-C50&gt;0,-C50,0)</f>
        <v>0</v>
      </c>
      <c r="R50" s="116">
        <f>IF(C50&gt;0,0,0)</f>
        <v>0</v>
      </c>
    </row>
    <row r="51" spans="1:18" s="382" customFormat="1" ht="16.5" thickBot="1">
      <c r="A51" s="103">
        <f>A45</f>
        <v>41364</v>
      </c>
      <c r="B51" s="50" t="s">
        <v>56</v>
      </c>
      <c r="C51" s="158">
        <f>SUM(C43:C50)</f>
        <v>172966.99820779005</v>
      </c>
      <c r="D51" s="158">
        <f>SUM(D43:D50)</f>
        <v>-336719.00480321283</v>
      </c>
      <c r="E51" s="158">
        <f>SUM(E43:E50)</f>
        <v>561312.25301100104</v>
      </c>
      <c r="F51" s="158">
        <f>SUM(F43:F50)</f>
        <v>-51626.250000000007</v>
      </c>
      <c r="G51" s="158">
        <f t="shared" ref="G51:K51" si="3">SUM(G40:G50)</f>
        <v>0</v>
      </c>
      <c r="H51" s="158">
        <f t="shared" si="3"/>
        <v>0</v>
      </c>
      <c r="I51" s="158">
        <f t="shared" si="3"/>
        <v>0</v>
      </c>
      <c r="J51" s="158">
        <f t="shared" si="3"/>
        <v>0</v>
      </c>
      <c r="K51" s="158">
        <f t="shared" si="3"/>
        <v>0</v>
      </c>
      <c r="L51" s="158">
        <f>SUM(L43:L50)</f>
        <v>0</v>
      </c>
      <c r="M51" s="57"/>
      <c r="N51" s="383"/>
      <c r="O51" s="383"/>
      <c r="P51" s="383"/>
      <c r="Q51" s="383"/>
      <c r="R51" s="336">
        <f>ROUND(SUM(Q46:R50),2)</f>
        <v>0</v>
      </c>
    </row>
    <row r="52" spans="1:18" ht="16.5" thickTop="1" thickBot="1"/>
    <row r="53" spans="1:18" s="382" customFormat="1" ht="16.5" thickBot="1">
      <c r="A53" s="58">
        <v>41365</v>
      </c>
      <c r="B53" s="59" t="s">
        <v>84</v>
      </c>
      <c r="C53" s="50">
        <f>SUM(D53:L53)</f>
        <v>-160377.30866600084</v>
      </c>
      <c r="D53" s="243">
        <v>-294475.16016600048</v>
      </c>
      <c r="E53" s="243">
        <v>134097.85149999964</v>
      </c>
      <c r="F53" s="161">
        <v>0</v>
      </c>
      <c r="G53" s="161"/>
      <c r="H53" s="161"/>
      <c r="I53" s="161"/>
      <c r="J53" s="386"/>
      <c r="K53" s="161"/>
      <c r="L53" s="161">
        <v>0</v>
      </c>
      <c r="M53" s="133"/>
      <c r="N53" s="50"/>
      <c r="O53" s="334" t="s">
        <v>106</v>
      </c>
      <c r="P53" s="93"/>
      <c r="Q53" s="93"/>
      <c r="R53" s="94"/>
    </row>
    <row r="54" spans="1:18" s="382" customFormat="1" ht="15.75">
      <c r="A54" s="58"/>
      <c r="B54" s="59" t="s">
        <v>148</v>
      </c>
      <c r="C54" s="50">
        <f>SUM(D54:F54)</f>
        <v>0</v>
      </c>
      <c r="D54" s="240"/>
      <c r="E54" s="240">
        <v>0</v>
      </c>
      <c r="F54" s="161"/>
      <c r="G54" s="161"/>
      <c r="H54" s="161"/>
      <c r="I54" s="161"/>
      <c r="J54" s="161"/>
      <c r="K54" s="161"/>
      <c r="L54" s="161"/>
      <c r="M54" s="133"/>
      <c r="N54" s="50"/>
      <c r="O54" s="345" t="s">
        <v>211</v>
      </c>
      <c r="P54" s="337" t="s">
        <v>27</v>
      </c>
      <c r="Q54" s="333">
        <v>0</v>
      </c>
      <c r="R54" s="335">
        <v>0</v>
      </c>
    </row>
    <row r="55" spans="1:18" s="382" customFormat="1" ht="15.75">
      <c r="A55" s="58"/>
      <c r="B55" s="20" t="s">
        <v>157</v>
      </c>
      <c r="C55" s="50">
        <f>SUM(D55:L55)</f>
        <v>0</v>
      </c>
      <c r="D55" s="241">
        <v>0</v>
      </c>
      <c r="E55" s="240"/>
      <c r="F55" s="161"/>
      <c r="G55" s="161"/>
      <c r="H55" s="161"/>
      <c r="I55" s="161"/>
      <c r="J55" s="161"/>
      <c r="K55" s="161"/>
      <c r="L55" s="161"/>
      <c r="M55" s="133"/>
      <c r="N55" s="50"/>
      <c r="O55" s="332" t="s">
        <v>79</v>
      </c>
      <c r="P55" s="337" t="s">
        <v>17</v>
      </c>
      <c r="Q55" s="333">
        <f>IF((-C51+C59)&gt;0,(-C51+C59),0)</f>
        <v>0</v>
      </c>
      <c r="R55" s="335">
        <f>IF((-C51+C59)&lt;0,(-C51+C59),0)</f>
        <v>-160126.03866600085</v>
      </c>
    </row>
    <row r="56" spans="1:18" s="382" customFormat="1" ht="15.75">
      <c r="A56" s="58"/>
      <c r="B56" s="59" t="s">
        <v>49</v>
      </c>
      <c r="C56" s="50">
        <f>SUM(D56:L56)</f>
        <v>0</v>
      </c>
      <c r="D56" s="161"/>
      <c r="E56" s="161"/>
      <c r="F56" s="161"/>
      <c r="G56" s="161"/>
      <c r="H56" s="161"/>
      <c r="I56" s="161"/>
      <c r="J56" s="161"/>
      <c r="K56" s="161"/>
      <c r="L56" s="242">
        <v>0</v>
      </c>
      <c r="M56" s="134"/>
      <c r="N56" s="50"/>
      <c r="O56" s="338" t="s">
        <v>80</v>
      </c>
      <c r="P56" s="337" t="s">
        <v>20</v>
      </c>
      <c r="Q56" s="112">
        <f>IF((C53+C54)&lt;0,(-C53-C54),0)</f>
        <v>160377.30866600084</v>
      </c>
      <c r="R56" s="335">
        <f>IF((C53+C54)&gt;0,(-C53-C54),0)</f>
        <v>0</v>
      </c>
    </row>
    <row r="57" spans="1:18" s="382" customFormat="1" ht="15.75">
      <c r="A57" s="58"/>
      <c r="B57" s="59" t="s">
        <v>144</v>
      </c>
      <c r="C57" s="50">
        <f>SUM(D57:L57)</f>
        <v>0</v>
      </c>
      <c r="D57" s="161"/>
      <c r="E57" s="161"/>
      <c r="F57" s="161"/>
      <c r="G57" s="161"/>
      <c r="H57" s="161"/>
      <c r="I57" s="161"/>
      <c r="J57" s="161"/>
      <c r="K57" s="161"/>
      <c r="L57" s="242">
        <v>0</v>
      </c>
      <c r="M57" s="134"/>
      <c r="N57" s="50"/>
      <c r="O57" s="340" t="s">
        <v>82</v>
      </c>
      <c r="P57" s="337" t="s">
        <v>75</v>
      </c>
      <c r="Q57" s="342">
        <v>0</v>
      </c>
      <c r="R57" s="335">
        <f>IF(C58&gt;0,-C58,0)</f>
        <v>-251.27</v>
      </c>
    </row>
    <row r="58" spans="1:18" s="382" customFormat="1" ht="16.5" thickBot="1">
      <c r="A58" s="61"/>
      <c r="B58" s="59" t="s">
        <v>12</v>
      </c>
      <c r="C58" s="50">
        <f>SUM(D58:L58)</f>
        <v>251.27</v>
      </c>
      <c r="D58" s="161"/>
      <c r="E58" s="161"/>
      <c r="F58" s="161">
        <v>251.27</v>
      </c>
      <c r="G58" s="161"/>
      <c r="H58" s="161"/>
      <c r="I58" s="161"/>
      <c r="J58" s="161"/>
      <c r="K58" s="161"/>
      <c r="L58" s="244"/>
      <c r="M58" s="237">
        <v>3.2500000000000001E-2</v>
      </c>
      <c r="N58" s="50"/>
      <c r="O58" s="341" t="s">
        <v>83</v>
      </c>
      <c r="P58" s="339" t="s">
        <v>76</v>
      </c>
      <c r="Q58" s="116">
        <f>IF(-C58&gt;0,-C58,0)</f>
        <v>0</v>
      </c>
      <c r="R58" s="116">
        <f>IF(C58&gt;0,0,0)</f>
        <v>0</v>
      </c>
    </row>
    <row r="59" spans="1:18" s="382" customFormat="1" ht="16.5" thickBot="1">
      <c r="A59" s="103">
        <f>A53</f>
        <v>41365</v>
      </c>
      <c r="B59" s="50" t="s">
        <v>56</v>
      </c>
      <c r="C59" s="158">
        <f>SUM(C51:C58)</f>
        <v>12840.959541789209</v>
      </c>
      <c r="D59" s="158">
        <f>SUM(D51:D58)</f>
        <v>-631194.16496921331</v>
      </c>
      <c r="E59" s="158">
        <f>SUM(E51:E58)</f>
        <v>695410.10451100068</v>
      </c>
      <c r="F59" s="158">
        <f>SUM(F51:F58)</f>
        <v>-51374.98000000001</v>
      </c>
      <c r="G59" s="158">
        <f t="shared" ref="G59:K59" si="4">SUM(G48:G58)</f>
        <v>0</v>
      </c>
      <c r="H59" s="158">
        <f t="shared" si="4"/>
        <v>0</v>
      </c>
      <c r="I59" s="158">
        <f t="shared" si="4"/>
        <v>0</v>
      </c>
      <c r="J59" s="158">
        <f t="shared" si="4"/>
        <v>0</v>
      </c>
      <c r="K59" s="158">
        <f t="shared" si="4"/>
        <v>0</v>
      </c>
      <c r="L59" s="158">
        <f>SUM(L51:L58)</f>
        <v>0</v>
      </c>
      <c r="M59" s="57"/>
      <c r="N59" s="383"/>
      <c r="O59" s="383"/>
      <c r="P59" s="383"/>
      <c r="Q59" s="383"/>
      <c r="R59" s="336">
        <f>ROUND(SUM(Q54:R58),2)</f>
        <v>0</v>
      </c>
    </row>
    <row r="60" spans="1:18" s="382" customFormat="1" ht="16.5" thickTop="1" thickBot="1">
      <c r="A60" s="53"/>
      <c r="C60" s="383"/>
      <c r="M60" s="52"/>
    </row>
    <row r="61" spans="1:18" s="382" customFormat="1" ht="16.5" thickBot="1">
      <c r="A61" s="58">
        <v>41425</v>
      </c>
      <c r="B61" s="59" t="s">
        <v>84</v>
      </c>
      <c r="C61" s="50">
        <f>SUM(D61:L61)</f>
        <v>291085.24359799817</v>
      </c>
      <c r="D61" s="243">
        <v>-577860.59273000155</v>
      </c>
      <c r="E61" s="243">
        <v>868945.83632799971</v>
      </c>
      <c r="F61" s="161">
        <v>0</v>
      </c>
      <c r="G61" s="161"/>
      <c r="H61" s="161"/>
      <c r="I61" s="161"/>
      <c r="J61" s="386"/>
      <c r="K61" s="161"/>
      <c r="L61" s="161">
        <v>0</v>
      </c>
      <c r="M61" s="133"/>
      <c r="N61" s="50"/>
      <c r="O61" s="334" t="s">
        <v>106</v>
      </c>
      <c r="P61" s="93"/>
      <c r="Q61" s="93"/>
      <c r="R61" s="94"/>
    </row>
    <row r="62" spans="1:18" s="382" customFormat="1" ht="15.75">
      <c r="A62" s="58"/>
      <c r="B62" s="59" t="s">
        <v>148</v>
      </c>
      <c r="C62" s="50">
        <f>SUM(D62:F62)</f>
        <v>0</v>
      </c>
      <c r="D62" s="240"/>
      <c r="E62" s="240">
        <v>0</v>
      </c>
      <c r="F62" s="161"/>
      <c r="G62" s="161"/>
      <c r="H62" s="161"/>
      <c r="I62" s="161"/>
      <c r="J62" s="161"/>
      <c r="K62" s="161"/>
      <c r="L62" s="161"/>
      <c r="M62" s="133"/>
      <c r="N62" s="50"/>
      <c r="O62" s="345" t="s">
        <v>211</v>
      </c>
      <c r="P62" s="337" t="s">
        <v>27</v>
      </c>
      <c r="Q62" s="333">
        <v>0</v>
      </c>
      <c r="R62" s="335">
        <v>0</v>
      </c>
    </row>
    <row r="63" spans="1:18" s="382" customFormat="1" ht="15.75">
      <c r="A63" s="58"/>
      <c r="B63" s="20" t="s">
        <v>157</v>
      </c>
      <c r="C63" s="50">
        <f>SUM(D63:L63)</f>
        <v>0</v>
      </c>
      <c r="D63" s="241">
        <v>0</v>
      </c>
      <c r="E63" s="240"/>
      <c r="F63" s="161"/>
      <c r="G63" s="161"/>
      <c r="H63" s="161"/>
      <c r="I63" s="161"/>
      <c r="J63" s="161"/>
      <c r="K63" s="161"/>
      <c r="L63" s="161"/>
      <c r="M63" s="133"/>
      <c r="N63" s="50"/>
      <c r="O63" s="332" t="s">
        <v>79</v>
      </c>
      <c r="P63" s="337" t="s">
        <v>17</v>
      </c>
      <c r="Q63" s="333">
        <f>IF((-C59+C67)&gt;0,(-C59+C67),0)</f>
        <v>291514.20359799819</v>
      </c>
      <c r="R63" s="335">
        <f>IF((-C59+C67)&lt;0,(-C59+C67),0)</f>
        <v>0</v>
      </c>
    </row>
    <row r="64" spans="1:18" s="382" customFormat="1" ht="15.75">
      <c r="A64" s="58"/>
      <c r="B64" s="59" t="s">
        <v>49</v>
      </c>
      <c r="C64" s="50">
        <f>SUM(D64:L64)</f>
        <v>0</v>
      </c>
      <c r="D64" s="161"/>
      <c r="E64" s="161"/>
      <c r="F64" s="161"/>
      <c r="G64" s="161"/>
      <c r="H64" s="161"/>
      <c r="I64" s="161"/>
      <c r="J64" s="161"/>
      <c r="K64" s="161"/>
      <c r="L64" s="242">
        <v>0</v>
      </c>
      <c r="M64" s="134"/>
      <c r="N64" s="50"/>
      <c r="O64" s="338" t="s">
        <v>80</v>
      </c>
      <c r="P64" s="337" t="s">
        <v>20</v>
      </c>
      <c r="Q64" s="112">
        <f>IF((C61+C62)&lt;0,(-C61-C62),0)</f>
        <v>0</v>
      </c>
      <c r="R64" s="335">
        <f>IF((C61+C62)&gt;0,(-C61-C62),0)</f>
        <v>-291085.24359799817</v>
      </c>
    </row>
    <row r="65" spans="1:18" s="382" customFormat="1" ht="15.75">
      <c r="A65" s="58"/>
      <c r="B65" s="59" t="s">
        <v>144</v>
      </c>
      <c r="C65" s="50">
        <f>SUM(D65:L65)</f>
        <v>0</v>
      </c>
      <c r="D65" s="161"/>
      <c r="E65" s="161"/>
      <c r="F65" s="161"/>
      <c r="G65" s="161"/>
      <c r="H65" s="161"/>
      <c r="I65" s="161"/>
      <c r="J65" s="161"/>
      <c r="K65" s="161"/>
      <c r="L65" s="242">
        <v>0</v>
      </c>
      <c r="M65" s="134"/>
      <c r="N65" s="50"/>
      <c r="O65" s="340" t="s">
        <v>82</v>
      </c>
      <c r="P65" s="337" t="s">
        <v>75</v>
      </c>
      <c r="Q65" s="342">
        <v>0</v>
      </c>
      <c r="R65" s="335">
        <f>IF(C66&gt;0,-C66,0)</f>
        <v>-428.96</v>
      </c>
    </row>
    <row r="66" spans="1:18" s="382" customFormat="1" ht="16.5" thickBot="1">
      <c r="A66" s="61"/>
      <c r="B66" s="59" t="s">
        <v>12</v>
      </c>
      <c r="C66" s="50">
        <f>SUM(D66:L66)</f>
        <v>428.96</v>
      </c>
      <c r="D66" s="161"/>
      <c r="E66" s="161"/>
      <c r="F66" s="161">
        <v>428.96</v>
      </c>
      <c r="G66" s="161"/>
      <c r="H66" s="161"/>
      <c r="I66" s="161"/>
      <c r="J66" s="161"/>
      <c r="K66" s="161"/>
      <c r="L66" s="244"/>
      <c r="M66" s="237">
        <v>3.2500000000000001E-2</v>
      </c>
      <c r="N66" s="50"/>
      <c r="O66" s="341" t="s">
        <v>83</v>
      </c>
      <c r="P66" s="339" t="s">
        <v>76</v>
      </c>
      <c r="Q66" s="116">
        <f>IF(-C66&gt;0,-C66,0)</f>
        <v>0</v>
      </c>
      <c r="R66" s="116">
        <f>IF(C66&gt;0,0,0)</f>
        <v>0</v>
      </c>
    </row>
    <row r="67" spans="1:18" s="382" customFormat="1" ht="16.5" thickBot="1">
      <c r="A67" s="103">
        <f>A61</f>
        <v>41425</v>
      </c>
      <c r="B67" s="50" t="s">
        <v>56</v>
      </c>
      <c r="C67" s="158">
        <f>SUM(C59:C66)</f>
        <v>304355.16313978739</v>
      </c>
      <c r="D67" s="158">
        <f>SUM(D59:D66)</f>
        <v>-1209054.7576992149</v>
      </c>
      <c r="E67" s="158">
        <f>SUM(E59:E66)</f>
        <v>1564355.9408390005</v>
      </c>
      <c r="F67" s="158">
        <f>SUM(F59:F66)</f>
        <v>-50946.020000000011</v>
      </c>
      <c r="G67" s="158">
        <f t="shared" ref="G67:K67" si="5">SUM(G56:G66)</f>
        <v>0</v>
      </c>
      <c r="H67" s="158">
        <f t="shared" si="5"/>
        <v>0</v>
      </c>
      <c r="I67" s="158">
        <f t="shared" si="5"/>
        <v>0</v>
      </c>
      <c r="J67" s="158">
        <f t="shared" si="5"/>
        <v>0</v>
      </c>
      <c r="K67" s="158">
        <f t="shared" si="5"/>
        <v>0</v>
      </c>
      <c r="L67" s="158">
        <f>SUM(L59:L66)</f>
        <v>0</v>
      </c>
      <c r="M67" s="57"/>
      <c r="N67" s="383"/>
      <c r="O67" s="383"/>
      <c r="P67" s="383"/>
      <c r="Q67" s="383"/>
      <c r="R67" s="336">
        <f>ROUND(SUM(Q62:R66),2)</f>
        <v>0</v>
      </c>
    </row>
    <row r="68" spans="1:18" s="382" customFormat="1" ht="16.5" thickTop="1" thickBot="1">
      <c r="A68" s="53"/>
      <c r="C68" s="383"/>
      <c r="M68" s="52"/>
    </row>
    <row r="69" spans="1:18" s="382" customFormat="1" ht="16.5" thickBot="1">
      <c r="A69" s="58">
        <v>41426</v>
      </c>
      <c r="B69" s="59" t="s">
        <v>84</v>
      </c>
      <c r="C69" s="50">
        <f>SUM(D69:L69)</f>
        <v>839471.48552700132</v>
      </c>
      <c r="D69" s="243">
        <v>-173993.23901399877</v>
      </c>
      <c r="E69" s="243">
        <v>1013464.7245410001</v>
      </c>
      <c r="F69" s="161">
        <v>0</v>
      </c>
      <c r="G69" s="161"/>
      <c r="H69" s="161"/>
      <c r="I69" s="161"/>
      <c r="J69" s="386"/>
      <c r="K69" s="161"/>
      <c r="L69" s="161">
        <v>0</v>
      </c>
      <c r="M69" s="133"/>
      <c r="N69" s="50"/>
      <c r="O69" s="334" t="s">
        <v>106</v>
      </c>
      <c r="P69" s="93"/>
      <c r="Q69" s="93"/>
      <c r="R69" s="94"/>
    </row>
    <row r="70" spans="1:18" s="382" customFormat="1" ht="15.75">
      <c r="A70" s="58"/>
      <c r="B70" s="59" t="s">
        <v>148</v>
      </c>
      <c r="C70" s="50">
        <f>SUM(D70:F70)</f>
        <v>0</v>
      </c>
      <c r="D70" s="240"/>
      <c r="E70" s="240">
        <v>0</v>
      </c>
      <c r="F70" s="161"/>
      <c r="G70" s="161"/>
      <c r="H70" s="161"/>
      <c r="I70" s="161"/>
      <c r="J70" s="161"/>
      <c r="K70" s="161"/>
      <c r="L70" s="161"/>
      <c r="M70" s="133"/>
      <c r="N70" s="50"/>
      <c r="O70" s="345" t="s">
        <v>211</v>
      </c>
      <c r="P70" s="337" t="s">
        <v>27</v>
      </c>
      <c r="Q70" s="333">
        <v>0</v>
      </c>
      <c r="R70" s="335">
        <v>0</v>
      </c>
    </row>
    <row r="71" spans="1:18" s="382" customFormat="1" ht="15.75">
      <c r="A71" s="58"/>
      <c r="B71" s="20" t="s">
        <v>157</v>
      </c>
      <c r="C71" s="50">
        <f>SUM(D71:L71)</f>
        <v>0</v>
      </c>
      <c r="D71" s="241">
        <v>0</v>
      </c>
      <c r="E71" s="240"/>
      <c r="F71" s="161"/>
      <c r="G71" s="161"/>
      <c r="H71" s="161"/>
      <c r="I71" s="161"/>
      <c r="J71" s="161"/>
      <c r="K71" s="161"/>
      <c r="L71" s="161"/>
      <c r="M71" s="133"/>
      <c r="N71" s="50"/>
      <c r="O71" s="332" t="s">
        <v>79</v>
      </c>
      <c r="P71" s="337" t="s">
        <v>17</v>
      </c>
      <c r="Q71" s="333">
        <f>IF((-C67+C75)&gt;0,(-C67+C75),0)</f>
        <v>841432.56552700151</v>
      </c>
      <c r="R71" s="335">
        <f>IF((-C67+C75)&lt;0,(-C67+C75),0)</f>
        <v>0</v>
      </c>
    </row>
    <row r="72" spans="1:18" s="382" customFormat="1" ht="15.75">
      <c r="A72" s="58"/>
      <c r="B72" s="59" t="s">
        <v>49</v>
      </c>
      <c r="C72" s="50">
        <f>SUM(D72:L72)</f>
        <v>0</v>
      </c>
      <c r="D72" s="161"/>
      <c r="E72" s="161"/>
      <c r="F72" s="161"/>
      <c r="G72" s="161"/>
      <c r="H72" s="161"/>
      <c r="I72" s="161"/>
      <c r="J72" s="161"/>
      <c r="K72" s="161"/>
      <c r="L72" s="242">
        <v>0</v>
      </c>
      <c r="M72" s="134"/>
      <c r="N72" s="50"/>
      <c r="O72" s="338" t="s">
        <v>80</v>
      </c>
      <c r="P72" s="337" t="s">
        <v>20</v>
      </c>
      <c r="Q72" s="112">
        <f>IF((C69+C70)&lt;0,(-C69-C70),0)</f>
        <v>0</v>
      </c>
      <c r="R72" s="335">
        <f>IF((C69+C70)&gt;0,(-C69-C70),0)</f>
        <v>-839471.48552700132</v>
      </c>
    </row>
    <row r="73" spans="1:18" s="382" customFormat="1" ht="15.75">
      <c r="A73" s="58"/>
      <c r="B73" s="59" t="s">
        <v>144</v>
      </c>
      <c r="C73" s="50">
        <f>SUM(D73:L73)</f>
        <v>0</v>
      </c>
      <c r="D73" s="161"/>
      <c r="E73" s="161"/>
      <c r="F73" s="161"/>
      <c r="G73" s="161"/>
      <c r="H73" s="161"/>
      <c r="I73" s="161"/>
      <c r="J73" s="161"/>
      <c r="K73" s="161"/>
      <c r="L73" s="242">
        <v>0</v>
      </c>
      <c r="M73" s="134"/>
      <c r="N73" s="50"/>
      <c r="O73" s="340" t="s">
        <v>82</v>
      </c>
      <c r="P73" s="337" t="s">
        <v>75</v>
      </c>
      <c r="Q73" s="342">
        <v>0</v>
      </c>
      <c r="R73" s="335">
        <f>IF(C74&gt;0,-C74,0)</f>
        <v>-1961.08</v>
      </c>
    </row>
    <row r="74" spans="1:18" s="382" customFormat="1" ht="16.5" thickBot="1">
      <c r="A74" s="61"/>
      <c r="B74" s="59" t="s">
        <v>12</v>
      </c>
      <c r="C74" s="50">
        <f>SUM(D74:L74)</f>
        <v>1961.08</v>
      </c>
      <c r="D74" s="161"/>
      <c r="E74" s="161"/>
      <c r="F74" s="161">
        <v>1961.08</v>
      </c>
      <c r="G74" s="161"/>
      <c r="H74" s="161"/>
      <c r="I74" s="161"/>
      <c r="J74" s="161"/>
      <c r="K74" s="161"/>
      <c r="L74" s="244"/>
      <c r="M74" s="237">
        <v>3.2500000000000001E-2</v>
      </c>
      <c r="N74" s="50"/>
      <c r="O74" s="341" t="s">
        <v>83</v>
      </c>
      <c r="P74" s="339" t="s">
        <v>76</v>
      </c>
      <c r="Q74" s="116">
        <f>IF(-C74&gt;0,-C74,0)</f>
        <v>0</v>
      </c>
      <c r="R74" s="116">
        <f>IF(C74&gt;0,0,0)</f>
        <v>0</v>
      </c>
    </row>
    <row r="75" spans="1:18" s="382" customFormat="1" ht="16.5" thickBot="1">
      <c r="A75" s="103">
        <f>A69</f>
        <v>41426</v>
      </c>
      <c r="B75" s="50" t="s">
        <v>56</v>
      </c>
      <c r="C75" s="158">
        <f>SUM(C67:C74)</f>
        <v>1145787.7286667889</v>
      </c>
      <c r="D75" s="158">
        <f>SUM(D67:D74)</f>
        <v>-1383047.9967132136</v>
      </c>
      <c r="E75" s="158">
        <f>SUM(E67:E74)</f>
        <v>2577820.6653800006</v>
      </c>
      <c r="F75" s="158">
        <f>SUM(F67:F74)</f>
        <v>-48984.94000000001</v>
      </c>
      <c r="G75" s="158">
        <f t="shared" ref="G75:K75" si="6">SUM(G64:G74)</f>
        <v>0</v>
      </c>
      <c r="H75" s="158">
        <f t="shared" si="6"/>
        <v>0</v>
      </c>
      <c r="I75" s="158">
        <f t="shared" si="6"/>
        <v>0</v>
      </c>
      <c r="J75" s="158">
        <f t="shared" si="6"/>
        <v>0</v>
      </c>
      <c r="K75" s="158">
        <f t="shared" si="6"/>
        <v>0</v>
      </c>
      <c r="L75" s="158">
        <f>SUM(L67:L74)</f>
        <v>0</v>
      </c>
      <c r="M75" s="57"/>
      <c r="N75" s="383"/>
      <c r="O75" s="383"/>
      <c r="P75" s="383"/>
      <c r="Q75" s="383"/>
      <c r="R75" s="336">
        <f>ROUND(SUM(Q70:R74),2)</f>
        <v>0</v>
      </c>
    </row>
    <row r="76" spans="1:18" ht="16.5" thickTop="1" thickBot="1"/>
    <row r="77" spans="1:18" s="382" customFormat="1" ht="16.5" thickBot="1">
      <c r="A77" s="58">
        <v>41456</v>
      </c>
      <c r="B77" s="59" t="s">
        <v>84</v>
      </c>
      <c r="C77" s="50">
        <f>SUM(D77:L77)</f>
        <v>777094.91390700196</v>
      </c>
      <c r="D77" s="243">
        <v>-494523.11633399874</v>
      </c>
      <c r="E77" s="243">
        <v>1271618.0302410007</v>
      </c>
      <c r="F77" s="161">
        <v>0</v>
      </c>
      <c r="G77" s="161"/>
      <c r="H77" s="161"/>
      <c r="I77" s="161"/>
      <c r="J77" s="386"/>
      <c r="K77" s="161"/>
      <c r="L77" s="161">
        <v>0</v>
      </c>
      <c r="M77" s="133"/>
      <c r="N77" s="50"/>
      <c r="O77" s="334" t="s">
        <v>106</v>
      </c>
      <c r="P77" s="93"/>
      <c r="Q77" s="93"/>
      <c r="R77" s="94"/>
    </row>
    <row r="78" spans="1:18" s="382" customFormat="1" ht="15.75">
      <c r="A78" s="58"/>
      <c r="B78" s="59" t="s">
        <v>148</v>
      </c>
      <c r="C78" s="50">
        <f>SUM(D78:F78)</f>
        <v>0</v>
      </c>
      <c r="D78" s="240"/>
      <c r="E78" s="240">
        <v>0</v>
      </c>
      <c r="F78" s="161"/>
      <c r="G78" s="161"/>
      <c r="H78" s="161"/>
      <c r="I78" s="161"/>
      <c r="J78" s="161"/>
      <c r="K78" s="161"/>
      <c r="L78" s="161"/>
      <c r="M78" s="133"/>
      <c r="N78" s="50"/>
      <c r="O78" s="345" t="s">
        <v>211</v>
      </c>
      <c r="P78" s="337" t="s">
        <v>27</v>
      </c>
      <c r="Q78" s="333">
        <v>0</v>
      </c>
      <c r="R78" s="335">
        <v>0</v>
      </c>
    </row>
    <row r="79" spans="1:18" s="382" customFormat="1" ht="15.75">
      <c r="A79" s="58"/>
      <c r="B79" s="20" t="s">
        <v>157</v>
      </c>
      <c r="C79" s="50">
        <f>SUM(D79:L79)</f>
        <v>0</v>
      </c>
      <c r="D79" s="241">
        <v>0</v>
      </c>
      <c r="E79" s="240"/>
      <c r="F79" s="161"/>
      <c r="G79" s="161"/>
      <c r="H79" s="161"/>
      <c r="I79" s="161"/>
      <c r="J79" s="161"/>
      <c r="K79" s="161"/>
      <c r="L79" s="161"/>
      <c r="M79" s="133"/>
      <c r="N79" s="50"/>
      <c r="O79" s="332" t="s">
        <v>79</v>
      </c>
      <c r="P79" s="337" t="s">
        <v>17</v>
      </c>
      <c r="Q79" s="333">
        <f>IF((-C75+C83)&gt;0,(-C75+C83),0)</f>
        <v>781250.40390700195</v>
      </c>
      <c r="R79" s="335">
        <f>IF((-C75+C83)&lt;0,(-C75+C83),0)</f>
        <v>0</v>
      </c>
    </row>
    <row r="80" spans="1:18" s="382" customFormat="1" ht="15.75">
      <c r="A80" s="58"/>
      <c r="B80" s="59" t="s">
        <v>49</v>
      </c>
      <c r="C80" s="50">
        <f>SUM(D80:L80)</f>
        <v>0</v>
      </c>
      <c r="D80" s="161"/>
      <c r="E80" s="161"/>
      <c r="F80" s="161"/>
      <c r="G80" s="161"/>
      <c r="H80" s="161"/>
      <c r="I80" s="161"/>
      <c r="J80" s="161"/>
      <c r="K80" s="161"/>
      <c r="L80" s="242">
        <v>0</v>
      </c>
      <c r="M80" s="134"/>
      <c r="N80" s="50"/>
      <c r="O80" s="338" t="s">
        <v>80</v>
      </c>
      <c r="P80" s="337" t="s">
        <v>20</v>
      </c>
      <c r="Q80" s="112">
        <f>IF((C77+C78)&lt;0,(-C77-C78),0)</f>
        <v>0</v>
      </c>
      <c r="R80" s="335">
        <f>IF((C77+C78)&gt;0,(-C77-C78),0)</f>
        <v>-777094.91390700196</v>
      </c>
    </row>
    <row r="81" spans="1:18" s="382" customFormat="1" ht="15.75">
      <c r="A81" s="58"/>
      <c r="B81" s="59" t="s">
        <v>144</v>
      </c>
      <c r="C81" s="50">
        <f>SUM(D81:L81)</f>
        <v>0</v>
      </c>
      <c r="D81" s="161"/>
      <c r="E81" s="161"/>
      <c r="F81" s="161"/>
      <c r="G81" s="161"/>
      <c r="H81" s="161"/>
      <c r="I81" s="161"/>
      <c r="J81" s="161"/>
      <c r="K81" s="161"/>
      <c r="L81" s="242">
        <v>0</v>
      </c>
      <c r="M81" s="134"/>
      <c r="N81" s="50"/>
      <c r="O81" s="340" t="s">
        <v>82</v>
      </c>
      <c r="P81" s="337" t="s">
        <v>75</v>
      </c>
      <c r="Q81" s="342">
        <v>0</v>
      </c>
      <c r="R81" s="335">
        <f>IF(C82&gt;0,-C82,0)</f>
        <v>-4155.49</v>
      </c>
    </row>
    <row r="82" spans="1:18" s="382" customFormat="1" ht="16.5" thickBot="1">
      <c r="A82" s="61"/>
      <c r="B82" s="59" t="s">
        <v>12</v>
      </c>
      <c r="C82" s="50">
        <f>SUM(D82:L82)</f>
        <v>4155.49</v>
      </c>
      <c r="D82" s="161"/>
      <c r="E82" s="161"/>
      <c r="F82" s="161">
        <v>4155.49</v>
      </c>
      <c r="G82" s="161"/>
      <c r="H82" s="161"/>
      <c r="I82" s="161"/>
      <c r="J82" s="161"/>
      <c r="K82" s="161"/>
      <c r="L82" s="244"/>
      <c r="M82" s="237">
        <v>3.2500000000000001E-2</v>
      </c>
      <c r="N82" s="50"/>
      <c r="O82" s="341" t="s">
        <v>83</v>
      </c>
      <c r="P82" s="339" t="s">
        <v>76</v>
      </c>
      <c r="Q82" s="116">
        <f>IF(-C82&gt;0,-C82,0)</f>
        <v>0</v>
      </c>
      <c r="R82" s="116">
        <f>IF(C82&gt;0,0,0)</f>
        <v>0</v>
      </c>
    </row>
    <row r="83" spans="1:18" s="382" customFormat="1" ht="16.5" thickBot="1">
      <c r="A83" s="103">
        <f>A77</f>
        <v>41456</v>
      </c>
      <c r="B83" s="50" t="s">
        <v>56</v>
      </c>
      <c r="C83" s="158">
        <f>SUM(C75:C82)</f>
        <v>1927038.1325737908</v>
      </c>
      <c r="D83" s="158">
        <f>SUM(D75:D82)</f>
        <v>-1877571.1130472124</v>
      </c>
      <c r="E83" s="158">
        <f>SUM(E75:E82)</f>
        <v>3849438.6956210015</v>
      </c>
      <c r="F83" s="158">
        <f>SUM(F75:F82)</f>
        <v>-44829.450000000012</v>
      </c>
      <c r="G83" s="158">
        <f t="shared" ref="G83:K83" si="7">SUM(G72:G82)</f>
        <v>0</v>
      </c>
      <c r="H83" s="158">
        <f t="shared" si="7"/>
        <v>0</v>
      </c>
      <c r="I83" s="158">
        <f t="shared" si="7"/>
        <v>0</v>
      </c>
      <c r="J83" s="158">
        <f t="shared" si="7"/>
        <v>0</v>
      </c>
      <c r="K83" s="158">
        <f t="shared" si="7"/>
        <v>0</v>
      </c>
      <c r="L83" s="158">
        <f>SUM(L75:L82)</f>
        <v>0</v>
      </c>
      <c r="M83" s="57"/>
      <c r="N83" s="383"/>
      <c r="O83" s="383"/>
      <c r="P83" s="383"/>
      <c r="Q83" s="383"/>
      <c r="R83" s="336">
        <f>ROUND(SUM(Q78:R82),2)</f>
        <v>0</v>
      </c>
    </row>
    <row r="84" spans="1:18" ht="16.5" thickTop="1" thickBot="1"/>
    <row r="85" spans="1:18" s="382" customFormat="1" ht="16.5" thickBot="1">
      <c r="A85" s="58">
        <v>41487</v>
      </c>
      <c r="B85" s="59" t="s">
        <v>84</v>
      </c>
      <c r="C85" s="50">
        <f>SUM(D85:L85)</f>
        <v>564000.44398000068</v>
      </c>
      <c r="D85" s="243">
        <v>-646266.22842499963</v>
      </c>
      <c r="E85" s="243">
        <v>1210266.6724050003</v>
      </c>
      <c r="F85" s="161">
        <v>0</v>
      </c>
      <c r="G85" s="161"/>
      <c r="H85" s="161"/>
      <c r="I85" s="161"/>
      <c r="J85" s="386"/>
      <c r="K85" s="161"/>
      <c r="L85" s="161">
        <v>0</v>
      </c>
      <c r="M85" s="133"/>
      <c r="N85" s="50"/>
      <c r="O85" s="334" t="s">
        <v>106</v>
      </c>
      <c r="P85" s="93"/>
      <c r="Q85" s="93"/>
      <c r="R85" s="94"/>
    </row>
    <row r="86" spans="1:18" s="382" customFormat="1" ht="15.75">
      <c r="A86" s="58"/>
      <c r="B86" s="59" t="s">
        <v>148</v>
      </c>
      <c r="C86" s="50">
        <f>SUM(D86:F86)</f>
        <v>0</v>
      </c>
      <c r="D86" s="240"/>
      <c r="E86" s="240">
        <v>0</v>
      </c>
      <c r="F86" s="161"/>
      <c r="G86" s="161"/>
      <c r="H86" s="161"/>
      <c r="I86" s="161"/>
      <c r="J86" s="161"/>
      <c r="K86" s="161"/>
      <c r="L86" s="161"/>
      <c r="M86" s="133"/>
      <c r="N86" s="50"/>
      <c r="O86" s="345" t="s">
        <v>211</v>
      </c>
      <c r="P86" s="337" t="s">
        <v>27</v>
      </c>
      <c r="Q86" s="333">
        <v>0</v>
      </c>
      <c r="R86" s="335">
        <v>0</v>
      </c>
    </row>
    <row r="87" spans="1:18" s="382" customFormat="1" ht="15.75">
      <c r="A87" s="58"/>
      <c r="B87" s="20" t="s">
        <v>157</v>
      </c>
      <c r="C87" s="50">
        <f>SUM(D87:L87)</f>
        <v>0</v>
      </c>
      <c r="D87" s="241">
        <v>0</v>
      </c>
      <c r="E87" s="240"/>
      <c r="F87" s="161"/>
      <c r="G87" s="161"/>
      <c r="H87" s="161"/>
      <c r="I87" s="161"/>
      <c r="J87" s="161"/>
      <c r="K87" s="161"/>
      <c r="L87" s="161"/>
      <c r="M87" s="133"/>
      <c r="N87" s="50"/>
      <c r="O87" s="332" t="s">
        <v>79</v>
      </c>
      <c r="P87" s="337" t="s">
        <v>17</v>
      </c>
      <c r="Q87" s="333">
        <f>IF((-C83+C91)&gt;0,(-C83+C91),0)</f>
        <v>569983.25398000097</v>
      </c>
      <c r="R87" s="335">
        <f>IF((-C83+C91)&lt;0,(-C83+C91),0)</f>
        <v>0</v>
      </c>
    </row>
    <row r="88" spans="1:18" s="382" customFormat="1" ht="15.75">
      <c r="A88" s="58"/>
      <c r="B88" s="59" t="s">
        <v>49</v>
      </c>
      <c r="C88" s="50">
        <f>SUM(D88:L88)</f>
        <v>0</v>
      </c>
      <c r="D88" s="161"/>
      <c r="E88" s="161"/>
      <c r="F88" s="161"/>
      <c r="G88" s="161"/>
      <c r="H88" s="161"/>
      <c r="I88" s="161"/>
      <c r="J88" s="161"/>
      <c r="K88" s="161"/>
      <c r="L88" s="242">
        <v>0</v>
      </c>
      <c r="M88" s="134"/>
      <c r="N88" s="50"/>
      <c r="O88" s="338" t="s">
        <v>80</v>
      </c>
      <c r="P88" s="337" t="s">
        <v>20</v>
      </c>
      <c r="Q88" s="112">
        <f>IF((C85+C86)&lt;0,(-C85-C86),0)</f>
        <v>0</v>
      </c>
      <c r="R88" s="335">
        <f>IF((C85+C86)&gt;0,(-C85-C86),0)</f>
        <v>-564000.44398000068</v>
      </c>
    </row>
    <row r="89" spans="1:18" s="382" customFormat="1" ht="15.75">
      <c r="A89" s="58"/>
      <c r="B89" s="59" t="s">
        <v>144</v>
      </c>
      <c r="C89" s="50">
        <f>SUM(D89:L89)</f>
        <v>0</v>
      </c>
      <c r="D89" s="161"/>
      <c r="E89" s="161"/>
      <c r="F89" s="161"/>
      <c r="G89" s="161"/>
      <c r="H89" s="161"/>
      <c r="I89" s="161"/>
      <c r="J89" s="161"/>
      <c r="K89" s="161"/>
      <c r="L89" s="242">
        <v>0</v>
      </c>
      <c r="M89" s="134"/>
      <c r="N89" s="50"/>
      <c r="O89" s="340" t="s">
        <v>82</v>
      </c>
      <c r="P89" s="337" t="s">
        <v>75</v>
      </c>
      <c r="Q89" s="342">
        <v>0</v>
      </c>
      <c r="R89" s="335">
        <f>IF(C90&gt;0,-C90,0)</f>
        <v>-5982.81</v>
      </c>
    </row>
    <row r="90" spans="1:18" s="382" customFormat="1" ht="16.5" thickBot="1">
      <c r="A90" s="61"/>
      <c r="B90" s="59" t="s">
        <v>12</v>
      </c>
      <c r="C90" s="50">
        <f>SUM(D90:L90)</f>
        <v>5982.81</v>
      </c>
      <c r="D90" s="161"/>
      <c r="E90" s="161"/>
      <c r="F90" s="161">
        <v>5982.81</v>
      </c>
      <c r="G90" s="161"/>
      <c r="H90" s="161"/>
      <c r="I90" s="161"/>
      <c r="J90" s="161"/>
      <c r="K90" s="161"/>
      <c r="L90" s="244"/>
      <c r="M90" s="237">
        <v>3.2500000000000001E-2</v>
      </c>
      <c r="N90" s="50"/>
      <c r="O90" s="341" t="s">
        <v>83</v>
      </c>
      <c r="P90" s="339" t="s">
        <v>76</v>
      </c>
      <c r="Q90" s="116">
        <f>IF(-C90&gt;0,-C90,0)</f>
        <v>0</v>
      </c>
      <c r="R90" s="116">
        <f>IF(C90&gt;0,0,0)</f>
        <v>0</v>
      </c>
    </row>
    <row r="91" spans="1:18" s="382" customFormat="1" ht="16.5" thickBot="1">
      <c r="A91" s="103">
        <f>A85</f>
        <v>41487</v>
      </c>
      <c r="B91" s="50" t="s">
        <v>56</v>
      </c>
      <c r="C91" s="158">
        <f>SUM(C83:C90)</f>
        <v>2497021.3865537918</v>
      </c>
      <c r="D91" s="158">
        <f>SUM(D83:D90)</f>
        <v>-2523837.3414722122</v>
      </c>
      <c r="E91" s="158">
        <f>SUM(E83:E90)</f>
        <v>5059705.3680260014</v>
      </c>
      <c r="F91" s="158">
        <f>SUM(F83:F90)</f>
        <v>-38846.640000000014</v>
      </c>
      <c r="G91" s="158">
        <f t="shared" ref="G91:K91" si="8">SUM(G80:G90)</f>
        <v>0</v>
      </c>
      <c r="H91" s="158">
        <f t="shared" si="8"/>
        <v>0</v>
      </c>
      <c r="I91" s="158">
        <f t="shared" si="8"/>
        <v>0</v>
      </c>
      <c r="J91" s="158">
        <f t="shared" si="8"/>
        <v>0</v>
      </c>
      <c r="K91" s="158">
        <f t="shared" si="8"/>
        <v>0</v>
      </c>
      <c r="L91" s="158">
        <f>SUM(L83:L90)</f>
        <v>0</v>
      </c>
      <c r="M91" s="57"/>
      <c r="N91" s="383"/>
      <c r="O91" s="383"/>
      <c r="P91" s="383"/>
      <c r="Q91" s="383"/>
      <c r="R91" s="336">
        <f>ROUND(SUM(Q86:R90),2)</f>
        <v>0</v>
      </c>
    </row>
    <row r="92" spans="1:18" s="382" customFormat="1" ht="16.5" thickTop="1" thickBot="1">
      <c r="A92" s="53"/>
      <c r="M92" s="52"/>
    </row>
    <row r="93" spans="1:18" s="382" customFormat="1" ht="16.5" thickBot="1">
      <c r="A93" s="58">
        <v>41518</v>
      </c>
      <c r="B93" s="59" t="s">
        <v>84</v>
      </c>
      <c r="C93" s="50">
        <f>SUM(D93:L93)</f>
        <v>208713.47537599935</v>
      </c>
      <c r="D93" s="243">
        <v>-814688.68566800107</v>
      </c>
      <c r="E93" s="243">
        <v>1023402.1610440004</v>
      </c>
      <c r="F93" s="161">
        <v>0</v>
      </c>
      <c r="G93" s="161"/>
      <c r="H93" s="161"/>
      <c r="I93" s="161"/>
      <c r="J93" s="386"/>
      <c r="K93" s="161"/>
      <c r="L93" s="161">
        <v>0</v>
      </c>
      <c r="M93" s="133"/>
      <c r="N93" s="50"/>
      <c r="O93" s="334" t="s">
        <v>106</v>
      </c>
      <c r="P93" s="93"/>
      <c r="Q93" s="93"/>
      <c r="R93" s="94"/>
    </row>
    <row r="94" spans="1:18" s="382" customFormat="1" ht="15.75">
      <c r="A94" s="58"/>
      <c r="B94" s="59" t="s">
        <v>148</v>
      </c>
      <c r="C94" s="50">
        <f>SUM(D94:F94)</f>
        <v>0</v>
      </c>
      <c r="D94" s="240"/>
      <c r="E94" s="240">
        <v>0</v>
      </c>
      <c r="F94" s="161"/>
      <c r="G94" s="161"/>
      <c r="H94" s="161"/>
      <c r="I94" s="161"/>
      <c r="J94" s="161"/>
      <c r="K94" s="161"/>
      <c r="L94" s="161"/>
      <c r="M94" s="133"/>
      <c r="N94" s="50"/>
      <c r="O94" s="345" t="s">
        <v>211</v>
      </c>
      <c r="P94" s="337" t="s">
        <v>27</v>
      </c>
      <c r="Q94" s="333">
        <v>0</v>
      </c>
      <c r="R94" s="335">
        <v>0</v>
      </c>
    </row>
    <row r="95" spans="1:18" s="382" customFormat="1" ht="15.75">
      <c r="A95" s="58"/>
      <c r="B95" s="20" t="s">
        <v>157</v>
      </c>
      <c r="C95" s="50">
        <f>SUM(D95:L95)</f>
        <v>0</v>
      </c>
      <c r="D95" s="241">
        <v>0</v>
      </c>
      <c r="E95" s="240"/>
      <c r="F95" s="161"/>
      <c r="G95" s="161"/>
      <c r="H95" s="161"/>
      <c r="I95" s="161"/>
      <c r="J95" s="161"/>
      <c r="K95" s="161"/>
      <c r="L95" s="161"/>
      <c r="M95" s="133"/>
      <c r="N95" s="50"/>
      <c r="O95" s="332" t="s">
        <v>79</v>
      </c>
      <c r="P95" s="337" t="s">
        <v>17</v>
      </c>
      <c r="Q95" s="333">
        <f>IF((-C91+C99)&gt;0,(-C91+C99),0)</f>
        <v>215758.87537599914</v>
      </c>
      <c r="R95" s="335">
        <f>IF((-C91+C99)&lt;0,(-C91+C99),0)</f>
        <v>0</v>
      </c>
    </row>
    <row r="96" spans="1:18" s="382" customFormat="1" ht="15.75">
      <c r="A96" s="58"/>
      <c r="B96" s="59" t="s">
        <v>49</v>
      </c>
      <c r="C96" s="50">
        <f>SUM(D96:L96)</f>
        <v>0</v>
      </c>
      <c r="D96" s="161"/>
      <c r="E96" s="161"/>
      <c r="F96" s="161"/>
      <c r="G96" s="161"/>
      <c r="H96" s="161"/>
      <c r="I96" s="161"/>
      <c r="J96" s="161"/>
      <c r="K96" s="161"/>
      <c r="L96" s="242">
        <v>0</v>
      </c>
      <c r="M96" s="134"/>
      <c r="N96" s="50"/>
      <c r="O96" s="338" t="s">
        <v>80</v>
      </c>
      <c r="P96" s="337" t="s">
        <v>20</v>
      </c>
      <c r="Q96" s="112">
        <f>IF((C93+C94)&lt;0,(-C93-C94),0)</f>
        <v>0</v>
      </c>
      <c r="R96" s="335">
        <f>IF((C93+C94)&gt;0,(-C93-C94),0)</f>
        <v>-208713.47537599935</v>
      </c>
    </row>
    <row r="97" spans="1:18" s="382" customFormat="1" ht="15.75">
      <c r="A97" s="58"/>
      <c r="B97" s="59" t="s">
        <v>144</v>
      </c>
      <c r="C97" s="50">
        <f>SUM(D97:L97)</f>
        <v>0</v>
      </c>
      <c r="D97" s="161"/>
      <c r="E97" s="161"/>
      <c r="F97" s="161"/>
      <c r="G97" s="161"/>
      <c r="H97" s="161"/>
      <c r="I97" s="161"/>
      <c r="J97" s="161"/>
      <c r="K97" s="161"/>
      <c r="L97" s="242">
        <v>0</v>
      </c>
      <c r="M97" s="134"/>
      <c r="N97" s="50"/>
      <c r="O97" s="340" t="s">
        <v>82</v>
      </c>
      <c r="P97" s="337" t="s">
        <v>75</v>
      </c>
      <c r="Q97" s="342">
        <v>0</v>
      </c>
      <c r="R97" s="335">
        <f>IF(C98&gt;0,-C98,0)</f>
        <v>-7045.4</v>
      </c>
    </row>
    <row r="98" spans="1:18" s="382" customFormat="1" ht="16.5" thickBot="1">
      <c r="A98" s="61"/>
      <c r="B98" s="59" t="s">
        <v>12</v>
      </c>
      <c r="C98" s="50">
        <f>SUM(D98:L98)</f>
        <v>7045.4</v>
      </c>
      <c r="D98" s="161"/>
      <c r="E98" s="161"/>
      <c r="F98" s="161">
        <v>7045.4</v>
      </c>
      <c r="G98" s="161"/>
      <c r="H98" s="161"/>
      <c r="I98" s="161"/>
      <c r="J98" s="161"/>
      <c r="K98" s="161"/>
      <c r="L98" s="244"/>
      <c r="M98" s="237">
        <v>3.2500000000000001E-2</v>
      </c>
      <c r="N98" s="50"/>
      <c r="O98" s="341" t="s">
        <v>83</v>
      </c>
      <c r="P98" s="339" t="s">
        <v>76</v>
      </c>
      <c r="Q98" s="116">
        <f>IF(-C98&gt;0,-C98,0)</f>
        <v>0</v>
      </c>
      <c r="R98" s="116">
        <f>IF(C98&gt;0,0,0)</f>
        <v>0</v>
      </c>
    </row>
    <row r="99" spans="1:18" s="382" customFormat="1" ht="16.5" thickBot="1">
      <c r="A99" s="103">
        <f>A93</f>
        <v>41518</v>
      </c>
      <c r="B99" s="50" t="s">
        <v>56</v>
      </c>
      <c r="C99" s="158">
        <f>SUM(C91:C98)</f>
        <v>2712780.261929791</v>
      </c>
      <c r="D99" s="158">
        <f>SUM(D91:D98)</f>
        <v>-3338526.0271402132</v>
      </c>
      <c r="E99" s="158">
        <f>SUM(E91:E98)</f>
        <v>6083107.529070002</v>
      </c>
      <c r="F99" s="158">
        <f>SUM(F91:F98)</f>
        <v>-31801.240000000013</v>
      </c>
      <c r="G99" s="158">
        <f t="shared" ref="G99:K99" si="9">SUM(G88:G98)</f>
        <v>0</v>
      </c>
      <c r="H99" s="158">
        <f t="shared" si="9"/>
        <v>0</v>
      </c>
      <c r="I99" s="158">
        <f t="shared" si="9"/>
        <v>0</v>
      </c>
      <c r="J99" s="158">
        <f t="shared" si="9"/>
        <v>0</v>
      </c>
      <c r="K99" s="158">
        <f t="shared" si="9"/>
        <v>0</v>
      </c>
      <c r="L99" s="158">
        <f>SUM(L91:L98)</f>
        <v>0</v>
      </c>
      <c r="M99" s="57"/>
      <c r="N99" s="383"/>
      <c r="O99" s="383"/>
      <c r="P99" s="383"/>
      <c r="Q99" s="383"/>
      <c r="R99" s="336">
        <f>ROUND(SUM(Q94:R98),2)</f>
        <v>0</v>
      </c>
    </row>
    <row r="100" spans="1:18" ht="16.5" thickTop="1" thickBot="1"/>
    <row r="101" spans="1:18" s="382" customFormat="1" ht="16.5" thickBot="1">
      <c r="A101" s="58">
        <v>41578</v>
      </c>
      <c r="B101" s="59" t="s">
        <v>84</v>
      </c>
      <c r="C101" s="50">
        <f>SUM(D101:L101)</f>
        <v>-464484.39013699861</v>
      </c>
      <c r="D101" s="243">
        <v>-726195.13553999923</v>
      </c>
      <c r="E101" s="243">
        <v>261710.74540300062</v>
      </c>
      <c r="F101" s="161">
        <v>0</v>
      </c>
      <c r="G101" s="161"/>
      <c r="H101" s="161"/>
      <c r="I101" s="161"/>
      <c r="J101" s="386"/>
      <c r="K101" s="161"/>
      <c r="L101" s="161">
        <v>0</v>
      </c>
      <c r="M101" s="133"/>
      <c r="N101" s="50"/>
      <c r="O101" s="334" t="s">
        <v>106</v>
      </c>
      <c r="P101" s="93"/>
      <c r="Q101" s="93"/>
      <c r="R101" s="94"/>
    </row>
    <row r="102" spans="1:18" s="382" customFormat="1" ht="15.75">
      <c r="A102" s="58"/>
      <c r="B102" s="59" t="s">
        <v>148</v>
      </c>
      <c r="C102" s="50">
        <f>SUM(D102:F102)</f>
        <v>0</v>
      </c>
      <c r="D102" s="240"/>
      <c r="E102" s="240">
        <v>0</v>
      </c>
      <c r="F102" s="161"/>
      <c r="G102" s="161"/>
      <c r="H102" s="161"/>
      <c r="I102" s="161"/>
      <c r="J102" s="161"/>
      <c r="K102" s="161"/>
      <c r="L102" s="161"/>
      <c r="M102" s="133"/>
      <c r="N102" s="50"/>
      <c r="O102" s="345" t="s">
        <v>211</v>
      </c>
      <c r="P102" s="337" t="s">
        <v>27</v>
      </c>
      <c r="Q102" s="333">
        <v>0</v>
      </c>
      <c r="R102" s="335">
        <v>0</v>
      </c>
    </row>
    <row r="103" spans="1:18" s="382" customFormat="1" ht="15.75">
      <c r="A103" s="58"/>
      <c r="B103" s="20" t="s">
        <v>157</v>
      </c>
      <c r="C103" s="50">
        <f>SUM(D103:L103)</f>
        <v>0</v>
      </c>
      <c r="D103" s="241">
        <v>0</v>
      </c>
      <c r="E103" s="240"/>
      <c r="F103" s="161"/>
      <c r="G103" s="161"/>
      <c r="H103" s="161"/>
      <c r="I103" s="161"/>
      <c r="J103" s="161"/>
      <c r="K103" s="161"/>
      <c r="L103" s="161"/>
      <c r="M103" s="133"/>
      <c r="N103" s="50"/>
      <c r="O103" s="332" t="s">
        <v>79</v>
      </c>
      <c r="P103" s="337" t="s">
        <v>17</v>
      </c>
      <c r="Q103" s="333">
        <f>IF((-C99+C107)&gt;0,(-C99+C107),0)</f>
        <v>0</v>
      </c>
      <c r="R103" s="335">
        <f>IF((-C99+C107)&lt;0,(-C99+C107),0)</f>
        <v>-457766.2701369985</v>
      </c>
    </row>
    <row r="104" spans="1:18" s="382" customFormat="1" ht="15.75">
      <c r="A104" s="58"/>
      <c r="B104" s="59" t="s">
        <v>49</v>
      </c>
      <c r="C104" s="50">
        <f>SUM(D104:L104)</f>
        <v>0</v>
      </c>
      <c r="D104" s="161"/>
      <c r="E104" s="161"/>
      <c r="F104" s="161"/>
      <c r="G104" s="161"/>
      <c r="H104" s="161"/>
      <c r="I104" s="161"/>
      <c r="J104" s="161"/>
      <c r="K104" s="161"/>
      <c r="L104" s="242">
        <v>0</v>
      </c>
      <c r="M104" s="134"/>
      <c r="N104" s="50"/>
      <c r="O104" s="338" t="s">
        <v>80</v>
      </c>
      <c r="P104" s="337" t="s">
        <v>20</v>
      </c>
      <c r="Q104" s="112">
        <f>IF((C101+C102)&lt;0,(-C101-C102),0)</f>
        <v>464484.39013699861</v>
      </c>
      <c r="R104" s="335">
        <f>IF((C101+C102)&gt;0,(-C101-C102),0)</f>
        <v>0</v>
      </c>
    </row>
    <row r="105" spans="1:18" s="382" customFormat="1" ht="15.75">
      <c r="A105" s="58"/>
      <c r="B105" s="59" t="s">
        <v>144</v>
      </c>
      <c r="C105" s="50">
        <f>SUM(D105:L105)</f>
        <v>0</v>
      </c>
      <c r="D105" s="161"/>
      <c r="E105" s="161"/>
      <c r="F105" s="161"/>
      <c r="G105" s="161"/>
      <c r="H105" s="161"/>
      <c r="I105" s="161"/>
      <c r="J105" s="161"/>
      <c r="K105" s="161"/>
      <c r="L105" s="242">
        <v>0</v>
      </c>
      <c r="M105" s="134"/>
      <c r="N105" s="50"/>
      <c r="O105" s="340" t="s">
        <v>82</v>
      </c>
      <c r="P105" s="337" t="s">
        <v>75</v>
      </c>
      <c r="Q105" s="342">
        <v>0</v>
      </c>
      <c r="R105" s="335">
        <f>IF(C106&gt;0,-C106,0)</f>
        <v>-6718.12</v>
      </c>
    </row>
    <row r="106" spans="1:18" s="382" customFormat="1" ht="16.5" thickBot="1">
      <c r="A106" s="61"/>
      <c r="B106" s="59" t="s">
        <v>12</v>
      </c>
      <c r="C106" s="50">
        <f>SUM(D106:L106)</f>
        <v>6718.12</v>
      </c>
      <c r="D106" s="161"/>
      <c r="E106" s="161"/>
      <c r="F106" s="161">
        <v>6718.12</v>
      </c>
      <c r="G106" s="161"/>
      <c r="H106" s="161"/>
      <c r="I106" s="161"/>
      <c r="J106" s="161"/>
      <c r="K106" s="161"/>
      <c r="L106" s="244"/>
      <c r="M106" s="237">
        <v>3.2500000000000001E-2</v>
      </c>
      <c r="N106" s="50"/>
      <c r="O106" s="341" t="s">
        <v>83</v>
      </c>
      <c r="P106" s="339" t="s">
        <v>76</v>
      </c>
      <c r="Q106" s="116">
        <f>IF(-C106&gt;0,-C106,0)</f>
        <v>0</v>
      </c>
      <c r="R106" s="116">
        <f>IF(C106&gt;0,0,0)</f>
        <v>0</v>
      </c>
    </row>
    <row r="107" spans="1:18" s="382" customFormat="1" ht="16.5" thickBot="1">
      <c r="A107" s="103">
        <f>A101</f>
        <v>41578</v>
      </c>
      <c r="B107" s="50" t="s">
        <v>56</v>
      </c>
      <c r="C107" s="158">
        <f>SUM(C99:C106)</f>
        <v>2255013.9917927925</v>
      </c>
      <c r="D107" s="158">
        <f>SUM(D99:D106)</f>
        <v>-4064721.1626802124</v>
      </c>
      <c r="E107" s="158">
        <f>SUM(E99:E106)</f>
        <v>6344818.2744730022</v>
      </c>
      <c r="F107" s="158">
        <f>SUM(F99:F106)</f>
        <v>-25083.120000000014</v>
      </c>
      <c r="G107" s="158">
        <f t="shared" ref="G107:K107" si="10">SUM(G96:G106)</f>
        <v>0</v>
      </c>
      <c r="H107" s="158">
        <f t="shared" si="10"/>
        <v>0</v>
      </c>
      <c r="I107" s="158">
        <f t="shared" si="10"/>
        <v>0</v>
      </c>
      <c r="J107" s="158">
        <f t="shared" si="10"/>
        <v>0</v>
      </c>
      <c r="K107" s="158">
        <f t="shared" si="10"/>
        <v>0</v>
      </c>
      <c r="L107" s="158">
        <f>SUM(L99:L106)</f>
        <v>0</v>
      </c>
      <c r="M107" s="57"/>
      <c r="N107" s="383"/>
      <c r="O107" s="383"/>
      <c r="P107" s="383"/>
      <c r="Q107" s="383"/>
      <c r="R107" s="336">
        <f>ROUND(SUM(Q102:R106),2)</f>
        <v>0</v>
      </c>
    </row>
    <row r="108" spans="1:18" s="382" customFormat="1" ht="15.75" thickTop="1">
      <c r="A108" s="53"/>
      <c r="M108" s="52"/>
    </row>
    <row r="109" spans="1:18" s="382" customFormat="1" ht="15.75">
      <c r="A109" s="103">
        <v>41579</v>
      </c>
      <c r="B109" s="2" t="s">
        <v>230</v>
      </c>
      <c r="C109" s="50">
        <f>SUM(D109:L109)</f>
        <v>-1145801.7486667871</v>
      </c>
      <c r="D109" s="161">
        <f>-D75</f>
        <v>1383047.9967132136</v>
      </c>
      <c r="E109" s="161">
        <f>-E75</f>
        <v>-2577820.6653800006</v>
      </c>
      <c r="F109" s="161">
        <f>-F75-14.02</f>
        <v>48970.920000000013</v>
      </c>
      <c r="G109" s="161"/>
      <c r="H109" s="161"/>
      <c r="I109" s="161"/>
      <c r="J109" s="161"/>
      <c r="K109" s="161"/>
      <c r="L109" s="244"/>
      <c r="M109" s="52"/>
    </row>
    <row r="110" spans="1:18" s="382" customFormat="1" ht="16.5" thickBot="1">
      <c r="A110" s="103"/>
      <c r="B110" s="2" t="s">
        <v>233</v>
      </c>
      <c r="C110" s="158">
        <f>SUM(C107:C109)</f>
        <v>1109212.2431260054</v>
      </c>
      <c r="D110" s="158">
        <f>SUM(D107:D109)</f>
        <v>-2681673.1659669988</v>
      </c>
      <c r="E110" s="158">
        <f>SUM(E107:E109)</f>
        <v>3766997.6090930016</v>
      </c>
      <c r="F110" s="158">
        <f>SUM(F107:F109)</f>
        <v>23887.8</v>
      </c>
      <c r="G110" s="158"/>
      <c r="H110" s="158"/>
      <c r="I110" s="158"/>
      <c r="J110" s="158"/>
      <c r="K110" s="158"/>
      <c r="L110" s="158">
        <f>SUM(L107:L109)</f>
        <v>0</v>
      </c>
      <c r="M110" s="52"/>
    </row>
    <row r="111" spans="1:18" s="382" customFormat="1" ht="16.5" thickTop="1" thickBot="1">
      <c r="A111" s="53"/>
      <c r="M111" s="52"/>
    </row>
    <row r="112" spans="1:18" s="382" customFormat="1" ht="16.5" thickBot="1">
      <c r="A112" s="58">
        <f>EOMONTH(A101,1)</f>
        <v>41608</v>
      </c>
      <c r="B112" s="59" t="s">
        <v>84</v>
      </c>
      <c r="C112" s="50">
        <f>SUM(D112:L112)</f>
        <v>-1144165.7052559927</v>
      </c>
      <c r="D112" s="243">
        <v>-363626.86552299373</v>
      </c>
      <c r="E112" s="243">
        <v>-780538.83973299898</v>
      </c>
      <c r="F112" s="161">
        <v>0</v>
      </c>
      <c r="G112" s="161"/>
      <c r="H112" s="161"/>
      <c r="I112" s="161"/>
      <c r="J112" s="386"/>
      <c r="K112" s="161"/>
      <c r="L112" s="161">
        <v>0</v>
      </c>
      <c r="M112" s="133"/>
      <c r="N112" s="50"/>
      <c r="O112" s="334" t="s">
        <v>106</v>
      </c>
      <c r="P112" s="93"/>
      <c r="Q112" s="93"/>
      <c r="R112" s="94"/>
    </row>
    <row r="113" spans="1:18" s="382" customFormat="1" ht="15.75">
      <c r="A113" s="58"/>
      <c r="B113" s="59" t="s">
        <v>148</v>
      </c>
      <c r="C113" s="50">
        <f>SUM(D113:F113)</f>
        <v>0</v>
      </c>
      <c r="D113" s="240"/>
      <c r="E113" s="240">
        <v>0</v>
      </c>
      <c r="F113" s="161"/>
      <c r="G113" s="161"/>
      <c r="H113" s="161"/>
      <c r="I113" s="161"/>
      <c r="J113" s="161"/>
      <c r="K113" s="161"/>
      <c r="L113" s="161"/>
      <c r="M113" s="133"/>
      <c r="N113" s="50"/>
      <c r="O113" s="345" t="s">
        <v>232</v>
      </c>
      <c r="P113" s="337" t="s">
        <v>27</v>
      </c>
      <c r="Q113" s="333">
        <f>-C109</f>
        <v>1145801.7486667871</v>
      </c>
      <c r="R113" s="335">
        <v>0</v>
      </c>
    </row>
    <row r="114" spans="1:18" s="382" customFormat="1" ht="15.75">
      <c r="A114" s="58"/>
      <c r="B114" s="20" t="s">
        <v>157</v>
      </c>
      <c r="C114" s="50">
        <f>SUM(D114:L114)</f>
        <v>0</v>
      </c>
      <c r="D114" s="241">
        <v>0</v>
      </c>
      <c r="E114" s="240"/>
      <c r="F114" s="161"/>
      <c r="G114" s="161"/>
      <c r="H114" s="161"/>
      <c r="I114" s="161"/>
      <c r="J114" s="161"/>
      <c r="K114" s="161"/>
      <c r="L114" s="161"/>
      <c r="M114" s="133"/>
      <c r="N114" s="50"/>
      <c r="O114" s="332" t="s">
        <v>79</v>
      </c>
      <c r="P114" s="337" t="s">
        <v>17</v>
      </c>
      <c r="Q114" s="333">
        <f>IF((-C107+C118)&gt;0,(-C107+C118),0)</f>
        <v>0</v>
      </c>
      <c r="R114" s="335">
        <f>IF((-C107+C118)&lt;0,(-C107+C118),0)</f>
        <v>-2288512.7239227798</v>
      </c>
    </row>
    <row r="115" spans="1:18" s="382" customFormat="1" ht="15.75">
      <c r="A115" s="58"/>
      <c r="B115" s="59" t="s">
        <v>49</v>
      </c>
      <c r="C115" s="50">
        <f>SUM(D115:L115)</f>
        <v>0</v>
      </c>
      <c r="D115" s="161"/>
      <c r="E115" s="161"/>
      <c r="F115" s="161"/>
      <c r="G115" s="161"/>
      <c r="H115" s="161"/>
      <c r="I115" s="161"/>
      <c r="J115" s="161"/>
      <c r="K115" s="161"/>
      <c r="L115" s="242">
        <v>0</v>
      </c>
      <c r="M115" s="134"/>
      <c r="N115" s="50"/>
      <c r="O115" s="338" t="s">
        <v>80</v>
      </c>
      <c r="P115" s="337" t="s">
        <v>20</v>
      </c>
      <c r="Q115" s="112">
        <f>IF((C112+C113)&lt;0,(-C112-C113),0)</f>
        <v>1144165.7052559927</v>
      </c>
      <c r="R115" s="335">
        <f>IF((C112+C113)&gt;0,(-C112-C113),0)</f>
        <v>0</v>
      </c>
    </row>
    <row r="116" spans="1:18" s="382" customFormat="1" ht="15.75">
      <c r="A116" s="58"/>
      <c r="B116" s="59" t="s">
        <v>144</v>
      </c>
      <c r="C116" s="50">
        <f>SUM(D116:L116)</f>
        <v>0</v>
      </c>
      <c r="D116" s="161"/>
      <c r="E116" s="161"/>
      <c r="F116" s="161"/>
      <c r="G116" s="161"/>
      <c r="H116" s="161"/>
      <c r="I116" s="161"/>
      <c r="J116" s="161"/>
      <c r="K116" s="161"/>
      <c r="L116" s="242">
        <v>0</v>
      </c>
      <c r="M116" s="134"/>
      <c r="N116" s="50"/>
      <c r="O116" s="340" t="s">
        <v>82</v>
      </c>
      <c r="P116" s="337" t="s">
        <v>75</v>
      </c>
      <c r="Q116" s="342">
        <v>0</v>
      </c>
      <c r="R116" s="335">
        <f>IF(C117&gt;0,-C117,0)</f>
        <v>-1454.73</v>
      </c>
    </row>
    <row r="117" spans="1:18" s="382" customFormat="1" ht="16.5" thickBot="1">
      <c r="A117" s="61"/>
      <c r="B117" s="59" t="s">
        <v>12</v>
      </c>
      <c r="C117" s="50">
        <f>SUM(D117:L117)</f>
        <v>1454.73</v>
      </c>
      <c r="D117" s="161"/>
      <c r="E117" s="161"/>
      <c r="F117" s="161">
        <v>1454.73</v>
      </c>
      <c r="G117" s="161"/>
      <c r="H117" s="161"/>
      <c r="I117" s="161"/>
      <c r="J117" s="161"/>
      <c r="K117" s="161"/>
      <c r="L117" s="244"/>
      <c r="M117" s="237">
        <v>3.2500000000000001E-2</v>
      </c>
      <c r="N117" s="50"/>
      <c r="O117" s="341" t="s">
        <v>83</v>
      </c>
      <c r="P117" s="339" t="s">
        <v>76</v>
      </c>
      <c r="Q117" s="116">
        <f>IF(-C117&gt;0,-C117,0)</f>
        <v>0</v>
      </c>
      <c r="R117" s="116">
        <f>IF(C117&gt;0,0,0)</f>
        <v>0</v>
      </c>
    </row>
    <row r="118" spans="1:18" s="382" customFormat="1" ht="16.5" thickBot="1">
      <c r="A118" s="103">
        <f>A112</f>
        <v>41608</v>
      </c>
      <c r="B118" s="50" t="s">
        <v>56</v>
      </c>
      <c r="C118" s="158">
        <f>SUM(C110:C117)</f>
        <v>-33498.732129987307</v>
      </c>
      <c r="D118" s="158">
        <f>SUM(D110:D117)</f>
        <v>-3045300.0314899925</v>
      </c>
      <c r="E118" s="158">
        <f>SUM(E110:E117)</f>
        <v>2986458.7693600026</v>
      </c>
      <c r="F118" s="158">
        <f>SUM(F110:F117)</f>
        <v>25342.53</v>
      </c>
      <c r="G118" s="158">
        <f t="shared" ref="G118:K118" si="11">SUM(G104:G117)</f>
        <v>0</v>
      </c>
      <c r="H118" s="158">
        <f t="shared" si="11"/>
        <v>0</v>
      </c>
      <c r="I118" s="158">
        <f t="shared" si="11"/>
        <v>0</v>
      </c>
      <c r="J118" s="158">
        <f t="shared" si="11"/>
        <v>0</v>
      </c>
      <c r="K118" s="158">
        <f t="shared" si="11"/>
        <v>0</v>
      </c>
      <c r="L118" s="158">
        <f>SUM(L107:L117)</f>
        <v>0</v>
      </c>
      <c r="M118" s="57"/>
      <c r="N118" s="383"/>
      <c r="O118" s="383"/>
      <c r="P118" s="383"/>
      <c r="Q118" s="383"/>
      <c r="R118" s="336">
        <f>ROUND(SUM(Q113:R117),2)</f>
        <v>0</v>
      </c>
    </row>
    <row r="119" spans="1:18" s="382" customFormat="1" ht="16.5" thickTop="1" thickBot="1">
      <c r="A119" s="53"/>
      <c r="M119" s="52"/>
    </row>
    <row r="120" spans="1:18" s="382" customFormat="1" ht="16.5" thickBot="1">
      <c r="A120" s="58">
        <f>EOMONTH(A112,1)</f>
        <v>41639</v>
      </c>
      <c r="B120" s="59" t="s">
        <v>84</v>
      </c>
      <c r="C120" s="50">
        <f>SUM(D120:L120)</f>
        <v>-2074592.3562550019</v>
      </c>
      <c r="D120" s="243">
        <f>Jan!$H$55</f>
        <v>-743591.89883300196</v>
      </c>
      <c r="E120" s="243">
        <f>Jan!$I$55</f>
        <v>-1331000.4574219999</v>
      </c>
      <c r="F120" s="161">
        <v>0</v>
      </c>
      <c r="G120" s="161"/>
      <c r="H120" s="161"/>
      <c r="I120" s="161"/>
      <c r="J120" s="386"/>
      <c r="K120" s="161"/>
      <c r="L120" s="161">
        <v>0</v>
      </c>
      <c r="M120" s="133"/>
      <c r="N120" s="50"/>
      <c r="O120" s="334" t="s">
        <v>235</v>
      </c>
      <c r="P120" s="93"/>
      <c r="Q120" s="93"/>
      <c r="R120" s="94"/>
    </row>
    <row r="121" spans="1:18" s="382" customFormat="1" ht="15.75">
      <c r="A121" s="58"/>
      <c r="B121" s="59" t="s">
        <v>148</v>
      </c>
      <c r="C121" s="50">
        <f>SUM(D121:F121)</f>
        <v>0</v>
      </c>
      <c r="D121" s="240"/>
      <c r="E121" s="240">
        <v>0</v>
      </c>
      <c r="F121" s="161"/>
      <c r="G121" s="161"/>
      <c r="H121" s="161"/>
      <c r="I121" s="161"/>
      <c r="J121" s="161"/>
      <c r="K121" s="161"/>
      <c r="L121" s="161"/>
      <c r="M121" s="133"/>
      <c r="N121" s="50"/>
      <c r="O121" s="345" t="s">
        <v>232</v>
      </c>
      <c r="P121" s="337" t="s">
        <v>27</v>
      </c>
      <c r="Q121" s="333">
        <v>0</v>
      </c>
      <c r="R121" s="335">
        <v>0</v>
      </c>
    </row>
    <row r="122" spans="1:18" s="382" customFormat="1" ht="15.75">
      <c r="A122" s="58"/>
      <c r="B122" s="20" t="s">
        <v>157</v>
      </c>
      <c r="C122" s="50">
        <f>SUM(D122:L122)</f>
        <v>0</v>
      </c>
      <c r="D122" s="241">
        <v>0</v>
      </c>
      <c r="E122" s="240"/>
      <c r="F122" s="161"/>
      <c r="G122" s="161"/>
      <c r="H122" s="161"/>
      <c r="I122" s="161"/>
      <c r="J122" s="161"/>
      <c r="K122" s="161"/>
      <c r="L122" s="161"/>
      <c r="M122" s="133"/>
      <c r="N122" s="50"/>
      <c r="O122" s="332" t="s">
        <v>79</v>
      </c>
      <c r="P122" s="337" t="s">
        <v>17</v>
      </c>
      <c r="Q122" s="333">
        <f>IF((-C115+C126)&gt;0,(-C115+C126),0)</f>
        <v>0</v>
      </c>
      <c r="R122" s="335">
        <f>IF((-C118+C126)&lt;0,(-C118+C126),0)-C121</f>
        <v>-2077492.4262550017</v>
      </c>
    </row>
    <row r="123" spans="1:18" s="382" customFormat="1" ht="15.75">
      <c r="A123" s="58"/>
      <c r="B123" s="59" t="s">
        <v>49</v>
      </c>
      <c r="C123" s="50">
        <f>SUM(D123:L123)</f>
        <v>0</v>
      </c>
      <c r="D123" s="161"/>
      <c r="E123" s="161"/>
      <c r="F123" s="161"/>
      <c r="G123" s="161"/>
      <c r="H123" s="161"/>
      <c r="I123" s="161"/>
      <c r="J123" s="161"/>
      <c r="K123" s="161"/>
      <c r="L123" s="242">
        <v>0</v>
      </c>
      <c r="M123" s="134"/>
      <c r="N123" s="50"/>
      <c r="O123" s="338" t="s">
        <v>80</v>
      </c>
      <c r="P123" s="337" t="s">
        <v>20</v>
      </c>
      <c r="Q123" s="112">
        <f>IF((C120)&lt;0,(-C120),0)</f>
        <v>2074592.3562550019</v>
      </c>
      <c r="R123" s="335">
        <f>IF((C120+C121)&gt;0,(-C120-C121),0)</f>
        <v>0</v>
      </c>
    </row>
    <row r="124" spans="1:18" s="382" customFormat="1" ht="15.75">
      <c r="A124" s="58"/>
      <c r="B124" s="59" t="s">
        <v>144</v>
      </c>
      <c r="C124" s="50">
        <f>SUM(D124:L124)</f>
        <v>0</v>
      </c>
      <c r="D124" s="161"/>
      <c r="E124" s="161"/>
      <c r="F124" s="161"/>
      <c r="G124" s="161"/>
      <c r="H124" s="161"/>
      <c r="I124" s="161"/>
      <c r="J124" s="161"/>
      <c r="K124" s="161"/>
      <c r="L124" s="242">
        <v>0</v>
      </c>
      <c r="M124" s="134"/>
      <c r="N124" s="50"/>
      <c r="O124" s="340" t="s">
        <v>82</v>
      </c>
      <c r="P124" s="337" t="s">
        <v>75</v>
      </c>
      <c r="Q124" s="342">
        <v>0</v>
      </c>
      <c r="R124" s="335">
        <f>IF(C125&gt;0,-C125,0)</f>
        <v>0</v>
      </c>
    </row>
    <row r="125" spans="1:18" s="382" customFormat="1" ht="16.5" thickBot="1">
      <c r="A125" s="61"/>
      <c r="B125" s="59" t="s">
        <v>12</v>
      </c>
      <c r="C125" s="50">
        <f>SUM(D125:L125)</f>
        <v>-2900.07</v>
      </c>
      <c r="D125" s="161"/>
      <c r="E125" s="161"/>
      <c r="F125" s="161">
        <f>ROUND(((C118)+(C120)/2)*(M125/12),2)</f>
        <v>-2900.07</v>
      </c>
      <c r="G125" s="161"/>
      <c r="H125" s="161"/>
      <c r="I125" s="161"/>
      <c r="J125" s="161"/>
      <c r="K125" s="161"/>
      <c r="L125" s="244"/>
      <c r="M125" s="237">
        <v>3.2500000000000001E-2</v>
      </c>
      <c r="N125" s="50"/>
      <c r="O125" s="341" t="s">
        <v>83</v>
      </c>
      <c r="P125" s="339" t="s">
        <v>76</v>
      </c>
      <c r="Q125" s="116">
        <f>IF(-C125&gt;0,-C125,0)</f>
        <v>2900.07</v>
      </c>
      <c r="R125" s="116">
        <f>IF(C125&gt;0,0,0)</f>
        <v>0</v>
      </c>
    </row>
    <row r="126" spans="1:18" s="382" customFormat="1" ht="16.5" thickBot="1">
      <c r="A126" s="103">
        <f>A120</f>
        <v>41639</v>
      </c>
      <c r="B126" s="50" t="s">
        <v>56</v>
      </c>
      <c r="C126" s="158">
        <f>SUM(C120:C125,C118)</f>
        <v>-2110991.158384989</v>
      </c>
      <c r="D126" s="158">
        <f>SUM(D120:D125,D118)</f>
        <v>-3788891.9303229945</v>
      </c>
      <c r="E126" s="158">
        <f>SUM(E120:E125,E118)</f>
        <v>1655458.3119380027</v>
      </c>
      <c r="F126" s="158">
        <f>SUM(F120:F125,F118)</f>
        <v>22442.46</v>
      </c>
      <c r="G126" s="158">
        <f t="shared" ref="G126:K126" si="12">SUM(G112:G125)</f>
        <v>0</v>
      </c>
      <c r="H126" s="158">
        <f t="shared" si="12"/>
        <v>0</v>
      </c>
      <c r="I126" s="158">
        <f t="shared" si="12"/>
        <v>0</v>
      </c>
      <c r="J126" s="158">
        <f t="shared" si="12"/>
        <v>0</v>
      </c>
      <c r="K126" s="158">
        <f t="shared" si="12"/>
        <v>0</v>
      </c>
      <c r="L126" s="158">
        <f>SUM(L120:L125,L118)</f>
        <v>0</v>
      </c>
      <c r="M126" s="57"/>
      <c r="N126" s="383"/>
      <c r="O126" s="383"/>
      <c r="P126" s="383"/>
      <c r="Q126" s="66"/>
      <c r="R126" s="336">
        <f>ROUND(SUM(Q121:R125),2)</f>
        <v>0</v>
      </c>
    </row>
    <row r="127" spans="1:18" ht="17.25" thickTop="1" thickBot="1">
      <c r="A127" s="144"/>
      <c r="B127" s="9" t="s">
        <v>247</v>
      </c>
      <c r="C127" s="1">
        <f>SUM(D127:L127)</f>
        <v>-1156793.8500000001</v>
      </c>
      <c r="D127" s="382"/>
      <c r="E127" s="382">
        <v>-1111877.48</v>
      </c>
      <c r="F127" s="382">
        <v>-44916.37</v>
      </c>
      <c r="G127" s="161"/>
      <c r="H127" s="161"/>
      <c r="I127" s="161"/>
      <c r="J127" s="386"/>
      <c r="K127" s="161"/>
      <c r="L127" s="161"/>
    </row>
    <row r="128" spans="1:18" ht="16.5" thickBot="1">
      <c r="B128" s="9" t="s">
        <v>241</v>
      </c>
      <c r="C128" s="472">
        <f>SUM(C126:C127)</f>
        <v>-3267785.0083849891</v>
      </c>
      <c r="D128" s="472">
        <f>SUM(D126:D127)</f>
        <v>-3788891.9303229945</v>
      </c>
      <c r="E128" s="472">
        <f>SUM(E126:E127)</f>
        <v>543580.83193800272</v>
      </c>
      <c r="F128" s="472">
        <f>SUM(F126:F127)</f>
        <v>-22473.910000000003</v>
      </c>
      <c r="G128" s="472"/>
      <c r="H128" s="472"/>
      <c r="I128" s="472"/>
      <c r="J128" s="472"/>
      <c r="K128" s="472"/>
      <c r="L128" s="472">
        <f>SUM(L126:L127)</f>
        <v>0</v>
      </c>
      <c r="O128" s="334" t="s">
        <v>236</v>
      </c>
      <c r="P128" s="93"/>
      <c r="Q128" s="93"/>
      <c r="R128" s="94"/>
    </row>
    <row r="129" spans="2:18" ht="15.75">
      <c r="B129" s="9" t="s">
        <v>242</v>
      </c>
      <c r="C129" s="1" t="e">
        <f>_xll.Get_Balance("201312","YTD","USD","Total","A","","001","191010","GD","WA","DL")</f>
        <v>#VALUE!</v>
      </c>
      <c r="D129" s="382"/>
      <c r="E129" s="382"/>
      <c r="F129" s="382"/>
      <c r="G129" s="382"/>
      <c r="H129" s="382"/>
      <c r="I129" s="382"/>
      <c r="J129" s="382"/>
      <c r="K129" s="382"/>
      <c r="L129" s="382"/>
      <c r="O129" s="345" t="s">
        <v>232</v>
      </c>
      <c r="P129" s="337" t="s">
        <v>27</v>
      </c>
      <c r="Q129" s="333">
        <v>0</v>
      </c>
      <c r="R129" s="335">
        <v>0</v>
      </c>
    </row>
    <row r="130" spans="2:18" ht="16.5" thickBot="1">
      <c r="B130" s="9" t="s">
        <v>243</v>
      </c>
      <c r="C130" s="158" t="e">
        <f>C128-C129</f>
        <v>#VALUE!</v>
      </c>
      <c r="D130" s="382"/>
      <c r="E130" s="382"/>
      <c r="F130" s="382"/>
      <c r="G130" s="382"/>
      <c r="H130" s="382"/>
      <c r="I130" s="382"/>
      <c r="J130" s="382"/>
      <c r="K130" s="382"/>
      <c r="L130" s="382"/>
      <c r="O130" s="332" t="s">
        <v>79</v>
      </c>
      <c r="P130" s="337" t="s">
        <v>17</v>
      </c>
      <c r="Q130" s="333">
        <f>IF((-C123+C134)&gt;0,(-C123+C134),0)</f>
        <v>0</v>
      </c>
      <c r="R130" s="335">
        <v>-4133742.32</v>
      </c>
    </row>
    <row r="131" spans="2:18" ht="15.75" thickTop="1">
      <c r="D131" s="382"/>
      <c r="E131" s="382"/>
      <c r="F131" s="382"/>
      <c r="G131" s="382"/>
      <c r="H131" s="382"/>
      <c r="I131" s="382"/>
      <c r="J131" s="382"/>
      <c r="K131" s="382"/>
      <c r="L131" s="382"/>
      <c r="O131" s="338" t="s">
        <v>80</v>
      </c>
      <c r="P131" s="337" t="s">
        <v>20</v>
      </c>
      <c r="Q131" s="112">
        <v>4128061.51</v>
      </c>
      <c r="R131" s="335" t="e">
        <f>IF((C128+C129)&gt;0,(-C128-C129),0)</f>
        <v>#VALUE!</v>
      </c>
    </row>
    <row r="132" spans="2:18">
      <c r="D132" s="382"/>
      <c r="E132" s="382"/>
      <c r="F132" s="382"/>
      <c r="G132" s="382"/>
      <c r="H132" s="382"/>
      <c r="I132" s="382"/>
      <c r="J132" s="382"/>
      <c r="K132" s="382"/>
      <c r="L132" s="382"/>
      <c r="O132" s="340" t="s">
        <v>82</v>
      </c>
      <c r="P132" s="337" t="s">
        <v>75</v>
      </c>
      <c r="Q132" s="342">
        <v>0</v>
      </c>
      <c r="R132" s="335">
        <f>IF(C133&gt;0,-C133,0)</f>
        <v>0</v>
      </c>
    </row>
    <row r="133" spans="2:18" ht="15.75" thickBot="1">
      <c r="O133" s="341" t="s">
        <v>83</v>
      </c>
      <c r="P133" s="339" t="s">
        <v>76</v>
      </c>
      <c r="Q133" s="116">
        <v>5680.81</v>
      </c>
      <c r="R133" s="116">
        <f>IF(C133&gt;0,0,0)</f>
        <v>0</v>
      </c>
    </row>
    <row r="134" spans="2:18">
      <c r="B134" s="382"/>
      <c r="C134" s="382"/>
      <c r="D134" s="382"/>
      <c r="E134" s="382"/>
      <c r="F134" s="382"/>
      <c r="G134" s="382"/>
      <c r="H134" s="382"/>
      <c r="I134" s="382"/>
      <c r="J134" s="382"/>
      <c r="K134" s="382"/>
      <c r="L134" s="382"/>
      <c r="O134" s="383"/>
      <c r="P134" s="383"/>
      <c r="Q134" s="66"/>
      <c r="R134" s="336" t="e">
        <f>ROUND(SUM(Q129:R133),2)</f>
        <v>#VALUE!</v>
      </c>
    </row>
    <row r="135" spans="2:18" ht="15.75" thickBot="1">
      <c r="B135" s="382"/>
      <c r="C135" s="382"/>
      <c r="D135" s="382"/>
      <c r="E135" s="382"/>
      <c r="F135" s="382"/>
      <c r="G135" s="382"/>
      <c r="H135" s="382"/>
      <c r="I135" s="382"/>
      <c r="J135" s="382"/>
      <c r="K135" s="382"/>
      <c r="L135" s="382"/>
    </row>
    <row r="136" spans="2:18" ht="15.75" thickBot="1">
      <c r="O136" s="334" t="s">
        <v>237</v>
      </c>
      <c r="P136" s="93"/>
      <c r="Q136" s="93"/>
      <c r="R136" s="94"/>
    </row>
    <row r="137" spans="2:18">
      <c r="O137" s="345" t="s">
        <v>232</v>
      </c>
      <c r="P137" s="337" t="s">
        <v>27</v>
      </c>
      <c r="Q137" s="333">
        <v>0</v>
      </c>
      <c r="R137" s="335">
        <v>0</v>
      </c>
    </row>
    <row r="138" spans="2:18">
      <c r="O138" s="332" t="s">
        <v>79</v>
      </c>
      <c r="P138" s="337" t="s">
        <v>17</v>
      </c>
      <c r="Q138" s="333">
        <f>R122-R130</f>
        <v>2056249.8937449981</v>
      </c>
      <c r="R138" s="335">
        <v>0</v>
      </c>
    </row>
    <row r="139" spans="2:18">
      <c r="O139" s="338" t="s">
        <v>80</v>
      </c>
      <c r="P139" s="337" t="s">
        <v>20</v>
      </c>
      <c r="Q139" s="112">
        <v>0</v>
      </c>
      <c r="R139" s="335">
        <f>Q123-Q131</f>
        <v>-2053469.1537449979</v>
      </c>
    </row>
    <row r="140" spans="2:18">
      <c r="O140" s="340" t="s">
        <v>82</v>
      </c>
      <c r="P140" s="337" t="s">
        <v>75</v>
      </c>
      <c r="Q140" s="342">
        <v>0</v>
      </c>
      <c r="R140" s="335">
        <f>IF(C141&gt;0,-C141,0)</f>
        <v>0</v>
      </c>
    </row>
    <row r="141" spans="2:18" ht="15.75" thickBot="1">
      <c r="O141" s="341" t="s">
        <v>83</v>
      </c>
      <c r="P141" s="339" t="s">
        <v>76</v>
      </c>
      <c r="Q141" s="116">
        <f>IF(-C141&gt;0,-C141,0)</f>
        <v>0</v>
      </c>
      <c r="R141" s="116">
        <f>Q125-Q133</f>
        <v>-2780.7400000000002</v>
      </c>
    </row>
    <row r="142" spans="2:18">
      <c r="O142" s="383"/>
      <c r="P142" s="383"/>
      <c r="Q142" s="66"/>
      <c r="R142" s="336">
        <f>ROUND(SUM(Q137:R141),2)</f>
        <v>0</v>
      </c>
    </row>
    <row r="1002" spans="3:3">
      <c r="C1002" s="1">
        <v>-2130</v>
      </c>
    </row>
    <row r="1010" spans="3:3">
      <c r="C1010" s="1">
        <f>7004298-2130</f>
        <v>7002168</v>
      </c>
    </row>
  </sheetData>
  <phoneticPr fontId="0" type="noConversion"/>
  <conditionalFormatting sqref="R19 R27 R43 R35 R51 R59 R67 R75 R83 R91 R99 R107 R118 R126">
    <cfRule type="cellIs" dxfId="115" priority="183" stopIfTrue="1" operator="equal">
      <formula>0</formula>
    </cfRule>
    <cfRule type="cellIs" dxfId="114" priority="184" stopIfTrue="1" operator="notEqual">
      <formula>0</formula>
    </cfRule>
  </conditionalFormatting>
  <conditionalFormatting sqref="R134">
    <cfRule type="cellIs" dxfId="113" priority="3" stopIfTrue="1" operator="equal">
      <formula>0</formula>
    </cfRule>
    <cfRule type="cellIs" dxfId="112" priority="4" stopIfTrue="1" operator="notEqual">
      <formula>0</formula>
    </cfRule>
  </conditionalFormatting>
  <conditionalFormatting sqref="R142">
    <cfRule type="cellIs" dxfId="111" priority="1" stopIfTrue="1" operator="equal">
      <formula>0</formula>
    </cfRule>
    <cfRule type="cellIs" dxfId="110" priority="2" stopIfTrue="1" operator="notEqual">
      <formula>0</formula>
    </cfRule>
  </conditionalFormatting>
  <printOptions gridLinesSet="0"/>
  <pageMargins left="0.18" right="0.18" top="0.5" bottom="0.55000000000000004" header="0.5" footer="0.5"/>
  <pageSetup scale="23" orientation="landscape" horizontalDpi="300" verticalDpi="300" r:id="rId1"/>
  <headerFooter alignWithMargins="0">
    <oddFooter>&amp;L&amp;F&amp;C&amp;A&amp;R&amp;D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tabColor rgb="FFFFFF00"/>
    <pageSetUpPr fitToPage="1"/>
  </sheetPr>
  <dimension ref="A1:U1066"/>
  <sheetViews>
    <sheetView showGridLines="0" view="pageBreakPreview" zoomScaleNormal="100" zoomScaleSheetLayoutView="100" workbookViewId="0">
      <pane ySplit="7" topLeftCell="A126" activePane="bottomLeft" state="frozen"/>
      <selection activeCell="G51" sqref="G51:J55"/>
      <selection pane="bottomLeft" activeCell="A51" sqref="A51"/>
    </sheetView>
  </sheetViews>
  <sheetFormatPr defaultColWidth="9.7109375" defaultRowHeight="15"/>
  <cols>
    <col min="1" max="1" width="11.42578125" style="53" customWidth="1"/>
    <col min="2" max="2" width="40.140625" style="1" bestFit="1" customWidth="1"/>
    <col min="3" max="3" width="18.42578125" style="1" customWidth="1"/>
    <col min="4" max="4" width="19.140625" style="1" bestFit="1" customWidth="1"/>
    <col min="5" max="5" width="19.42578125" style="1" bestFit="1" customWidth="1"/>
    <col min="6" max="7" width="13.140625" style="1" customWidth="1"/>
    <col min="8" max="8" width="16.7109375" style="1" bestFit="1" customWidth="1"/>
    <col min="9" max="9" width="14.42578125" style="1" hidden="1" customWidth="1"/>
    <col min="10" max="10" width="13.28515625" style="1" hidden="1" customWidth="1"/>
    <col min="11" max="11" width="15.140625" style="1" hidden="1" customWidth="1"/>
    <col min="12" max="12" width="18.140625" style="1" hidden="1" customWidth="1"/>
    <col min="13" max="13" width="15.7109375" style="1" bestFit="1" customWidth="1"/>
    <col min="14" max="14" width="12.5703125" style="1" customWidth="1"/>
    <col min="15" max="15" width="11.28515625" style="1" customWidth="1"/>
    <col min="16" max="16" width="2.28515625" style="1" customWidth="1"/>
    <col min="17" max="17" width="26.85546875" style="1" customWidth="1"/>
    <col min="18" max="18" width="16.42578125" style="1" customWidth="1"/>
    <col min="19" max="19" width="17" style="1" customWidth="1"/>
    <col min="20" max="20" width="22.5703125" style="1" customWidth="1"/>
    <col min="21" max="16384" width="9.7109375" style="1"/>
  </cols>
  <sheetData>
    <row r="1" spans="1:21" ht="15.75">
      <c r="A1" s="51" t="s">
        <v>13</v>
      </c>
      <c r="M1" s="41"/>
    </row>
    <row r="2" spans="1:21" ht="15.75">
      <c r="A2" s="51" t="s">
        <v>46</v>
      </c>
    </row>
    <row r="3" spans="1:21" ht="15.75">
      <c r="A3" s="51" t="s">
        <v>47</v>
      </c>
    </row>
    <row r="4" spans="1:21" ht="15.75">
      <c r="A4" s="51" t="s">
        <v>104</v>
      </c>
    </row>
    <row r="5" spans="1:21">
      <c r="Q5" s="264"/>
      <c r="R5" s="5"/>
      <c r="S5" s="5"/>
      <c r="T5" s="5"/>
    </row>
    <row r="6" spans="1:21" s="55" customFormat="1" ht="15.75" customHeight="1">
      <c r="A6" s="54"/>
      <c r="C6" s="55" t="s">
        <v>21</v>
      </c>
      <c r="D6" s="55" t="s">
        <v>2</v>
      </c>
      <c r="E6" s="55" t="s">
        <v>3</v>
      </c>
      <c r="F6" s="55" t="s">
        <v>48</v>
      </c>
      <c r="G6" s="55" t="s">
        <v>144</v>
      </c>
      <c r="H6" s="55" t="s">
        <v>4</v>
      </c>
      <c r="I6" s="55" t="s">
        <v>5</v>
      </c>
      <c r="J6" s="55" t="s">
        <v>50</v>
      </c>
      <c r="K6" s="55" t="s">
        <v>51</v>
      </c>
      <c r="L6" s="55" t="s">
        <v>6</v>
      </c>
      <c r="M6" s="55" t="s">
        <v>52</v>
      </c>
      <c r="N6" s="55" t="s">
        <v>14</v>
      </c>
      <c r="O6" s="55" t="s">
        <v>85</v>
      </c>
    </row>
    <row r="7" spans="1:21" s="55" customFormat="1" ht="15.75" customHeight="1">
      <c r="A7" s="54"/>
      <c r="C7" s="55" t="s">
        <v>16</v>
      </c>
      <c r="D7" s="55" t="s">
        <v>7</v>
      </c>
      <c r="E7" s="55" t="s">
        <v>7</v>
      </c>
      <c r="F7" s="55" t="s">
        <v>7</v>
      </c>
      <c r="G7" s="55" t="s">
        <v>34</v>
      </c>
      <c r="I7" s="55" t="s">
        <v>8</v>
      </c>
      <c r="J7" s="55" t="s">
        <v>53</v>
      </c>
      <c r="K7" s="55" t="s">
        <v>54</v>
      </c>
      <c r="L7" s="55" t="s">
        <v>55</v>
      </c>
      <c r="M7" s="55" t="s">
        <v>7</v>
      </c>
      <c r="N7" s="55" t="s">
        <v>9</v>
      </c>
    </row>
    <row r="8" spans="1:21" s="329" customFormat="1" ht="16.5" thickBot="1">
      <c r="A8" s="104">
        <v>41153</v>
      </c>
      <c r="B8" s="50" t="s">
        <v>56</v>
      </c>
      <c r="C8" s="158">
        <v>-3561203.4705467741</v>
      </c>
      <c r="D8" s="158">
        <v>-3313366.0104997735</v>
      </c>
      <c r="E8" s="158">
        <v>-222352.0300469994</v>
      </c>
      <c r="F8" s="158">
        <v>0</v>
      </c>
      <c r="G8" s="158">
        <v>0</v>
      </c>
      <c r="H8" s="158">
        <v>-25485.43</v>
      </c>
      <c r="I8" s="158">
        <v>0</v>
      </c>
      <c r="J8" s="158">
        <v>0</v>
      </c>
      <c r="K8" s="158">
        <v>0</v>
      </c>
      <c r="L8" s="158">
        <v>0</v>
      </c>
      <c r="M8" s="158">
        <v>0</v>
      </c>
      <c r="N8" s="158">
        <v>0</v>
      </c>
      <c r="O8" s="50"/>
      <c r="P8" s="50"/>
      <c r="Q8" s="382"/>
      <c r="R8" s="382"/>
      <c r="S8" s="382"/>
      <c r="T8" s="382"/>
      <c r="U8" s="382"/>
    </row>
    <row r="9" spans="1:21" ht="15.75" thickTop="1">
      <c r="S9" s="382"/>
      <c r="T9" s="382"/>
      <c r="U9" s="382"/>
    </row>
    <row r="10" spans="1:21" s="202" customFormat="1" ht="15.75">
      <c r="A10" s="255"/>
      <c r="B10" s="161" t="s">
        <v>205</v>
      </c>
      <c r="C10" s="221">
        <v>1550000</v>
      </c>
      <c r="D10" s="221">
        <f>887740.8-((887740.8/1550000)*H10)</f>
        <v>883736.20005990437</v>
      </c>
      <c r="E10" s="221">
        <f>662259.2-((662259.2/1550000)*H10)</f>
        <v>659271.7478600872</v>
      </c>
      <c r="F10" s="221"/>
      <c r="G10" s="221"/>
      <c r="H10" s="221">
        <f>16564.81*(C10/(C10+C11))</f>
        <v>6992.0520800084523</v>
      </c>
      <c r="I10" s="221"/>
      <c r="J10" s="221"/>
      <c r="K10" s="221"/>
      <c r="L10" s="221"/>
      <c r="M10" s="221"/>
      <c r="N10" s="221"/>
      <c r="T10" s="256"/>
    </row>
    <row r="11" spans="1:21" s="202" customFormat="1" ht="15.75">
      <c r="A11" s="255"/>
      <c r="B11" s="161" t="s">
        <v>206</v>
      </c>
      <c r="C11" s="221">
        <v>2122091.5699999998</v>
      </c>
      <c r="D11" s="221">
        <f>1215398.23-((1215398.23/2122091.57)*H11)</f>
        <v>1209915.5669534774</v>
      </c>
      <c r="E11" s="221">
        <f>906693.34-((906693.34/2122091.57)*H11)</f>
        <v>902603.24512653111</v>
      </c>
      <c r="F11" s="221"/>
      <c r="G11" s="221"/>
      <c r="H11" s="386">
        <f>16564.81*(C11/(C10+C11))</f>
        <v>9572.757919991549</v>
      </c>
      <c r="I11" s="221"/>
      <c r="J11" s="221"/>
      <c r="K11" s="221"/>
      <c r="L11" s="221"/>
      <c r="M11" s="221"/>
      <c r="N11" s="221"/>
      <c r="T11" s="256"/>
    </row>
    <row r="12" spans="1:21" s="202" customFormat="1" ht="16.5" thickBot="1">
      <c r="A12" s="255"/>
      <c r="B12" s="161" t="s">
        <v>204</v>
      </c>
      <c r="C12" s="388">
        <f t="shared" ref="C12:H12" si="0">SUM(C8:C11)</f>
        <v>110888.09945322573</v>
      </c>
      <c r="D12" s="257">
        <f t="shared" si="0"/>
        <v>-1219714.2434863918</v>
      </c>
      <c r="E12" s="388">
        <f t="shared" si="0"/>
        <v>1339522.9629396189</v>
      </c>
      <c r="F12" s="388">
        <f t="shared" si="0"/>
        <v>0</v>
      </c>
      <c r="G12" s="388">
        <f t="shared" si="0"/>
        <v>0</v>
      </c>
      <c r="H12" s="388">
        <f t="shared" si="0"/>
        <v>-8920.619999999999</v>
      </c>
      <c r="I12" s="257">
        <v>0</v>
      </c>
      <c r="J12" s="257">
        <v>0</v>
      </c>
      <c r="K12" s="257">
        <v>0</v>
      </c>
      <c r="L12" s="257">
        <v>0</v>
      </c>
      <c r="M12" s="388">
        <f>SUM(M8:M11)</f>
        <v>0</v>
      </c>
      <c r="N12" s="388">
        <f>SUM(N8:N11)</f>
        <v>0</v>
      </c>
      <c r="T12" s="256"/>
    </row>
    <row r="13" spans="1:21" s="329" customFormat="1" ht="15.75" thickTop="1">
      <c r="A13" s="53"/>
      <c r="T13" s="382"/>
    </row>
    <row r="14" spans="1:21" s="329" customFormat="1" ht="15.75" thickBot="1">
      <c r="A14" s="53"/>
      <c r="T14" s="382"/>
    </row>
    <row r="15" spans="1:21" s="329" customFormat="1" ht="16.5" thickBot="1">
      <c r="A15" s="58"/>
      <c r="Q15" s="334" t="s">
        <v>107</v>
      </c>
      <c r="R15" s="330"/>
      <c r="S15" s="330"/>
      <c r="T15" s="228"/>
    </row>
    <row r="16" spans="1:21" s="329" customFormat="1" ht="15.75">
      <c r="A16" s="58">
        <v>41213</v>
      </c>
      <c r="B16" s="59" t="s">
        <v>84</v>
      </c>
      <c r="C16" s="50">
        <f>SUM(D16:N16)</f>
        <v>114978.85263290035</v>
      </c>
      <c r="D16" s="240">
        <v>-28954.004801100353</v>
      </c>
      <c r="E16" s="240">
        <v>143932.8574340007</v>
      </c>
      <c r="F16" s="241">
        <v>0</v>
      </c>
      <c r="G16" s="241">
        <v>0</v>
      </c>
      <c r="H16" s="50">
        <v>0</v>
      </c>
      <c r="I16" s="50"/>
      <c r="J16" s="50"/>
      <c r="K16" s="50"/>
      <c r="L16" s="50"/>
      <c r="M16" s="50"/>
      <c r="N16" s="50">
        <v>0</v>
      </c>
      <c r="O16" s="106"/>
      <c r="P16" s="50"/>
      <c r="Q16" s="343" t="s">
        <v>81</v>
      </c>
      <c r="R16" s="344" t="s">
        <v>58</v>
      </c>
      <c r="S16" s="112">
        <f>C10+C11+C16+C19+C17</f>
        <v>3781223.9826329001</v>
      </c>
      <c r="T16" s="117">
        <f>IF((-C12+C20)&lt;0,(-C8+C20),0)</f>
        <v>0</v>
      </c>
    </row>
    <row r="17" spans="1:20" s="329" customFormat="1" ht="15.75">
      <c r="A17" s="62"/>
      <c r="B17" s="59" t="s">
        <v>148</v>
      </c>
      <c r="C17" s="50">
        <f>SUM(D17:N17)</f>
        <v>-5986.75</v>
      </c>
      <c r="D17" s="241">
        <v>-5986.75</v>
      </c>
      <c r="E17" s="241">
        <v>0</v>
      </c>
      <c r="F17" s="241"/>
      <c r="G17" s="242"/>
      <c r="H17" s="60"/>
      <c r="I17" s="50"/>
      <c r="J17" s="87"/>
      <c r="K17" s="87"/>
      <c r="L17" s="50"/>
      <c r="M17" s="50"/>
      <c r="N17" s="50"/>
      <c r="O17" s="106"/>
      <c r="P17" s="50"/>
      <c r="Q17" s="345" t="s">
        <v>11</v>
      </c>
      <c r="R17" s="346" t="s">
        <v>62</v>
      </c>
      <c r="S17" s="112">
        <v>0</v>
      </c>
      <c r="T17" s="227">
        <f>-C11</f>
        <v>-2122091.5699999998</v>
      </c>
    </row>
    <row r="18" spans="1:20" s="329" customFormat="1" ht="15.75">
      <c r="A18" s="62"/>
      <c r="B18" s="59" t="s">
        <v>144</v>
      </c>
      <c r="C18" s="50">
        <f>SUM(D18:N18)</f>
        <v>0</v>
      </c>
      <c r="D18" s="161">
        <v>0</v>
      </c>
      <c r="E18" s="161"/>
      <c r="F18" s="161"/>
      <c r="G18" s="241">
        <v>0</v>
      </c>
      <c r="H18" s="105"/>
      <c r="I18" s="50"/>
      <c r="J18" s="87"/>
      <c r="K18" s="50"/>
      <c r="L18" s="50"/>
      <c r="M18" s="50"/>
      <c r="N18" s="50"/>
      <c r="O18" s="106"/>
      <c r="P18" s="50"/>
      <c r="Q18" s="345" t="s">
        <v>11</v>
      </c>
      <c r="R18" s="346" t="s">
        <v>207</v>
      </c>
      <c r="S18" s="112">
        <v>0</v>
      </c>
      <c r="T18" s="227">
        <f>-C10</f>
        <v>-1550000</v>
      </c>
    </row>
    <row r="19" spans="1:20" s="329" customFormat="1" ht="15.75">
      <c r="A19" s="62"/>
      <c r="B19" s="59" t="s">
        <v>57</v>
      </c>
      <c r="C19" s="64">
        <f>SUM(D19:N19)</f>
        <v>140.31</v>
      </c>
      <c r="D19" s="64"/>
      <c r="E19" s="64"/>
      <c r="F19" s="64"/>
      <c r="G19" s="64"/>
      <c r="H19" s="64">
        <v>140.31</v>
      </c>
      <c r="I19" s="64"/>
      <c r="J19" s="64"/>
      <c r="K19" s="64"/>
      <c r="L19" s="64"/>
      <c r="M19" s="64"/>
      <c r="N19" s="64"/>
      <c r="O19" s="99">
        <v>0.01</v>
      </c>
      <c r="P19" s="50"/>
      <c r="Q19" s="338" t="s">
        <v>80</v>
      </c>
      <c r="R19" s="337" t="s">
        <v>59</v>
      </c>
      <c r="S19" s="88">
        <f>IF((-C16-C17-C18)&gt;0,(-C16-C17-C18),0)</f>
        <v>0</v>
      </c>
      <c r="T19" s="89">
        <f>IF((-C16-C17-C18)&lt;0,(-C16-C17-C18),0)</f>
        <v>-108992.10263290035</v>
      </c>
    </row>
    <row r="20" spans="1:20" s="329" customFormat="1" ht="16.5" thickBot="1">
      <c r="A20" s="104">
        <f>A16</f>
        <v>41213</v>
      </c>
      <c r="B20" s="50" t="s">
        <v>56</v>
      </c>
      <c r="C20" s="158">
        <f>SUM(C12:C19)</f>
        <v>220020.51208612608</v>
      </c>
      <c r="D20" s="158">
        <f>SUM(D12:D19)</f>
        <v>-1254654.9982874922</v>
      </c>
      <c r="E20" s="158">
        <f>SUM(E12:E19)</f>
        <v>1483455.8203736194</v>
      </c>
      <c r="F20" s="158">
        <f t="shared" ref="F20:G20" si="1">SUM(F12:F19)</f>
        <v>0</v>
      </c>
      <c r="G20" s="158">
        <f t="shared" si="1"/>
        <v>0</v>
      </c>
      <c r="H20" s="158">
        <f>SUM(H12:H19)</f>
        <v>-8780.31</v>
      </c>
      <c r="I20" s="158">
        <f>SUM(I8:I19)</f>
        <v>0</v>
      </c>
      <c r="J20" s="158">
        <f>SUM(J8:J19)</f>
        <v>0</v>
      </c>
      <c r="K20" s="158">
        <f>SUM(K8:K19)</f>
        <v>0</v>
      </c>
      <c r="L20" s="158">
        <f>SUM(L8:L19)</f>
        <v>0</v>
      </c>
      <c r="M20" s="158">
        <f>SUM(M12:M19)</f>
        <v>0</v>
      </c>
      <c r="N20" s="158">
        <f>SUM(N12:N19)</f>
        <v>0</v>
      </c>
      <c r="O20" s="50"/>
      <c r="P20" s="50"/>
      <c r="Q20" s="340" t="s">
        <v>154</v>
      </c>
      <c r="R20" s="337" t="s">
        <v>77</v>
      </c>
      <c r="S20" s="88">
        <f>IF(C19&lt;0,C19,0)</f>
        <v>0</v>
      </c>
      <c r="T20" s="89">
        <f>IF(-C19&lt;0,-C19,0)</f>
        <v>-140.31</v>
      </c>
    </row>
    <row r="21" spans="1:20" s="329" customFormat="1" ht="16.5" thickTop="1" thickBot="1">
      <c r="A21" s="53"/>
      <c r="Q21" s="341" t="s">
        <v>83</v>
      </c>
      <c r="R21" s="339" t="s">
        <v>78</v>
      </c>
      <c r="S21" s="118">
        <f>IF(-C19&gt;0,-C19,0)</f>
        <v>0</v>
      </c>
      <c r="T21" s="111"/>
    </row>
    <row r="22" spans="1:20">
      <c r="Q22" s="329"/>
      <c r="R22" s="329"/>
      <c r="S22" s="329"/>
      <c r="T22" s="336">
        <f>ROUND(SUM(S16:T21),2)</f>
        <v>0</v>
      </c>
    </row>
    <row r="23" spans="1:20" ht="15.75" thickBot="1"/>
    <row r="24" spans="1:20" s="382" customFormat="1" ht="16.5" thickBot="1">
      <c r="A24" s="58"/>
      <c r="Q24" s="334" t="s">
        <v>216</v>
      </c>
      <c r="R24" s="330"/>
      <c r="S24" s="330"/>
      <c r="T24" s="228"/>
    </row>
    <row r="25" spans="1:20" s="382" customFormat="1" ht="15.75">
      <c r="A25" s="58">
        <v>41243</v>
      </c>
      <c r="B25" s="59" t="s">
        <v>84</v>
      </c>
      <c r="C25" s="50">
        <f>SUM(D25:N25)</f>
        <v>873005.70846981579</v>
      </c>
      <c r="D25" s="240">
        <v>893965.62064781552</v>
      </c>
      <c r="E25" s="240">
        <v>-20959.912177999737</v>
      </c>
      <c r="F25" s="241">
        <v>0</v>
      </c>
      <c r="G25" s="241">
        <v>0</v>
      </c>
      <c r="H25" s="50">
        <v>0</v>
      </c>
      <c r="I25" s="50"/>
      <c r="J25" s="50"/>
      <c r="K25" s="50"/>
      <c r="L25" s="50"/>
      <c r="M25" s="50"/>
      <c r="N25" s="50">
        <v>0</v>
      </c>
      <c r="O25" s="106"/>
      <c r="P25" s="50"/>
      <c r="Q25" s="343" t="s">
        <v>81</v>
      </c>
      <c r="R25" s="344" t="s">
        <v>58</v>
      </c>
      <c r="S25" s="112">
        <v>873552.80846981588</v>
      </c>
      <c r="T25" s="117">
        <v>0</v>
      </c>
    </row>
    <row r="26" spans="1:20" s="382" customFormat="1" ht="15.75">
      <c r="A26" s="62"/>
      <c r="B26" s="59" t="s">
        <v>148</v>
      </c>
      <c r="C26" s="50">
        <v>0</v>
      </c>
      <c r="D26" s="241">
        <v>0</v>
      </c>
      <c r="E26" s="241">
        <v>0</v>
      </c>
      <c r="F26" s="241"/>
      <c r="G26" s="242"/>
      <c r="H26" s="60"/>
      <c r="I26" s="50"/>
      <c r="J26" s="87"/>
      <c r="K26" s="87"/>
      <c r="L26" s="50"/>
      <c r="M26" s="50"/>
      <c r="N26" s="50"/>
      <c r="O26" s="106"/>
      <c r="P26" s="50"/>
      <c r="Q26" s="345" t="s">
        <v>11</v>
      </c>
      <c r="R26" s="346" t="s">
        <v>62</v>
      </c>
      <c r="S26" s="112">
        <v>0</v>
      </c>
      <c r="T26" s="227">
        <v>0</v>
      </c>
    </row>
    <row r="27" spans="1:20" s="382" customFormat="1" ht="15.75">
      <c r="A27" s="62"/>
      <c r="B27" s="59" t="s">
        <v>144</v>
      </c>
      <c r="C27" s="50">
        <f>SUM(D27:N27)</f>
        <v>0</v>
      </c>
      <c r="D27" s="161">
        <v>0</v>
      </c>
      <c r="E27" s="161"/>
      <c r="F27" s="161"/>
      <c r="G27" s="241">
        <v>0</v>
      </c>
      <c r="H27" s="105"/>
      <c r="I27" s="50"/>
      <c r="J27" s="87"/>
      <c r="K27" s="50"/>
      <c r="L27" s="50"/>
      <c r="M27" s="50"/>
      <c r="N27" s="50"/>
      <c r="O27" s="106"/>
      <c r="P27" s="50"/>
      <c r="Q27" s="345" t="s">
        <v>11</v>
      </c>
      <c r="R27" s="346" t="s">
        <v>207</v>
      </c>
      <c r="S27" s="112">
        <v>0</v>
      </c>
      <c r="T27" s="227">
        <v>0</v>
      </c>
    </row>
    <row r="28" spans="1:20" s="382" customFormat="1" ht="15.75">
      <c r="A28" s="62"/>
      <c r="B28" s="59" t="s">
        <v>57</v>
      </c>
      <c r="C28" s="64">
        <f>SUM(D28:N28)</f>
        <v>547.1</v>
      </c>
      <c r="D28" s="64"/>
      <c r="E28" s="64"/>
      <c r="F28" s="64"/>
      <c r="G28" s="64"/>
      <c r="H28" s="64">
        <v>547.1</v>
      </c>
      <c r="I28" s="64"/>
      <c r="J28" s="64"/>
      <c r="K28" s="64"/>
      <c r="L28" s="64"/>
      <c r="M28" s="64"/>
      <c r="N28" s="64"/>
      <c r="O28" s="99">
        <v>0.01</v>
      </c>
      <c r="P28" s="50"/>
      <c r="Q28" s="338" t="s">
        <v>80</v>
      </c>
      <c r="R28" s="337" t="s">
        <v>59</v>
      </c>
      <c r="S28" s="88">
        <v>0</v>
      </c>
      <c r="T28" s="89">
        <v>-873005.70846981579</v>
      </c>
    </row>
    <row r="29" spans="1:20" s="382" customFormat="1" ht="16.5" thickBot="1">
      <c r="A29" s="104">
        <f>A25</f>
        <v>41243</v>
      </c>
      <c r="B29" s="50" t="s">
        <v>56</v>
      </c>
      <c r="C29" s="158">
        <f t="shared" ref="C29:H29" si="2">SUM(C20:C28)</f>
        <v>1093573.3205559419</v>
      </c>
      <c r="D29" s="158">
        <f t="shared" si="2"/>
        <v>-360689.37763967668</v>
      </c>
      <c r="E29" s="158">
        <f t="shared" si="2"/>
        <v>1462495.9081956197</v>
      </c>
      <c r="F29" s="158">
        <f t="shared" si="2"/>
        <v>0</v>
      </c>
      <c r="G29" s="158">
        <f t="shared" si="2"/>
        <v>0</v>
      </c>
      <c r="H29" s="158">
        <f t="shared" si="2"/>
        <v>-8233.2099999999991</v>
      </c>
      <c r="I29" s="158">
        <f t="shared" ref="I29:L29" si="3">SUM(I13:I28)</f>
        <v>0</v>
      </c>
      <c r="J29" s="158">
        <f t="shared" si="3"/>
        <v>0</v>
      </c>
      <c r="K29" s="158">
        <f t="shared" si="3"/>
        <v>0</v>
      </c>
      <c r="L29" s="158">
        <f t="shared" si="3"/>
        <v>0</v>
      </c>
      <c r="M29" s="158">
        <f>SUM(M20:M28)</f>
        <v>0</v>
      </c>
      <c r="N29" s="158">
        <f>SUM(N20:N28)</f>
        <v>0</v>
      </c>
      <c r="O29" s="50"/>
      <c r="P29" s="50"/>
      <c r="Q29" s="340" t="s">
        <v>154</v>
      </c>
      <c r="R29" s="337" t="s">
        <v>77</v>
      </c>
      <c r="S29" s="88">
        <v>0</v>
      </c>
      <c r="T29" s="89">
        <v>-547.1</v>
      </c>
    </row>
    <row r="30" spans="1:20" s="382" customFormat="1" ht="16.5" thickTop="1" thickBot="1">
      <c r="A30" s="53"/>
      <c r="Q30" s="341" t="s">
        <v>83</v>
      </c>
      <c r="R30" s="339" t="s">
        <v>78</v>
      </c>
      <c r="S30" s="118">
        <v>0</v>
      </c>
      <c r="T30" s="111"/>
    </row>
    <row r="31" spans="1:20" s="382" customFormat="1">
      <c r="A31" s="53"/>
      <c r="T31" s="336">
        <f>ROUND(SUM(S25:T30),2)</f>
        <v>0</v>
      </c>
    </row>
    <row r="32" spans="1:20" ht="16.5" thickBot="1">
      <c r="A32" s="694" t="s">
        <v>213</v>
      </c>
      <c r="B32" s="694"/>
      <c r="C32" s="694"/>
      <c r="D32" s="694"/>
      <c r="E32" s="694"/>
      <c r="F32" s="694"/>
      <c r="G32" s="694"/>
      <c r="H32" s="694"/>
      <c r="I32" s="694"/>
      <c r="J32" s="694"/>
      <c r="K32" s="694"/>
      <c r="L32" s="694"/>
      <c r="M32" s="694"/>
      <c r="N32" s="694"/>
      <c r="O32" s="694"/>
      <c r="P32" s="202"/>
      <c r="Q32" s="202"/>
      <c r="R32" s="202"/>
      <c r="S32" s="202"/>
      <c r="T32" s="202"/>
    </row>
    <row r="33" spans="1:20" ht="15.75" thickBot="1">
      <c r="A33" s="255"/>
      <c r="B33" s="202"/>
      <c r="C33" s="202"/>
      <c r="D33" s="202"/>
      <c r="E33" s="202"/>
      <c r="F33" s="202"/>
      <c r="G33" s="202"/>
      <c r="H33" s="202"/>
      <c r="I33" s="202"/>
      <c r="J33" s="202"/>
      <c r="K33" s="202"/>
      <c r="L33" s="202"/>
      <c r="M33" s="202"/>
      <c r="N33" s="202"/>
      <c r="O33" s="202"/>
      <c r="P33" s="202"/>
      <c r="Q33" s="416" t="s">
        <v>217</v>
      </c>
      <c r="R33" s="400"/>
      <c r="S33" s="400"/>
      <c r="T33" s="417"/>
    </row>
    <row r="34" spans="1:20" ht="15.75">
      <c r="A34" s="418">
        <v>41243</v>
      </c>
      <c r="B34" s="419" t="s">
        <v>84</v>
      </c>
      <c r="C34" s="161">
        <f>SUM(D34:N34)</f>
        <v>700985.36846981547</v>
      </c>
      <c r="D34" s="240">
        <v>760588.19064781535</v>
      </c>
      <c r="E34" s="240">
        <v>-59602.822177999886</v>
      </c>
      <c r="F34" s="241">
        <v>0</v>
      </c>
      <c r="G34" s="241">
        <v>0</v>
      </c>
      <c r="H34" s="161">
        <v>0</v>
      </c>
      <c r="I34" s="161"/>
      <c r="J34" s="161"/>
      <c r="K34" s="161"/>
      <c r="L34" s="161"/>
      <c r="M34" s="161"/>
      <c r="N34" s="161">
        <v>0</v>
      </c>
      <c r="O34" s="420"/>
      <c r="P34" s="202"/>
      <c r="Q34" s="421" t="s">
        <v>81</v>
      </c>
      <c r="R34" s="422" t="s">
        <v>58</v>
      </c>
      <c r="S34" s="423">
        <v>0</v>
      </c>
      <c r="T34" s="424">
        <f>C34+C37-S25</f>
        <v>-172092.01000000036</v>
      </c>
    </row>
    <row r="35" spans="1:20" ht="15.75">
      <c r="A35" s="425"/>
      <c r="B35" s="419" t="s">
        <v>148</v>
      </c>
      <c r="C35" s="161">
        <v>0</v>
      </c>
      <c r="D35" s="241">
        <v>0</v>
      </c>
      <c r="E35" s="241">
        <v>0</v>
      </c>
      <c r="F35" s="241"/>
      <c r="G35" s="242"/>
      <c r="H35" s="241"/>
      <c r="I35" s="161"/>
      <c r="J35" s="242"/>
      <c r="K35" s="242"/>
      <c r="L35" s="161"/>
      <c r="M35" s="161"/>
      <c r="N35" s="161"/>
      <c r="O35" s="420"/>
      <c r="P35" s="202"/>
      <c r="Q35" s="426" t="s">
        <v>11</v>
      </c>
      <c r="R35" s="427" t="s">
        <v>62</v>
      </c>
      <c r="S35" s="423">
        <v>0</v>
      </c>
      <c r="T35" s="428">
        <v>0</v>
      </c>
    </row>
    <row r="36" spans="1:20" ht="15.75">
      <c r="A36" s="425"/>
      <c r="B36" s="419" t="s">
        <v>144</v>
      </c>
      <c r="C36" s="161">
        <f>SUM(D36:N36)</f>
        <v>0</v>
      </c>
      <c r="D36" s="161">
        <v>0</v>
      </c>
      <c r="E36" s="161"/>
      <c r="F36" s="161"/>
      <c r="G36" s="241">
        <v>0</v>
      </c>
      <c r="H36" s="429"/>
      <c r="I36" s="161"/>
      <c r="J36" s="242"/>
      <c r="K36" s="161"/>
      <c r="L36" s="161"/>
      <c r="M36" s="161"/>
      <c r="N36" s="161"/>
      <c r="O36" s="420"/>
      <c r="P36" s="202"/>
      <c r="Q36" s="426" t="s">
        <v>11</v>
      </c>
      <c r="R36" s="427" t="s">
        <v>207</v>
      </c>
      <c r="S36" s="423">
        <v>0</v>
      </c>
      <c r="T36" s="428">
        <v>0</v>
      </c>
    </row>
    <row r="37" spans="1:20" ht="15.75">
      <c r="A37" s="425"/>
      <c r="B37" s="419" t="s">
        <v>57</v>
      </c>
      <c r="C37" s="203">
        <f>SUM(D37:N37)</f>
        <v>475.43</v>
      </c>
      <c r="D37" s="203"/>
      <c r="E37" s="203"/>
      <c r="F37" s="203"/>
      <c r="G37" s="203"/>
      <c r="H37" s="203">
        <v>475.43</v>
      </c>
      <c r="I37" s="203"/>
      <c r="J37" s="203"/>
      <c r="K37" s="203"/>
      <c r="L37" s="203"/>
      <c r="M37" s="203"/>
      <c r="N37" s="203"/>
      <c r="O37" s="430">
        <v>0.01</v>
      </c>
      <c r="P37" s="202"/>
      <c r="Q37" s="431" t="s">
        <v>80</v>
      </c>
      <c r="R37" s="432" t="s">
        <v>59</v>
      </c>
      <c r="S37" s="433">
        <f>-T28-C34</f>
        <v>172020.34000000032</v>
      </c>
      <c r="T37" s="434">
        <v>0</v>
      </c>
    </row>
    <row r="38" spans="1:20" ht="16.5" thickBot="1">
      <c r="A38" s="435">
        <f>A34</f>
        <v>41243</v>
      </c>
      <c r="B38" s="161" t="s">
        <v>56</v>
      </c>
      <c r="C38" s="388">
        <f t="shared" ref="C38:H38" si="4">SUM(C34:C37,C20)</f>
        <v>921481.31055594166</v>
      </c>
      <c r="D38" s="388">
        <f t="shared" si="4"/>
        <v>-494066.80763967684</v>
      </c>
      <c r="E38" s="388">
        <f t="shared" si="4"/>
        <v>1423852.9981956196</v>
      </c>
      <c r="F38" s="388">
        <f t="shared" si="4"/>
        <v>0</v>
      </c>
      <c r="G38" s="388">
        <f t="shared" si="4"/>
        <v>0</v>
      </c>
      <c r="H38" s="388">
        <f t="shared" si="4"/>
        <v>-8304.8799999999992</v>
      </c>
      <c r="I38" s="388">
        <f t="shared" ref="I38:L38" si="5">SUM(I29:I37)</f>
        <v>0</v>
      </c>
      <c r="J38" s="388">
        <f t="shared" si="5"/>
        <v>0</v>
      </c>
      <c r="K38" s="388">
        <f t="shared" si="5"/>
        <v>0</v>
      </c>
      <c r="L38" s="388">
        <f t="shared" si="5"/>
        <v>0</v>
      </c>
      <c r="M38" s="388">
        <f>SUM(M32:M37)</f>
        <v>0</v>
      </c>
      <c r="N38" s="388">
        <f>SUM(N32:N37)</f>
        <v>0</v>
      </c>
      <c r="O38" s="161"/>
      <c r="P38" s="202"/>
      <c r="Q38" s="436" t="s">
        <v>154</v>
      </c>
      <c r="R38" s="432" t="s">
        <v>77</v>
      </c>
      <c r="S38" s="433">
        <f>C28-C37</f>
        <v>71.670000000000016</v>
      </c>
      <c r="T38" s="434">
        <v>0</v>
      </c>
    </row>
    <row r="39" spans="1:20" ht="16.5" thickTop="1" thickBot="1">
      <c r="A39" s="255"/>
      <c r="B39" s="202"/>
      <c r="C39" s="202"/>
      <c r="D39" s="202"/>
      <c r="E39" s="202"/>
      <c r="F39" s="202"/>
      <c r="G39" s="202"/>
      <c r="H39" s="202"/>
      <c r="I39" s="202"/>
      <c r="J39" s="202"/>
      <c r="K39" s="202"/>
      <c r="L39" s="202"/>
      <c r="M39" s="202"/>
      <c r="N39" s="202"/>
      <c r="O39" s="202"/>
      <c r="P39" s="202"/>
      <c r="Q39" s="437" t="s">
        <v>83</v>
      </c>
      <c r="R39" s="438" t="s">
        <v>78</v>
      </c>
      <c r="S39" s="439">
        <v>0</v>
      </c>
      <c r="T39" s="440">
        <v>0</v>
      </c>
    </row>
    <row r="40" spans="1:20">
      <c r="A40" s="255"/>
      <c r="B40" s="202"/>
      <c r="C40" s="202"/>
      <c r="D40" s="202"/>
      <c r="E40" s="202"/>
      <c r="F40" s="202"/>
      <c r="G40" s="202"/>
      <c r="H40" s="202"/>
      <c r="I40" s="202"/>
      <c r="J40" s="202"/>
      <c r="K40" s="202"/>
      <c r="L40" s="202"/>
      <c r="M40" s="202"/>
      <c r="N40" s="202"/>
      <c r="O40" s="202"/>
      <c r="P40" s="202"/>
      <c r="Q40" s="202"/>
      <c r="R40" s="202"/>
      <c r="S40" s="202"/>
      <c r="T40" s="336">
        <f>ROUND(SUM(S34:T39),2)</f>
        <v>0</v>
      </c>
    </row>
    <row r="41" spans="1:20" s="382" customFormat="1" ht="15.75" thickBot="1">
      <c r="A41" s="53"/>
    </row>
    <row r="42" spans="1:20" s="382" customFormat="1" ht="16.5" thickBot="1">
      <c r="A42" s="58"/>
      <c r="Q42" s="334" t="s">
        <v>107</v>
      </c>
      <c r="R42" s="330"/>
      <c r="S42" s="330"/>
      <c r="T42" s="228"/>
    </row>
    <row r="43" spans="1:20" s="382" customFormat="1" ht="15.75">
      <c r="A43" s="58">
        <v>41274</v>
      </c>
      <c r="B43" s="59" t="s">
        <v>84</v>
      </c>
      <c r="C43" s="50">
        <f>SUM(D43:N43)</f>
        <v>134368.12753900047</v>
      </c>
      <c r="D43" s="240">
        <v>505847.59770200029</v>
      </c>
      <c r="E43" s="240">
        <v>-371479.47016299982</v>
      </c>
      <c r="F43" s="241">
        <v>0</v>
      </c>
      <c r="G43" s="241">
        <v>0</v>
      </c>
      <c r="H43" s="50">
        <v>0</v>
      </c>
      <c r="I43" s="50"/>
      <c r="J43" s="50"/>
      <c r="K43" s="50"/>
      <c r="L43" s="50"/>
      <c r="M43" s="50"/>
      <c r="N43" s="50">
        <v>0</v>
      </c>
      <c r="O43" s="106"/>
      <c r="P43" s="50"/>
      <c r="Q43" s="343" t="s">
        <v>81</v>
      </c>
      <c r="R43" s="344" t="s">
        <v>58</v>
      </c>
      <c r="S43" s="112">
        <f>IF((-C38+C47)&gt;0,(-C38+C47),0)</f>
        <v>135192.01753900037</v>
      </c>
      <c r="T43" s="117">
        <f>IF((-C38+C47)&lt;0,(-C38+C47),0)</f>
        <v>0</v>
      </c>
    </row>
    <row r="44" spans="1:20" s="382" customFormat="1" ht="15.75">
      <c r="A44" s="62"/>
      <c r="B44" s="59" t="s">
        <v>148</v>
      </c>
      <c r="C44" s="50">
        <v>0</v>
      </c>
      <c r="D44" s="241">
        <v>0</v>
      </c>
      <c r="E44" s="241">
        <v>0</v>
      </c>
      <c r="F44" s="241"/>
      <c r="G44" s="242"/>
      <c r="H44" s="60"/>
      <c r="I44" s="50"/>
      <c r="J44" s="87"/>
      <c r="K44" s="87"/>
      <c r="L44" s="50"/>
      <c r="M44" s="50"/>
      <c r="N44" s="50"/>
      <c r="O44" s="106"/>
      <c r="P44" s="50"/>
      <c r="Q44" s="345" t="s">
        <v>11</v>
      </c>
      <c r="R44" s="346" t="s">
        <v>62</v>
      </c>
      <c r="S44" s="112">
        <v>0</v>
      </c>
      <c r="T44" s="227">
        <v>0</v>
      </c>
    </row>
    <row r="45" spans="1:20" s="382" customFormat="1" ht="15.75">
      <c r="A45" s="62"/>
      <c r="B45" s="59" t="s">
        <v>144</v>
      </c>
      <c r="C45" s="50">
        <f>SUM(D45:N45)</f>
        <v>0</v>
      </c>
      <c r="D45" s="161">
        <v>0</v>
      </c>
      <c r="E45" s="161"/>
      <c r="F45" s="161"/>
      <c r="G45" s="241">
        <v>0</v>
      </c>
      <c r="H45" s="105"/>
      <c r="I45" s="50"/>
      <c r="J45" s="87"/>
      <c r="K45" s="50"/>
      <c r="L45" s="50"/>
      <c r="M45" s="50"/>
      <c r="N45" s="50"/>
      <c r="O45" s="106"/>
      <c r="P45" s="50"/>
      <c r="Q45" s="345" t="s">
        <v>11</v>
      </c>
      <c r="R45" s="346" t="s">
        <v>207</v>
      </c>
      <c r="S45" s="112">
        <v>0</v>
      </c>
      <c r="T45" s="227">
        <v>0</v>
      </c>
    </row>
    <row r="46" spans="1:20" s="382" customFormat="1" ht="15.75">
      <c r="A46" s="62"/>
      <c r="B46" s="59" t="s">
        <v>57</v>
      </c>
      <c r="C46" s="64">
        <f>SUM(D46:N46)</f>
        <v>823.89</v>
      </c>
      <c r="D46" s="64"/>
      <c r="E46" s="64"/>
      <c r="F46" s="64"/>
      <c r="G46" s="64"/>
      <c r="H46" s="64">
        <f>ROUND(((C38)+(C43)/2)*(O46/12),2)</f>
        <v>823.89</v>
      </c>
      <c r="I46" s="64"/>
      <c r="J46" s="64"/>
      <c r="K46" s="64"/>
      <c r="L46" s="64"/>
      <c r="M46" s="64"/>
      <c r="N46" s="64"/>
      <c r="O46" s="99">
        <v>0.01</v>
      </c>
      <c r="P46" s="50"/>
      <c r="Q46" s="338" t="s">
        <v>80</v>
      </c>
      <c r="R46" s="337" t="s">
        <v>59</v>
      </c>
      <c r="S46" s="88">
        <f>IF((-C43-C44-C45)&gt;0,(-C43-C44-C45),0)</f>
        <v>0</v>
      </c>
      <c r="T46" s="89">
        <f>IF((-C43-C44-C45)&lt;0,(-C43-C44-C45),0)</f>
        <v>-134368.12753900047</v>
      </c>
    </row>
    <row r="47" spans="1:20" s="382" customFormat="1" ht="16.5" thickBot="1">
      <c r="A47" s="104">
        <f>A43</f>
        <v>41274</v>
      </c>
      <c r="B47" s="50" t="s">
        <v>56</v>
      </c>
      <c r="C47" s="158">
        <f>SUM(C38:C46)</f>
        <v>1056673.328094942</v>
      </c>
      <c r="D47" s="158">
        <f>SUM(D38:D46)</f>
        <v>11780.790062323445</v>
      </c>
      <c r="E47" s="158">
        <f>SUM(E38:E46)</f>
        <v>1052373.5280326197</v>
      </c>
      <c r="F47" s="158">
        <f t="shared" ref="F47:G47" si="6">SUM(F38:F46)</f>
        <v>0</v>
      </c>
      <c r="G47" s="158">
        <f t="shared" si="6"/>
        <v>0</v>
      </c>
      <c r="H47" s="158">
        <f>SUM(H38:H46)</f>
        <v>-7480.9899999999989</v>
      </c>
      <c r="I47" s="158">
        <f>SUM(I32:I46)</f>
        <v>0</v>
      </c>
      <c r="J47" s="158">
        <f>SUM(J32:J46)</f>
        <v>0</v>
      </c>
      <c r="K47" s="158">
        <f>SUM(K32:K46)</f>
        <v>0</v>
      </c>
      <c r="L47" s="158">
        <f>SUM(L32:L46)</f>
        <v>0</v>
      </c>
      <c r="M47" s="158">
        <f>SUM(M38:M46)</f>
        <v>0</v>
      </c>
      <c r="N47" s="158">
        <f>SUM(N38:N46)</f>
        <v>0</v>
      </c>
      <c r="O47" s="50"/>
      <c r="P47" s="50"/>
      <c r="Q47" s="340" t="s">
        <v>154</v>
      </c>
      <c r="R47" s="337" t="s">
        <v>77</v>
      </c>
      <c r="S47" s="88">
        <f>IF(C46&lt;0,C46,0)</f>
        <v>0</v>
      </c>
      <c r="T47" s="89">
        <f>IF(-C46&lt;0,-C46,0)</f>
        <v>-823.89</v>
      </c>
    </row>
    <row r="48" spans="1:20" s="382" customFormat="1" ht="16.5" thickTop="1" thickBot="1">
      <c r="A48" s="53"/>
      <c r="Q48" s="341" t="s">
        <v>83</v>
      </c>
      <c r="R48" s="339" t="s">
        <v>78</v>
      </c>
      <c r="S48" s="118">
        <f>IF(-C46&gt;0,-C46,0)</f>
        <v>0</v>
      </c>
      <c r="T48" s="111"/>
    </row>
    <row r="49" spans="1:20" s="382" customFormat="1">
      <c r="A49" s="53"/>
      <c r="T49" s="336">
        <f>ROUND(SUM(S43:T48),2)</f>
        <v>0</v>
      </c>
    </row>
    <row r="50" spans="1:20" ht="15.75" thickBot="1"/>
    <row r="51" spans="1:20" s="382" customFormat="1" ht="16.5" thickBot="1">
      <c r="A51" s="58"/>
      <c r="Q51" s="334" t="s">
        <v>107</v>
      </c>
      <c r="R51" s="330"/>
      <c r="S51" s="330"/>
      <c r="T51" s="228"/>
    </row>
    <row r="52" spans="1:20" s="382" customFormat="1" ht="15.75">
      <c r="A52" s="58">
        <v>41275</v>
      </c>
      <c r="B52" s="59" t="s">
        <v>84</v>
      </c>
      <c r="C52" s="50">
        <f>SUM(D52:N52)</f>
        <v>-1358486.1640380016</v>
      </c>
      <c r="D52" s="240">
        <v>-794093.61202800181</v>
      </c>
      <c r="E52" s="240">
        <v>-564392.55200999975</v>
      </c>
      <c r="F52" s="241">
        <v>0</v>
      </c>
      <c r="G52" s="241">
        <v>0</v>
      </c>
      <c r="H52" s="50">
        <v>0</v>
      </c>
      <c r="I52" s="50"/>
      <c r="J52" s="50"/>
      <c r="K52" s="50"/>
      <c r="L52" s="50"/>
      <c r="M52" s="50"/>
      <c r="N52" s="50">
        <v>0</v>
      </c>
      <c r="O52" s="106"/>
      <c r="P52" s="50"/>
      <c r="Q52" s="343" t="s">
        <v>81</v>
      </c>
      <c r="R52" s="344" t="s">
        <v>58</v>
      </c>
      <c r="S52" s="112">
        <f>IF((-C47+C56)&gt;0,(-C47+C56),0)</f>
        <v>0</v>
      </c>
      <c r="T52" s="117">
        <f>IF((-C47+C56)&lt;0,(-C47+C56),0)</f>
        <v>-1358171.6340380015</v>
      </c>
    </row>
    <row r="53" spans="1:20" s="382" customFormat="1" ht="15.75">
      <c r="A53" s="62"/>
      <c r="B53" s="59" t="s">
        <v>148</v>
      </c>
      <c r="C53" s="50">
        <v>0</v>
      </c>
      <c r="D53" s="241">
        <v>0</v>
      </c>
      <c r="E53" s="241">
        <v>0</v>
      </c>
      <c r="F53" s="241"/>
      <c r="G53" s="242"/>
      <c r="H53" s="60"/>
      <c r="I53" s="50"/>
      <c r="J53" s="87"/>
      <c r="K53" s="87"/>
      <c r="L53" s="50"/>
      <c r="M53" s="50"/>
      <c r="N53" s="50"/>
      <c r="O53" s="106"/>
      <c r="P53" s="50"/>
      <c r="Q53" s="345" t="s">
        <v>11</v>
      </c>
      <c r="R53" s="346" t="s">
        <v>62</v>
      </c>
      <c r="S53" s="112">
        <v>0</v>
      </c>
      <c r="T53" s="227">
        <v>0</v>
      </c>
    </row>
    <row r="54" spans="1:20" s="382" customFormat="1" ht="15.75">
      <c r="A54" s="62"/>
      <c r="B54" s="59" t="s">
        <v>144</v>
      </c>
      <c r="C54" s="50">
        <f>SUM(D54:N54)</f>
        <v>0</v>
      </c>
      <c r="D54" s="161">
        <v>0</v>
      </c>
      <c r="E54" s="161"/>
      <c r="F54" s="161"/>
      <c r="G54" s="241">
        <v>0</v>
      </c>
      <c r="H54" s="105"/>
      <c r="I54" s="50"/>
      <c r="J54" s="87"/>
      <c r="K54" s="50"/>
      <c r="L54" s="50"/>
      <c r="M54" s="50"/>
      <c r="N54" s="50"/>
      <c r="O54" s="106"/>
      <c r="P54" s="50"/>
      <c r="Q54" s="345" t="s">
        <v>11</v>
      </c>
      <c r="R54" s="346" t="s">
        <v>207</v>
      </c>
      <c r="S54" s="112">
        <v>0</v>
      </c>
      <c r="T54" s="227">
        <v>0</v>
      </c>
    </row>
    <row r="55" spans="1:20" s="382" customFormat="1" ht="15.75">
      <c r="A55" s="62"/>
      <c r="B55" s="59" t="s">
        <v>57</v>
      </c>
      <c r="C55" s="64">
        <f>SUM(D55:N55)</f>
        <v>314.52999999999997</v>
      </c>
      <c r="D55" s="64"/>
      <c r="E55" s="64"/>
      <c r="F55" s="64"/>
      <c r="G55" s="64"/>
      <c r="H55" s="64">
        <f>ROUND(((C47)+(C52)/2)*(O55/12),2)</f>
        <v>314.52999999999997</v>
      </c>
      <c r="I55" s="64"/>
      <c r="J55" s="64"/>
      <c r="K55" s="64"/>
      <c r="L55" s="64"/>
      <c r="M55" s="64"/>
      <c r="N55" s="64"/>
      <c r="O55" s="99">
        <v>0.01</v>
      </c>
      <c r="P55" s="50"/>
      <c r="Q55" s="338" t="s">
        <v>80</v>
      </c>
      <c r="R55" s="337" t="s">
        <v>59</v>
      </c>
      <c r="S55" s="88">
        <f>IF((-C52-C53-C54)&gt;0,(-C52-C53-C54),0)</f>
        <v>1358486.1640380016</v>
      </c>
      <c r="T55" s="89">
        <f>IF((-C52-C53-C54)&lt;0,(-C52-C53-C54),0)</f>
        <v>0</v>
      </c>
    </row>
    <row r="56" spans="1:20" s="382" customFormat="1" ht="16.5" thickBot="1">
      <c r="A56" s="104">
        <f>A52</f>
        <v>41275</v>
      </c>
      <c r="B56" s="50" t="s">
        <v>56</v>
      </c>
      <c r="C56" s="158">
        <f t="shared" ref="C56:H56" si="7">SUM(C47:C55)</f>
        <v>-301498.3059430595</v>
      </c>
      <c r="D56" s="158">
        <f t="shared" si="7"/>
        <v>-782312.82196567836</v>
      </c>
      <c r="E56" s="158">
        <f t="shared" si="7"/>
        <v>487980.97602261999</v>
      </c>
      <c r="F56" s="158">
        <f t="shared" si="7"/>
        <v>0</v>
      </c>
      <c r="G56" s="158">
        <f t="shared" si="7"/>
        <v>0</v>
      </c>
      <c r="H56" s="158">
        <f t="shared" si="7"/>
        <v>-7166.4599999999991</v>
      </c>
      <c r="I56" s="158">
        <f>SUM(I41:I55)</f>
        <v>0</v>
      </c>
      <c r="J56" s="158">
        <f>SUM(J41:J55)</f>
        <v>0</v>
      </c>
      <c r="K56" s="158">
        <f>SUM(K41:K55)</f>
        <v>0</v>
      </c>
      <c r="L56" s="158">
        <f>SUM(L41:L55)</f>
        <v>0</v>
      </c>
      <c r="M56" s="158">
        <f>SUM(M47:M55)</f>
        <v>0</v>
      </c>
      <c r="N56" s="158">
        <f>SUM(N47:N55)</f>
        <v>0</v>
      </c>
      <c r="O56" s="50"/>
      <c r="P56" s="50"/>
      <c r="Q56" s="340" t="s">
        <v>154</v>
      </c>
      <c r="R56" s="337" t="s">
        <v>77</v>
      </c>
      <c r="S56" s="88">
        <f>IF(C55&lt;0,C55,0)</f>
        <v>0</v>
      </c>
      <c r="T56" s="89">
        <f>IF(-C55&lt;0,-C55,0)</f>
        <v>-314.52999999999997</v>
      </c>
    </row>
    <row r="57" spans="1:20" s="382" customFormat="1" ht="16.5" thickTop="1" thickBot="1">
      <c r="A57" s="53"/>
      <c r="Q57" s="341" t="s">
        <v>83</v>
      </c>
      <c r="R57" s="339" t="s">
        <v>78</v>
      </c>
      <c r="S57" s="118">
        <f>IF(-C55&gt;0,-C55,0)</f>
        <v>0</v>
      </c>
      <c r="T57" s="111"/>
    </row>
    <row r="58" spans="1:20" s="382" customFormat="1">
      <c r="A58" s="53"/>
      <c r="T58" s="336">
        <f>ROUND(SUM(S52:T57),2)</f>
        <v>0</v>
      </c>
    </row>
    <row r="59" spans="1:20" s="382" customFormat="1" ht="15.75" thickBot="1">
      <c r="A59" s="53"/>
    </row>
    <row r="60" spans="1:20" s="382" customFormat="1" ht="16.5" thickBot="1">
      <c r="A60" s="58"/>
      <c r="Q60" s="334" t="s">
        <v>107</v>
      </c>
      <c r="R60" s="330"/>
      <c r="S60" s="330"/>
      <c r="T60" s="228"/>
    </row>
    <row r="61" spans="1:20" s="382" customFormat="1" ht="15.75">
      <c r="A61" s="58">
        <v>41333</v>
      </c>
      <c r="B61" s="59" t="s">
        <v>84</v>
      </c>
      <c r="C61" s="50">
        <f>SUM(D61:N61)</f>
        <v>187567.52458600083</v>
      </c>
      <c r="D61" s="240">
        <v>369349.48148000054</v>
      </c>
      <c r="E61" s="240">
        <v>-181781.95689399971</v>
      </c>
      <c r="F61" s="241">
        <v>0</v>
      </c>
      <c r="G61" s="241">
        <v>0</v>
      </c>
      <c r="H61" s="50">
        <v>0</v>
      </c>
      <c r="I61" s="50"/>
      <c r="J61" s="50"/>
      <c r="K61" s="50"/>
      <c r="L61" s="50"/>
      <c r="M61" s="50"/>
      <c r="N61" s="50">
        <v>0</v>
      </c>
      <c r="O61" s="106"/>
      <c r="P61" s="50"/>
      <c r="Q61" s="343" t="s">
        <v>81</v>
      </c>
      <c r="R61" s="344" t="s">
        <v>58</v>
      </c>
      <c r="S61" s="112">
        <f>IF((-C56+C65)&gt;0,(-C56+C65),0)</f>
        <v>187394.42458600082</v>
      </c>
      <c r="T61" s="117">
        <f>IF((-C56+C65)&lt;0,(-C56+C65),0)</f>
        <v>0</v>
      </c>
    </row>
    <row r="62" spans="1:20" s="382" customFormat="1" ht="15.75">
      <c r="A62" s="62"/>
      <c r="B62" s="59" t="s">
        <v>148</v>
      </c>
      <c r="C62" s="50">
        <v>0</v>
      </c>
      <c r="D62" s="241">
        <v>0</v>
      </c>
      <c r="E62" s="241">
        <v>0</v>
      </c>
      <c r="F62" s="241"/>
      <c r="G62" s="242"/>
      <c r="H62" s="60"/>
      <c r="I62" s="50"/>
      <c r="J62" s="87"/>
      <c r="K62" s="87"/>
      <c r="L62" s="50"/>
      <c r="M62" s="50"/>
      <c r="N62" s="50"/>
      <c r="O62" s="106"/>
      <c r="P62" s="50"/>
      <c r="Q62" s="345" t="s">
        <v>11</v>
      </c>
      <c r="R62" s="346" t="s">
        <v>62</v>
      </c>
      <c r="S62" s="112">
        <v>0</v>
      </c>
      <c r="T62" s="227">
        <v>0</v>
      </c>
    </row>
    <row r="63" spans="1:20" s="382" customFormat="1" ht="15.75">
      <c r="A63" s="62"/>
      <c r="B63" s="59" t="s">
        <v>144</v>
      </c>
      <c r="C63" s="50">
        <f>SUM(D63:N63)</f>
        <v>0</v>
      </c>
      <c r="D63" s="161">
        <v>0</v>
      </c>
      <c r="E63" s="161"/>
      <c r="F63" s="161"/>
      <c r="G63" s="241">
        <v>0</v>
      </c>
      <c r="H63" s="105"/>
      <c r="I63" s="50"/>
      <c r="J63" s="87"/>
      <c r="K63" s="50"/>
      <c r="L63" s="50"/>
      <c r="M63" s="50"/>
      <c r="N63" s="50"/>
      <c r="O63" s="106"/>
      <c r="P63" s="50"/>
      <c r="Q63" s="345" t="s">
        <v>11</v>
      </c>
      <c r="R63" s="346" t="s">
        <v>207</v>
      </c>
      <c r="S63" s="112">
        <v>0</v>
      </c>
      <c r="T63" s="227">
        <v>0</v>
      </c>
    </row>
    <row r="64" spans="1:20" s="382" customFormat="1" ht="15.75">
      <c r="A64" s="62"/>
      <c r="B64" s="59" t="s">
        <v>57</v>
      </c>
      <c r="C64" s="64">
        <f>SUM(D64:N64)</f>
        <v>-173.1</v>
      </c>
      <c r="D64" s="64"/>
      <c r="E64" s="64"/>
      <c r="F64" s="64"/>
      <c r="G64" s="64"/>
      <c r="H64" s="64">
        <f>ROUND(((C56)+(C61)/2)*(O64/12),2)</f>
        <v>-173.1</v>
      </c>
      <c r="I64" s="64"/>
      <c r="J64" s="64"/>
      <c r="K64" s="64"/>
      <c r="L64" s="64"/>
      <c r="M64" s="64"/>
      <c r="N64" s="64"/>
      <c r="O64" s="99">
        <v>0.01</v>
      </c>
      <c r="P64" s="50"/>
      <c r="Q64" s="338" t="s">
        <v>80</v>
      </c>
      <c r="R64" s="337" t="s">
        <v>59</v>
      </c>
      <c r="S64" s="88">
        <f>IF((-C61-C62-C63)&gt;0,(-C61-C62-C63),0)</f>
        <v>0</v>
      </c>
      <c r="T64" s="89">
        <f>IF((-C61-C62-C63)&lt;0,(-C61-C62-C63),0)</f>
        <v>-187567.52458600083</v>
      </c>
    </row>
    <row r="65" spans="1:20" s="382" customFormat="1" ht="16.5" thickBot="1">
      <c r="A65" s="104">
        <f>A61</f>
        <v>41333</v>
      </c>
      <c r="B65" s="50" t="s">
        <v>56</v>
      </c>
      <c r="C65" s="158">
        <f>SUM(C56:C64)</f>
        <v>-114103.88135705868</v>
      </c>
      <c r="D65" s="158">
        <f>SUM(D56:D64)</f>
        <v>-412963.34048567782</v>
      </c>
      <c r="E65" s="158">
        <f>SUM(E56:E64)</f>
        <v>306199.01912862028</v>
      </c>
      <c r="F65" s="158">
        <f t="shared" ref="F65" si="8">SUM(F56:F64)</f>
        <v>0</v>
      </c>
      <c r="G65" s="158">
        <f t="shared" ref="G65" si="9">SUM(G56:G64)</f>
        <v>0</v>
      </c>
      <c r="H65" s="158">
        <f>SUM(H56:H64)</f>
        <v>-7339.5599999999995</v>
      </c>
      <c r="I65" s="158">
        <f>SUM(I50:I64)</f>
        <v>0</v>
      </c>
      <c r="J65" s="158">
        <f>SUM(J50:J64)</f>
        <v>0</v>
      </c>
      <c r="K65" s="158">
        <f>SUM(K50:K64)</f>
        <v>0</v>
      </c>
      <c r="L65" s="158">
        <f>SUM(L50:L64)</f>
        <v>0</v>
      </c>
      <c r="M65" s="158">
        <f>SUM(M56:M64)</f>
        <v>0</v>
      </c>
      <c r="N65" s="158">
        <f>SUM(N56:N64)</f>
        <v>0</v>
      </c>
      <c r="O65" s="50"/>
      <c r="P65" s="50"/>
      <c r="Q65" s="340" t="s">
        <v>154</v>
      </c>
      <c r="R65" s="337" t="s">
        <v>77</v>
      </c>
      <c r="S65" s="88">
        <f>IF(-C64&lt;0,C64,0)</f>
        <v>0</v>
      </c>
      <c r="T65" s="89">
        <f>IF(-C64&lt;0,-C64,0)</f>
        <v>0</v>
      </c>
    </row>
    <row r="66" spans="1:20" s="382" customFormat="1" ht="16.5" thickTop="1" thickBot="1">
      <c r="A66" s="53"/>
      <c r="Q66" s="341" t="s">
        <v>83</v>
      </c>
      <c r="R66" s="339" t="s">
        <v>78</v>
      </c>
      <c r="S66" s="118">
        <f>IF(-C64&gt;0,-C64,0)</f>
        <v>173.1</v>
      </c>
      <c r="T66" s="111">
        <f>IF(-C64&lt;0,-C64,0)</f>
        <v>0</v>
      </c>
    </row>
    <row r="67" spans="1:20" s="382" customFormat="1">
      <c r="A67" s="53"/>
      <c r="T67" s="336">
        <f>ROUND(SUM(S61:T66),2)</f>
        <v>0</v>
      </c>
    </row>
    <row r="68" spans="1:20" s="382" customFormat="1" ht="15.75" thickBot="1">
      <c r="A68" s="53"/>
    </row>
    <row r="69" spans="1:20" s="382" customFormat="1" ht="16.5" thickBot="1">
      <c r="A69" s="58"/>
      <c r="Q69" s="334" t="s">
        <v>107</v>
      </c>
      <c r="R69" s="330"/>
      <c r="S69" s="330"/>
      <c r="T69" s="228"/>
    </row>
    <row r="70" spans="1:20" s="382" customFormat="1" ht="15.75">
      <c r="A70" s="58">
        <v>41364</v>
      </c>
      <c r="B70" s="59" t="s">
        <v>84</v>
      </c>
      <c r="C70" s="50">
        <f>SUM(D70:N70)</f>
        <v>-70192.864177000942</v>
      </c>
      <c r="D70" s="240">
        <v>140554.57549299859</v>
      </c>
      <c r="E70" s="240">
        <v>-210747.43966999953</v>
      </c>
      <c r="F70" s="241">
        <v>0</v>
      </c>
      <c r="G70" s="241">
        <v>0</v>
      </c>
      <c r="H70" s="50">
        <v>0</v>
      </c>
      <c r="I70" s="50"/>
      <c r="J70" s="50"/>
      <c r="K70" s="50"/>
      <c r="L70" s="50"/>
      <c r="M70" s="50"/>
      <c r="N70" s="50">
        <v>0</v>
      </c>
      <c r="O70" s="106"/>
      <c r="P70" s="50"/>
      <c r="Q70" s="343" t="s">
        <v>81</v>
      </c>
      <c r="R70" s="344" t="s">
        <v>58</v>
      </c>
      <c r="S70" s="112">
        <f>IF((-C65+C74)&gt;0,(-C65+C74),0)</f>
        <v>0</v>
      </c>
      <c r="T70" s="117">
        <f>IF((-C65+C74)&lt;0,(-C65+C74),0)</f>
        <v>-70317.194177000929</v>
      </c>
    </row>
    <row r="71" spans="1:20" s="382" customFormat="1" ht="15.75">
      <c r="A71" s="62"/>
      <c r="B71" s="59" t="s">
        <v>148</v>
      </c>
      <c r="C71" s="50">
        <v>0</v>
      </c>
      <c r="D71" s="241">
        <v>0</v>
      </c>
      <c r="E71" s="241">
        <v>0</v>
      </c>
      <c r="F71" s="241"/>
      <c r="G71" s="242"/>
      <c r="H71" s="60"/>
      <c r="I71" s="50"/>
      <c r="J71" s="87"/>
      <c r="K71" s="87"/>
      <c r="L71" s="50"/>
      <c r="M71" s="50"/>
      <c r="N71" s="50"/>
      <c r="O71" s="106"/>
      <c r="P71" s="50"/>
      <c r="Q71" s="345" t="s">
        <v>11</v>
      </c>
      <c r="R71" s="346" t="s">
        <v>62</v>
      </c>
      <c r="S71" s="112">
        <v>0</v>
      </c>
      <c r="T71" s="227">
        <v>0</v>
      </c>
    </row>
    <row r="72" spans="1:20" s="382" customFormat="1" ht="15.75">
      <c r="A72" s="62"/>
      <c r="B72" s="59" t="s">
        <v>144</v>
      </c>
      <c r="C72" s="50">
        <f>SUM(D72:N72)</f>
        <v>0</v>
      </c>
      <c r="D72" s="161">
        <v>0</v>
      </c>
      <c r="E72" s="161"/>
      <c r="F72" s="161"/>
      <c r="G72" s="241">
        <v>0</v>
      </c>
      <c r="H72" s="105"/>
      <c r="I72" s="50"/>
      <c r="J72" s="87"/>
      <c r="K72" s="50"/>
      <c r="L72" s="50"/>
      <c r="M72" s="50"/>
      <c r="N72" s="50"/>
      <c r="O72" s="106"/>
      <c r="P72" s="50"/>
      <c r="Q72" s="345" t="s">
        <v>11</v>
      </c>
      <c r="R72" s="346" t="s">
        <v>207</v>
      </c>
      <c r="S72" s="112">
        <v>0</v>
      </c>
      <c r="T72" s="227">
        <v>0</v>
      </c>
    </row>
    <row r="73" spans="1:20" s="382" customFormat="1" ht="15.75">
      <c r="A73" s="62"/>
      <c r="B73" s="59" t="s">
        <v>57</v>
      </c>
      <c r="C73" s="64">
        <f>SUM(D73:N73)</f>
        <v>-124.33</v>
      </c>
      <c r="D73" s="64"/>
      <c r="E73" s="64"/>
      <c r="F73" s="64"/>
      <c r="G73" s="64"/>
      <c r="H73" s="64">
        <v>-124.33</v>
      </c>
      <c r="I73" s="64"/>
      <c r="J73" s="64"/>
      <c r="K73" s="64"/>
      <c r="L73" s="64"/>
      <c r="M73" s="64"/>
      <c r="N73" s="64"/>
      <c r="O73" s="99">
        <v>0.01</v>
      </c>
      <c r="P73" s="50"/>
      <c r="Q73" s="338" t="s">
        <v>80</v>
      </c>
      <c r="R73" s="337" t="s">
        <v>59</v>
      </c>
      <c r="S73" s="88">
        <f>IF((-C70-C71-C72)&gt;0,(-C70-C71-C72),0)</f>
        <v>70192.864177000942</v>
      </c>
      <c r="T73" s="89">
        <f>IF((-C70-C71-C72)&lt;0,(-C70-C71-C72),0)</f>
        <v>0</v>
      </c>
    </row>
    <row r="74" spans="1:20" s="382" customFormat="1" ht="16.5" thickBot="1">
      <c r="A74" s="104">
        <f>A70</f>
        <v>41364</v>
      </c>
      <c r="B74" s="50" t="s">
        <v>56</v>
      </c>
      <c r="C74" s="158">
        <f>SUM(C65:C73)</f>
        <v>-184421.07553405961</v>
      </c>
      <c r="D74" s="158">
        <f>SUM(D65:D73)</f>
        <v>-272408.76499267924</v>
      </c>
      <c r="E74" s="158">
        <f>SUM(E65:E73)</f>
        <v>95451.579458620748</v>
      </c>
      <c r="F74" s="158">
        <f t="shared" ref="F74:G74" si="10">SUM(F65:F73)</f>
        <v>0</v>
      </c>
      <c r="G74" s="158">
        <f t="shared" si="10"/>
        <v>0</v>
      </c>
      <c r="H74" s="158">
        <f>SUM(H65:H73)</f>
        <v>-7463.8899999999994</v>
      </c>
      <c r="I74" s="158">
        <f>SUM(I59:I73)</f>
        <v>0</v>
      </c>
      <c r="J74" s="158">
        <f>SUM(J59:J73)</f>
        <v>0</v>
      </c>
      <c r="K74" s="158">
        <f>SUM(K59:K73)</f>
        <v>0</v>
      </c>
      <c r="L74" s="158">
        <f>SUM(L59:L73)</f>
        <v>0</v>
      </c>
      <c r="M74" s="158">
        <f>SUM(M65:M73)</f>
        <v>0</v>
      </c>
      <c r="N74" s="158">
        <f>SUM(N65:N73)</f>
        <v>0</v>
      </c>
      <c r="O74" s="50"/>
      <c r="P74" s="50"/>
      <c r="Q74" s="340" t="s">
        <v>154</v>
      </c>
      <c r="R74" s="337" t="s">
        <v>77</v>
      </c>
      <c r="S74" s="88">
        <f>IF(-C73&lt;0,C73,0)</f>
        <v>0</v>
      </c>
      <c r="T74" s="89">
        <f>IF(-C73&lt;0,-C73,0)</f>
        <v>0</v>
      </c>
    </row>
    <row r="75" spans="1:20" s="382" customFormat="1" ht="16.5" thickTop="1" thickBot="1">
      <c r="A75" s="53"/>
      <c r="Q75" s="341" t="s">
        <v>83</v>
      </c>
      <c r="R75" s="339" t="s">
        <v>78</v>
      </c>
      <c r="S75" s="118">
        <f>IF(-C73&gt;0,-C73,0)</f>
        <v>124.33</v>
      </c>
      <c r="T75" s="111">
        <f>IF(-C73&lt;0,-C73,0)</f>
        <v>0</v>
      </c>
    </row>
    <row r="76" spans="1:20" s="382" customFormat="1">
      <c r="A76" s="53"/>
      <c r="T76" s="336">
        <f>ROUND(SUM(S70:T75),2)</f>
        <v>0</v>
      </c>
    </row>
    <row r="77" spans="1:20" s="382" customFormat="1" ht="15.75" thickBot="1">
      <c r="A77" s="53"/>
    </row>
    <row r="78" spans="1:20" s="382" customFormat="1" ht="16.5" thickBot="1">
      <c r="A78" s="58"/>
      <c r="Q78" s="334" t="s">
        <v>107</v>
      </c>
      <c r="R78" s="330"/>
      <c r="S78" s="330"/>
      <c r="T78" s="228"/>
    </row>
    <row r="79" spans="1:20" s="382" customFormat="1" ht="15.75">
      <c r="A79" s="58">
        <v>41394</v>
      </c>
      <c r="B79" s="59" t="s">
        <v>84</v>
      </c>
      <c r="C79" s="50">
        <f>SUM(D79:N79)</f>
        <v>-119237.76640399999</v>
      </c>
      <c r="D79" s="240">
        <v>-143506.72479399992</v>
      </c>
      <c r="E79" s="240">
        <v>24268.958389999927</v>
      </c>
      <c r="F79" s="241">
        <v>0</v>
      </c>
      <c r="G79" s="241">
        <v>0</v>
      </c>
      <c r="H79" s="50">
        <v>0</v>
      </c>
      <c r="I79" s="50"/>
      <c r="J79" s="50"/>
      <c r="K79" s="50"/>
      <c r="L79" s="50"/>
      <c r="M79" s="50"/>
      <c r="N79" s="50">
        <v>0</v>
      </c>
      <c r="O79" s="106"/>
      <c r="P79" s="50"/>
      <c r="Q79" s="343" t="s">
        <v>81</v>
      </c>
      <c r="R79" s="344" t="s">
        <v>58</v>
      </c>
      <c r="S79" s="112">
        <f>IF((-C74+C83)&gt;0,(-C74+C83),0)</f>
        <v>0</v>
      </c>
      <c r="T79" s="117">
        <f>IF((-C74+C83)&lt;0,(-C74+C83),0)</f>
        <v>-119441.13640399999</v>
      </c>
    </row>
    <row r="80" spans="1:20" s="382" customFormat="1" ht="15.75">
      <c r="A80" s="62"/>
      <c r="B80" s="59" t="s">
        <v>148</v>
      </c>
      <c r="C80" s="50">
        <v>0</v>
      </c>
      <c r="D80" s="241">
        <v>0</v>
      </c>
      <c r="E80" s="241">
        <v>0</v>
      </c>
      <c r="F80" s="241"/>
      <c r="G80" s="242"/>
      <c r="H80" s="60"/>
      <c r="I80" s="50"/>
      <c r="J80" s="87"/>
      <c r="K80" s="87"/>
      <c r="L80" s="50"/>
      <c r="M80" s="50"/>
      <c r="N80" s="50"/>
      <c r="O80" s="106"/>
      <c r="P80" s="50"/>
      <c r="Q80" s="345" t="s">
        <v>11</v>
      </c>
      <c r="R80" s="346" t="s">
        <v>62</v>
      </c>
      <c r="S80" s="112">
        <v>0</v>
      </c>
      <c r="T80" s="227">
        <v>0</v>
      </c>
    </row>
    <row r="81" spans="1:20" s="382" customFormat="1" ht="15.75">
      <c r="A81" s="62"/>
      <c r="B81" s="59" t="s">
        <v>144</v>
      </c>
      <c r="C81" s="50">
        <f>SUM(D81:N81)</f>
        <v>0</v>
      </c>
      <c r="D81" s="161">
        <v>0</v>
      </c>
      <c r="E81" s="161"/>
      <c r="F81" s="161"/>
      <c r="G81" s="241">
        <v>0</v>
      </c>
      <c r="H81" s="105"/>
      <c r="I81" s="50"/>
      <c r="J81" s="87"/>
      <c r="K81" s="50"/>
      <c r="L81" s="50"/>
      <c r="M81" s="50"/>
      <c r="N81" s="50"/>
      <c r="O81" s="106"/>
      <c r="P81" s="50"/>
      <c r="Q81" s="345" t="s">
        <v>11</v>
      </c>
      <c r="R81" s="346" t="s">
        <v>207</v>
      </c>
      <c r="S81" s="112">
        <v>0</v>
      </c>
      <c r="T81" s="227">
        <v>0</v>
      </c>
    </row>
    <row r="82" spans="1:20" s="382" customFormat="1" ht="15.75">
      <c r="A82" s="62"/>
      <c r="B82" s="59" t="s">
        <v>57</v>
      </c>
      <c r="C82" s="64">
        <f>SUM(D82:N82)</f>
        <v>-203.37</v>
      </c>
      <c r="D82" s="64"/>
      <c r="E82" s="64"/>
      <c r="F82" s="64"/>
      <c r="G82" s="64"/>
      <c r="H82" s="64">
        <v>-203.37</v>
      </c>
      <c r="I82" s="64"/>
      <c r="J82" s="64"/>
      <c r="K82" s="64"/>
      <c r="L82" s="64"/>
      <c r="M82" s="64"/>
      <c r="N82" s="64"/>
      <c r="O82" s="99">
        <v>0.01</v>
      </c>
      <c r="P82" s="50"/>
      <c r="Q82" s="338" t="s">
        <v>80</v>
      </c>
      <c r="R82" s="337" t="s">
        <v>59</v>
      </c>
      <c r="S82" s="88">
        <f>IF((-C79-C80-C81)&gt;0,(-C79-C80-C81),0)</f>
        <v>119237.76640399999</v>
      </c>
      <c r="T82" s="89">
        <f>IF((-C79-C80-C81)&lt;0,(-C79-C80-C81),0)</f>
        <v>0</v>
      </c>
    </row>
    <row r="83" spans="1:20" s="382" customFormat="1" ht="16.5" thickBot="1">
      <c r="A83" s="104">
        <f>A79</f>
        <v>41394</v>
      </c>
      <c r="B83" s="50" t="s">
        <v>56</v>
      </c>
      <c r="C83" s="158">
        <f>SUM(C74:C82)</f>
        <v>-303862.2119380596</v>
      </c>
      <c r="D83" s="158">
        <f>SUM(D74:D82)</f>
        <v>-415915.48978667916</v>
      </c>
      <c r="E83" s="158">
        <f>SUM(E74:E82)</f>
        <v>119720.53784862068</v>
      </c>
      <c r="F83" s="158">
        <f t="shared" ref="F83:G83" si="11">SUM(F74:F82)</f>
        <v>0</v>
      </c>
      <c r="G83" s="158">
        <f t="shared" si="11"/>
        <v>0</v>
      </c>
      <c r="H83" s="158">
        <f>SUM(H74:H82)</f>
        <v>-7667.2599999999993</v>
      </c>
      <c r="I83" s="158">
        <f>SUM(I68:I82)</f>
        <v>0</v>
      </c>
      <c r="J83" s="158">
        <f>SUM(J68:J82)</f>
        <v>0</v>
      </c>
      <c r="K83" s="158">
        <f>SUM(K68:K82)</f>
        <v>0</v>
      </c>
      <c r="L83" s="158">
        <f>SUM(L68:L82)</f>
        <v>0</v>
      </c>
      <c r="M83" s="158">
        <f>SUM(M74:M82)</f>
        <v>0</v>
      </c>
      <c r="N83" s="158">
        <f>SUM(N74:N82)</f>
        <v>0</v>
      </c>
      <c r="O83" s="50"/>
      <c r="P83" s="50"/>
      <c r="Q83" s="340" t="s">
        <v>154</v>
      </c>
      <c r="R83" s="337" t="s">
        <v>77</v>
      </c>
      <c r="S83" s="88">
        <f>IF(-C82&lt;0,C82,0)</f>
        <v>0</v>
      </c>
      <c r="T83" s="89">
        <f>IF(-C82&lt;0,-C82,0)</f>
        <v>0</v>
      </c>
    </row>
    <row r="84" spans="1:20" s="382" customFormat="1" ht="16.5" thickTop="1" thickBot="1">
      <c r="A84" s="53"/>
      <c r="C84" s="383"/>
      <c r="Q84" s="341" t="s">
        <v>83</v>
      </c>
      <c r="R84" s="339" t="s">
        <v>78</v>
      </c>
      <c r="S84" s="118">
        <f>IF(-C82&gt;0,-C82,0)</f>
        <v>203.37</v>
      </c>
      <c r="T84" s="111">
        <f>IF(-C82&lt;0,-C82,0)</f>
        <v>0</v>
      </c>
    </row>
    <row r="85" spans="1:20" s="382" customFormat="1">
      <c r="A85" s="53"/>
      <c r="T85" s="336">
        <f>ROUND(SUM(S79:T84),2)</f>
        <v>0</v>
      </c>
    </row>
    <row r="86" spans="1:20" s="382" customFormat="1" ht="15.75" thickBot="1">
      <c r="A86" s="53"/>
    </row>
    <row r="87" spans="1:20" s="382" customFormat="1" ht="16.5" thickBot="1">
      <c r="A87" s="58"/>
      <c r="Q87" s="334" t="s">
        <v>107</v>
      </c>
      <c r="R87" s="330"/>
      <c r="S87" s="330"/>
      <c r="T87" s="228"/>
    </row>
    <row r="88" spans="1:20" s="382" customFormat="1" ht="15.75">
      <c r="A88" s="58">
        <v>41425</v>
      </c>
      <c r="B88" s="59" t="s">
        <v>84</v>
      </c>
      <c r="C88" s="50">
        <f>SUM(D88:N88)</f>
        <v>96129.565981999214</v>
      </c>
      <c r="D88" s="240">
        <v>-261363.31669000082</v>
      </c>
      <c r="E88" s="240">
        <v>357492.88267200004</v>
      </c>
      <c r="F88" s="241">
        <v>0</v>
      </c>
      <c r="G88" s="241">
        <v>0</v>
      </c>
      <c r="H88" s="50">
        <v>0</v>
      </c>
      <c r="I88" s="50"/>
      <c r="J88" s="50"/>
      <c r="K88" s="50"/>
      <c r="L88" s="50"/>
      <c r="M88" s="50"/>
      <c r="N88" s="50">
        <v>0</v>
      </c>
      <c r="O88" s="106"/>
      <c r="P88" s="50"/>
      <c r="Q88" s="343" t="s">
        <v>81</v>
      </c>
      <c r="R88" s="344" t="s">
        <v>58</v>
      </c>
      <c r="S88" s="112">
        <f>IF((-C83+C92)&gt;0,(-C83+C92),0)</f>
        <v>95916.405981999211</v>
      </c>
      <c r="T88" s="117">
        <f>IF((-C83+C92)&lt;0,(-C83+C92),0)</f>
        <v>0</v>
      </c>
    </row>
    <row r="89" spans="1:20" s="382" customFormat="1" ht="15.75">
      <c r="A89" s="62"/>
      <c r="B89" s="59" t="s">
        <v>148</v>
      </c>
      <c r="C89" s="50">
        <v>0</v>
      </c>
      <c r="D89" s="241">
        <v>0</v>
      </c>
      <c r="E89" s="241">
        <v>0</v>
      </c>
      <c r="F89" s="241"/>
      <c r="G89" s="242"/>
      <c r="H89" s="60"/>
      <c r="I89" s="50"/>
      <c r="J89" s="87"/>
      <c r="K89" s="87"/>
      <c r="L89" s="50"/>
      <c r="M89" s="50"/>
      <c r="N89" s="50"/>
      <c r="O89" s="106"/>
      <c r="P89" s="50"/>
      <c r="Q89" s="345" t="s">
        <v>11</v>
      </c>
      <c r="R89" s="346" t="s">
        <v>62</v>
      </c>
      <c r="S89" s="112">
        <v>0</v>
      </c>
      <c r="T89" s="227">
        <v>0</v>
      </c>
    </row>
    <row r="90" spans="1:20" s="382" customFormat="1" ht="15.75">
      <c r="A90" s="62"/>
      <c r="B90" s="59" t="s">
        <v>144</v>
      </c>
      <c r="C90" s="50">
        <f>SUM(D90:N90)</f>
        <v>0</v>
      </c>
      <c r="D90" s="161">
        <v>0</v>
      </c>
      <c r="E90" s="161"/>
      <c r="F90" s="161"/>
      <c r="G90" s="241">
        <v>0</v>
      </c>
      <c r="H90" s="105"/>
      <c r="I90" s="50"/>
      <c r="J90" s="87"/>
      <c r="K90" s="50"/>
      <c r="L90" s="50"/>
      <c r="M90" s="50"/>
      <c r="N90" s="50"/>
      <c r="O90" s="106"/>
      <c r="P90" s="50"/>
      <c r="Q90" s="345" t="s">
        <v>11</v>
      </c>
      <c r="R90" s="346" t="s">
        <v>207</v>
      </c>
      <c r="S90" s="112">
        <v>0</v>
      </c>
      <c r="T90" s="227">
        <v>0</v>
      </c>
    </row>
    <row r="91" spans="1:20" s="382" customFormat="1" ht="15.75">
      <c r="A91" s="62"/>
      <c r="B91" s="59" t="s">
        <v>57</v>
      </c>
      <c r="C91" s="64">
        <f>SUM(D91:N91)</f>
        <v>-213.16</v>
      </c>
      <c r="D91" s="64"/>
      <c r="E91" s="64"/>
      <c r="F91" s="64"/>
      <c r="G91" s="64"/>
      <c r="H91" s="64">
        <v>-213.16</v>
      </c>
      <c r="I91" s="64"/>
      <c r="J91" s="64"/>
      <c r="K91" s="64"/>
      <c r="L91" s="64"/>
      <c r="M91" s="64"/>
      <c r="N91" s="64"/>
      <c r="O91" s="99">
        <v>0.01</v>
      </c>
      <c r="P91" s="50"/>
      <c r="Q91" s="338" t="s">
        <v>80</v>
      </c>
      <c r="R91" s="337" t="s">
        <v>59</v>
      </c>
      <c r="S91" s="88">
        <f>IF((-C88-C89-C90)&gt;0,(-C88-C89-C90),0)</f>
        <v>0</v>
      </c>
      <c r="T91" s="89">
        <f>IF((-C88-C89-C90)&lt;0,(-C88-C89-C90),0)</f>
        <v>-96129.565981999214</v>
      </c>
    </row>
    <row r="92" spans="1:20" s="382" customFormat="1" ht="16.5" thickBot="1">
      <c r="A92" s="104">
        <f>A88</f>
        <v>41425</v>
      </c>
      <c r="B92" s="50" t="s">
        <v>56</v>
      </c>
      <c r="C92" s="158">
        <f t="shared" ref="C92:H92" si="12">SUM(C83:C91)</f>
        <v>-207945.80595606039</v>
      </c>
      <c r="D92" s="158">
        <f t="shared" si="12"/>
        <v>-677278.80647667998</v>
      </c>
      <c r="E92" s="158">
        <f t="shared" si="12"/>
        <v>477213.42052062071</v>
      </c>
      <c r="F92" s="158">
        <f t="shared" si="12"/>
        <v>0</v>
      </c>
      <c r="G92" s="158">
        <f t="shared" si="12"/>
        <v>0</v>
      </c>
      <c r="H92" s="158">
        <f t="shared" si="12"/>
        <v>-7880.4199999999992</v>
      </c>
      <c r="I92" s="158">
        <f>SUM(I77:I91)</f>
        <v>0</v>
      </c>
      <c r="J92" s="158">
        <f>SUM(J77:J91)</f>
        <v>0</v>
      </c>
      <c r="K92" s="158">
        <f>SUM(K77:K91)</f>
        <v>0</v>
      </c>
      <c r="L92" s="158">
        <f>SUM(L77:L91)</f>
        <v>0</v>
      </c>
      <c r="M92" s="158">
        <f>SUM(M83:M91)</f>
        <v>0</v>
      </c>
      <c r="N92" s="158">
        <f>SUM(N83:N91)</f>
        <v>0</v>
      </c>
      <c r="O92" s="50"/>
      <c r="P92" s="50"/>
      <c r="Q92" s="340" t="s">
        <v>154</v>
      </c>
      <c r="R92" s="337" t="s">
        <v>77</v>
      </c>
      <c r="S92" s="88">
        <f>IF(-C91&lt;0,C91,0)</f>
        <v>0</v>
      </c>
      <c r="T92" s="89">
        <f>IF(-C91&lt;0,-C91,0)</f>
        <v>0</v>
      </c>
    </row>
    <row r="93" spans="1:20" s="382" customFormat="1" ht="16.5" thickTop="1" thickBot="1">
      <c r="A93" s="53"/>
      <c r="Q93" s="341" t="s">
        <v>83</v>
      </c>
      <c r="R93" s="339" t="s">
        <v>78</v>
      </c>
      <c r="S93" s="118">
        <f>IF(-C91&gt;0,-C91,0)</f>
        <v>213.16</v>
      </c>
      <c r="T93" s="111">
        <f>IF(-C91&lt;0,-C91,0)</f>
        <v>0</v>
      </c>
    </row>
    <row r="94" spans="1:20" s="382" customFormat="1">
      <c r="A94" s="53"/>
      <c r="T94" s="336">
        <f>ROUND(SUM(S88:T93),2)</f>
        <v>0</v>
      </c>
    </row>
    <row r="95" spans="1:20" s="382" customFormat="1" ht="15.75" thickBot="1">
      <c r="A95" s="53"/>
    </row>
    <row r="96" spans="1:20" s="382" customFormat="1" ht="16.5" thickBot="1">
      <c r="A96" s="58"/>
      <c r="Q96" s="334" t="s">
        <v>107</v>
      </c>
      <c r="R96" s="330"/>
      <c r="S96" s="330"/>
      <c r="T96" s="228"/>
    </row>
    <row r="97" spans="1:20" s="382" customFormat="1" ht="15.75">
      <c r="A97" s="58">
        <v>41426</v>
      </c>
      <c r="B97" s="59" t="s">
        <v>84</v>
      </c>
      <c r="C97" s="50">
        <f>SUM(D97:N97)</f>
        <v>316646.56350300065</v>
      </c>
      <c r="D97" s="240">
        <v>-87258.97678599949</v>
      </c>
      <c r="E97" s="240">
        <v>403905.54028900014</v>
      </c>
      <c r="F97" s="241">
        <v>0</v>
      </c>
      <c r="G97" s="241">
        <v>0</v>
      </c>
      <c r="H97" s="50">
        <v>0</v>
      </c>
      <c r="I97" s="50"/>
      <c r="J97" s="50"/>
      <c r="K97" s="50"/>
      <c r="L97" s="50"/>
      <c r="M97" s="50"/>
      <c r="N97" s="50">
        <v>0</v>
      </c>
      <c r="O97" s="106"/>
      <c r="P97" s="50"/>
      <c r="Q97" s="343" t="s">
        <v>81</v>
      </c>
      <c r="R97" s="344" t="s">
        <v>58</v>
      </c>
      <c r="S97" s="112">
        <f>IF((-C92+C101)&gt;0,(-C92+C101),0)</f>
        <v>316605.21350300068</v>
      </c>
      <c r="T97" s="117">
        <f>IF((-C92+C101)&lt;0,(-C92+C101),0)</f>
        <v>0</v>
      </c>
    </row>
    <row r="98" spans="1:20" s="382" customFormat="1" ht="15.75">
      <c r="A98" s="62"/>
      <c r="B98" s="59" t="s">
        <v>148</v>
      </c>
      <c r="C98" s="50">
        <v>0</v>
      </c>
      <c r="D98" s="241">
        <v>0</v>
      </c>
      <c r="E98" s="241">
        <v>0</v>
      </c>
      <c r="F98" s="241"/>
      <c r="G98" s="242"/>
      <c r="H98" s="60"/>
      <c r="I98" s="50"/>
      <c r="J98" s="87"/>
      <c r="K98" s="87"/>
      <c r="L98" s="50"/>
      <c r="M98" s="50"/>
      <c r="N98" s="50"/>
      <c r="O98" s="106"/>
      <c r="P98" s="50"/>
      <c r="Q98" s="345" t="s">
        <v>11</v>
      </c>
      <c r="R98" s="346" t="s">
        <v>62</v>
      </c>
      <c r="S98" s="112">
        <v>0</v>
      </c>
      <c r="T98" s="227">
        <v>0</v>
      </c>
    </row>
    <row r="99" spans="1:20" s="382" customFormat="1" ht="15.75">
      <c r="A99" s="62"/>
      <c r="B99" s="59" t="s">
        <v>144</v>
      </c>
      <c r="C99" s="50">
        <f>SUM(D99:N99)</f>
        <v>0</v>
      </c>
      <c r="D99" s="161">
        <v>0</v>
      </c>
      <c r="E99" s="161"/>
      <c r="F99" s="161"/>
      <c r="G99" s="241">
        <v>0</v>
      </c>
      <c r="H99" s="105"/>
      <c r="I99" s="50"/>
      <c r="J99" s="87"/>
      <c r="K99" s="50"/>
      <c r="L99" s="50"/>
      <c r="M99" s="50"/>
      <c r="N99" s="50"/>
      <c r="O99" s="106"/>
      <c r="P99" s="50"/>
      <c r="Q99" s="345" t="s">
        <v>11</v>
      </c>
      <c r="R99" s="346" t="s">
        <v>207</v>
      </c>
      <c r="S99" s="112">
        <v>0</v>
      </c>
      <c r="T99" s="227">
        <v>0</v>
      </c>
    </row>
    <row r="100" spans="1:20" s="382" customFormat="1" ht="15.75">
      <c r="A100" s="62"/>
      <c r="B100" s="59" t="s">
        <v>57</v>
      </c>
      <c r="C100" s="64">
        <f>SUM(D100:N100)</f>
        <v>-41.35</v>
      </c>
      <c r="D100" s="64"/>
      <c r="E100" s="64"/>
      <c r="F100" s="64"/>
      <c r="G100" s="64"/>
      <c r="H100" s="64">
        <f>ROUND(((C92)+(C97)/2)*(O100/12),2)</f>
        <v>-41.35</v>
      </c>
      <c r="I100" s="64"/>
      <c r="J100" s="64"/>
      <c r="K100" s="64"/>
      <c r="L100" s="64"/>
      <c r="M100" s="64"/>
      <c r="N100" s="64"/>
      <c r="O100" s="99">
        <v>0.01</v>
      </c>
      <c r="P100" s="50"/>
      <c r="Q100" s="338" t="s">
        <v>80</v>
      </c>
      <c r="R100" s="337" t="s">
        <v>59</v>
      </c>
      <c r="S100" s="88">
        <f>IF((-C97-C98-C99)&gt;0,(-C97-C98-C99),0)</f>
        <v>0</v>
      </c>
      <c r="T100" s="89">
        <f>IF((-C97-C98-C99)&lt;0,(-C97-C98-C99),0)</f>
        <v>-316646.56350300065</v>
      </c>
    </row>
    <row r="101" spans="1:20" s="382" customFormat="1" ht="16.5" thickBot="1">
      <c r="A101" s="104">
        <f>A97</f>
        <v>41426</v>
      </c>
      <c r="B101" s="50" t="s">
        <v>56</v>
      </c>
      <c r="C101" s="158">
        <f>SUM(C92:C100)</f>
        <v>108659.40754694026</v>
      </c>
      <c r="D101" s="158">
        <f>SUM(D92:D100)</f>
        <v>-764537.78326267947</v>
      </c>
      <c r="E101" s="158">
        <f>SUM(E92:E100)</f>
        <v>881118.9608096208</v>
      </c>
      <c r="F101" s="158">
        <f t="shared" ref="F101" si="13">SUM(F92:F100)</f>
        <v>0</v>
      </c>
      <c r="G101" s="158">
        <f t="shared" ref="G101" si="14">SUM(G92:G100)</f>
        <v>0</v>
      </c>
      <c r="H101" s="158">
        <f t="shared" ref="H101" si="15">SUM(H92:H100)</f>
        <v>-7921.7699999999995</v>
      </c>
      <c r="I101" s="158">
        <f>SUM(I86:I100)</f>
        <v>0</v>
      </c>
      <c r="J101" s="158">
        <f>SUM(J86:J100)</f>
        <v>0</v>
      </c>
      <c r="K101" s="158">
        <f>SUM(K86:K100)</f>
        <v>0</v>
      </c>
      <c r="L101" s="158">
        <f>SUM(L86:L100)</f>
        <v>0</v>
      </c>
      <c r="M101" s="158">
        <f>SUM(M92:M100)</f>
        <v>0</v>
      </c>
      <c r="N101" s="158">
        <f>SUM(N92:N100)</f>
        <v>0</v>
      </c>
      <c r="O101" s="50"/>
      <c r="P101" s="50"/>
      <c r="Q101" s="340" t="s">
        <v>154</v>
      </c>
      <c r="R101" s="337" t="s">
        <v>77</v>
      </c>
      <c r="S101" s="88">
        <f>IF(-C100&lt;0,C100,0)</f>
        <v>0</v>
      </c>
      <c r="T101" s="89">
        <f>IF(-C100&lt;0,-C100,0)</f>
        <v>0</v>
      </c>
    </row>
    <row r="102" spans="1:20" s="382" customFormat="1" ht="16.5" thickTop="1" thickBot="1">
      <c r="A102" s="53"/>
      <c r="Q102" s="341" t="s">
        <v>83</v>
      </c>
      <c r="R102" s="339" t="s">
        <v>78</v>
      </c>
      <c r="S102" s="118">
        <f>IF(-C100&gt;0,-C100,0)</f>
        <v>41.35</v>
      </c>
      <c r="T102" s="111">
        <f>IF(-C100&lt;0,-C100,0)</f>
        <v>0</v>
      </c>
    </row>
    <row r="103" spans="1:20" s="382" customFormat="1">
      <c r="A103" s="53"/>
      <c r="T103" s="336">
        <f>ROUND(SUM(S97:T102),2)</f>
        <v>0</v>
      </c>
    </row>
    <row r="104" spans="1:20" ht="15.75" thickBot="1"/>
    <row r="105" spans="1:20" s="382" customFormat="1" ht="16.5" thickBot="1">
      <c r="A105" s="58"/>
      <c r="Q105" s="334" t="s">
        <v>107</v>
      </c>
      <c r="R105" s="330"/>
      <c r="S105" s="330"/>
      <c r="T105" s="228"/>
    </row>
    <row r="106" spans="1:20" s="382" customFormat="1" ht="15.75">
      <c r="A106" s="58">
        <v>41456</v>
      </c>
      <c r="B106" s="59" t="s">
        <v>84</v>
      </c>
      <c r="C106" s="50">
        <f>SUM(D106:N106)</f>
        <v>269453.32351300115</v>
      </c>
      <c r="D106" s="240">
        <v>-247183.18822599918</v>
      </c>
      <c r="E106" s="240">
        <v>516636.51173900033</v>
      </c>
      <c r="F106" s="241">
        <v>0</v>
      </c>
      <c r="G106" s="241">
        <v>0</v>
      </c>
      <c r="H106" s="50">
        <v>0</v>
      </c>
      <c r="I106" s="50"/>
      <c r="J106" s="50"/>
      <c r="K106" s="50"/>
      <c r="L106" s="50"/>
      <c r="M106" s="50"/>
      <c r="N106" s="50">
        <v>0</v>
      </c>
      <c r="O106" s="106"/>
      <c r="P106" s="50"/>
      <c r="Q106" s="343" t="s">
        <v>81</v>
      </c>
      <c r="R106" s="344" t="s">
        <v>58</v>
      </c>
      <c r="S106" s="112">
        <f>IF((-C101+C110)&gt;0,(-C101+C110),0)</f>
        <v>269656.14351300115</v>
      </c>
      <c r="T106" s="117">
        <f>IF((-C101+C110)&lt;0,(-C101+C110),0)</f>
        <v>0</v>
      </c>
    </row>
    <row r="107" spans="1:20" s="382" customFormat="1" ht="15.75">
      <c r="A107" s="62"/>
      <c r="B107" s="59" t="s">
        <v>148</v>
      </c>
      <c r="C107" s="50">
        <v>0</v>
      </c>
      <c r="D107" s="241">
        <v>0</v>
      </c>
      <c r="E107" s="241">
        <v>0</v>
      </c>
      <c r="F107" s="241"/>
      <c r="G107" s="242"/>
      <c r="H107" s="60"/>
      <c r="I107" s="50"/>
      <c r="J107" s="87"/>
      <c r="K107" s="87"/>
      <c r="L107" s="50"/>
      <c r="M107" s="50"/>
      <c r="N107" s="50"/>
      <c r="O107" s="106"/>
      <c r="P107" s="50"/>
      <c r="Q107" s="345" t="s">
        <v>11</v>
      </c>
      <c r="R107" s="346" t="s">
        <v>62</v>
      </c>
      <c r="S107" s="112">
        <v>0</v>
      </c>
      <c r="T107" s="227">
        <v>0</v>
      </c>
    </row>
    <row r="108" spans="1:20" s="382" customFormat="1" ht="15.75">
      <c r="A108" s="62"/>
      <c r="B108" s="59" t="s">
        <v>144</v>
      </c>
      <c r="C108" s="50">
        <f>SUM(D108:N108)</f>
        <v>0</v>
      </c>
      <c r="D108" s="161">
        <v>0</v>
      </c>
      <c r="E108" s="161"/>
      <c r="F108" s="161"/>
      <c r="G108" s="241">
        <v>0</v>
      </c>
      <c r="H108" s="105"/>
      <c r="I108" s="50"/>
      <c r="J108" s="87"/>
      <c r="K108" s="50"/>
      <c r="L108" s="50"/>
      <c r="M108" s="50"/>
      <c r="N108" s="50"/>
      <c r="O108" s="106"/>
      <c r="P108" s="50"/>
      <c r="Q108" s="345" t="s">
        <v>11</v>
      </c>
      <c r="R108" s="346" t="s">
        <v>207</v>
      </c>
      <c r="S108" s="112">
        <v>0</v>
      </c>
      <c r="T108" s="227">
        <v>0</v>
      </c>
    </row>
    <row r="109" spans="1:20" s="382" customFormat="1" ht="15.75">
      <c r="A109" s="62"/>
      <c r="B109" s="59" t="s">
        <v>57</v>
      </c>
      <c r="C109" s="64">
        <f>SUM(D109:N109)</f>
        <v>202.82</v>
      </c>
      <c r="D109" s="64"/>
      <c r="E109" s="64"/>
      <c r="F109" s="64"/>
      <c r="G109" s="64"/>
      <c r="H109" s="64">
        <v>202.82</v>
      </c>
      <c r="I109" s="64"/>
      <c r="J109" s="64"/>
      <c r="K109" s="64"/>
      <c r="L109" s="64"/>
      <c r="M109" s="64"/>
      <c r="N109" s="64"/>
      <c r="O109" s="99">
        <v>0.01</v>
      </c>
      <c r="P109" s="50"/>
      <c r="Q109" s="338" t="s">
        <v>80</v>
      </c>
      <c r="R109" s="337" t="s">
        <v>59</v>
      </c>
      <c r="S109" s="88">
        <f>IF((-C106-C107-C108)&gt;0,(-C106-C107-C108),0)</f>
        <v>0</v>
      </c>
      <c r="T109" s="89">
        <f>IF((-C106-C107-C108)&lt;0,(-C106-C107-C108),0)</f>
        <v>-269453.32351300115</v>
      </c>
    </row>
    <row r="110" spans="1:20" s="382" customFormat="1" ht="16.5" thickBot="1">
      <c r="A110" s="104">
        <f>A106</f>
        <v>41456</v>
      </c>
      <c r="B110" s="50" t="s">
        <v>56</v>
      </c>
      <c r="C110" s="158">
        <f>SUM(C101:C109)</f>
        <v>378315.55105994141</v>
      </c>
      <c r="D110" s="158">
        <f>SUM(D101:D109)</f>
        <v>-1011720.9714886786</v>
      </c>
      <c r="E110" s="158">
        <f>SUM(E101:E109)</f>
        <v>1397755.4725486212</v>
      </c>
      <c r="F110" s="158">
        <f t="shared" ref="F110:H110" si="16">SUM(F101:F109)</f>
        <v>0</v>
      </c>
      <c r="G110" s="158">
        <f t="shared" si="16"/>
        <v>0</v>
      </c>
      <c r="H110" s="158">
        <f t="shared" si="16"/>
        <v>-7718.95</v>
      </c>
      <c r="I110" s="158">
        <f>SUM(I95:I109)</f>
        <v>0</v>
      </c>
      <c r="J110" s="158">
        <f>SUM(J95:J109)</f>
        <v>0</v>
      </c>
      <c r="K110" s="158">
        <f>SUM(K95:K109)</f>
        <v>0</v>
      </c>
      <c r="L110" s="158">
        <f>SUM(L95:L109)</f>
        <v>0</v>
      </c>
      <c r="M110" s="158">
        <f>SUM(M101:M109)</f>
        <v>0</v>
      </c>
      <c r="N110" s="158">
        <f>SUM(N101:N109)</f>
        <v>0</v>
      </c>
      <c r="O110" s="50"/>
      <c r="P110" s="50"/>
      <c r="Q110" s="340" t="s">
        <v>154</v>
      </c>
      <c r="R110" s="337" t="s">
        <v>77</v>
      </c>
      <c r="S110" s="88">
        <v>0</v>
      </c>
      <c r="T110" s="89">
        <f>IF(-C109&lt;0,-C109,0)</f>
        <v>-202.82</v>
      </c>
    </row>
    <row r="111" spans="1:20" s="382" customFormat="1" ht="16.5" thickTop="1" thickBot="1">
      <c r="A111" s="53"/>
      <c r="Q111" s="341" t="s">
        <v>83</v>
      </c>
      <c r="R111" s="339" t="s">
        <v>78</v>
      </c>
      <c r="S111" s="118">
        <f>IF(-C109&gt;0,-C109,0)</f>
        <v>0</v>
      </c>
      <c r="T111" s="111">
        <v>0</v>
      </c>
    </row>
    <row r="112" spans="1:20" s="382" customFormat="1">
      <c r="A112" s="53"/>
      <c r="T112" s="336">
        <f>ROUND(SUM(S106:T111),2)</f>
        <v>0</v>
      </c>
    </row>
    <row r="113" spans="1:20" ht="15.75" thickBot="1"/>
    <row r="114" spans="1:20" s="382" customFormat="1" ht="16.5" thickBot="1">
      <c r="A114" s="58"/>
      <c r="Q114" s="334" t="s">
        <v>107</v>
      </c>
      <c r="R114" s="330"/>
      <c r="S114" s="330"/>
      <c r="T114" s="228"/>
    </row>
    <row r="115" spans="1:20" s="382" customFormat="1" ht="15.75">
      <c r="A115" s="58">
        <v>41487</v>
      </c>
      <c r="B115" s="59" t="s">
        <v>84</v>
      </c>
      <c r="C115" s="50">
        <f>SUM(D115:N115)</f>
        <v>112699.18364000041</v>
      </c>
      <c r="D115" s="240">
        <v>-357404.51535499981</v>
      </c>
      <c r="E115" s="240">
        <v>470103.69899500022</v>
      </c>
      <c r="F115" s="241">
        <v>0</v>
      </c>
      <c r="G115" s="241">
        <v>0</v>
      </c>
      <c r="H115" s="50">
        <v>0</v>
      </c>
      <c r="I115" s="50"/>
      <c r="J115" s="50"/>
      <c r="K115" s="50"/>
      <c r="L115" s="50"/>
      <c r="M115" s="50"/>
      <c r="N115" s="50">
        <v>0</v>
      </c>
      <c r="O115" s="106"/>
      <c r="P115" s="50"/>
      <c r="Q115" s="343" t="s">
        <v>81</v>
      </c>
      <c r="R115" s="344" t="s">
        <v>58</v>
      </c>
      <c r="S115" s="112">
        <f>IF((-C110+C119)&gt;0,(-C110+C119),0)</f>
        <v>113061.40364000038</v>
      </c>
      <c r="T115" s="117">
        <f>IF((-C110+C119)&lt;0,(-C110+C119),0)</f>
        <v>0</v>
      </c>
    </row>
    <row r="116" spans="1:20" s="382" customFormat="1" ht="15.75">
      <c r="A116" s="62"/>
      <c r="B116" s="59" t="s">
        <v>148</v>
      </c>
      <c r="C116" s="50">
        <v>0</v>
      </c>
      <c r="D116" s="241">
        <v>0</v>
      </c>
      <c r="E116" s="241">
        <v>0</v>
      </c>
      <c r="F116" s="241"/>
      <c r="G116" s="242"/>
      <c r="H116" s="60"/>
      <c r="I116" s="50"/>
      <c r="J116" s="87"/>
      <c r="K116" s="87"/>
      <c r="L116" s="50"/>
      <c r="M116" s="50"/>
      <c r="N116" s="50"/>
      <c r="O116" s="106"/>
      <c r="P116" s="50"/>
      <c r="Q116" s="345" t="s">
        <v>11</v>
      </c>
      <c r="R116" s="346" t="s">
        <v>62</v>
      </c>
      <c r="S116" s="112">
        <v>0</v>
      </c>
      <c r="T116" s="227">
        <v>0</v>
      </c>
    </row>
    <row r="117" spans="1:20" s="382" customFormat="1" ht="15.75">
      <c r="A117" s="62"/>
      <c r="B117" s="59" t="s">
        <v>144</v>
      </c>
      <c r="C117" s="50">
        <f>SUM(D117:N117)</f>
        <v>0</v>
      </c>
      <c r="D117" s="161">
        <v>0</v>
      </c>
      <c r="E117" s="161"/>
      <c r="F117" s="161"/>
      <c r="G117" s="241">
        <v>0</v>
      </c>
      <c r="H117" s="105"/>
      <c r="I117" s="50"/>
      <c r="J117" s="87"/>
      <c r="K117" s="50"/>
      <c r="L117" s="50"/>
      <c r="M117" s="50"/>
      <c r="N117" s="50"/>
      <c r="O117" s="106"/>
      <c r="P117" s="50"/>
      <c r="Q117" s="345" t="s">
        <v>11</v>
      </c>
      <c r="R117" s="346" t="s">
        <v>207</v>
      </c>
      <c r="S117" s="112">
        <v>0</v>
      </c>
      <c r="T117" s="227">
        <v>0</v>
      </c>
    </row>
    <row r="118" spans="1:20" s="382" customFormat="1" ht="15.75">
      <c r="A118" s="62"/>
      <c r="B118" s="59" t="s">
        <v>57</v>
      </c>
      <c r="C118" s="64">
        <f>SUM(D118:N118)</f>
        <v>362.22</v>
      </c>
      <c r="D118" s="64"/>
      <c r="E118" s="64"/>
      <c r="F118" s="64"/>
      <c r="G118" s="64"/>
      <c r="H118" s="64">
        <v>362.22</v>
      </c>
      <c r="I118" s="64"/>
      <c r="J118" s="64"/>
      <c r="K118" s="64"/>
      <c r="L118" s="64"/>
      <c r="M118" s="64"/>
      <c r="N118" s="64"/>
      <c r="O118" s="99">
        <v>0.01</v>
      </c>
      <c r="P118" s="50"/>
      <c r="Q118" s="338" t="s">
        <v>80</v>
      </c>
      <c r="R118" s="337" t="s">
        <v>59</v>
      </c>
      <c r="S118" s="88">
        <f>IF((-C115-C116-C117)&gt;0,(-C115-C116-C117),0)</f>
        <v>0</v>
      </c>
      <c r="T118" s="89">
        <f>IF((-C115-C116-C117)&lt;0,(-C115-C116-C117),0)</f>
        <v>-112699.18364000041</v>
      </c>
    </row>
    <row r="119" spans="1:20" s="382" customFormat="1" ht="16.5" thickBot="1">
      <c r="A119" s="104">
        <f>A115</f>
        <v>41487</v>
      </c>
      <c r="B119" s="50" t="s">
        <v>56</v>
      </c>
      <c r="C119" s="158">
        <f>SUM(C110:C118)</f>
        <v>491376.95469994179</v>
      </c>
      <c r="D119" s="158">
        <f>SUM(D110:D118)</f>
        <v>-1369125.4868436784</v>
      </c>
      <c r="E119" s="158">
        <f>SUM(E110:E118)</f>
        <v>1867859.1715436215</v>
      </c>
      <c r="F119" s="158">
        <f t="shared" ref="F119:H119" si="17">SUM(F110:F118)</f>
        <v>0</v>
      </c>
      <c r="G119" s="158">
        <f t="shared" si="17"/>
        <v>0</v>
      </c>
      <c r="H119" s="158">
        <f t="shared" si="17"/>
        <v>-7356.73</v>
      </c>
      <c r="I119" s="158">
        <f>SUM(I104:I118)</f>
        <v>0</v>
      </c>
      <c r="J119" s="158">
        <f>SUM(J104:J118)</f>
        <v>0</v>
      </c>
      <c r="K119" s="158">
        <f>SUM(K104:K118)</f>
        <v>0</v>
      </c>
      <c r="L119" s="158">
        <f>SUM(L104:L118)</f>
        <v>0</v>
      </c>
      <c r="M119" s="158">
        <f>SUM(M110:M118)</f>
        <v>0</v>
      </c>
      <c r="N119" s="158">
        <f>SUM(N110:N118)</f>
        <v>0</v>
      </c>
      <c r="O119" s="50"/>
      <c r="P119" s="50"/>
      <c r="Q119" s="340" t="s">
        <v>154</v>
      </c>
      <c r="R119" s="337" t="s">
        <v>77</v>
      </c>
      <c r="S119" s="88">
        <v>0</v>
      </c>
      <c r="T119" s="89">
        <f>IF(-C118&lt;0,-C118,0)</f>
        <v>-362.22</v>
      </c>
    </row>
    <row r="120" spans="1:20" s="382" customFormat="1" ht="16.5" thickTop="1" thickBot="1">
      <c r="A120" s="53"/>
      <c r="Q120" s="341" t="s">
        <v>83</v>
      </c>
      <c r="R120" s="339" t="s">
        <v>78</v>
      </c>
      <c r="S120" s="118">
        <f>IF(-C118&gt;0,-C118,0)</f>
        <v>0</v>
      </c>
      <c r="T120" s="111">
        <v>0</v>
      </c>
    </row>
    <row r="121" spans="1:20" s="382" customFormat="1">
      <c r="A121" s="53"/>
      <c r="T121" s="336">
        <f>ROUND(SUM(S115:T120),2)</f>
        <v>0</v>
      </c>
    </row>
    <row r="122" spans="1:20" ht="15.75" thickBot="1"/>
    <row r="123" spans="1:20" s="382" customFormat="1" ht="16.5" thickBot="1">
      <c r="A123" s="58"/>
      <c r="Q123" s="334" t="s">
        <v>107</v>
      </c>
      <c r="R123" s="330"/>
      <c r="S123" s="330"/>
      <c r="T123" s="228"/>
    </row>
    <row r="124" spans="1:20" s="382" customFormat="1" ht="15.75">
      <c r="A124" s="58">
        <v>41518</v>
      </c>
      <c r="B124" s="59" t="s">
        <v>84</v>
      </c>
      <c r="C124" s="50">
        <f>SUM(D124:N124)</f>
        <v>-78276.439306000422</v>
      </c>
      <c r="D124" s="240">
        <v>-455176.44495200075</v>
      </c>
      <c r="E124" s="240">
        <v>376900.00564600033</v>
      </c>
      <c r="F124" s="241">
        <v>0</v>
      </c>
      <c r="G124" s="241">
        <v>0</v>
      </c>
      <c r="H124" s="50">
        <v>0</v>
      </c>
      <c r="I124" s="50"/>
      <c r="J124" s="50"/>
      <c r="K124" s="50"/>
      <c r="L124" s="50"/>
      <c r="M124" s="50"/>
      <c r="N124" s="50">
        <v>0</v>
      </c>
      <c r="O124" s="106"/>
      <c r="P124" s="50"/>
      <c r="Q124" s="343" t="s">
        <v>81</v>
      </c>
      <c r="R124" s="344" t="s">
        <v>58</v>
      </c>
      <c r="S124" s="112">
        <f>IF((-C119+C128)&gt;0,(-C119+C128),0)</f>
        <v>0</v>
      </c>
      <c r="T124" s="117">
        <f>IF((-C119+C128)&lt;0,(-C119+C128),0)</f>
        <v>-77899.569306000427</v>
      </c>
    </row>
    <row r="125" spans="1:20" s="382" customFormat="1" ht="15.75">
      <c r="A125" s="62"/>
      <c r="B125" s="59" t="s">
        <v>148</v>
      </c>
      <c r="C125" s="50">
        <v>0</v>
      </c>
      <c r="D125" s="241">
        <v>0</v>
      </c>
      <c r="E125" s="241">
        <v>0</v>
      </c>
      <c r="F125" s="241"/>
      <c r="G125" s="242"/>
      <c r="H125" s="60"/>
      <c r="I125" s="50"/>
      <c r="J125" s="87"/>
      <c r="K125" s="87"/>
      <c r="L125" s="50"/>
      <c r="M125" s="50"/>
      <c r="N125" s="50"/>
      <c r="O125" s="106"/>
      <c r="P125" s="50"/>
      <c r="Q125" s="345" t="s">
        <v>11</v>
      </c>
      <c r="R125" s="346" t="s">
        <v>62</v>
      </c>
      <c r="S125" s="112">
        <v>0</v>
      </c>
      <c r="T125" s="227">
        <v>0</v>
      </c>
    </row>
    <row r="126" spans="1:20" s="382" customFormat="1" ht="15.75">
      <c r="A126" s="62"/>
      <c r="B126" s="59" t="s">
        <v>144</v>
      </c>
      <c r="C126" s="50">
        <f>SUM(D126:N126)</f>
        <v>0</v>
      </c>
      <c r="D126" s="161">
        <v>0</v>
      </c>
      <c r="E126" s="161"/>
      <c r="F126" s="161"/>
      <c r="G126" s="241">
        <v>0</v>
      </c>
      <c r="H126" s="105"/>
      <c r="I126" s="50"/>
      <c r="J126" s="87"/>
      <c r="K126" s="50"/>
      <c r="L126" s="50"/>
      <c r="M126" s="50"/>
      <c r="N126" s="50"/>
      <c r="O126" s="106"/>
      <c r="P126" s="50"/>
      <c r="Q126" s="345" t="s">
        <v>11</v>
      </c>
      <c r="R126" s="346" t="s">
        <v>207</v>
      </c>
      <c r="S126" s="112">
        <v>0</v>
      </c>
      <c r="T126" s="227">
        <v>0</v>
      </c>
    </row>
    <row r="127" spans="1:20" s="382" customFormat="1" ht="15.75">
      <c r="A127" s="62"/>
      <c r="B127" s="59" t="s">
        <v>57</v>
      </c>
      <c r="C127" s="64">
        <f>SUM(D127:N127)</f>
        <v>376.87</v>
      </c>
      <c r="D127" s="64"/>
      <c r="E127" s="64"/>
      <c r="F127" s="64"/>
      <c r="G127" s="64"/>
      <c r="H127" s="64">
        <f>ROUND(((C119)+(C124)/2)*(O127/12),2)</f>
        <v>376.87</v>
      </c>
      <c r="I127" s="64"/>
      <c r="J127" s="64"/>
      <c r="K127" s="64"/>
      <c r="L127" s="64"/>
      <c r="M127" s="64"/>
      <c r="N127" s="64"/>
      <c r="O127" s="99">
        <v>0.01</v>
      </c>
      <c r="P127" s="50"/>
      <c r="Q127" s="338" t="s">
        <v>80</v>
      </c>
      <c r="R127" s="337" t="s">
        <v>59</v>
      </c>
      <c r="S127" s="88">
        <f>IF((-C124-C125-C126)&gt;0,(-C124-C125-C126),0)</f>
        <v>78276.439306000422</v>
      </c>
      <c r="T127" s="89">
        <f>IF((-C124-C125-C126)&lt;0,(-C124-C125-C126),0)</f>
        <v>0</v>
      </c>
    </row>
    <row r="128" spans="1:20" s="382" customFormat="1" ht="16.5" thickBot="1">
      <c r="A128" s="104">
        <f>A124</f>
        <v>41518</v>
      </c>
      <c r="B128" s="50" t="s">
        <v>56</v>
      </c>
      <c r="C128" s="158">
        <f>SUM(C119:C127)</f>
        <v>413477.38539394137</v>
      </c>
      <c r="D128" s="158">
        <f>SUM(D119:D127)</f>
        <v>-1824301.931795679</v>
      </c>
      <c r="E128" s="158">
        <f>SUM(E119:E127)</f>
        <v>2244759.1771896216</v>
      </c>
      <c r="F128" s="158">
        <f t="shared" ref="F128:H128" si="18">SUM(F119:F127)</f>
        <v>0</v>
      </c>
      <c r="G128" s="158">
        <f t="shared" si="18"/>
        <v>0</v>
      </c>
      <c r="H128" s="158">
        <f t="shared" si="18"/>
        <v>-6979.86</v>
      </c>
      <c r="I128" s="158">
        <f>SUM(I113:I127)</f>
        <v>0</v>
      </c>
      <c r="J128" s="158">
        <f>SUM(J113:J127)</f>
        <v>0</v>
      </c>
      <c r="K128" s="158">
        <f>SUM(K113:K127)</f>
        <v>0</v>
      </c>
      <c r="L128" s="158">
        <f>SUM(L113:L127)</f>
        <v>0</v>
      </c>
      <c r="M128" s="158">
        <f>SUM(M119:M127)</f>
        <v>0</v>
      </c>
      <c r="N128" s="158">
        <f>SUM(N119:N127)</f>
        <v>0</v>
      </c>
      <c r="O128" s="50"/>
      <c r="P128" s="50"/>
      <c r="Q128" s="340" t="s">
        <v>154</v>
      </c>
      <c r="R128" s="337" t="s">
        <v>77</v>
      </c>
      <c r="S128" s="88">
        <v>0</v>
      </c>
      <c r="T128" s="89">
        <f>IF(-C127&lt;0,-C127,0)</f>
        <v>-376.87</v>
      </c>
    </row>
    <row r="129" spans="1:20" s="382" customFormat="1" ht="16.5" thickTop="1" thickBot="1">
      <c r="A129" s="53"/>
      <c r="Q129" s="341" t="s">
        <v>83</v>
      </c>
      <c r="R129" s="339" t="s">
        <v>78</v>
      </c>
      <c r="S129" s="118">
        <f>IF(-C127&gt;0,-C127,0)</f>
        <v>0</v>
      </c>
      <c r="T129" s="111">
        <v>0</v>
      </c>
    </row>
    <row r="130" spans="1:20" s="382" customFormat="1">
      <c r="A130" s="53"/>
      <c r="T130" s="336">
        <f>ROUND(SUM(S124:T129),2)</f>
        <v>0</v>
      </c>
    </row>
    <row r="131" spans="1:20" ht="15.75">
      <c r="B131" s="2" t="s">
        <v>11</v>
      </c>
      <c r="C131" s="50">
        <f>SUM(D131:H131)</f>
        <v>-108659.43754694135</v>
      </c>
      <c r="D131" s="241">
        <f>-D101</f>
        <v>764537.78326267947</v>
      </c>
      <c r="E131" s="241">
        <f>-E101-0.03</f>
        <v>-881118.99080962082</v>
      </c>
      <c r="F131" s="241"/>
      <c r="G131" s="242"/>
      <c r="H131" s="60">
        <f>-H101</f>
        <v>7921.7699999999995</v>
      </c>
      <c r="I131" s="50"/>
      <c r="J131" s="87"/>
      <c r="K131" s="87"/>
      <c r="L131" s="50"/>
      <c r="M131" s="50"/>
      <c r="N131" s="50"/>
    </row>
    <row r="132" spans="1:20" s="382" customFormat="1" ht="16.5" thickBot="1">
      <c r="A132" s="53"/>
      <c r="B132" s="2" t="s">
        <v>227</v>
      </c>
      <c r="C132" s="158">
        <f t="shared" ref="C132:H132" si="19">SUM(C128:C131)</f>
        <v>304817.94784700003</v>
      </c>
      <c r="D132" s="158">
        <f t="shared" si="19"/>
        <v>-1059764.1485329997</v>
      </c>
      <c r="E132" s="158">
        <f t="shared" si="19"/>
        <v>1363640.1863800008</v>
      </c>
      <c r="F132" s="158">
        <f t="shared" si="19"/>
        <v>0</v>
      </c>
      <c r="G132" s="158">
        <f t="shared" si="19"/>
        <v>0</v>
      </c>
      <c r="H132" s="158">
        <f t="shared" si="19"/>
        <v>941.90999999999985</v>
      </c>
      <c r="I132" s="158">
        <f>SUM(I117:I131)</f>
        <v>0</v>
      </c>
      <c r="J132" s="158">
        <f>SUM(J117:J131)</f>
        <v>0</v>
      </c>
      <c r="K132" s="158">
        <f>SUM(K117:K131)</f>
        <v>0</v>
      </c>
      <c r="L132" s="158">
        <f>SUM(L117:L131)</f>
        <v>0</v>
      </c>
      <c r="M132" s="158">
        <f>SUM(M123:M131)</f>
        <v>0</v>
      </c>
      <c r="N132" s="158">
        <f>SUM(N123:N131)</f>
        <v>0</v>
      </c>
    </row>
    <row r="133" spans="1:20" s="382" customFormat="1" ht="15.75" thickTop="1">
      <c r="A133" s="53"/>
    </row>
    <row r="134" spans="1:20" s="382" customFormat="1">
      <c r="A134" s="53"/>
    </row>
    <row r="135" spans="1:20" s="382" customFormat="1" ht="15.75" thickBot="1">
      <c r="A135" s="53"/>
    </row>
    <row r="136" spans="1:20" s="382" customFormat="1" ht="16.5" thickBot="1">
      <c r="A136" s="58"/>
      <c r="Q136" s="334" t="s">
        <v>107</v>
      </c>
      <c r="R136" s="330"/>
      <c r="S136" s="330"/>
      <c r="T136" s="228"/>
    </row>
    <row r="137" spans="1:20" s="382" customFormat="1" ht="15.75">
      <c r="A137" s="58">
        <v>41578</v>
      </c>
      <c r="B137" s="59" t="s">
        <v>84</v>
      </c>
      <c r="C137" s="50">
        <f>SUM(D137:N137)</f>
        <v>-484520.52738299966</v>
      </c>
      <c r="D137" s="240">
        <v>-566000.77746000001</v>
      </c>
      <c r="E137" s="240">
        <v>81480.250077000353</v>
      </c>
      <c r="F137" s="241">
        <v>0</v>
      </c>
      <c r="G137" s="241">
        <v>0</v>
      </c>
      <c r="H137" s="50">
        <v>0</v>
      </c>
      <c r="I137" s="50"/>
      <c r="J137" s="50"/>
      <c r="K137" s="50"/>
      <c r="L137" s="50"/>
      <c r="M137" s="50"/>
      <c r="N137" s="50">
        <v>0</v>
      </c>
      <c r="O137" s="106"/>
      <c r="P137" s="50"/>
      <c r="Q137" s="343" t="s">
        <v>81</v>
      </c>
      <c r="R137" s="344" t="s">
        <v>58</v>
      </c>
      <c r="S137" s="112">
        <f>IF((-C128+C141)&gt;0,(-C128+C141),0)</f>
        <v>0</v>
      </c>
      <c r="T137" s="117">
        <f>IF((-C128+C141)&lt;0,(-C128+C141),0)</f>
        <v>-593127.83492994099</v>
      </c>
    </row>
    <row r="138" spans="1:20" s="382" customFormat="1" ht="15.75">
      <c r="A138" s="62"/>
      <c r="B138" s="59" t="s">
        <v>148</v>
      </c>
      <c r="C138" s="50">
        <f>SUM(D138:H138)</f>
        <v>0</v>
      </c>
      <c r="D138" s="241">
        <v>0</v>
      </c>
      <c r="E138" s="241">
        <v>0</v>
      </c>
      <c r="F138" s="241"/>
      <c r="G138" s="242"/>
      <c r="H138" s="60">
        <v>0</v>
      </c>
      <c r="I138" s="50"/>
      <c r="J138" s="87"/>
      <c r="K138" s="87"/>
      <c r="L138" s="50"/>
      <c r="M138" s="50"/>
      <c r="N138" s="50"/>
      <c r="O138" s="106"/>
      <c r="P138" s="50"/>
      <c r="Q138" s="345" t="s">
        <v>11</v>
      </c>
      <c r="R138" s="346" t="s">
        <v>62</v>
      </c>
      <c r="S138" s="112">
        <f>-C131</f>
        <v>108659.43754694135</v>
      </c>
      <c r="T138" s="227">
        <v>0</v>
      </c>
    </row>
    <row r="139" spans="1:20" s="382" customFormat="1" ht="15.75">
      <c r="A139" s="62"/>
      <c r="B139" s="59" t="s">
        <v>144</v>
      </c>
      <c r="C139" s="50">
        <f>SUM(D139:N139)</f>
        <v>0</v>
      </c>
      <c r="D139" s="161"/>
      <c r="E139" s="161"/>
      <c r="F139" s="161"/>
      <c r="G139" s="241">
        <v>0</v>
      </c>
      <c r="H139" s="105"/>
      <c r="I139" s="50"/>
      <c r="J139" s="87"/>
      <c r="K139" s="50"/>
      <c r="L139" s="50"/>
      <c r="M139" s="50"/>
      <c r="N139" s="50"/>
      <c r="O139" s="106"/>
      <c r="P139" s="50"/>
      <c r="Q139" s="345" t="s">
        <v>11</v>
      </c>
      <c r="R139" s="346" t="s">
        <v>207</v>
      </c>
      <c r="S139" s="112">
        <v>0</v>
      </c>
      <c r="T139" s="227">
        <v>0</v>
      </c>
    </row>
    <row r="140" spans="1:20" s="382" customFormat="1" ht="15.75">
      <c r="A140" s="62"/>
      <c r="B140" s="59" t="s">
        <v>57</v>
      </c>
      <c r="C140" s="64">
        <f>SUM(D140:N140)</f>
        <v>52.13</v>
      </c>
      <c r="D140" s="64"/>
      <c r="E140" s="64"/>
      <c r="F140" s="64"/>
      <c r="G140" s="64"/>
      <c r="H140" s="64">
        <v>52.13</v>
      </c>
      <c r="I140" s="64"/>
      <c r="J140" s="64"/>
      <c r="K140" s="64"/>
      <c r="L140" s="64"/>
      <c r="M140" s="64"/>
      <c r="N140" s="64"/>
      <c r="O140" s="99">
        <v>0.01</v>
      </c>
      <c r="P140" s="50"/>
      <c r="Q140" s="338" t="s">
        <v>80</v>
      </c>
      <c r="R140" s="337" t="s">
        <v>59</v>
      </c>
      <c r="S140" s="88">
        <f>IF((-C137-C138-C139)&gt;0,(-C137-C138-C139),0)</f>
        <v>484520.52738299966</v>
      </c>
      <c r="T140" s="89">
        <f>IF((-C137-C138-C139)&lt;0,(-C137-C138-C139),0)</f>
        <v>0</v>
      </c>
    </row>
    <row r="141" spans="1:20" s="382" customFormat="1" ht="16.5" thickBot="1">
      <c r="A141" s="104">
        <f>A137</f>
        <v>41578</v>
      </c>
      <c r="B141" s="50" t="s">
        <v>56</v>
      </c>
      <c r="C141" s="158">
        <f t="shared" ref="C141:H141" si="20">SUM(C132:C140)</f>
        <v>-179650.44953599962</v>
      </c>
      <c r="D141" s="158">
        <f t="shared" si="20"/>
        <v>-1625764.9259929997</v>
      </c>
      <c r="E141" s="158">
        <f t="shared" si="20"/>
        <v>1445120.4364570011</v>
      </c>
      <c r="F141" s="158">
        <f t="shared" si="20"/>
        <v>0</v>
      </c>
      <c r="G141" s="158">
        <f t="shared" si="20"/>
        <v>0</v>
      </c>
      <c r="H141" s="158">
        <f t="shared" si="20"/>
        <v>994.03999999999985</v>
      </c>
      <c r="I141" s="158">
        <f>SUM(I122:I140)</f>
        <v>0</v>
      </c>
      <c r="J141" s="158">
        <f>SUM(J122:J140)</f>
        <v>0</v>
      </c>
      <c r="K141" s="158">
        <f>SUM(K122:K140)</f>
        <v>0</v>
      </c>
      <c r="L141" s="158">
        <f>SUM(L122:L140)</f>
        <v>0</v>
      </c>
      <c r="M141" s="158">
        <f>SUM(M128:M140)</f>
        <v>0</v>
      </c>
      <c r="N141" s="158">
        <f>SUM(N128:N140)</f>
        <v>0</v>
      </c>
      <c r="O141" s="50"/>
      <c r="P141" s="50"/>
      <c r="Q141" s="340" t="s">
        <v>154</v>
      </c>
      <c r="R141" s="337" t="s">
        <v>77</v>
      </c>
      <c r="S141" s="88">
        <v>0</v>
      </c>
      <c r="T141" s="89">
        <f>IF(-C140&lt;0,-C140,0)</f>
        <v>-52.13</v>
      </c>
    </row>
    <row r="142" spans="1:20" s="382" customFormat="1" ht="16.5" thickTop="1" thickBot="1">
      <c r="A142" s="53"/>
      <c r="Q142" s="341" t="s">
        <v>83</v>
      </c>
      <c r="R142" s="339" t="s">
        <v>78</v>
      </c>
      <c r="S142" s="118">
        <f>IF(-C140&gt;0,-C140,0)</f>
        <v>0</v>
      </c>
      <c r="T142" s="111">
        <v>0</v>
      </c>
    </row>
    <row r="143" spans="1:20" s="382" customFormat="1">
      <c r="A143" s="53"/>
      <c r="T143" s="336">
        <f>ROUND(SUM(S137:T142),2)</f>
        <v>0</v>
      </c>
    </row>
    <row r="144" spans="1:20" s="382" customFormat="1" ht="15.75" thickBot="1">
      <c r="A144" s="53"/>
    </row>
    <row r="145" spans="1:20" s="382" customFormat="1" ht="16.5" thickBot="1">
      <c r="A145" s="58"/>
      <c r="Q145" s="334" t="s">
        <v>107</v>
      </c>
      <c r="R145" s="330"/>
      <c r="S145" s="330"/>
      <c r="T145" s="228"/>
    </row>
    <row r="146" spans="1:20" s="382" customFormat="1" ht="15.75">
      <c r="A146" s="58">
        <f>EOMONTH(A141,1)</f>
        <v>41608</v>
      </c>
      <c r="B146" s="59" t="s">
        <v>84</v>
      </c>
      <c r="C146" s="50">
        <f>SUM(D146:N146)</f>
        <v>-593071.07474399754</v>
      </c>
      <c r="D146" s="240">
        <v>-244467.20447699772</v>
      </c>
      <c r="E146" s="240">
        <v>-348603.87026699982</v>
      </c>
      <c r="F146" s="241">
        <v>0</v>
      </c>
      <c r="G146" s="241">
        <v>0</v>
      </c>
      <c r="H146" s="50">
        <v>0</v>
      </c>
      <c r="I146" s="50"/>
      <c r="J146" s="50"/>
      <c r="K146" s="50"/>
      <c r="L146" s="50"/>
      <c r="M146" s="50"/>
      <c r="N146" s="50">
        <v>0</v>
      </c>
      <c r="O146" s="106"/>
      <c r="P146" s="50"/>
      <c r="Q146" s="343" t="s">
        <v>81</v>
      </c>
      <c r="R146" s="344" t="s">
        <v>58</v>
      </c>
      <c r="S146" s="112">
        <f>IF((-C141+C150)&gt;0,(-C141+C150),0)</f>
        <v>0</v>
      </c>
      <c r="T146" s="117">
        <f>IF((-C141+C150)&lt;0,(-C141+C150),0)</f>
        <v>-591098.89221899747</v>
      </c>
    </row>
    <row r="147" spans="1:20" s="382" customFormat="1" ht="15.75">
      <c r="A147" s="62"/>
      <c r="B147" s="59" t="s">
        <v>148</v>
      </c>
      <c r="C147" s="50">
        <f>SUM(D147:H147)</f>
        <v>2369.0025250000003</v>
      </c>
      <c r="D147" s="241">
        <v>2367.0300000000002</v>
      </c>
      <c r="E147" s="241">
        <v>0</v>
      </c>
      <c r="F147" s="241"/>
      <c r="G147" s="242"/>
      <c r="H147" s="60">
        <v>1.9725250000000001</v>
      </c>
      <c r="I147" s="50"/>
      <c r="J147" s="87"/>
      <c r="K147" s="87"/>
      <c r="L147" s="50"/>
      <c r="M147" s="50"/>
      <c r="N147" s="50"/>
      <c r="O147" s="106"/>
      <c r="P147" s="50"/>
      <c r="Q147" s="345" t="s">
        <v>11</v>
      </c>
      <c r="R147" s="346" t="s">
        <v>62</v>
      </c>
      <c r="S147" s="112">
        <v>0</v>
      </c>
      <c r="T147" s="227">
        <v>0</v>
      </c>
    </row>
    <row r="148" spans="1:20" s="382" customFormat="1" ht="15.75">
      <c r="A148" s="62"/>
      <c r="B148" s="59" t="s">
        <v>144</v>
      </c>
      <c r="C148" s="50">
        <f>SUM(D148:N148)</f>
        <v>0</v>
      </c>
      <c r="D148" s="161"/>
      <c r="E148" s="161"/>
      <c r="F148" s="161"/>
      <c r="G148" s="241">
        <v>0</v>
      </c>
      <c r="H148" s="105"/>
      <c r="I148" s="50"/>
      <c r="J148" s="87"/>
      <c r="K148" s="50"/>
      <c r="L148" s="50"/>
      <c r="M148" s="50"/>
      <c r="N148" s="50"/>
      <c r="O148" s="106"/>
      <c r="P148" s="50"/>
      <c r="Q148" s="345" t="s">
        <v>11</v>
      </c>
      <c r="R148" s="346" t="s">
        <v>207</v>
      </c>
      <c r="S148" s="112">
        <v>0</v>
      </c>
      <c r="T148" s="227">
        <v>0</v>
      </c>
    </row>
    <row r="149" spans="1:20" s="382" customFormat="1" ht="15.75">
      <c r="A149" s="62"/>
      <c r="B149" s="59" t="s">
        <v>57</v>
      </c>
      <c r="C149" s="64">
        <f>SUM(D149:N149)</f>
        <v>-396.82</v>
      </c>
      <c r="D149" s="64"/>
      <c r="E149" s="64"/>
      <c r="F149" s="64"/>
      <c r="G149" s="64"/>
      <c r="H149" s="64">
        <v>-396.82</v>
      </c>
      <c r="I149" s="64"/>
      <c r="J149" s="64"/>
      <c r="K149" s="64"/>
      <c r="L149" s="64"/>
      <c r="M149" s="64"/>
      <c r="N149" s="64"/>
      <c r="O149" s="99">
        <v>0.01</v>
      </c>
      <c r="P149" s="50"/>
      <c r="Q149" s="338" t="s">
        <v>80</v>
      </c>
      <c r="R149" s="337" t="s">
        <v>59</v>
      </c>
      <c r="S149" s="88">
        <f>IF((-C146-C147-C148)&gt;0,(-C146-C147-C148),0)</f>
        <v>590702.07221899752</v>
      </c>
      <c r="T149" s="89">
        <f>IF((-C146-C147-C148)&lt;0,(-C146-C147-C148),0)</f>
        <v>0</v>
      </c>
    </row>
    <row r="150" spans="1:20" s="382" customFormat="1" ht="16.5" thickBot="1">
      <c r="A150" s="104">
        <f>A146</f>
        <v>41608</v>
      </c>
      <c r="B150" s="50" t="s">
        <v>56</v>
      </c>
      <c r="C150" s="158">
        <f t="shared" ref="C150:H150" si="21">SUM(C141:C149)</f>
        <v>-770749.34175499715</v>
      </c>
      <c r="D150" s="158">
        <f t="shared" si="21"/>
        <v>-1867865.1004699974</v>
      </c>
      <c r="E150" s="158">
        <f t="shared" si="21"/>
        <v>1096516.5661900013</v>
      </c>
      <c r="F150" s="158">
        <f t="shared" si="21"/>
        <v>0</v>
      </c>
      <c r="G150" s="158">
        <f t="shared" si="21"/>
        <v>0</v>
      </c>
      <c r="H150" s="158">
        <f t="shared" si="21"/>
        <v>599.19252499999993</v>
      </c>
      <c r="I150" s="158">
        <f>SUM(I131:I149)</f>
        <v>0</v>
      </c>
      <c r="J150" s="158">
        <f>SUM(J131:J149)</f>
        <v>0</v>
      </c>
      <c r="K150" s="158">
        <f>SUM(K131:K149)</f>
        <v>0</v>
      </c>
      <c r="L150" s="158">
        <f>SUM(L131:L149)</f>
        <v>0</v>
      </c>
      <c r="M150" s="158">
        <f>SUM(M137:M149)</f>
        <v>0</v>
      </c>
      <c r="N150" s="158">
        <f>SUM(N137:N149)</f>
        <v>0</v>
      </c>
      <c r="O150" s="50"/>
      <c r="P150" s="50"/>
      <c r="Q150" s="340" t="s">
        <v>154</v>
      </c>
      <c r="R150" s="337" t="s">
        <v>77</v>
      </c>
      <c r="S150" s="88">
        <v>0</v>
      </c>
      <c r="T150" s="89">
        <f>IF(-C149&lt;0,-C149,0)</f>
        <v>0</v>
      </c>
    </row>
    <row r="151" spans="1:20" s="382" customFormat="1" ht="16.5" thickTop="1" thickBot="1">
      <c r="A151" s="53"/>
      <c r="Q151" s="341" t="s">
        <v>83</v>
      </c>
      <c r="R151" s="339" t="s">
        <v>78</v>
      </c>
      <c r="S151" s="118">
        <f>IF(-C149&gt;0,-C149,0)</f>
        <v>396.82</v>
      </c>
      <c r="T151" s="111">
        <v>0</v>
      </c>
    </row>
    <row r="152" spans="1:20" s="382" customFormat="1">
      <c r="A152" s="53"/>
      <c r="T152" s="336">
        <f>ROUND(SUM(S146:T151),2)</f>
        <v>0</v>
      </c>
    </row>
    <row r="153" spans="1:20" s="382" customFormat="1" ht="15.75" thickBot="1">
      <c r="A153" s="53"/>
    </row>
    <row r="154" spans="1:20" s="382" customFormat="1" ht="16.5" thickBot="1">
      <c r="A154" s="58"/>
      <c r="Q154" s="334" t="s">
        <v>238</v>
      </c>
      <c r="R154" s="330"/>
      <c r="S154" s="330"/>
      <c r="T154" s="228"/>
    </row>
    <row r="155" spans="1:20" s="382" customFormat="1" ht="15.75">
      <c r="A155" s="58">
        <f>EOMONTH(A150,1)</f>
        <v>41639</v>
      </c>
      <c r="B155" s="59" t="s">
        <v>84</v>
      </c>
      <c r="C155" s="50">
        <f>SUM(D155:N155)</f>
        <v>-820435.88225500053</v>
      </c>
      <c r="D155" s="240">
        <f>Jan!$J$55</f>
        <v>-301284.36970700044</v>
      </c>
      <c r="E155" s="240">
        <f>Jan!$K$55</f>
        <v>-519151.51254800009</v>
      </c>
      <c r="F155" s="241">
        <v>0</v>
      </c>
      <c r="G155" s="241">
        <v>0</v>
      </c>
      <c r="H155" s="50">
        <v>0</v>
      </c>
      <c r="I155" s="50"/>
      <c r="J155" s="50"/>
      <c r="K155" s="50"/>
      <c r="L155" s="50"/>
      <c r="M155" s="50"/>
      <c r="N155" s="50">
        <v>0</v>
      </c>
      <c r="O155" s="106"/>
      <c r="P155" s="50"/>
      <c r="Q155" s="343" t="s">
        <v>81</v>
      </c>
      <c r="R155" s="344" t="s">
        <v>58</v>
      </c>
      <c r="S155" s="112">
        <f>IF((-C150+C159)&gt;0,(-C150+C159),0)</f>
        <v>0</v>
      </c>
      <c r="T155" s="117">
        <f>IF((-C150+C159)&lt;0,(-C150+C159),0)</f>
        <v>-821420.02225500043</v>
      </c>
    </row>
    <row r="156" spans="1:20" s="382" customFormat="1" ht="15.75">
      <c r="A156" s="62"/>
      <c r="B156" s="59" t="s">
        <v>234</v>
      </c>
      <c r="C156" s="50">
        <f>SUM(D156:H156)</f>
        <v>0</v>
      </c>
      <c r="D156" s="241">
        <v>0</v>
      </c>
      <c r="E156" s="241">
        <v>0</v>
      </c>
      <c r="F156" s="241"/>
      <c r="G156" s="242"/>
      <c r="H156" s="105">
        <v>0</v>
      </c>
      <c r="I156" s="50"/>
      <c r="J156" s="87"/>
      <c r="K156" s="87"/>
      <c r="L156" s="50"/>
      <c r="M156" s="50"/>
      <c r="N156" s="50"/>
      <c r="O156" s="106"/>
      <c r="P156" s="50"/>
      <c r="Q156" s="345" t="s">
        <v>11</v>
      </c>
      <c r="R156" s="346" t="s">
        <v>62</v>
      </c>
      <c r="S156" s="112">
        <v>0</v>
      </c>
      <c r="T156" s="227">
        <v>0</v>
      </c>
    </row>
    <row r="157" spans="1:20" s="382" customFormat="1" ht="15.75">
      <c r="A157" s="62"/>
      <c r="B157" s="59" t="s">
        <v>144</v>
      </c>
      <c r="C157" s="50">
        <f>SUM(D157:N157)</f>
        <v>0</v>
      </c>
      <c r="D157" s="161"/>
      <c r="E157" s="161"/>
      <c r="F157" s="161"/>
      <c r="G157" s="241">
        <v>0</v>
      </c>
      <c r="H157" s="105">
        <v>0</v>
      </c>
      <c r="I157" s="50"/>
      <c r="J157" s="87"/>
      <c r="K157" s="50"/>
      <c r="L157" s="50"/>
      <c r="M157" s="50"/>
      <c r="N157" s="50"/>
      <c r="O157" s="106"/>
      <c r="P157" s="50"/>
      <c r="Q157" s="345" t="s">
        <v>11</v>
      </c>
      <c r="R157" s="346" t="s">
        <v>207</v>
      </c>
      <c r="S157" s="112">
        <v>0</v>
      </c>
      <c r="T157" s="227">
        <v>0</v>
      </c>
    </row>
    <row r="158" spans="1:20" s="382" customFormat="1" ht="15.75">
      <c r="A158" s="62"/>
      <c r="B158" s="59" t="s">
        <v>57</v>
      </c>
      <c r="C158" s="64">
        <f>SUM(D158:N158)</f>
        <v>-984.14</v>
      </c>
      <c r="D158" s="64"/>
      <c r="E158" s="64"/>
      <c r="F158" s="64"/>
      <c r="G158" s="64"/>
      <c r="H158" s="64">
        <f>ROUND(((C150)+(C155)/2)*(O158/12),2)</f>
        <v>-984.14</v>
      </c>
      <c r="I158" s="64"/>
      <c r="J158" s="64"/>
      <c r="K158" s="64"/>
      <c r="L158" s="64"/>
      <c r="M158" s="64"/>
      <c r="N158" s="64"/>
      <c r="O158" s="99">
        <v>0.01</v>
      </c>
      <c r="P158" s="50"/>
      <c r="Q158" s="338" t="s">
        <v>80</v>
      </c>
      <c r="R158" s="337" t="s">
        <v>59</v>
      </c>
      <c r="S158" s="88">
        <f>IF((-C155-C157)&gt;0,(-C155-C157),0)</f>
        <v>820435.88225500053</v>
      </c>
      <c r="T158" s="89">
        <f>IF((-C155-C156-C157)&lt;0,(-C155-C156-C157),0)</f>
        <v>0</v>
      </c>
    </row>
    <row r="159" spans="1:20" s="382" customFormat="1" ht="16.5" thickBot="1">
      <c r="A159" s="104">
        <f>A155</f>
        <v>41639</v>
      </c>
      <c r="B159" s="50" t="s">
        <v>56</v>
      </c>
      <c r="C159" s="158">
        <f>SUM(C150:C158)</f>
        <v>-1592169.3640099976</v>
      </c>
      <c r="D159" s="158">
        <f t="shared" ref="D159" si="22">SUM(D150:D158)</f>
        <v>-2169149.4701769976</v>
      </c>
      <c r="E159" s="158">
        <f t="shared" ref="E159" si="23">SUM(E150:E158)</f>
        <v>577365.05364200124</v>
      </c>
      <c r="F159" s="158">
        <f t="shared" ref="F159" si="24">SUM(F150:F158)</f>
        <v>0</v>
      </c>
      <c r="G159" s="158">
        <f t="shared" ref="G159" si="25">SUM(G150:G158)</f>
        <v>0</v>
      </c>
      <c r="H159" s="158">
        <f t="shared" ref="H159" si="26">SUM(H150:H158)</f>
        <v>-384.94747500000005</v>
      </c>
      <c r="I159" s="158">
        <f>SUM(I140:I158)</f>
        <v>0</v>
      </c>
      <c r="J159" s="158">
        <f>SUM(J140:J158)</f>
        <v>0</v>
      </c>
      <c r="K159" s="158">
        <f>SUM(K140:K158)</f>
        <v>0</v>
      </c>
      <c r="L159" s="158">
        <f>SUM(L140:L158)</f>
        <v>0</v>
      </c>
      <c r="M159" s="158">
        <f>SUM(M146:M158)</f>
        <v>0</v>
      </c>
      <c r="N159" s="158">
        <f>SUM(N146:N158)</f>
        <v>0</v>
      </c>
      <c r="O159" s="50"/>
      <c r="P159" s="50"/>
      <c r="Q159" s="340" t="s">
        <v>154</v>
      </c>
      <c r="R159" s="337" t="s">
        <v>77</v>
      </c>
      <c r="S159" s="88">
        <v>0</v>
      </c>
      <c r="T159" s="89">
        <f>IF(-C158&lt;0,-C158,0)</f>
        <v>0</v>
      </c>
    </row>
    <row r="160" spans="1:20" s="382" customFormat="1" ht="17.25" thickTop="1" thickBot="1">
      <c r="A160" s="53"/>
      <c r="B160" s="9" t="s">
        <v>247</v>
      </c>
      <c r="C160" s="382">
        <f>SUM(D160:H160)</f>
        <v>-487553.62</v>
      </c>
      <c r="D160" s="240"/>
      <c r="E160" s="240">
        <v>-481637.67</v>
      </c>
      <c r="F160" s="241"/>
      <c r="G160" s="241"/>
      <c r="H160" s="50">
        <v>-5915.95</v>
      </c>
      <c r="Q160" s="341" t="s">
        <v>83</v>
      </c>
      <c r="R160" s="339" t="s">
        <v>78</v>
      </c>
      <c r="S160" s="118">
        <f>IF(-C158&gt;0,-C158,0)</f>
        <v>984.14</v>
      </c>
      <c r="T160" s="111">
        <v>0</v>
      </c>
    </row>
    <row r="161" spans="1:20" s="382" customFormat="1" ht="15.75">
      <c r="A161" s="53"/>
      <c r="B161" s="9" t="s">
        <v>241</v>
      </c>
      <c r="C161" s="472">
        <f>SUM(C159:C160)</f>
        <v>-2079722.9840099975</v>
      </c>
      <c r="D161" s="472">
        <f>D160+D159</f>
        <v>-2169149.4701769976</v>
      </c>
      <c r="E161" s="472">
        <f>E160+E159</f>
        <v>95727.383642001252</v>
      </c>
      <c r="F161" s="472">
        <f>F160+F159</f>
        <v>0</v>
      </c>
      <c r="G161" s="472">
        <f>G160+G159</f>
        <v>0</v>
      </c>
      <c r="H161" s="472">
        <f>H160+H159</f>
        <v>-6300.8974749999998</v>
      </c>
      <c r="I161" s="472"/>
      <c r="J161" s="472"/>
      <c r="K161" s="472"/>
      <c r="L161" s="472"/>
      <c r="M161" s="472">
        <f>M160+M159</f>
        <v>0</v>
      </c>
      <c r="N161" s="472">
        <f>N160+N159</f>
        <v>0</v>
      </c>
      <c r="S161" s="66"/>
      <c r="T161" s="336">
        <f>ROUND(SUM(S155:T160),2)</f>
        <v>0</v>
      </c>
    </row>
    <row r="162" spans="1:20" ht="16.5" thickBot="1">
      <c r="B162" s="9" t="s">
        <v>242</v>
      </c>
      <c r="C162" s="382" t="e">
        <f>_xll.Get_Balance("201312","YTD","USD","Total","A","","001","191010","GD","ID","DL")</f>
        <v>#VALUE!</v>
      </c>
      <c r="D162" s="382"/>
      <c r="E162" s="382"/>
      <c r="F162" s="382"/>
      <c r="G162" s="382"/>
      <c r="H162" s="382"/>
      <c r="M162" s="382"/>
      <c r="N162" s="382"/>
    </row>
    <row r="163" spans="1:20" ht="16.5" thickBot="1">
      <c r="B163" s="9" t="s">
        <v>243</v>
      </c>
      <c r="C163" s="158" t="e">
        <f>C161-C162</f>
        <v>#VALUE!</v>
      </c>
      <c r="D163" s="382"/>
      <c r="E163" s="382"/>
      <c r="F163" s="382"/>
      <c r="G163" s="382"/>
      <c r="H163" s="382"/>
      <c r="I163" s="382"/>
      <c r="J163" s="382"/>
      <c r="K163" s="382"/>
      <c r="L163" s="382"/>
      <c r="M163" s="382"/>
      <c r="N163" s="382"/>
      <c r="Q163" s="334" t="s">
        <v>239</v>
      </c>
      <c r="R163" s="330"/>
      <c r="S163" s="330"/>
      <c r="T163" s="228"/>
    </row>
    <row r="164" spans="1:20" ht="15.75" thickTop="1">
      <c r="D164" s="382"/>
      <c r="E164" s="382"/>
      <c r="F164" s="382"/>
      <c r="G164" s="382"/>
      <c r="H164" s="382"/>
      <c r="I164" s="382"/>
      <c r="J164" s="382"/>
      <c r="K164" s="382"/>
      <c r="L164" s="382"/>
      <c r="M164" s="382"/>
      <c r="N164" s="382"/>
      <c r="Q164" s="343" t="s">
        <v>81</v>
      </c>
      <c r="R164" s="344" t="s">
        <v>58</v>
      </c>
      <c r="S164" s="112">
        <v>0</v>
      </c>
      <c r="T164" s="117">
        <v>-1943728.32</v>
      </c>
    </row>
    <row r="165" spans="1:20">
      <c r="Q165" s="345" t="s">
        <v>11</v>
      </c>
      <c r="R165" s="346" t="s">
        <v>62</v>
      </c>
      <c r="S165" s="112">
        <v>0</v>
      </c>
      <c r="T165" s="227">
        <v>0</v>
      </c>
    </row>
    <row r="166" spans="1:20">
      <c r="Q166" s="345" t="s">
        <v>11</v>
      </c>
      <c r="R166" s="346" t="s">
        <v>207</v>
      </c>
      <c r="S166" s="112">
        <v>0</v>
      </c>
      <c r="T166" s="227">
        <v>0</v>
      </c>
    </row>
    <row r="167" spans="1:20">
      <c r="Q167" s="338" t="s">
        <v>80</v>
      </c>
      <c r="R167" s="337" t="s">
        <v>59</v>
      </c>
      <c r="S167" s="88">
        <v>1942276.75</v>
      </c>
      <c r="T167" s="89">
        <f>IF((-C164-C165-C166)&lt;0,(-C164-C165-C166),0)</f>
        <v>0</v>
      </c>
    </row>
    <row r="168" spans="1:20">
      <c r="Q168" s="340" t="s">
        <v>154</v>
      </c>
      <c r="R168" s="337" t="s">
        <v>77</v>
      </c>
      <c r="S168" s="88">
        <v>0</v>
      </c>
      <c r="T168" s="89">
        <f>IF(-C167&lt;0,-C167,0)</f>
        <v>0</v>
      </c>
    </row>
    <row r="169" spans="1:20" ht="15.75" thickBot="1">
      <c r="Q169" s="341" t="s">
        <v>83</v>
      </c>
      <c r="R169" s="339" t="s">
        <v>78</v>
      </c>
      <c r="S169" s="118">
        <v>1451.57</v>
      </c>
      <c r="T169" s="111">
        <v>0</v>
      </c>
    </row>
    <row r="170" spans="1:20">
      <c r="Q170" s="382"/>
      <c r="R170" s="382"/>
      <c r="S170" s="66"/>
      <c r="T170" s="336">
        <f>ROUND(SUM(S164:T169),2)</f>
        <v>0</v>
      </c>
    </row>
    <row r="171" spans="1:20" ht="15.75" thickBot="1"/>
    <row r="172" spans="1:20" ht="15.75" thickBot="1">
      <c r="Q172" s="334" t="s">
        <v>240</v>
      </c>
      <c r="R172" s="330"/>
      <c r="S172" s="330"/>
      <c r="T172" s="228"/>
    </row>
    <row r="173" spans="1:20">
      <c r="Q173" s="343" t="s">
        <v>81</v>
      </c>
      <c r="R173" s="344" t="s">
        <v>58</v>
      </c>
      <c r="S173" s="112">
        <f>T155-T164</f>
        <v>1122308.2977449996</v>
      </c>
      <c r="T173" s="117">
        <f>IF((-C168+C177)&lt;0,(-C168+C177),0)</f>
        <v>0</v>
      </c>
    </row>
    <row r="174" spans="1:20">
      <c r="Q174" s="345" t="s">
        <v>11</v>
      </c>
      <c r="R174" s="346" t="s">
        <v>62</v>
      </c>
      <c r="S174" s="112">
        <v>0</v>
      </c>
      <c r="T174" s="227">
        <v>0</v>
      </c>
    </row>
    <row r="175" spans="1:20">
      <c r="Q175" s="345" t="s">
        <v>11</v>
      </c>
      <c r="R175" s="346" t="s">
        <v>207</v>
      </c>
      <c r="S175" s="112">
        <v>0</v>
      </c>
      <c r="T175" s="227">
        <v>0</v>
      </c>
    </row>
    <row r="176" spans="1:20">
      <c r="Q176" s="338" t="s">
        <v>80</v>
      </c>
      <c r="R176" s="337" t="s">
        <v>59</v>
      </c>
      <c r="S176" s="88">
        <f>IF((-C173-C175)&gt;0,(-C173-C175),0)</f>
        <v>0</v>
      </c>
      <c r="T176" s="89">
        <f>S158-S167</f>
        <v>-1121840.8677449995</v>
      </c>
    </row>
    <row r="177" spans="17:20">
      <c r="Q177" s="340" t="s">
        <v>154</v>
      </c>
      <c r="R177" s="337" t="s">
        <v>77</v>
      </c>
      <c r="S177" s="88">
        <v>0</v>
      </c>
      <c r="T177" s="89">
        <f>IF(-C176&lt;0,-C176,0)</f>
        <v>0</v>
      </c>
    </row>
    <row r="178" spans="17:20" ht="15.75" thickBot="1">
      <c r="Q178" s="341" t="s">
        <v>83</v>
      </c>
      <c r="R178" s="339" t="s">
        <v>78</v>
      </c>
      <c r="S178" s="118">
        <f>IF(-C176&gt;0,-C176,0)</f>
        <v>0</v>
      </c>
      <c r="T178" s="111">
        <f>S160-S169</f>
        <v>-467.42999999999995</v>
      </c>
    </row>
    <row r="179" spans="17:20">
      <c r="Q179" s="382"/>
      <c r="R179" s="382"/>
      <c r="S179" s="66"/>
      <c r="T179" s="336">
        <f>ROUND(SUM(S173:T178),2)</f>
        <v>0</v>
      </c>
    </row>
    <row r="1058" spans="3:3">
      <c r="C1058" s="1">
        <v>-2130</v>
      </c>
    </row>
    <row r="1066" spans="3:3">
      <c r="C1066" s="1">
        <f>7004298-2130</f>
        <v>7002168</v>
      </c>
    </row>
  </sheetData>
  <mergeCells count="1">
    <mergeCell ref="A32:O32"/>
  </mergeCells>
  <phoneticPr fontId="0" type="noConversion"/>
  <conditionalFormatting sqref="T31 T22 T49 T40 T58">
    <cfRule type="cellIs" dxfId="109" priority="258" stopIfTrue="1" operator="equal">
      <formula>0</formula>
    </cfRule>
    <cfRule type="cellIs" dxfId="108" priority="259" stopIfTrue="1" operator="notEqual">
      <formula>0</formula>
    </cfRule>
  </conditionalFormatting>
  <conditionalFormatting sqref="T31 T22 T49 T40 T58">
    <cfRule type="cellIs" dxfId="107" priority="236" stopIfTrue="1" operator="equal">
      <formula>0</formula>
    </cfRule>
  </conditionalFormatting>
  <printOptions gridLinesSet="0"/>
  <pageMargins left="0.18" right="0" top="0.5" bottom="0.5" header="0.5" footer="0.25"/>
  <pageSetup scale="18" orientation="landscape" horizontalDpi="300" verticalDpi="300" r:id="rId1"/>
  <headerFooter alignWithMargins="0">
    <oddFooter>&amp;L&amp;F&amp;C&amp;A&amp;R&amp;D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pageSetUpPr fitToPage="1"/>
  </sheetPr>
  <dimension ref="A1:T1153"/>
  <sheetViews>
    <sheetView showGridLines="0" view="pageBreakPreview" zoomScaleNormal="100" zoomScaleSheetLayoutView="100" workbookViewId="0">
      <pane ySplit="7" topLeftCell="A86" activePane="bottomLeft" state="frozen"/>
      <selection activeCell="G51" sqref="G51:J55"/>
      <selection pane="bottomLeft" activeCell="G51" sqref="G51:J55"/>
    </sheetView>
  </sheetViews>
  <sheetFormatPr defaultColWidth="9.7109375" defaultRowHeight="15"/>
  <cols>
    <col min="1" max="1" width="11.42578125" style="53" customWidth="1"/>
    <col min="2" max="2" width="27.140625" style="329" customWidth="1"/>
    <col min="3" max="3" width="18.42578125" style="329" customWidth="1"/>
    <col min="4" max="4" width="19.140625" style="329" bestFit="1" customWidth="1"/>
    <col min="5" max="5" width="19.42578125" style="329" bestFit="1" customWidth="1"/>
    <col min="6" max="7" width="13.140625" style="329" customWidth="1"/>
    <col min="8" max="8" width="16.7109375" style="329" bestFit="1" customWidth="1"/>
    <col min="9" max="9" width="14.42578125" style="329" hidden="1" customWidth="1"/>
    <col min="10" max="10" width="13.28515625" style="329" hidden="1" customWidth="1"/>
    <col min="11" max="11" width="15.140625" style="329" hidden="1" customWidth="1"/>
    <col min="12" max="12" width="18.140625" style="329" hidden="1" customWidth="1"/>
    <col min="13" max="14" width="12.5703125" style="329" customWidth="1"/>
    <col min="15" max="15" width="11.28515625" style="329" customWidth="1"/>
    <col min="16" max="16" width="2.28515625" style="329" customWidth="1"/>
    <col min="17" max="17" width="26.85546875" style="329" customWidth="1"/>
    <col min="18" max="18" width="16.42578125" style="329" customWidth="1"/>
    <col min="19" max="19" width="17" style="329" customWidth="1"/>
    <col min="20" max="20" width="19.7109375" style="329" customWidth="1"/>
    <col min="21" max="16384" width="9.7109375" style="329"/>
  </cols>
  <sheetData>
    <row r="1" spans="1:20" ht="15.75">
      <c r="A1" s="51" t="s">
        <v>13</v>
      </c>
      <c r="M1" s="41"/>
    </row>
    <row r="2" spans="1:20" ht="15.75">
      <c r="A2" s="51" t="s">
        <v>46</v>
      </c>
    </row>
    <row r="3" spans="1:20" ht="15.75">
      <c r="A3" s="51" t="s">
        <v>201</v>
      </c>
    </row>
    <row r="4" spans="1:20" ht="15.75">
      <c r="A4" s="51" t="s">
        <v>202</v>
      </c>
    </row>
    <row r="5" spans="1:20">
      <c r="Q5" s="264"/>
      <c r="R5" s="5"/>
      <c r="S5" s="5"/>
      <c r="T5" s="5"/>
    </row>
    <row r="6" spans="1:20" s="55" customFormat="1" ht="15.75" customHeight="1">
      <c r="A6" s="54"/>
      <c r="C6" s="55" t="s">
        <v>21</v>
      </c>
      <c r="D6" s="55" t="s">
        <v>2</v>
      </c>
      <c r="E6" s="55" t="s">
        <v>3</v>
      </c>
      <c r="F6" s="55" t="s">
        <v>48</v>
      </c>
      <c r="G6" s="55" t="s">
        <v>144</v>
      </c>
      <c r="H6" s="55" t="s">
        <v>4</v>
      </c>
      <c r="I6" s="55" t="s">
        <v>5</v>
      </c>
      <c r="J6" s="55" t="s">
        <v>50</v>
      </c>
      <c r="K6" s="55" t="s">
        <v>51</v>
      </c>
      <c r="L6" s="55" t="s">
        <v>6</v>
      </c>
      <c r="M6" s="55" t="s">
        <v>52</v>
      </c>
      <c r="N6" s="55" t="s">
        <v>14</v>
      </c>
      <c r="O6" s="55" t="s">
        <v>85</v>
      </c>
    </row>
    <row r="7" spans="1:20" s="55" customFormat="1" ht="15.75" customHeight="1">
      <c r="A7" s="54"/>
      <c r="C7" s="55" t="s">
        <v>203</v>
      </c>
      <c r="D7" s="55" t="s">
        <v>7</v>
      </c>
      <c r="E7" s="55" t="s">
        <v>7</v>
      </c>
      <c r="F7" s="55" t="s">
        <v>7</v>
      </c>
      <c r="G7" s="55" t="s">
        <v>34</v>
      </c>
      <c r="I7" s="55" t="s">
        <v>8</v>
      </c>
      <c r="J7" s="55" t="s">
        <v>53</v>
      </c>
      <c r="K7" s="55" t="s">
        <v>54</v>
      </c>
      <c r="L7" s="55" t="s">
        <v>55</v>
      </c>
      <c r="M7" s="55" t="s">
        <v>7</v>
      </c>
      <c r="N7" s="55" t="s">
        <v>9</v>
      </c>
    </row>
    <row r="8" spans="1:20" s="380" customFormat="1" ht="15.75" hidden="1" customHeight="1">
      <c r="A8" s="378"/>
      <c r="B8" s="246" t="s">
        <v>11</v>
      </c>
      <c r="C8" s="379"/>
      <c r="D8" s="379"/>
      <c r="E8" s="379"/>
      <c r="F8" s="379"/>
      <c r="G8" s="379"/>
      <c r="H8" s="379"/>
      <c r="I8" s="379"/>
      <c r="J8" s="379"/>
      <c r="K8" s="379"/>
      <c r="L8" s="379"/>
      <c r="M8" s="379"/>
      <c r="N8" s="379"/>
      <c r="T8" s="372"/>
    </row>
    <row r="9" spans="1:20" s="380" customFormat="1" ht="16.5" hidden="1" customHeight="1" thickBot="1">
      <c r="A9" s="378"/>
      <c r="B9" s="246" t="s">
        <v>204</v>
      </c>
      <c r="C9" s="381">
        <v>-1550000</v>
      </c>
      <c r="D9" s="381">
        <f>-'ID Def 191010'!D10</f>
        <v>-883736.20005990437</v>
      </c>
      <c r="E9" s="381">
        <f>-'ID Def 191010'!E10</f>
        <v>-659271.7478600872</v>
      </c>
      <c r="F9" s="381">
        <v>0</v>
      </c>
      <c r="G9" s="381">
        <v>0</v>
      </c>
      <c r="H9" s="381">
        <f>-'ID Def 191010'!H10</f>
        <v>-6992.0520800084523</v>
      </c>
      <c r="I9" s="381">
        <v>0</v>
      </c>
      <c r="J9" s="381">
        <v>0</v>
      </c>
      <c r="K9" s="381">
        <v>0</v>
      </c>
      <c r="L9" s="381">
        <v>0</v>
      </c>
      <c r="M9" s="381">
        <v>0</v>
      </c>
      <c r="N9" s="381">
        <v>0</v>
      </c>
      <c r="T9" s="372"/>
    </row>
    <row r="10" spans="1:20" s="55" customFormat="1" ht="15.75" hidden="1" customHeight="1" thickTop="1" thickBot="1">
      <c r="A10" s="54"/>
    </row>
    <row r="11" spans="1:20" ht="15.75" hidden="1" customHeight="1" thickBot="1">
      <c r="Q11" s="334" t="s">
        <v>107</v>
      </c>
      <c r="R11" s="330"/>
      <c r="S11" s="330"/>
      <c r="T11" s="228"/>
    </row>
    <row r="12" spans="1:20" ht="15.75" hidden="1" customHeight="1">
      <c r="A12" s="58">
        <v>41183</v>
      </c>
      <c r="B12" s="59" t="s">
        <v>84</v>
      </c>
      <c r="C12" s="11">
        <v>0</v>
      </c>
      <c r="D12" s="247">
        <v>0</v>
      </c>
      <c r="E12" s="247">
        <v>0</v>
      </c>
      <c r="F12" s="248">
        <v>0</v>
      </c>
      <c r="G12" s="248">
        <v>0</v>
      </c>
      <c r="H12" s="50">
        <v>0</v>
      </c>
      <c r="I12" s="50"/>
      <c r="J12" s="50"/>
      <c r="K12" s="50"/>
      <c r="L12" s="50"/>
      <c r="M12" s="50"/>
      <c r="N12" s="50">
        <v>0</v>
      </c>
      <c r="O12" s="106"/>
      <c r="P12" s="50"/>
      <c r="Q12" s="390" t="s">
        <v>209</v>
      </c>
      <c r="R12" s="391" t="s">
        <v>207</v>
      </c>
      <c r="S12" s="333">
        <f>IF(SUM(C12:C15)&gt;0,C12+C13+C15+C14,0)</f>
        <v>0</v>
      </c>
      <c r="T12" s="335">
        <f>IF(SUM(C12:C15)&lt;0,C12+C13+C15+C14,0)</f>
        <v>-1291.67</v>
      </c>
    </row>
    <row r="13" spans="1:20" ht="15.75" hidden="1" customHeight="1">
      <c r="A13" s="62"/>
      <c r="B13" s="59" t="s">
        <v>148</v>
      </c>
      <c r="C13" s="11">
        <v>0</v>
      </c>
      <c r="D13" s="248"/>
      <c r="E13" s="248">
        <v>0</v>
      </c>
      <c r="F13" s="248"/>
      <c r="G13" s="249"/>
      <c r="H13" s="60"/>
      <c r="I13" s="50"/>
      <c r="J13" s="87"/>
      <c r="K13" s="87"/>
      <c r="L13" s="50"/>
      <c r="M13" s="50"/>
      <c r="N13" s="50"/>
      <c r="O13" s="106"/>
      <c r="P13" s="50"/>
      <c r="Q13" s="345" t="s">
        <v>11</v>
      </c>
      <c r="R13" s="346" t="s">
        <v>62</v>
      </c>
      <c r="S13" s="333">
        <v>0</v>
      </c>
      <c r="T13" s="335">
        <v>0</v>
      </c>
    </row>
    <row r="14" spans="1:20" ht="15.75" hidden="1" customHeight="1">
      <c r="A14" s="62"/>
      <c r="B14" s="59" t="s">
        <v>144</v>
      </c>
      <c r="C14" s="11">
        <v>0</v>
      </c>
      <c r="D14" s="246">
        <v>0</v>
      </c>
      <c r="E14" s="246"/>
      <c r="F14" s="246"/>
      <c r="G14" s="248">
        <v>0</v>
      </c>
      <c r="H14" s="105"/>
      <c r="I14" s="50"/>
      <c r="J14" s="87"/>
      <c r="K14" s="50"/>
      <c r="L14" s="50"/>
      <c r="M14" s="50"/>
      <c r="N14" s="50"/>
      <c r="O14" s="106"/>
      <c r="P14" s="50"/>
      <c r="Q14" s="338" t="s">
        <v>80</v>
      </c>
      <c r="R14" s="337" t="s">
        <v>59</v>
      </c>
      <c r="S14" s="112">
        <f>IF(SUM(C12)&lt;0,-C12,0)</f>
        <v>0</v>
      </c>
      <c r="T14" s="335">
        <f>IF(SUM(C12)&gt;0,-C12,0)</f>
        <v>0</v>
      </c>
    </row>
    <row r="15" spans="1:20" ht="15.75" hidden="1" customHeight="1">
      <c r="A15" s="62"/>
      <c r="B15" s="59" t="s">
        <v>57</v>
      </c>
      <c r="C15" s="64">
        <v>-1291.67</v>
      </c>
      <c r="D15" s="64"/>
      <c r="E15" s="64"/>
      <c r="F15" s="64"/>
      <c r="G15" s="64"/>
      <c r="H15" s="64">
        <v>-1291.67</v>
      </c>
      <c r="I15" s="64"/>
      <c r="J15" s="64"/>
      <c r="K15" s="64"/>
      <c r="L15" s="64"/>
      <c r="M15" s="64"/>
      <c r="N15" s="64"/>
      <c r="O15" s="99">
        <v>0.01</v>
      </c>
      <c r="P15" s="50"/>
      <c r="Q15" s="340" t="s">
        <v>154</v>
      </c>
      <c r="R15" s="337" t="s">
        <v>77</v>
      </c>
      <c r="S15" s="342">
        <v>0</v>
      </c>
      <c r="T15" s="335">
        <f>IF(SUM(C15)&gt;0,-C15,0)</f>
        <v>0</v>
      </c>
    </row>
    <row r="16" spans="1:20" ht="16.5" hidden="1" customHeight="1" thickBot="1">
      <c r="A16" s="104">
        <f>A12</f>
        <v>41183</v>
      </c>
      <c r="B16" s="50" t="s">
        <v>56</v>
      </c>
      <c r="C16" s="158">
        <f>SUM(C9:C15)</f>
        <v>-1551291.67</v>
      </c>
      <c r="D16" s="158">
        <f t="shared" ref="D16:N16" si="0">SUM(D9:D15)</f>
        <v>-883736.20005990437</v>
      </c>
      <c r="E16" s="158">
        <f t="shared" si="0"/>
        <v>-659271.7478600872</v>
      </c>
      <c r="F16" s="158">
        <f t="shared" si="0"/>
        <v>0</v>
      </c>
      <c r="G16" s="158">
        <f t="shared" si="0"/>
        <v>0</v>
      </c>
      <c r="H16" s="158">
        <f t="shared" si="0"/>
        <v>-8283.7220800084524</v>
      </c>
      <c r="I16" s="158">
        <f t="shared" si="0"/>
        <v>0</v>
      </c>
      <c r="J16" s="158">
        <f t="shared" si="0"/>
        <v>0</v>
      </c>
      <c r="K16" s="158">
        <f t="shared" si="0"/>
        <v>0</v>
      </c>
      <c r="L16" s="158">
        <f t="shared" si="0"/>
        <v>0</v>
      </c>
      <c r="M16" s="158">
        <f t="shared" si="0"/>
        <v>0</v>
      </c>
      <c r="N16" s="158">
        <f t="shared" si="0"/>
        <v>0</v>
      </c>
      <c r="O16" s="50"/>
      <c r="P16" s="50"/>
      <c r="Q16" s="341" t="s">
        <v>83</v>
      </c>
      <c r="R16" s="339" t="s">
        <v>78</v>
      </c>
      <c r="S16" s="116">
        <f>IF(SUM(C15)&lt;0,-C15,0)</f>
        <v>1291.67</v>
      </c>
      <c r="T16" s="389">
        <v>0</v>
      </c>
    </row>
    <row r="17" spans="1:20" ht="16.5" hidden="1" customHeight="1" thickTop="1" thickBot="1">
      <c r="T17" s="336">
        <v>0</v>
      </c>
    </row>
    <row r="18" spans="1:20" s="382" customFormat="1" ht="15.75" hidden="1" customHeight="1" thickBot="1">
      <c r="A18" s="53"/>
      <c r="Q18" s="334" t="s">
        <v>107</v>
      </c>
      <c r="R18" s="330"/>
      <c r="S18" s="330"/>
      <c r="T18" s="228"/>
    </row>
    <row r="19" spans="1:20" s="382" customFormat="1" ht="15.75" hidden="1" customHeight="1">
      <c r="A19" s="58">
        <v>41214</v>
      </c>
      <c r="B19" s="59" t="s">
        <v>84</v>
      </c>
      <c r="C19" s="11">
        <f>SUM(D19:N19)</f>
        <v>0</v>
      </c>
      <c r="D19" s="247">
        <v>0</v>
      </c>
      <c r="E19" s="247">
        <v>0</v>
      </c>
      <c r="F19" s="248">
        <v>0</v>
      </c>
      <c r="G19" s="248">
        <v>0</v>
      </c>
      <c r="H19" s="50">
        <v>0</v>
      </c>
      <c r="I19" s="50"/>
      <c r="J19" s="50"/>
      <c r="K19" s="50"/>
      <c r="L19" s="50"/>
      <c r="M19" s="50"/>
      <c r="N19" s="50">
        <v>0</v>
      </c>
      <c r="O19" s="106"/>
      <c r="P19" s="50"/>
      <c r="Q19" s="390" t="s">
        <v>209</v>
      </c>
      <c r="R19" s="391" t="s">
        <v>207</v>
      </c>
      <c r="S19" s="333">
        <f>IF(SUM(C19:C22)&gt;0,C19+C20+C22+C21,0)</f>
        <v>0</v>
      </c>
      <c r="T19" s="335">
        <f>IF(SUM(C19:C22)&lt;0,C19+C20+C22+C21,0)</f>
        <v>-1292.74</v>
      </c>
    </row>
    <row r="20" spans="1:20" s="382" customFormat="1" ht="15.75" hidden="1" customHeight="1">
      <c r="A20" s="62"/>
      <c r="B20" s="59" t="s">
        <v>148</v>
      </c>
      <c r="C20" s="11">
        <f>SUM(D20:N20)</f>
        <v>0</v>
      </c>
      <c r="D20" s="248"/>
      <c r="E20" s="248">
        <v>0</v>
      </c>
      <c r="F20" s="248"/>
      <c r="G20" s="249"/>
      <c r="H20" s="60"/>
      <c r="I20" s="50"/>
      <c r="J20" s="87"/>
      <c r="K20" s="87"/>
      <c r="L20" s="50"/>
      <c r="M20" s="50"/>
      <c r="N20" s="50"/>
      <c r="O20" s="106"/>
      <c r="P20" s="50"/>
      <c r="Q20" s="345" t="s">
        <v>11</v>
      </c>
      <c r="R20" s="346" t="s">
        <v>62</v>
      </c>
      <c r="S20" s="333">
        <v>0</v>
      </c>
      <c r="T20" s="335">
        <v>0</v>
      </c>
    </row>
    <row r="21" spans="1:20" s="382" customFormat="1" ht="15.75" hidden="1" customHeight="1">
      <c r="A21" s="62"/>
      <c r="B21" s="59" t="s">
        <v>144</v>
      </c>
      <c r="C21" s="11">
        <f>SUM(D21:N21)</f>
        <v>0</v>
      </c>
      <c r="D21" s="246">
        <v>0</v>
      </c>
      <c r="E21" s="246"/>
      <c r="F21" s="246"/>
      <c r="G21" s="248">
        <v>0</v>
      </c>
      <c r="H21" s="105"/>
      <c r="I21" s="50"/>
      <c r="J21" s="87"/>
      <c r="K21" s="50"/>
      <c r="L21" s="50"/>
      <c r="M21" s="50"/>
      <c r="N21" s="50"/>
      <c r="O21" s="106"/>
      <c r="P21" s="50"/>
      <c r="Q21" s="338" t="s">
        <v>80</v>
      </c>
      <c r="R21" s="337" t="s">
        <v>59</v>
      </c>
      <c r="S21" s="112">
        <f>IF(SUM(C19)&lt;0,-C19,0)</f>
        <v>0</v>
      </c>
      <c r="T21" s="335">
        <f>IF(SUM(C19)&gt;0,-C19,0)</f>
        <v>0</v>
      </c>
    </row>
    <row r="22" spans="1:20" s="382" customFormat="1" ht="15.75" hidden="1" customHeight="1">
      <c r="A22" s="62"/>
      <c r="B22" s="59" t="s">
        <v>57</v>
      </c>
      <c r="C22" s="64">
        <f>SUM(D22:N22)</f>
        <v>-1292.74</v>
      </c>
      <c r="D22" s="64"/>
      <c r="E22" s="64"/>
      <c r="F22" s="64"/>
      <c r="G22" s="64"/>
      <c r="H22" s="64">
        <f>ROUND(((C16)+(C19)/2)*(O22/12),2)</f>
        <v>-1292.74</v>
      </c>
      <c r="I22" s="64"/>
      <c r="J22" s="64"/>
      <c r="K22" s="64"/>
      <c r="L22" s="64"/>
      <c r="M22" s="64"/>
      <c r="N22" s="64"/>
      <c r="O22" s="99">
        <v>0.01</v>
      </c>
      <c r="P22" s="50"/>
      <c r="Q22" s="340" t="s">
        <v>154</v>
      </c>
      <c r="R22" s="337" t="s">
        <v>77</v>
      </c>
      <c r="S22" s="342">
        <v>0</v>
      </c>
      <c r="T22" s="335">
        <f>IF(SUM(C22)&gt;0,-C22,0)</f>
        <v>0</v>
      </c>
    </row>
    <row r="23" spans="1:20" s="382" customFormat="1" ht="16.5" hidden="1" customHeight="1" thickBot="1">
      <c r="A23" s="104">
        <f>A19</f>
        <v>41214</v>
      </c>
      <c r="B23" s="50" t="s">
        <v>56</v>
      </c>
      <c r="C23" s="158">
        <f>SUM(C16:C22)</f>
        <v>-1552584.41</v>
      </c>
      <c r="D23" s="158">
        <f>SUM(D16:D22)</f>
        <v>-883736.20005990437</v>
      </c>
      <c r="E23" s="158">
        <f t="shared" ref="E23:N23" si="1">SUM(E16:E22)</f>
        <v>-659271.7478600872</v>
      </c>
      <c r="F23" s="158">
        <f t="shared" si="1"/>
        <v>0</v>
      </c>
      <c r="G23" s="158">
        <f t="shared" si="1"/>
        <v>0</v>
      </c>
      <c r="H23" s="158">
        <f>SUM(H16:H22)</f>
        <v>-9576.4620800084522</v>
      </c>
      <c r="I23" s="158">
        <f t="shared" si="1"/>
        <v>0</v>
      </c>
      <c r="J23" s="158">
        <f t="shared" si="1"/>
        <v>0</v>
      </c>
      <c r="K23" s="158">
        <f t="shared" si="1"/>
        <v>0</v>
      </c>
      <c r="L23" s="158">
        <f t="shared" si="1"/>
        <v>0</v>
      </c>
      <c r="M23" s="158">
        <f t="shared" si="1"/>
        <v>0</v>
      </c>
      <c r="N23" s="158">
        <f t="shared" si="1"/>
        <v>0</v>
      </c>
      <c r="O23" s="50"/>
      <c r="P23" s="50"/>
      <c r="Q23" s="341" t="s">
        <v>83</v>
      </c>
      <c r="R23" s="339" t="s">
        <v>78</v>
      </c>
      <c r="S23" s="116">
        <f>IF(SUM(C22)&lt;0,-C22,0)</f>
        <v>1292.74</v>
      </c>
      <c r="T23" s="389">
        <v>0</v>
      </c>
    </row>
    <row r="24" spans="1:20" s="382" customFormat="1" ht="16.5" hidden="1" customHeight="1" thickTop="1" thickBot="1">
      <c r="A24" s="53"/>
      <c r="T24" s="336">
        <v>0</v>
      </c>
    </row>
    <row r="25" spans="1:20" s="382" customFormat="1" ht="15.75" hidden="1" customHeight="1" thickBot="1">
      <c r="A25" s="53"/>
      <c r="Q25" s="334" t="s">
        <v>107</v>
      </c>
      <c r="R25" s="330"/>
      <c r="S25" s="330"/>
      <c r="T25" s="228"/>
    </row>
    <row r="26" spans="1:20" s="382" customFormat="1" ht="15.75" hidden="1" customHeight="1">
      <c r="A26" s="58">
        <v>41244</v>
      </c>
      <c r="B26" s="59" t="s">
        <v>84</v>
      </c>
      <c r="C26" s="11">
        <f>SUM(D26:N26)</f>
        <v>0</v>
      </c>
      <c r="D26" s="247">
        <v>0</v>
      </c>
      <c r="E26" s="247">
        <v>0</v>
      </c>
      <c r="F26" s="248">
        <v>0</v>
      </c>
      <c r="G26" s="248">
        <v>0</v>
      </c>
      <c r="H26" s="50">
        <v>0</v>
      </c>
      <c r="I26" s="50"/>
      <c r="J26" s="50"/>
      <c r="K26" s="50"/>
      <c r="L26" s="50"/>
      <c r="M26" s="50"/>
      <c r="N26" s="50">
        <v>0</v>
      </c>
      <c r="O26" s="106"/>
      <c r="P26" s="50"/>
      <c r="Q26" s="390" t="s">
        <v>209</v>
      </c>
      <c r="R26" s="391" t="s">
        <v>207</v>
      </c>
      <c r="S26" s="333">
        <f>IF(SUM(C26:C29)&gt;0,C26+C27+C29+C28,0)</f>
        <v>0</v>
      </c>
      <c r="T26" s="335">
        <f>IF(SUM(C26:C29)&lt;0,C26+C27+C29+C28,0)</f>
        <v>-1293.82</v>
      </c>
    </row>
    <row r="27" spans="1:20" s="382" customFormat="1" ht="15.75" hidden="1" customHeight="1">
      <c r="A27" s="62"/>
      <c r="B27" s="59" t="s">
        <v>148</v>
      </c>
      <c r="C27" s="11">
        <f>SUM(D27:N27)</f>
        <v>0</v>
      </c>
      <c r="D27" s="248"/>
      <c r="E27" s="248">
        <v>0</v>
      </c>
      <c r="F27" s="248"/>
      <c r="G27" s="249"/>
      <c r="H27" s="60"/>
      <c r="I27" s="50"/>
      <c r="J27" s="87"/>
      <c r="K27" s="87"/>
      <c r="L27" s="50"/>
      <c r="M27" s="50"/>
      <c r="N27" s="50"/>
      <c r="O27" s="106"/>
      <c r="P27" s="50"/>
      <c r="Q27" s="345" t="s">
        <v>11</v>
      </c>
      <c r="R27" s="346" t="s">
        <v>62</v>
      </c>
      <c r="S27" s="333">
        <v>0</v>
      </c>
      <c r="T27" s="335">
        <v>0</v>
      </c>
    </row>
    <row r="28" spans="1:20" s="382" customFormat="1" ht="15.75" hidden="1" customHeight="1">
      <c r="A28" s="62"/>
      <c r="B28" s="59" t="s">
        <v>144</v>
      </c>
      <c r="C28" s="11">
        <f>SUM(D28:N28)</f>
        <v>0</v>
      </c>
      <c r="D28" s="246">
        <v>0</v>
      </c>
      <c r="E28" s="246"/>
      <c r="F28" s="246"/>
      <c r="G28" s="248">
        <v>0</v>
      </c>
      <c r="H28" s="105"/>
      <c r="I28" s="50"/>
      <c r="J28" s="87"/>
      <c r="K28" s="50"/>
      <c r="L28" s="50"/>
      <c r="M28" s="50"/>
      <c r="N28" s="50"/>
      <c r="O28" s="106"/>
      <c r="P28" s="50"/>
      <c r="Q28" s="338" t="s">
        <v>80</v>
      </c>
      <c r="R28" s="337" t="s">
        <v>59</v>
      </c>
      <c r="S28" s="112">
        <f>IF(SUM(C26)&lt;0,-C26,0)</f>
        <v>0</v>
      </c>
      <c r="T28" s="335">
        <f>IF(SUM(C26)&gt;0,-C26,0)</f>
        <v>0</v>
      </c>
    </row>
    <row r="29" spans="1:20" s="382" customFormat="1" ht="15.75" hidden="1" customHeight="1">
      <c r="A29" s="62"/>
      <c r="B29" s="59" t="s">
        <v>57</v>
      </c>
      <c r="C29" s="64">
        <f>SUM(D29:N29)</f>
        <v>-1293.82</v>
      </c>
      <c r="D29" s="64"/>
      <c r="E29" s="64"/>
      <c r="F29" s="64"/>
      <c r="G29" s="64"/>
      <c r="H29" s="64">
        <f>ROUND(((C23)+(C26)/2)*(O29/12),2)</f>
        <v>-1293.82</v>
      </c>
      <c r="I29" s="64"/>
      <c r="J29" s="64"/>
      <c r="K29" s="64"/>
      <c r="L29" s="64"/>
      <c r="M29" s="64"/>
      <c r="N29" s="64"/>
      <c r="O29" s="99">
        <v>0.01</v>
      </c>
      <c r="P29" s="50"/>
      <c r="Q29" s="340" t="s">
        <v>154</v>
      </c>
      <c r="R29" s="337" t="s">
        <v>77</v>
      </c>
      <c r="S29" s="342">
        <v>0</v>
      </c>
      <c r="T29" s="335">
        <f>IF(SUM(C29)&gt;0,-C29,0)</f>
        <v>0</v>
      </c>
    </row>
    <row r="30" spans="1:20" s="382" customFormat="1" ht="16.5" hidden="1" thickBot="1">
      <c r="A30" s="104">
        <f>A26</f>
        <v>41244</v>
      </c>
      <c r="B30" s="50" t="s">
        <v>56</v>
      </c>
      <c r="C30" s="158">
        <f>SUM(C23:C29)</f>
        <v>-1553878.23</v>
      </c>
      <c r="D30" s="158">
        <f>SUM(D23:D29)</f>
        <v>-883736.20005990437</v>
      </c>
      <c r="E30" s="158">
        <f t="shared" ref="E30:G30" si="2">SUM(E23:E29)</f>
        <v>-659271.7478600872</v>
      </c>
      <c r="F30" s="158">
        <f t="shared" si="2"/>
        <v>0</v>
      </c>
      <c r="G30" s="158">
        <f t="shared" si="2"/>
        <v>0</v>
      </c>
      <c r="H30" s="158">
        <f>SUM(H23:H29)</f>
        <v>-10870.282080008452</v>
      </c>
      <c r="I30" s="158">
        <f t="shared" ref="I30:N30" si="3">SUM(I23:I29)</f>
        <v>0</v>
      </c>
      <c r="J30" s="158">
        <f t="shared" si="3"/>
        <v>0</v>
      </c>
      <c r="K30" s="158">
        <f t="shared" si="3"/>
        <v>0</v>
      </c>
      <c r="L30" s="158">
        <f t="shared" si="3"/>
        <v>0</v>
      </c>
      <c r="M30" s="158">
        <f t="shared" si="3"/>
        <v>0</v>
      </c>
      <c r="N30" s="158">
        <f t="shared" si="3"/>
        <v>0</v>
      </c>
      <c r="O30" s="50"/>
      <c r="P30" s="50"/>
      <c r="Q30" s="341" t="s">
        <v>83</v>
      </c>
      <c r="R30" s="339" t="s">
        <v>78</v>
      </c>
      <c r="S30" s="116">
        <f>IF(SUM(C29)&lt;0,-C29,0)</f>
        <v>1293.82</v>
      </c>
      <c r="T30" s="389">
        <v>0</v>
      </c>
    </row>
    <row r="31" spans="1:20" s="382" customFormat="1" ht="16.5" hidden="1" thickTop="1" thickBot="1">
      <c r="A31" s="53"/>
      <c r="T31" s="336">
        <v>0</v>
      </c>
    </row>
    <row r="32" spans="1:20" s="354" customFormat="1" ht="15.75" hidden="1" thickBot="1">
      <c r="A32" s="53"/>
      <c r="B32" s="382"/>
      <c r="C32" s="382"/>
      <c r="D32" s="382"/>
      <c r="E32" s="382"/>
      <c r="F32" s="382"/>
      <c r="G32" s="382"/>
      <c r="H32" s="382"/>
      <c r="I32" s="382"/>
      <c r="J32" s="382"/>
      <c r="K32" s="382"/>
      <c r="L32" s="382"/>
      <c r="M32" s="382"/>
      <c r="N32" s="382"/>
      <c r="O32" s="382"/>
      <c r="P32" s="382"/>
      <c r="Q32" s="334" t="s">
        <v>107</v>
      </c>
      <c r="R32" s="330"/>
      <c r="S32" s="330"/>
      <c r="T32" s="228"/>
    </row>
    <row r="33" spans="1:20" s="354" customFormat="1" ht="15.75" hidden="1">
      <c r="A33" s="58">
        <v>41305</v>
      </c>
      <c r="B33" s="59" t="s">
        <v>84</v>
      </c>
      <c r="C33" s="11">
        <f>SUM(D33:N33)</f>
        <v>0</v>
      </c>
      <c r="D33" s="247">
        <v>0</v>
      </c>
      <c r="E33" s="247">
        <v>0</v>
      </c>
      <c r="F33" s="248">
        <v>0</v>
      </c>
      <c r="G33" s="248">
        <v>0</v>
      </c>
      <c r="H33" s="50">
        <v>0</v>
      </c>
      <c r="I33" s="50"/>
      <c r="J33" s="50"/>
      <c r="K33" s="50"/>
      <c r="L33" s="50"/>
      <c r="M33" s="50"/>
      <c r="N33" s="50">
        <v>0</v>
      </c>
      <c r="O33" s="106"/>
      <c r="P33" s="50"/>
      <c r="Q33" s="390" t="s">
        <v>209</v>
      </c>
      <c r="R33" s="391" t="s">
        <v>207</v>
      </c>
      <c r="S33" s="333">
        <f>IF(SUM(C33:C36)&gt;0,C33+C34+C36+C35,0)</f>
        <v>0</v>
      </c>
      <c r="T33" s="335">
        <f>IF(SUM(C33:C36)&lt;0,C33+C34+C36+C35,0)</f>
        <v>-1294.9000000000001</v>
      </c>
    </row>
    <row r="34" spans="1:20" s="354" customFormat="1" ht="15.75" hidden="1">
      <c r="A34" s="62"/>
      <c r="B34" s="59" t="s">
        <v>148</v>
      </c>
      <c r="C34" s="11">
        <f>SUM(D34:N34)</f>
        <v>0</v>
      </c>
      <c r="D34" s="248"/>
      <c r="E34" s="248">
        <v>0</v>
      </c>
      <c r="F34" s="248"/>
      <c r="G34" s="249"/>
      <c r="H34" s="60"/>
      <c r="I34" s="50"/>
      <c r="J34" s="87"/>
      <c r="K34" s="87"/>
      <c r="L34" s="50"/>
      <c r="M34" s="50"/>
      <c r="N34" s="50"/>
      <c r="O34" s="106"/>
      <c r="P34" s="50"/>
      <c r="Q34" s="345" t="s">
        <v>11</v>
      </c>
      <c r="R34" s="346" t="s">
        <v>62</v>
      </c>
      <c r="S34" s="333">
        <v>0</v>
      </c>
      <c r="T34" s="335">
        <v>0</v>
      </c>
    </row>
    <row r="35" spans="1:20" s="354" customFormat="1" ht="15.75" hidden="1">
      <c r="A35" s="62"/>
      <c r="B35" s="59" t="s">
        <v>144</v>
      </c>
      <c r="C35" s="11">
        <f>SUM(D35:N35)</f>
        <v>0</v>
      </c>
      <c r="D35" s="246">
        <v>0</v>
      </c>
      <c r="E35" s="246"/>
      <c r="F35" s="246"/>
      <c r="G35" s="248">
        <v>0</v>
      </c>
      <c r="H35" s="105"/>
      <c r="I35" s="50"/>
      <c r="J35" s="87"/>
      <c r="K35" s="50"/>
      <c r="L35" s="50"/>
      <c r="M35" s="50"/>
      <c r="N35" s="50"/>
      <c r="O35" s="106"/>
      <c r="P35" s="50"/>
      <c r="Q35" s="338" t="s">
        <v>80</v>
      </c>
      <c r="R35" s="337" t="s">
        <v>59</v>
      </c>
      <c r="S35" s="112">
        <f>IF(SUM(C33)&lt;0,-C33,0)</f>
        <v>0</v>
      </c>
      <c r="T35" s="335">
        <f>IF(SUM(C33)&gt;0,-C33,0)</f>
        <v>0</v>
      </c>
    </row>
    <row r="36" spans="1:20" s="354" customFormat="1" ht="15.75" hidden="1">
      <c r="A36" s="62"/>
      <c r="B36" s="59" t="s">
        <v>57</v>
      </c>
      <c r="C36" s="64">
        <f>SUM(D36:N36)</f>
        <v>-1294.9000000000001</v>
      </c>
      <c r="D36" s="64"/>
      <c r="E36" s="64"/>
      <c r="F36" s="64"/>
      <c r="G36" s="64"/>
      <c r="H36" s="64">
        <f>ROUND(((C30)+(C33)/2)*(O36/12),2)</f>
        <v>-1294.9000000000001</v>
      </c>
      <c r="I36" s="64"/>
      <c r="J36" s="64"/>
      <c r="K36" s="64"/>
      <c r="L36" s="64"/>
      <c r="M36" s="64"/>
      <c r="N36" s="64"/>
      <c r="O36" s="99">
        <v>0.01</v>
      </c>
      <c r="P36" s="50"/>
      <c r="Q36" s="340" t="s">
        <v>154</v>
      </c>
      <c r="R36" s="337" t="s">
        <v>77</v>
      </c>
      <c r="S36" s="342">
        <v>0</v>
      </c>
      <c r="T36" s="335">
        <f>IF(SUM(C36)&gt;0,-C36,0)</f>
        <v>0</v>
      </c>
    </row>
    <row r="37" spans="1:20" s="354" customFormat="1" ht="16.5" hidden="1" thickBot="1">
      <c r="A37" s="104">
        <f>A33</f>
        <v>41305</v>
      </c>
      <c r="B37" s="50" t="s">
        <v>56</v>
      </c>
      <c r="C37" s="158">
        <f>SUM(C30:C36)</f>
        <v>-1555173.13</v>
      </c>
      <c r="D37" s="158">
        <f>SUM(D30:D36)</f>
        <v>-883736.20005990437</v>
      </c>
      <c r="E37" s="158">
        <f t="shared" ref="E37:G37" si="4">SUM(E30:E36)</f>
        <v>-659271.7478600872</v>
      </c>
      <c r="F37" s="158">
        <f t="shared" si="4"/>
        <v>0</v>
      </c>
      <c r="G37" s="158">
        <f t="shared" si="4"/>
        <v>0</v>
      </c>
      <c r="H37" s="158">
        <f>SUM(H30:H36)</f>
        <v>-12165.182080008452</v>
      </c>
      <c r="I37" s="158">
        <f t="shared" ref="I37:N37" si="5">SUM(I30:I36)</f>
        <v>0</v>
      </c>
      <c r="J37" s="158">
        <f t="shared" si="5"/>
        <v>0</v>
      </c>
      <c r="K37" s="158">
        <f t="shared" si="5"/>
        <v>0</v>
      </c>
      <c r="L37" s="158">
        <f t="shared" si="5"/>
        <v>0</v>
      </c>
      <c r="M37" s="158">
        <f t="shared" si="5"/>
        <v>0</v>
      </c>
      <c r="N37" s="158">
        <f t="shared" si="5"/>
        <v>0</v>
      </c>
      <c r="O37" s="50"/>
      <c r="P37" s="50"/>
      <c r="Q37" s="341" t="s">
        <v>83</v>
      </c>
      <c r="R37" s="339" t="s">
        <v>78</v>
      </c>
      <c r="S37" s="116">
        <f>IF(SUM(C36)&lt;0,-C36,0)</f>
        <v>1294.9000000000001</v>
      </c>
      <c r="T37" s="389">
        <v>0</v>
      </c>
    </row>
    <row r="38" spans="1:20" s="354" customFormat="1" ht="15.75" hidden="1" thickTop="1">
      <c r="A38" s="53"/>
      <c r="B38" s="382"/>
      <c r="C38" s="382"/>
      <c r="D38" s="382"/>
      <c r="E38" s="382"/>
      <c r="F38" s="382"/>
      <c r="G38" s="382"/>
      <c r="H38" s="382"/>
      <c r="I38" s="382"/>
      <c r="J38" s="382"/>
      <c r="K38" s="382"/>
      <c r="L38" s="382"/>
      <c r="M38" s="382"/>
      <c r="N38" s="382"/>
      <c r="O38" s="382"/>
      <c r="P38" s="382"/>
      <c r="Q38" s="382"/>
      <c r="R38" s="382"/>
      <c r="S38" s="382"/>
      <c r="T38" s="336">
        <v>0</v>
      </c>
    </row>
    <row r="39" spans="1:20" s="354" customFormat="1" ht="15.75" hidden="1" thickBot="1">
      <c r="A39" s="53"/>
      <c r="B39" s="382"/>
      <c r="C39" s="382"/>
      <c r="D39" s="382"/>
      <c r="E39" s="382"/>
      <c r="F39" s="382"/>
      <c r="G39" s="382"/>
      <c r="H39" s="382"/>
      <c r="I39" s="382"/>
      <c r="J39" s="382"/>
      <c r="K39" s="382"/>
      <c r="L39" s="382"/>
      <c r="M39" s="382"/>
      <c r="N39" s="382"/>
      <c r="O39" s="382"/>
      <c r="P39" s="382"/>
      <c r="Q39" s="382"/>
      <c r="R39" s="382"/>
      <c r="S39" s="382"/>
      <c r="T39" s="382"/>
    </row>
    <row r="40" spans="1:20" s="354" customFormat="1" ht="15.75" hidden="1" thickBot="1">
      <c r="A40" s="53"/>
      <c r="B40" s="382"/>
      <c r="C40" s="382"/>
      <c r="D40" s="382"/>
      <c r="E40" s="382"/>
      <c r="F40" s="382"/>
      <c r="G40" s="382"/>
      <c r="H40" s="382"/>
      <c r="I40" s="382"/>
      <c r="J40" s="382"/>
      <c r="K40" s="382"/>
      <c r="L40" s="382"/>
      <c r="M40" s="382"/>
      <c r="N40" s="382"/>
      <c r="O40" s="382"/>
      <c r="P40" s="382"/>
      <c r="Q40" s="334" t="s">
        <v>107</v>
      </c>
      <c r="R40" s="330"/>
      <c r="S40" s="330"/>
      <c r="T40" s="228"/>
    </row>
    <row r="41" spans="1:20" s="354" customFormat="1" ht="15.75" hidden="1">
      <c r="A41" s="58">
        <v>41333</v>
      </c>
      <c r="B41" s="59" t="s">
        <v>84</v>
      </c>
      <c r="C41" s="11">
        <f>SUM(D41:N41)</f>
        <v>0</v>
      </c>
      <c r="D41" s="247">
        <v>0</v>
      </c>
      <c r="E41" s="247">
        <v>0</v>
      </c>
      <c r="F41" s="248">
        <v>0</v>
      </c>
      <c r="G41" s="248">
        <v>0</v>
      </c>
      <c r="H41" s="50">
        <v>0</v>
      </c>
      <c r="I41" s="50"/>
      <c r="J41" s="50"/>
      <c r="K41" s="50"/>
      <c r="L41" s="50"/>
      <c r="M41" s="50"/>
      <c r="N41" s="50">
        <v>0</v>
      </c>
      <c r="O41" s="106"/>
      <c r="P41" s="50"/>
      <c r="Q41" s="390" t="s">
        <v>209</v>
      </c>
      <c r="R41" s="391" t="s">
        <v>207</v>
      </c>
      <c r="S41" s="333">
        <f>IF(SUM(C41:C44)&gt;0,C41+C42+C44+C43,0)</f>
        <v>0</v>
      </c>
      <c r="T41" s="335">
        <f>IF(SUM(C41:C44)&lt;0,C41+C42+C44+C43,0)</f>
        <v>-1295.98</v>
      </c>
    </row>
    <row r="42" spans="1:20" s="354" customFormat="1" ht="15.75" hidden="1">
      <c r="A42" s="62"/>
      <c r="B42" s="59" t="s">
        <v>148</v>
      </c>
      <c r="C42" s="11">
        <f>SUM(D42:N42)</f>
        <v>0</v>
      </c>
      <c r="D42" s="248"/>
      <c r="E42" s="248">
        <v>0</v>
      </c>
      <c r="F42" s="248"/>
      <c r="G42" s="249"/>
      <c r="H42" s="60"/>
      <c r="I42" s="50"/>
      <c r="J42" s="87"/>
      <c r="K42" s="87"/>
      <c r="L42" s="50"/>
      <c r="M42" s="50"/>
      <c r="N42" s="50"/>
      <c r="O42" s="106"/>
      <c r="P42" s="50"/>
      <c r="Q42" s="345" t="s">
        <v>11</v>
      </c>
      <c r="R42" s="346" t="s">
        <v>62</v>
      </c>
      <c r="S42" s="333">
        <v>0</v>
      </c>
      <c r="T42" s="335">
        <v>0</v>
      </c>
    </row>
    <row r="43" spans="1:20" s="354" customFormat="1" ht="15.75" hidden="1">
      <c r="A43" s="62"/>
      <c r="B43" s="59" t="s">
        <v>144</v>
      </c>
      <c r="C43" s="11">
        <f>SUM(D43:N43)</f>
        <v>0</v>
      </c>
      <c r="D43" s="246">
        <v>0</v>
      </c>
      <c r="E43" s="246"/>
      <c r="F43" s="246"/>
      <c r="G43" s="248">
        <v>0</v>
      </c>
      <c r="H43" s="105"/>
      <c r="I43" s="50"/>
      <c r="J43" s="87"/>
      <c r="K43" s="50"/>
      <c r="L43" s="50"/>
      <c r="M43" s="50"/>
      <c r="N43" s="50"/>
      <c r="O43" s="106"/>
      <c r="P43" s="50"/>
      <c r="Q43" s="338" t="s">
        <v>80</v>
      </c>
      <c r="R43" s="337" t="s">
        <v>59</v>
      </c>
      <c r="S43" s="112">
        <f>IF(SUM(C41)&lt;0,-C41,0)</f>
        <v>0</v>
      </c>
      <c r="T43" s="335">
        <f>IF(SUM(C41)&gt;0,-C41,0)</f>
        <v>0</v>
      </c>
    </row>
    <row r="44" spans="1:20" s="354" customFormat="1" ht="15.75" hidden="1">
      <c r="A44" s="62"/>
      <c r="B44" s="59" t="s">
        <v>57</v>
      </c>
      <c r="C44" s="64">
        <f>SUM(D44:N44)</f>
        <v>-1295.98</v>
      </c>
      <c r="D44" s="64"/>
      <c r="E44" s="64"/>
      <c r="F44" s="64"/>
      <c r="G44" s="64"/>
      <c r="H44" s="64">
        <v>-1295.98</v>
      </c>
      <c r="I44" s="64"/>
      <c r="J44" s="64"/>
      <c r="K44" s="64"/>
      <c r="L44" s="64"/>
      <c r="M44" s="64"/>
      <c r="N44" s="64"/>
      <c r="O44" s="99">
        <v>0.01</v>
      </c>
      <c r="P44" s="50"/>
      <c r="Q44" s="340" t="s">
        <v>154</v>
      </c>
      <c r="R44" s="337" t="s">
        <v>77</v>
      </c>
      <c r="S44" s="342">
        <v>0</v>
      </c>
      <c r="T44" s="335">
        <f>IF(SUM(C44)&gt;0,-C44,0)</f>
        <v>0</v>
      </c>
    </row>
    <row r="45" spans="1:20" s="354" customFormat="1" ht="16.5" hidden="1" thickBot="1">
      <c r="A45" s="104">
        <f>A41</f>
        <v>41333</v>
      </c>
      <c r="B45" s="50" t="s">
        <v>56</v>
      </c>
      <c r="C45" s="158">
        <f>SUM(C37:C44)</f>
        <v>-1556469.1099999999</v>
      </c>
      <c r="D45" s="158">
        <f>SUM(D37:D44)</f>
        <v>-883736.20005990437</v>
      </c>
      <c r="E45" s="158">
        <f>SUM(E37:E44)</f>
        <v>-659271.7478600872</v>
      </c>
      <c r="F45" s="158">
        <f t="shared" ref="F45:G45" si="6">SUM(F37:F44)</f>
        <v>0</v>
      </c>
      <c r="G45" s="158">
        <f t="shared" si="6"/>
        <v>0</v>
      </c>
      <c r="H45" s="158">
        <f>SUM(H37:H44)</f>
        <v>-13461.162080008451</v>
      </c>
      <c r="I45" s="158">
        <f t="shared" ref="I45:N45" si="7">SUM(I37:I44)</f>
        <v>0</v>
      </c>
      <c r="J45" s="158">
        <f t="shared" si="7"/>
        <v>0</v>
      </c>
      <c r="K45" s="158">
        <f t="shared" si="7"/>
        <v>0</v>
      </c>
      <c r="L45" s="158">
        <f t="shared" si="7"/>
        <v>0</v>
      </c>
      <c r="M45" s="158">
        <f t="shared" si="7"/>
        <v>0</v>
      </c>
      <c r="N45" s="158">
        <f t="shared" si="7"/>
        <v>0</v>
      </c>
      <c r="O45" s="50"/>
      <c r="P45" s="50"/>
      <c r="Q45" s="341" t="s">
        <v>83</v>
      </c>
      <c r="R45" s="339" t="s">
        <v>78</v>
      </c>
      <c r="S45" s="116">
        <f>IF(SUM(C44)&lt;0,-C44,0)</f>
        <v>1295.98</v>
      </c>
      <c r="T45" s="389">
        <v>0</v>
      </c>
    </row>
    <row r="46" spans="1:20" s="354" customFormat="1" ht="15.75" hidden="1" thickTop="1">
      <c r="A46" s="53"/>
      <c r="B46" s="382"/>
      <c r="C46" s="382"/>
      <c r="D46" s="382"/>
      <c r="E46" s="382"/>
      <c r="F46" s="382"/>
      <c r="G46" s="382"/>
      <c r="H46" s="382"/>
      <c r="I46" s="382"/>
      <c r="J46" s="382"/>
      <c r="K46" s="382"/>
      <c r="L46" s="382"/>
      <c r="M46" s="382"/>
      <c r="N46" s="382"/>
      <c r="O46" s="382"/>
      <c r="P46" s="382"/>
      <c r="Q46" s="382"/>
      <c r="R46" s="382"/>
      <c r="S46" s="382"/>
      <c r="T46" s="336">
        <v>0</v>
      </c>
    </row>
    <row r="47" spans="1:20" s="354" customFormat="1" ht="15.75" hidden="1" thickBot="1">
      <c r="A47" s="53"/>
      <c r="B47" s="382"/>
      <c r="C47" s="382"/>
      <c r="D47" s="382"/>
      <c r="E47" s="382"/>
      <c r="F47" s="382"/>
      <c r="G47" s="382"/>
      <c r="H47" s="382"/>
      <c r="I47" s="382"/>
      <c r="J47" s="382"/>
      <c r="K47" s="382"/>
      <c r="L47" s="382"/>
      <c r="M47" s="382"/>
      <c r="N47" s="382"/>
      <c r="O47" s="382"/>
      <c r="P47" s="382"/>
      <c r="Q47" s="382"/>
      <c r="R47" s="382"/>
      <c r="S47" s="382"/>
      <c r="T47" s="382"/>
    </row>
    <row r="48" spans="1:20" s="354" customFormat="1" ht="15.75" hidden="1" thickBot="1">
      <c r="A48" s="53"/>
      <c r="B48" s="382"/>
      <c r="C48" s="382"/>
      <c r="D48" s="382"/>
      <c r="E48" s="382"/>
      <c r="F48" s="382"/>
      <c r="G48" s="382"/>
      <c r="H48" s="382"/>
      <c r="I48" s="382"/>
      <c r="J48" s="382"/>
      <c r="K48" s="382"/>
      <c r="L48" s="382"/>
      <c r="M48" s="382"/>
      <c r="N48" s="382"/>
      <c r="O48" s="382"/>
      <c r="P48" s="382"/>
      <c r="Q48" s="334" t="s">
        <v>107</v>
      </c>
      <c r="R48" s="330"/>
      <c r="S48" s="330"/>
      <c r="T48" s="228"/>
    </row>
    <row r="49" spans="1:20" s="354" customFormat="1" ht="15.75" hidden="1">
      <c r="A49" s="58">
        <v>41364</v>
      </c>
      <c r="B49" s="59" t="s">
        <v>84</v>
      </c>
      <c r="C49" s="11">
        <f>SUM(D49:N49)</f>
        <v>0</v>
      </c>
      <c r="D49" s="247">
        <v>0</v>
      </c>
      <c r="E49" s="247">
        <v>0</v>
      </c>
      <c r="F49" s="248">
        <v>0</v>
      </c>
      <c r="G49" s="248">
        <v>0</v>
      </c>
      <c r="H49" s="50">
        <v>0</v>
      </c>
      <c r="I49" s="50"/>
      <c r="J49" s="50"/>
      <c r="K49" s="50"/>
      <c r="L49" s="50"/>
      <c r="M49" s="50"/>
      <c r="N49" s="50">
        <v>0</v>
      </c>
      <c r="O49" s="106"/>
      <c r="P49" s="50"/>
      <c r="Q49" s="390" t="s">
        <v>209</v>
      </c>
      <c r="R49" s="391" t="s">
        <v>207</v>
      </c>
      <c r="S49" s="333">
        <f>IF(SUM(C49:C52)&gt;0,C49+C50+C52+C51,0)</f>
        <v>0</v>
      </c>
      <c r="T49" s="335">
        <f>IF(SUM(C49:C52)&lt;0,C49+C50+C52+C51,0)</f>
        <v>-1297.06</v>
      </c>
    </row>
    <row r="50" spans="1:20" s="354" customFormat="1" ht="15.75" hidden="1">
      <c r="A50" s="62"/>
      <c r="B50" s="59" t="s">
        <v>148</v>
      </c>
      <c r="C50" s="11">
        <f>SUM(D50:N50)</f>
        <v>0</v>
      </c>
      <c r="D50" s="248"/>
      <c r="E50" s="248">
        <v>0</v>
      </c>
      <c r="F50" s="248"/>
      <c r="G50" s="249"/>
      <c r="H50" s="60"/>
      <c r="I50" s="50"/>
      <c r="J50" s="87"/>
      <c r="K50" s="87"/>
      <c r="L50" s="50"/>
      <c r="M50" s="50"/>
      <c r="N50" s="50"/>
      <c r="O50" s="106"/>
      <c r="P50" s="50"/>
      <c r="Q50" s="345" t="s">
        <v>11</v>
      </c>
      <c r="R50" s="346" t="s">
        <v>62</v>
      </c>
      <c r="S50" s="333">
        <v>0</v>
      </c>
      <c r="T50" s="335">
        <v>0</v>
      </c>
    </row>
    <row r="51" spans="1:20" s="354" customFormat="1" ht="15.75" hidden="1">
      <c r="A51" s="62"/>
      <c r="B51" s="59" t="s">
        <v>144</v>
      </c>
      <c r="C51" s="11">
        <f>SUM(D51:N51)</f>
        <v>0</v>
      </c>
      <c r="D51" s="246">
        <v>0</v>
      </c>
      <c r="E51" s="246"/>
      <c r="F51" s="246"/>
      <c r="G51" s="248">
        <v>0</v>
      </c>
      <c r="H51" s="105"/>
      <c r="I51" s="50"/>
      <c r="J51" s="87"/>
      <c r="K51" s="50"/>
      <c r="L51" s="50"/>
      <c r="M51" s="50"/>
      <c r="N51" s="50"/>
      <c r="O51" s="106"/>
      <c r="P51" s="50"/>
      <c r="Q51" s="338" t="s">
        <v>80</v>
      </c>
      <c r="R51" s="337" t="s">
        <v>59</v>
      </c>
      <c r="S51" s="112">
        <f>IF(SUM(C49)&lt;0,-C49,0)</f>
        <v>0</v>
      </c>
      <c r="T51" s="335">
        <f>IF(SUM(C49)&gt;0,-C49,0)</f>
        <v>0</v>
      </c>
    </row>
    <row r="52" spans="1:20" s="354" customFormat="1" ht="15.75" hidden="1">
      <c r="A52" s="62"/>
      <c r="B52" s="59" t="s">
        <v>57</v>
      </c>
      <c r="C52" s="64">
        <f>SUM(D52:N52)</f>
        <v>-1297.06</v>
      </c>
      <c r="D52" s="64"/>
      <c r="E52" s="64"/>
      <c r="F52" s="64"/>
      <c r="G52" s="64"/>
      <c r="H52" s="64">
        <v>-1297.06</v>
      </c>
      <c r="I52" s="64"/>
      <c r="J52" s="64"/>
      <c r="K52" s="64"/>
      <c r="L52" s="64"/>
      <c r="M52" s="64"/>
      <c r="N52" s="64"/>
      <c r="O52" s="99">
        <v>0.01</v>
      </c>
      <c r="P52" s="50"/>
      <c r="Q52" s="340" t="s">
        <v>154</v>
      </c>
      <c r="R52" s="337" t="s">
        <v>77</v>
      </c>
      <c r="S52" s="342">
        <v>0</v>
      </c>
      <c r="T52" s="335">
        <f>IF(SUM(C52)&gt;0,-C52,0)</f>
        <v>0</v>
      </c>
    </row>
    <row r="53" spans="1:20" s="354" customFormat="1" ht="16.5" hidden="1" thickBot="1">
      <c r="A53" s="104">
        <f>A49</f>
        <v>41364</v>
      </c>
      <c r="B53" s="50" t="s">
        <v>56</v>
      </c>
      <c r="C53" s="158">
        <f>SUM(C45:C52)</f>
        <v>-1557766.17</v>
      </c>
      <c r="D53" s="158">
        <f>SUM(D45:D52)</f>
        <v>-883736.20005990437</v>
      </c>
      <c r="E53" s="158">
        <f>SUM(E45:E52)</f>
        <v>-659271.7478600872</v>
      </c>
      <c r="F53" s="158">
        <f t="shared" ref="F53:G53" si="8">SUM(F45:F52)</f>
        <v>0</v>
      </c>
      <c r="G53" s="158">
        <f t="shared" si="8"/>
        <v>0</v>
      </c>
      <c r="H53" s="158">
        <f>SUM(H45:H52)</f>
        <v>-14758.222080008451</v>
      </c>
      <c r="I53" s="158">
        <f t="shared" ref="I53:N53" si="9">SUM(I45:I52)</f>
        <v>0</v>
      </c>
      <c r="J53" s="158">
        <f t="shared" si="9"/>
        <v>0</v>
      </c>
      <c r="K53" s="158">
        <f t="shared" si="9"/>
        <v>0</v>
      </c>
      <c r="L53" s="158">
        <f t="shared" si="9"/>
        <v>0</v>
      </c>
      <c r="M53" s="158">
        <f t="shared" si="9"/>
        <v>0</v>
      </c>
      <c r="N53" s="158">
        <f t="shared" si="9"/>
        <v>0</v>
      </c>
      <c r="O53" s="50"/>
      <c r="P53" s="50"/>
      <c r="Q53" s="341" t="s">
        <v>83</v>
      </c>
      <c r="R53" s="339" t="s">
        <v>78</v>
      </c>
      <c r="S53" s="116">
        <f>IF(SUM(C52)&lt;0,-C52,0)</f>
        <v>1297.06</v>
      </c>
      <c r="T53" s="389">
        <v>0</v>
      </c>
    </row>
    <row r="54" spans="1:20" s="354" customFormat="1" ht="15.75" hidden="1" thickTop="1">
      <c r="A54" s="53"/>
      <c r="B54" s="382"/>
      <c r="C54" s="382"/>
      <c r="D54" s="382"/>
      <c r="E54" s="382"/>
      <c r="F54" s="382"/>
      <c r="G54" s="382"/>
      <c r="H54" s="382"/>
      <c r="I54" s="382"/>
      <c r="J54" s="382"/>
      <c r="K54" s="382"/>
      <c r="L54" s="382"/>
      <c r="M54" s="382"/>
      <c r="N54" s="382"/>
      <c r="O54" s="382"/>
      <c r="P54" s="382"/>
      <c r="Q54" s="382"/>
      <c r="R54" s="382"/>
      <c r="S54" s="382"/>
      <c r="T54" s="336">
        <v>0</v>
      </c>
    </row>
    <row r="55" spans="1:20" s="354" customFormat="1" ht="15.75" hidden="1" thickBot="1">
      <c r="A55" s="53"/>
      <c r="B55" s="382"/>
      <c r="C55" s="382"/>
      <c r="D55" s="382"/>
      <c r="E55" s="382"/>
      <c r="F55" s="382"/>
      <c r="G55" s="382"/>
      <c r="H55" s="382"/>
      <c r="I55" s="382"/>
      <c r="J55" s="382"/>
      <c r="K55" s="382"/>
      <c r="L55" s="382"/>
      <c r="M55" s="382"/>
      <c r="N55" s="382"/>
      <c r="O55" s="382"/>
      <c r="P55" s="382"/>
      <c r="Q55" s="382"/>
      <c r="R55" s="382"/>
      <c r="S55" s="382"/>
      <c r="T55" s="382"/>
    </row>
    <row r="56" spans="1:20" s="354" customFormat="1" ht="15.75" hidden="1" thickBot="1">
      <c r="A56" s="53"/>
      <c r="B56" s="382"/>
      <c r="C56" s="382"/>
      <c r="D56" s="382"/>
      <c r="E56" s="382"/>
      <c r="F56" s="382"/>
      <c r="G56" s="382"/>
      <c r="H56" s="382"/>
      <c r="I56" s="382"/>
      <c r="J56" s="382"/>
      <c r="K56" s="382"/>
      <c r="L56" s="382"/>
      <c r="M56" s="382"/>
      <c r="N56" s="382"/>
      <c r="O56" s="382"/>
      <c r="P56" s="382"/>
      <c r="Q56" s="334" t="s">
        <v>107</v>
      </c>
      <c r="R56" s="330"/>
      <c r="S56" s="330"/>
      <c r="T56" s="228"/>
    </row>
    <row r="57" spans="1:20" s="354" customFormat="1" ht="15.75" hidden="1">
      <c r="A57" s="58">
        <v>41394</v>
      </c>
      <c r="B57" s="59" t="s">
        <v>84</v>
      </c>
      <c r="C57" s="11">
        <f>SUM(D57:N57)</f>
        <v>0</v>
      </c>
      <c r="D57" s="247">
        <v>0</v>
      </c>
      <c r="E57" s="247">
        <v>0</v>
      </c>
      <c r="F57" s="248">
        <v>0</v>
      </c>
      <c r="G57" s="248">
        <v>0</v>
      </c>
      <c r="H57" s="50">
        <v>0</v>
      </c>
      <c r="I57" s="50"/>
      <c r="J57" s="50"/>
      <c r="K57" s="50"/>
      <c r="L57" s="50"/>
      <c r="M57" s="50"/>
      <c r="N57" s="50">
        <v>0</v>
      </c>
      <c r="O57" s="106"/>
      <c r="P57" s="50"/>
      <c r="Q57" s="390" t="s">
        <v>209</v>
      </c>
      <c r="R57" s="391" t="s">
        <v>207</v>
      </c>
      <c r="S57" s="333">
        <f>IF(SUM(C57:C60)&gt;0,C57+C58+C60+C59,0)</f>
        <v>0</v>
      </c>
      <c r="T57" s="335">
        <f>IF(SUM(C57:C60)&lt;0,C57+C58+C60+C59,0)</f>
        <v>-1298.1400000000001</v>
      </c>
    </row>
    <row r="58" spans="1:20" s="354" customFormat="1" ht="15.75" hidden="1">
      <c r="A58" s="62"/>
      <c r="B58" s="59" t="s">
        <v>148</v>
      </c>
      <c r="C58" s="11">
        <f>SUM(D58:N58)</f>
        <v>0</v>
      </c>
      <c r="D58" s="248"/>
      <c r="E58" s="248">
        <v>0</v>
      </c>
      <c r="F58" s="248"/>
      <c r="G58" s="249"/>
      <c r="H58" s="60"/>
      <c r="I58" s="50"/>
      <c r="J58" s="87"/>
      <c r="K58" s="87"/>
      <c r="L58" s="50"/>
      <c r="M58" s="50"/>
      <c r="N58" s="50"/>
      <c r="O58" s="106"/>
      <c r="P58" s="50"/>
      <c r="Q58" s="345" t="s">
        <v>11</v>
      </c>
      <c r="R58" s="346" t="s">
        <v>62</v>
      </c>
      <c r="S58" s="333">
        <v>0</v>
      </c>
      <c r="T58" s="335">
        <v>0</v>
      </c>
    </row>
    <row r="59" spans="1:20" s="354" customFormat="1" ht="15.75" hidden="1">
      <c r="A59" s="62"/>
      <c r="B59" s="59" t="s">
        <v>144</v>
      </c>
      <c r="C59" s="11">
        <f>SUM(D59:N59)</f>
        <v>0</v>
      </c>
      <c r="D59" s="246">
        <v>0</v>
      </c>
      <c r="E59" s="246"/>
      <c r="F59" s="246"/>
      <c r="G59" s="248">
        <v>0</v>
      </c>
      <c r="H59" s="105"/>
      <c r="I59" s="50"/>
      <c r="J59" s="87"/>
      <c r="K59" s="50"/>
      <c r="L59" s="50"/>
      <c r="M59" s="50"/>
      <c r="N59" s="50"/>
      <c r="O59" s="106"/>
      <c r="P59" s="50"/>
      <c r="Q59" s="338" t="s">
        <v>80</v>
      </c>
      <c r="R59" s="337" t="s">
        <v>59</v>
      </c>
      <c r="S59" s="112">
        <f>IF(SUM(C57)&lt;0,-C57,0)</f>
        <v>0</v>
      </c>
      <c r="T59" s="335">
        <f>IF(SUM(C57)&gt;0,-C57,0)</f>
        <v>0</v>
      </c>
    </row>
    <row r="60" spans="1:20" s="354" customFormat="1" ht="15.75" hidden="1">
      <c r="A60" s="62"/>
      <c r="B60" s="59" t="s">
        <v>57</v>
      </c>
      <c r="C60" s="64">
        <f>SUM(D60:N60)</f>
        <v>-1298.1400000000001</v>
      </c>
      <c r="D60" s="64"/>
      <c r="E60" s="64"/>
      <c r="F60" s="64"/>
      <c r="G60" s="64"/>
      <c r="H60" s="64">
        <v>-1298.1400000000001</v>
      </c>
      <c r="I60" s="64"/>
      <c r="J60" s="64"/>
      <c r="K60" s="64"/>
      <c r="L60" s="64"/>
      <c r="M60" s="64"/>
      <c r="N60" s="64"/>
      <c r="O60" s="99">
        <v>0.01</v>
      </c>
      <c r="P60" s="50"/>
      <c r="Q60" s="340" t="s">
        <v>154</v>
      </c>
      <c r="R60" s="337" t="s">
        <v>77</v>
      </c>
      <c r="S60" s="342">
        <v>0</v>
      </c>
      <c r="T60" s="335">
        <f>IF(SUM(C60)&gt;0,-C60,0)</f>
        <v>0</v>
      </c>
    </row>
    <row r="61" spans="1:20" s="354" customFormat="1" ht="16.5" hidden="1" thickBot="1">
      <c r="A61" s="104">
        <f>A57</f>
        <v>41394</v>
      </c>
      <c r="B61" s="50" t="s">
        <v>56</v>
      </c>
      <c r="C61" s="158">
        <f>SUM(C53:C60)</f>
        <v>-1559064.3099999998</v>
      </c>
      <c r="D61" s="158">
        <f>SUM(D53:D60)</f>
        <v>-883736.20005990437</v>
      </c>
      <c r="E61" s="158">
        <f>SUM(E53:E60)</f>
        <v>-659271.7478600872</v>
      </c>
      <c r="F61" s="158">
        <f t="shared" ref="F61:G61" si="10">SUM(F53:F60)</f>
        <v>0</v>
      </c>
      <c r="G61" s="158">
        <f t="shared" si="10"/>
        <v>0</v>
      </c>
      <c r="H61" s="158">
        <f>SUM(H53:H60)</f>
        <v>-16056.36208000845</v>
      </c>
      <c r="I61" s="158">
        <f t="shared" ref="I61:N61" si="11">SUM(I53:I60)</f>
        <v>0</v>
      </c>
      <c r="J61" s="158">
        <f t="shared" si="11"/>
        <v>0</v>
      </c>
      <c r="K61" s="158">
        <f t="shared" si="11"/>
        <v>0</v>
      </c>
      <c r="L61" s="158">
        <f t="shared" si="11"/>
        <v>0</v>
      </c>
      <c r="M61" s="158">
        <f t="shared" si="11"/>
        <v>0</v>
      </c>
      <c r="N61" s="158">
        <f t="shared" si="11"/>
        <v>0</v>
      </c>
      <c r="O61" s="50"/>
      <c r="P61" s="50"/>
      <c r="Q61" s="341" t="s">
        <v>83</v>
      </c>
      <c r="R61" s="339" t="s">
        <v>78</v>
      </c>
      <c r="S61" s="116">
        <f>IF(SUM(C60)&lt;0,-C60,0)</f>
        <v>1298.1400000000001</v>
      </c>
      <c r="T61" s="389">
        <v>0</v>
      </c>
    </row>
    <row r="62" spans="1:20" s="354" customFormat="1" ht="15.75" hidden="1" thickTop="1">
      <c r="A62" s="53"/>
      <c r="B62" s="382"/>
      <c r="C62" s="383"/>
      <c r="D62" s="382"/>
      <c r="E62" s="382"/>
      <c r="F62" s="382"/>
      <c r="G62" s="382"/>
      <c r="H62" s="382"/>
      <c r="I62" s="382"/>
      <c r="J62" s="382"/>
      <c r="K62" s="382"/>
      <c r="L62" s="382"/>
      <c r="M62" s="382"/>
      <c r="N62" s="382"/>
      <c r="O62" s="382"/>
      <c r="P62" s="382"/>
      <c r="Q62" s="382"/>
      <c r="R62" s="382"/>
      <c r="S62" s="382"/>
      <c r="T62" s="336">
        <v>0</v>
      </c>
    </row>
    <row r="63" spans="1:20" s="354" customFormat="1" ht="15.75" hidden="1" thickBot="1">
      <c r="A63" s="53"/>
      <c r="B63" s="382"/>
      <c r="C63" s="382"/>
      <c r="D63" s="382"/>
      <c r="E63" s="382"/>
      <c r="F63" s="382"/>
      <c r="G63" s="382"/>
      <c r="H63" s="382"/>
      <c r="I63" s="382"/>
      <c r="J63" s="382"/>
      <c r="K63" s="382"/>
      <c r="L63" s="382"/>
      <c r="M63" s="382"/>
      <c r="N63" s="382"/>
      <c r="O63" s="382"/>
      <c r="P63" s="382"/>
      <c r="Q63" s="382"/>
      <c r="R63" s="382"/>
      <c r="S63" s="382"/>
      <c r="T63" s="382"/>
    </row>
    <row r="64" spans="1:20" s="354" customFormat="1" ht="15.75" hidden="1" thickBot="1">
      <c r="A64" s="53"/>
      <c r="B64" s="382"/>
      <c r="C64" s="382"/>
      <c r="D64" s="382"/>
      <c r="E64" s="382"/>
      <c r="F64" s="382"/>
      <c r="G64" s="382"/>
      <c r="H64" s="382"/>
      <c r="I64" s="382"/>
      <c r="J64" s="382"/>
      <c r="K64" s="382"/>
      <c r="L64" s="382"/>
      <c r="M64" s="382"/>
      <c r="N64" s="382"/>
      <c r="O64" s="382"/>
      <c r="P64" s="382"/>
      <c r="Q64" s="334" t="s">
        <v>107</v>
      </c>
      <c r="R64" s="330"/>
      <c r="S64" s="330"/>
      <c r="T64" s="228"/>
    </row>
    <row r="65" spans="1:20" s="354" customFormat="1" ht="15.75" hidden="1">
      <c r="A65" s="58">
        <v>41425</v>
      </c>
      <c r="B65" s="59" t="s">
        <v>84</v>
      </c>
      <c r="C65" s="11">
        <f>SUM(D65:N65)</f>
        <v>0</v>
      </c>
      <c r="D65" s="247">
        <v>0</v>
      </c>
      <c r="E65" s="247">
        <v>0</v>
      </c>
      <c r="F65" s="248">
        <v>0</v>
      </c>
      <c r="G65" s="248">
        <v>0</v>
      </c>
      <c r="H65" s="50">
        <v>0</v>
      </c>
      <c r="I65" s="50"/>
      <c r="J65" s="50"/>
      <c r="K65" s="50"/>
      <c r="L65" s="50"/>
      <c r="M65" s="50"/>
      <c r="N65" s="50">
        <v>0</v>
      </c>
      <c r="O65" s="106"/>
      <c r="P65" s="50"/>
      <c r="Q65" s="390" t="s">
        <v>209</v>
      </c>
      <c r="R65" s="391" t="s">
        <v>207</v>
      </c>
      <c r="S65" s="333">
        <f>IF(SUM(C65:C68)&gt;0,C65+C66+C68+C67,0)</f>
        <v>0</v>
      </c>
      <c r="T65" s="335">
        <f>IF(SUM(C65:C68)&lt;0,C65+C66+C68+C67,0)</f>
        <v>-1299.22</v>
      </c>
    </row>
    <row r="66" spans="1:20" s="354" customFormat="1" ht="15.75" hidden="1">
      <c r="A66" s="62"/>
      <c r="B66" s="59" t="s">
        <v>148</v>
      </c>
      <c r="C66" s="11">
        <f>SUM(D66:N66)</f>
        <v>0</v>
      </c>
      <c r="D66" s="248"/>
      <c r="E66" s="248">
        <v>0</v>
      </c>
      <c r="F66" s="248"/>
      <c r="G66" s="249"/>
      <c r="H66" s="60"/>
      <c r="I66" s="50"/>
      <c r="J66" s="87"/>
      <c r="K66" s="87"/>
      <c r="L66" s="50"/>
      <c r="M66" s="50"/>
      <c r="N66" s="50"/>
      <c r="O66" s="106"/>
      <c r="P66" s="50"/>
      <c r="Q66" s="345" t="s">
        <v>11</v>
      </c>
      <c r="R66" s="346" t="s">
        <v>62</v>
      </c>
      <c r="S66" s="333">
        <v>0</v>
      </c>
      <c r="T66" s="335">
        <v>0</v>
      </c>
    </row>
    <row r="67" spans="1:20" s="354" customFormat="1" ht="15.75" hidden="1">
      <c r="A67" s="62"/>
      <c r="B67" s="59" t="s">
        <v>144</v>
      </c>
      <c r="C67" s="11">
        <f>SUM(D67:N67)</f>
        <v>0</v>
      </c>
      <c r="D67" s="246">
        <v>0</v>
      </c>
      <c r="E67" s="246"/>
      <c r="F67" s="246"/>
      <c r="G67" s="248">
        <v>0</v>
      </c>
      <c r="H67" s="105"/>
      <c r="I67" s="50"/>
      <c r="J67" s="87"/>
      <c r="K67" s="50"/>
      <c r="L67" s="50"/>
      <c r="M67" s="50"/>
      <c r="N67" s="50"/>
      <c r="O67" s="106"/>
      <c r="P67" s="50"/>
      <c r="Q67" s="338" t="s">
        <v>80</v>
      </c>
      <c r="R67" s="337" t="s">
        <v>59</v>
      </c>
      <c r="S67" s="112">
        <f>IF(SUM(C65)&lt;0,-C65,0)</f>
        <v>0</v>
      </c>
      <c r="T67" s="335">
        <f>IF(SUM(C65)&gt;0,-C65,0)</f>
        <v>0</v>
      </c>
    </row>
    <row r="68" spans="1:20" s="354" customFormat="1" ht="15.75" hidden="1">
      <c r="A68" s="62"/>
      <c r="B68" s="59" t="s">
        <v>57</v>
      </c>
      <c r="C68" s="64">
        <f>SUM(D68:N68)</f>
        <v>-1299.22</v>
      </c>
      <c r="D68" s="64"/>
      <c r="E68" s="64"/>
      <c r="F68" s="64"/>
      <c r="G68" s="64"/>
      <c r="H68" s="64">
        <v>-1299.22</v>
      </c>
      <c r="I68" s="64"/>
      <c r="J68" s="64"/>
      <c r="K68" s="64"/>
      <c r="L68" s="64"/>
      <c r="M68" s="64"/>
      <c r="N68" s="64"/>
      <c r="O68" s="99">
        <v>0.01</v>
      </c>
      <c r="P68" s="50"/>
      <c r="Q68" s="340" t="s">
        <v>154</v>
      </c>
      <c r="R68" s="337" t="s">
        <v>77</v>
      </c>
      <c r="S68" s="342">
        <v>0</v>
      </c>
      <c r="T68" s="335">
        <f>IF(SUM(C68)&gt;0,-C68,0)</f>
        <v>0</v>
      </c>
    </row>
    <row r="69" spans="1:20" s="354" customFormat="1" ht="16.5" hidden="1" thickBot="1">
      <c r="A69" s="104">
        <f>A65</f>
        <v>41425</v>
      </c>
      <c r="B69" s="50" t="s">
        <v>56</v>
      </c>
      <c r="C69" s="158">
        <f>SUM(C61:C68)</f>
        <v>-1560363.5299999998</v>
      </c>
      <c r="D69" s="158">
        <f>SUM(D61:D68)</f>
        <v>-883736.20005990437</v>
      </c>
      <c r="E69" s="158">
        <f>SUM(E61:E68)</f>
        <v>-659271.7478600872</v>
      </c>
      <c r="F69" s="158">
        <f t="shared" ref="F69:G69" si="12">SUM(F61:F68)</f>
        <v>0</v>
      </c>
      <c r="G69" s="158">
        <f t="shared" si="12"/>
        <v>0</v>
      </c>
      <c r="H69" s="158">
        <f>SUM(H61:H68)</f>
        <v>-17355.582080008451</v>
      </c>
      <c r="I69" s="158">
        <f t="shared" ref="I69:N69" si="13">SUM(I61:I68)</f>
        <v>0</v>
      </c>
      <c r="J69" s="158">
        <f t="shared" si="13"/>
        <v>0</v>
      </c>
      <c r="K69" s="158">
        <f t="shared" si="13"/>
        <v>0</v>
      </c>
      <c r="L69" s="158">
        <f t="shared" si="13"/>
        <v>0</v>
      </c>
      <c r="M69" s="158">
        <f t="shared" si="13"/>
        <v>0</v>
      </c>
      <c r="N69" s="158">
        <f t="shared" si="13"/>
        <v>0</v>
      </c>
      <c r="O69" s="50"/>
      <c r="P69" s="50"/>
      <c r="Q69" s="341" t="s">
        <v>83</v>
      </c>
      <c r="R69" s="339" t="s">
        <v>78</v>
      </c>
      <c r="S69" s="116">
        <f>IF(SUM(C68)&lt;0,-C68,0)</f>
        <v>1299.22</v>
      </c>
      <c r="T69" s="389">
        <v>0</v>
      </c>
    </row>
    <row r="70" spans="1:20" s="354" customFormat="1" ht="15.75" hidden="1" thickTop="1">
      <c r="A70" s="53"/>
      <c r="B70" s="382"/>
      <c r="C70" s="382"/>
      <c r="D70" s="382"/>
      <c r="E70" s="382"/>
      <c r="F70" s="382"/>
      <c r="G70" s="382"/>
      <c r="H70" s="382"/>
      <c r="I70" s="382"/>
      <c r="J70" s="382"/>
      <c r="K70" s="382"/>
      <c r="L70" s="382"/>
      <c r="M70" s="382"/>
      <c r="N70" s="382"/>
      <c r="O70" s="382"/>
      <c r="P70" s="382"/>
      <c r="Q70" s="382"/>
      <c r="R70" s="382"/>
      <c r="S70" s="382"/>
      <c r="T70" s="336">
        <v>0</v>
      </c>
    </row>
    <row r="71" spans="1:20" s="354" customFormat="1" ht="15.75" hidden="1" thickBot="1">
      <c r="A71" s="53"/>
      <c r="B71" s="382"/>
      <c r="C71" s="382"/>
      <c r="D71" s="382"/>
      <c r="E71" s="382"/>
      <c r="F71" s="382"/>
      <c r="G71" s="382"/>
      <c r="H71" s="382"/>
      <c r="I71" s="382"/>
      <c r="J71" s="382"/>
      <c r="K71" s="382"/>
      <c r="L71" s="382"/>
      <c r="M71" s="382"/>
      <c r="N71" s="382"/>
      <c r="O71" s="382"/>
      <c r="P71" s="382"/>
      <c r="Q71" s="382"/>
      <c r="R71" s="382"/>
      <c r="S71" s="382"/>
      <c r="T71" s="382"/>
    </row>
    <row r="72" spans="1:20" s="354" customFormat="1" ht="15.75" hidden="1" thickBot="1">
      <c r="A72" s="53"/>
      <c r="B72" s="382"/>
      <c r="C72" s="382"/>
      <c r="D72" s="382"/>
      <c r="E72" s="382"/>
      <c r="F72" s="382"/>
      <c r="G72" s="382"/>
      <c r="H72" s="382"/>
      <c r="I72" s="382"/>
      <c r="J72" s="382"/>
      <c r="K72" s="382"/>
      <c r="L72" s="382"/>
      <c r="M72" s="382"/>
      <c r="N72" s="382"/>
      <c r="O72" s="382"/>
      <c r="P72" s="382"/>
      <c r="Q72" s="334" t="s">
        <v>107</v>
      </c>
      <c r="R72" s="330"/>
      <c r="S72" s="330"/>
      <c r="T72" s="228"/>
    </row>
    <row r="73" spans="1:20" s="354" customFormat="1" ht="15.75" hidden="1">
      <c r="A73" s="58">
        <v>41426</v>
      </c>
      <c r="B73" s="59" t="s">
        <v>84</v>
      </c>
      <c r="C73" s="11">
        <f>SUM(D73:N73)</f>
        <v>0</v>
      </c>
      <c r="D73" s="247">
        <v>0</v>
      </c>
      <c r="E73" s="247">
        <v>0</v>
      </c>
      <c r="F73" s="248">
        <v>0</v>
      </c>
      <c r="G73" s="248">
        <v>0</v>
      </c>
      <c r="H73" s="50">
        <v>0</v>
      </c>
      <c r="I73" s="50"/>
      <c r="J73" s="50"/>
      <c r="K73" s="50"/>
      <c r="L73" s="50"/>
      <c r="M73" s="50"/>
      <c r="N73" s="50">
        <v>0</v>
      </c>
      <c r="O73" s="106"/>
      <c r="P73" s="50"/>
      <c r="Q73" s="390" t="s">
        <v>209</v>
      </c>
      <c r="R73" s="391" t="s">
        <v>207</v>
      </c>
      <c r="S73" s="333">
        <f>IF(SUM(C73:C76)&gt;0,C73+C74+C76+C75,0)</f>
        <v>0</v>
      </c>
      <c r="T73" s="335">
        <f>IF(SUM(C73:C76)&lt;0,C73+C74+C76+C75,0)</f>
        <v>-1300.3</v>
      </c>
    </row>
    <row r="74" spans="1:20" s="354" customFormat="1" ht="15.75" hidden="1">
      <c r="A74" s="62"/>
      <c r="B74" s="59" t="s">
        <v>148</v>
      </c>
      <c r="C74" s="11">
        <f>SUM(D74:N74)</f>
        <v>0</v>
      </c>
      <c r="D74" s="248"/>
      <c r="E74" s="248">
        <v>0</v>
      </c>
      <c r="F74" s="248"/>
      <c r="G74" s="249"/>
      <c r="H74" s="60"/>
      <c r="I74" s="50"/>
      <c r="J74" s="87"/>
      <c r="K74" s="87"/>
      <c r="L74" s="50"/>
      <c r="M74" s="50"/>
      <c r="N74" s="50"/>
      <c r="O74" s="106"/>
      <c r="P74" s="50"/>
      <c r="Q74" s="345" t="s">
        <v>11</v>
      </c>
      <c r="R74" s="346" t="s">
        <v>62</v>
      </c>
      <c r="S74" s="333">
        <v>0</v>
      </c>
      <c r="T74" s="335">
        <v>0</v>
      </c>
    </row>
    <row r="75" spans="1:20" s="354" customFormat="1" ht="15.75" hidden="1">
      <c r="A75" s="62"/>
      <c r="B75" s="59" t="s">
        <v>144</v>
      </c>
      <c r="C75" s="11">
        <f>SUM(D75:N75)</f>
        <v>0</v>
      </c>
      <c r="D75" s="246">
        <v>0</v>
      </c>
      <c r="E75" s="246"/>
      <c r="F75" s="246"/>
      <c r="G75" s="248">
        <v>0</v>
      </c>
      <c r="H75" s="105"/>
      <c r="I75" s="50"/>
      <c r="J75" s="87"/>
      <c r="K75" s="50"/>
      <c r="L75" s="50"/>
      <c r="M75" s="50"/>
      <c r="N75" s="50"/>
      <c r="O75" s="106"/>
      <c r="P75" s="50"/>
      <c r="Q75" s="338" t="s">
        <v>80</v>
      </c>
      <c r="R75" s="337" t="s">
        <v>59</v>
      </c>
      <c r="S75" s="112">
        <f>IF(SUM(C73)&lt;0,-C73,0)</f>
        <v>0</v>
      </c>
      <c r="T75" s="335">
        <f>IF(SUM(C73)&gt;0,-C73,0)</f>
        <v>0</v>
      </c>
    </row>
    <row r="76" spans="1:20" s="354" customFormat="1" ht="15.75" hidden="1">
      <c r="A76" s="62"/>
      <c r="B76" s="59" t="s">
        <v>57</v>
      </c>
      <c r="C76" s="64">
        <f>SUM(D76:N76)</f>
        <v>-1300.3</v>
      </c>
      <c r="D76" s="64"/>
      <c r="E76" s="64"/>
      <c r="F76" s="64"/>
      <c r="G76" s="64"/>
      <c r="H76" s="64">
        <f>ROUND(((C69)+(C73)/2)*(O76/12),2)</f>
        <v>-1300.3</v>
      </c>
      <c r="I76" s="64"/>
      <c r="J76" s="64"/>
      <c r="K76" s="64"/>
      <c r="L76" s="64"/>
      <c r="M76" s="64"/>
      <c r="N76" s="64"/>
      <c r="O76" s="99">
        <v>0.01</v>
      </c>
      <c r="P76" s="50"/>
      <c r="Q76" s="340" t="s">
        <v>154</v>
      </c>
      <c r="R76" s="337" t="s">
        <v>77</v>
      </c>
      <c r="S76" s="342">
        <v>0</v>
      </c>
      <c r="T76" s="335">
        <f>IF(SUM(C76)&gt;0,-C76,0)</f>
        <v>0</v>
      </c>
    </row>
    <row r="77" spans="1:20" s="354" customFormat="1" ht="16.5" thickBot="1">
      <c r="A77" s="104">
        <f>A73</f>
        <v>41426</v>
      </c>
      <c r="B77" s="50" t="s">
        <v>56</v>
      </c>
      <c r="C77" s="158">
        <f>SUM(C69:C76)</f>
        <v>-1561663.8299999998</v>
      </c>
      <c r="D77" s="158">
        <f>SUM(D69:D76)</f>
        <v>-883736.20005990437</v>
      </c>
      <c r="E77" s="158">
        <f>SUM(E69:E76)</f>
        <v>-659271.7478600872</v>
      </c>
      <c r="F77" s="158">
        <f t="shared" ref="F77:G77" si="14">SUM(F69:F76)</f>
        <v>0</v>
      </c>
      <c r="G77" s="158">
        <f t="shared" si="14"/>
        <v>0</v>
      </c>
      <c r="H77" s="158">
        <f>SUM(H69:H76)</f>
        <v>-18655.88208000845</v>
      </c>
      <c r="I77" s="158">
        <f t="shared" ref="I77:N77" si="15">SUM(I69:I76)</f>
        <v>0</v>
      </c>
      <c r="J77" s="158">
        <f t="shared" si="15"/>
        <v>0</v>
      </c>
      <c r="K77" s="158">
        <f t="shared" si="15"/>
        <v>0</v>
      </c>
      <c r="L77" s="158">
        <f t="shared" si="15"/>
        <v>0</v>
      </c>
      <c r="M77" s="158">
        <f t="shared" si="15"/>
        <v>0</v>
      </c>
      <c r="N77" s="158">
        <f t="shared" si="15"/>
        <v>0</v>
      </c>
      <c r="O77" s="50"/>
      <c r="P77" s="50"/>
      <c r="Q77" s="341" t="s">
        <v>83</v>
      </c>
      <c r="R77" s="339" t="s">
        <v>78</v>
      </c>
      <c r="S77" s="116">
        <f>IF(SUM(C76)&lt;0,-C76,0)</f>
        <v>1300.3</v>
      </c>
      <c r="T77" s="389">
        <v>0</v>
      </c>
    </row>
    <row r="78" spans="1:20" s="354" customFormat="1" ht="15.75" thickTop="1">
      <c r="A78" s="53"/>
      <c r="B78" s="382"/>
      <c r="C78" s="382"/>
      <c r="D78" s="382"/>
      <c r="E78" s="382"/>
      <c r="F78" s="382"/>
      <c r="G78" s="382"/>
      <c r="H78" s="382"/>
      <c r="I78" s="382"/>
      <c r="J78" s="382"/>
      <c r="K78" s="382"/>
      <c r="L78" s="382"/>
      <c r="M78" s="382"/>
      <c r="N78" s="382"/>
      <c r="O78" s="382"/>
      <c r="P78" s="382"/>
      <c r="Q78" s="382"/>
      <c r="R78" s="382"/>
      <c r="S78" s="382"/>
      <c r="T78" s="336">
        <v>0</v>
      </c>
    </row>
    <row r="79" spans="1:20" s="354" customFormat="1" ht="16.5" thickBot="1">
      <c r="A79" s="362"/>
      <c r="B79" s="357"/>
      <c r="C79" s="314"/>
      <c r="D79" s="314"/>
      <c r="E79" s="314"/>
      <c r="F79" s="314"/>
      <c r="G79" s="314"/>
      <c r="H79" s="314"/>
      <c r="I79" s="314"/>
      <c r="J79" s="314"/>
      <c r="K79" s="314"/>
      <c r="L79" s="314"/>
      <c r="M79" s="314"/>
      <c r="N79" s="314"/>
      <c r="O79" s="368"/>
      <c r="P79" s="314"/>
      <c r="Q79" s="369"/>
      <c r="R79" s="360"/>
      <c r="S79" s="367"/>
      <c r="T79" s="367"/>
    </row>
    <row r="80" spans="1:20" s="354" customFormat="1" ht="15.75" thickBot="1">
      <c r="A80" s="53"/>
      <c r="B80" s="382"/>
      <c r="C80" s="382"/>
      <c r="D80" s="382"/>
      <c r="E80" s="382"/>
      <c r="F80" s="382"/>
      <c r="G80" s="382"/>
      <c r="H80" s="382"/>
      <c r="I80" s="382"/>
      <c r="J80" s="382"/>
      <c r="K80" s="382"/>
      <c r="L80" s="382"/>
      <c r="M80" s="382"/>
      <c r="N80" s="382"/>
      <c r="O80" s="382"/>
      <c r="P80" s="382"/>
      <c r="Q80" s="334" t="s">
        <v>107</v>
      </c>
      <c r="R80" s="330"/>
      <c r="S80" s="330"/>
      <c r="T80" s="228"/>
    </row>
    <row r="81" spans="1:20" s="354" customFormat="1" ht="15.75">
      <c r="A81" s="58">
        <v>41456</v>
      </c>
      <c r="B81" s="59" t="s">
        <v>84</v>
      </c>
      <c r="C81" s="11">
        <f>SUM(D81:N81)</f>
        <v>0</v>
      </c>
      <c r="D81" s="247">
        <v>0</v>
      </c>
      <c r="E81" s="247">
        <v>0</v>
      </c>
      <c r="F81" s="248">
        <v>0</v>
      </c>
      <c r="G81" s="248">
        <v>0</v>
      </c>
      <c r="H81" s="50">
        <v>0</v>
      </c>
      <c r="I81" s="50"/>
      <c r="J81" s="50"/>
      <c r="K81" s="50"/>
      <c r="L81" s="50"/>
      <c r="M81" s="50"/>
      <c r="N81" s="50">
        <v>0</v>
      </c>
      <c r="O81" s="106"/>
      <c r="P81" s="50"/>
      <c r="Q81" s="390" t="s">
        <v>209</v>
      </c>
      <c r="R81" s="391" t="s">
        <v>207</v>
      </c>
      <c r="S81" s="333">
        <f>IF(SUM(C81:C84)&gt;0,C81+C82+C84+C83,0)</f>
        <v>0</v>
      </c>
      <c r="T81" s="335">
        <f>IF(SUM(C81:C84)&lt;0,C81+C82+C84+C83,0)</f>
        <v>-1301.3900000000001</v>
      </c>
    </row>
    <row r="82" spans="1:20" s="354" customFormat="1" ht="15.75">
      <c r="A82" s="62"/>
      <c r="B82" s="59" t="s">
        <v>148</v>
      </c>
      <c r="C82" s="11">
        <f>SUM(D82:N82)</f>
        <v>0</v>
      </c>
      <c r="D82" s="248"/>
      <c r="E82" s="248">
        <v>0</v>
      </c>
      <c r="F82" s="248"/>
      <c r="G82" s="249"/>
      <c r="H82" s="60"/>
      <c r="I82" s="50"/>
      <c r="J82" s="87"/>
      <c r="K82" s="87"/>
      <c r="L82" s="50"/>
      <c r="M82" s="50"/>
      <c r="N82" s="50"/>
      <c r="O82" s="106"/>
      <c r="P82" s="50"/>
      <c r="Q82" s="345" t="s">
        <v>11</v>
      </c>
      <c r="R82" s="346" t="s">
        <v>62</v>
      </c>
      <c r="S82" s="333">
        <v>0</v>
      </c>
      <c r="T82" s="335">
        <v>0</v>
      </c>
    </row>
    <row r="83" spans="1:20" s="354" customFormat="1" ht="15.75">
      <c r="A83" s="62"/>
      <c r="B83" s="59" t="s">
        <v>144</v>
      </c>
      <c r="C83" s="11">
        <f>SUM(D83:N83)</f>
        <v>0</v>
      </c>
      <c r="D83" s="246">
        <v>0</v>
      </c>
      <c r="E83" s="246"/>
      <c r="F83" s="246"/>
      <c r="G83" s="248">
        <v>0</v>
      </c>
      <c r="H83" s="105"/>
      <c r="I83" s="50"/>
      <c r="J83" s="87"/>
      <c r="K83" s="50"/>
      <c r="L83" s="50"/>
      <c r="M83" s="50"/>
      <c r="N83" s="50"/>
      <c r="O83" s="106"/>
      <c r="P83" s="50"/>
      <c r="Q83" s="338" t="s">
        <v>80</v>
      </c>
      <c r="R83" s="337" t="s">
        <v>59</v>
      </c>
      <c r="S83" s="112">
        <f>IF(SUM(C81)&lt;0,-C81,0)</f>
        <v>0</v>
      </c>
      <c r="T83" s="335">
        <f>IF(SUM(C81)&gt;0,-C81,0)</f>
        <v>0</v>
      </c>
    </row>
    <row r="84" spans="1:20" s="354" customFormat="1" ht="15.75">
      <c r="A84" s="62"/>
      <c r="B84" s="59" t="s">
        <v>57</v>
      </c>
      <c r="C84" s="64">
        <f>SUM(D84:N84)</f>
        <v>-1301.3900000000001</v>
      </c>
      <c r="D84" s="64"/>
      <c r="E84" s="64"/>
      <c r="F84" s="64"/>
      <c r="G84" s="64"/>
      <c r="H84" s="64">
        <f>ROUND(((C77)+(C81)/2)*(O84/12),2)</f>
        <v>-1301.3900000000001</v>
      </c>
      <c r="I84" s="64"/>
      <c r="J84" s="64"/>
      <c r="K84" s="64"/>
      <c r="L84" s="64"/>
      <c r="M84" s="64"/>
      <c r="N84" s="64"/>
      <c r="O84" s="99">
        <v>0.01</v>
      </c>
      <c r="P84" s="50"/>
      <c r="Q84" s="340" t="s">
        <v>154</v>
      </c>
      <c r="R84" s="337" t="s">
        <v>77</v>
      </c>
      <c r="S84" s="342">
        <v>0</v>
      </c>
      <c r="T84" s="335">
        <f>IF(SUM(C84)&gt;0,-C84,0)</f>
        <v>0</v>
      </c>
    </row>
    <row r="85" spans="1:20" s="354" customFormat="1" ht="16.5" thickBot="1">
      <c r="A85" s="104">
        <f>A81</f>
        <v>41456</v>
      </c>
      <c r="B85" s="50" t="s">
        <v>56</v>
      </c>
      <c r="C85" s="158">
        <f>SUM(C77:C84)</f>
        <v>-1562965.2199999997</v>
      </c>
      <c r="D85" s="158">
        <f>SUM(D77:D84)</f>
        <v>-883736.20005990437</v>
      </c>
      <c r="E85" s="158">
        <f>SUM(E77:E84)</f>
        <v>-659271.7478600872</v>
      </c>
      <c r="F85" s="158">
        <f t="shared" ref="F85:G85" si="16">SUM(F77:F84)</f>
        <v>0</v>
      </c>
      <c r="G85" s="158">
        <f t="shared" si="16"/>
        <v>0</v>
      </c>
      <c r="H85" s="158">
        <f>SUM(H77:H84)</f>
        <v>-19957.27208000845</v>
      </c>
      <c r="I85" s="158">
        <f t="shared" ref="I85:N85" si="17">SUM(I77:I84)</f>
        <v>0</v>
      </c>
      <c r="J85" s="158">
        <f t="shared" si="17"/>
        <v>0</v>
      </c>
      <c r="K85" s="158">
        <f t="shared" si="17"/>
        <v>0</v>
      </c>
      <c r="L85" s="158">
        <f t="shared" si="17"/>
        <v>0</v>
      </c>
      <c r="M85" s="158">
        <f t="shared" si="17"/>
        <v>0</v>
      </c>
      <c r="N85" s="158">
        <f t="shared" si="17"/>
        <v>0</v>
      </c>
      <c r="O85" s="50"/>
      <c r="P85" s="50"/>
      <c r="Q85" s="341" t="s">
        <v>83</v>
      </c>
      <c r="R85" s="339" t="s">
        <v>78</v>
      </c>
      <c r="S85" s="116">
        <f>IF(SUM(C84)&lt;0,-C84,0)</f>
        <v>1301.3900000000001</v>
      </c>
      <c r="T85" s="389">
        <v>0</v>
      </c>
    </row>
    <row r="86" spans="1:20" s="354" customFormat="1" ht="15.75" thickTop="1">
      <c r="A86" s="53"/>
      <c r="B86" s="382"/>
      <c r="C86" s="382"/>
      <c r="D86" s="382"/>
      <c r="E86" s="382"/>
      <c r="F86" s="382"/>
      <c r="G86" s="382"/>
      <c r="H86" s="382"/>
      <c r="I86" s="382"/>
      <c r="J86" s="382"/>
      <c r="K86" s="382"/>
      <c r="L86" s="382"/>
      <c r="M86" s="382"/>
      <c r="N86" s="382"/>
      <c r="O86" s="382"/>
      <c r="P86" s="382"/>
      <c r="Q86" s="382"/>
      <c r="R86" s="382"/>
      <c r="S86" s="382"/>
      <c r="T86" s="336">
        <v>0</v>
      </c>
    </row>
    <row r="87" spans="1:20" s="354" customFormat="1" ht="16.5" thickBot="1">
      <c r="A87" s="362"/>
      <c r="B87" s="357"/>
      <c r="C87" s="314"/>
      <c r="D87" s="314"/>
      <c r="E87" s="314"/>
      <c r="F87" s="314"/>
      <c r="G87" s="314"/>
      <c r="H87" s="314"/>
      <c r="I87" s="314"/>
      <c r="J87" s="314"/>
      <c r="K87" s="314"/>
      <c r="L87" s="314"/>
      <c r="M87" s="314"/>
      <c r="N87" s="314"/>
      <c r="O87" s="368"/>
      <c r="P87" s="314"/>
      <c r="Q87" s="369"/>
      <c r="R87" s="360"/>
      <c r="S87" s="367"/>
      <c r="T87" s="367"/>
    </row>
    <row r="88" spans="1:20" s="354" customFormat="1" ht="15.75" thickBot="1">
      <c r="A88" s="53"/>
      <c r="B88" s="382"/>
      <c r="C88" s="382"/>
      <c r="D88" s="382"/>
      <c r="E88" s="382"/>
      <c r="F88" s="382"/>
      <c r="G88" s="382"/>
      <c r="H88" s="382"/>
      <c r="I88" s="382"/>
      <c r="J88" s="382"/>
      <c r="K88" s="382"/>
      <c r="L88" s="382"/>
      <c r="M88" s="382"/>
      <c r="N88" s="382"/>
      <c r="O88" s="382"/>
      <c r="P88" s="382"/>
      <c r="Q88" s="334" t="s">
        <v>107</v>
      </c>
      <c r="R88" s="330"/>
      <c r="S88" s="330"/>
      <c r="T88" s="228"/>
    </row>
    <row r="89" spans="1:20" s="354" customFormat="1" ht="15.75">
      <c r="A89" s="58">
        <v>41487</v>
      </c>
      <c r="B89" s="59" t="s">
        <v>84</v>
      </c>
      <c r="C89" s="11">
        <f>SUM(D89:N89)</f>
        <v>0</v>
      </c>
      <c r="D89" s="247">
        <v>0</v>
      </c>
      <c r="E89" s="247">
        <v>0</v>
      </c>
      <c r="F89" s="248">
        <v>0</v>
      </c>
      <c r="G89" s="248">
        <v>0</v>
      </c>
      <c r="H89" s="50">
        <v>0</v>
      </c>
      <c r="I89" s="50"/>
      <c r="J89" s="50"/>
      <c r="K89" s="50"/>
      <c r="L89" s="50"/>
      <c r="M89" s="50"/>
      <c r="N89" s="50">
        <v>0</v>
      </c>
      <c r="O89" s="106"/>
      <c r="P89" s="50"/>
      <c r="Q89" s="390" t="s">
        <v>209</v>
      </c>
      <c r="R89" s="391" t="s">
        <v>207</v>
      </c>
      <c r="S89" s="333">
        <f>IF(SUM(C89:C92)&gt;0,C89+C90+C92+C91,0)</f>
        <v>0</v>
      </c>
      <c r="T89" s="335">
        <f>IF(SUM(C89:C92)&lt;0,C89+C90+C92+C91,0)</f>
        <v>-1302.47</v>
      </c>
    </row>
    <row r="90" spans="1:20" s="354" customFormat="1" ht="15.75">
      <c r="A90" s="62"/>
      <c r="B90" s="59" t="s">
        <v>148</v>
      </c>
      <c r="C90" s="11">
        <f>SUM(D90:N90)</f>
        <v>0</v>
      </c>
      <c r="D90" s="248"/>
      <c r="E90" s="248">
        <v>0</v>
      </c>
      <c r="F90" s="248"/>
      <c r="G90" s="249"/>
      <c r="H90" s="60"/>
      <c r="I90" s="50"/>
      <c r="J90" s="87"/>
      <c r="K90" s="87"/>
      <c r="L90" s="50"/>
      <c r="M90" s="50"/>
      <c r="N90" s="50"/>
      <c r="O90" s="106"/>
      <c r="P90" s="50"/>
      <c r="Q90" s="345" t="s">
        <v>11</v>
      </c>
      <c r="R90" s="346" t="s">
        <v>62</v>
      </c>
      <c r="S90" s="333">
        <v>0</v>
      </c>
      <c r="T90" s="335">
        <v>0</v>
      </c>
    </row>
    <row r="91" spans="1:20" s="354" customFormat="1" ht="15.75">
      <c r="A91" s="62"/>
      <c r="B91" s="59" t="s">
        <v>144</v>
      </c>
      <c r="C91" s="11">
        <f>SUM(D91:N91)</f>
        <v>0</v>
      </c>
      <c r="D91" s="246">
        <v>0</v>
      </c>
      <c r="E91" s="246"/>
      <c r="F91" s="246"/>
      <c r="G91" s="248">
        <v>0</v>
      </c>
      <c r="H91" s="105"/>
      <c r="I91" s="50"/>
      <c r="J91" s="87"/>
      <c r="K91" s="50"/>
      <c r="L91" s="50"/>
      <c r="M91" s="50"/>
      <c r="N91" s="50"/>
      <c r="O91" s="106"/>
      <c r="P91" s="50"/>
      <c r="Q91" s="338" t="s">
        <v>80</v>
      </c>
      <c r="R91" s="337" t="s">
        <v>59</v>
      </c>
      <c r="S91" s="112">
        <f>IF(SUM(C89)&lt;0,-C89,0)</f>
        <v>0</v>
      </c>
      <c r="T91" s="335">
        <f>IF(SUM(C89)&gt;0,-C89,0)</f>
        <v>0</v>
      </c>
    </row>
    <row r="92" spans="1:20" s="354" customFormat="1" ht="15.75">
      <c r="A92" s="62"/>
      <c r="B92" s="59" t="s">
        <v>57</v>
      </c>
      <c r="C92" s="64">
        <f>SUM(D92:N92)</f>
        <v>-1302.47</v>
      </c>
      <c r="D92" s="64"/>
      <c r="E92" s="64"/>
      <c r="F92" s="64"/>
      <c r="G92" s="64"/>
      <c r="H92" s="64">
        <v>-1302.47</v>
      </c>
      <c r="I92" s="64"/>
      <c r="J92" s="64"/>
      <c r="K92" s="64"/>
      <c r="L92" s="64"/>
      <c r="M92" s="64"/>
      <c r="N92" s="64"/>
      <c r="O92" s="99">
        <v>0.01</v>
      </c>
      <c r="P92" s="50"/>
      <c r="Q92" s="340" t="s">
        <v>154</v>
      </c>
      <c r="R92" s="337" t="s">
        <v>77</v>
      </c>
      <c r="S92" s="342">
        <v>0</v>
      </c>
      <c r="T92" s="335">
        <f>IF(SUM(C92)&gt;0,-C92,0)</f>
        <v>0</v>
      </c>
    </row>
    <row r="93" spans="1:20" s="354" customFormat="1" ht="16.5" thickBot="1">
      <c r="A93" s="104">
        <f>A89</f>
        <v>41487</v>
      </c>
      <c r="B93" s="50" t="s">
        <v>56</v>
      </c>
      <c r="C93" s="158">
        <f>SUM(C85:C92)</f>
        <v>-1564267.6899999997</v>
      </c>
      <c r="D93" s="158">
        <f>SUM(D85:D92)</f>
        <v>-883736.20005990437</v>
      </c>
      <c r="E93" s="158">
        <f>SUM(E85:E92)</f>
        <v>-659271.7478600872</v>
      </c>
      <c r="F93" s="158">
        <f t="shared" ref="F93:G93" si="18">SUM(F85:F92)</f>
        <v>0</v>
      </c>
      <c r="G93" s="158">
        <f t="shared" si="18"/>
        <v>0</v>
      </c>
      <c r="H93" s="158">
        <f>SUM(H85:H92)</f>
        <v>-21259.742080008451</v>
      </c>
      <c r="I93" s="158">
        <f t="shared" ref="I93:N93" si="19">SUM(I85:I92)</f>
        <v>0</v>
      </c>
      <c r="J93" s="158">
        <f t="shared" si="19"/>
        <v>0</v>
      </c>
      <c r="K93" s="158">
        <f t="shared" si="19"/>
        <v>0</v>
      </c>
      <c r="L93" s="158">
        <f t="shared" si="19"/>
        <v>0</v>
      </c>
      <c r="M93" s="158">
        <f t="shared" si="19"/>
        <v>0</v>
      </c>
      <c r="N93" s="158">
        <f t="shared" si="19"/>
        <v>0</v>
      </c>
      <c r="O93" s="50"/>
      <c r="P93" s="50"/>
      <c r="Q93" s="341" t="s">
        <v>83</v>
      </c>
      <c r="R93" s="339" t="s">
        <v>78</v>
      </c>
      <c r="S93" s="116">
        <f>IF(SUM(C92)&lt;0,-C92,0)</f>
        <v>1302.47</v>
      </c>
      <c r="T93" s="389">
        <v>0</v>
      </c>
    </row>
    <row r="94" spans="1:20" s="354" customFormat="1" ht="15.75" thickTop="1">
      <c r="A94" s="53"/>
      <c r="B94" s="382"/>
      <c r="C94" s="382"/>
      <c r="D94" s="382"/>
      <c r="E94" s="382"/>
      <c r="F94" s="382"/>
      <c r="G94" s="382"/>
      <c r="H94" s="382"/>
      <c r="I94" s="382"/>
      <c r="J94" s="382"/>
      <c r="K94" s="382"/>
      <c r="L94" s="382"/>
      <c r="M94" s="382"/>
      <c r="N94" s="382"/>
      <c r="O94" s="382"/>
      <c r="P94" s="382"/>
      <c r="Q94" s="382"/>
      <c r="R94" s="382"/>
      <c r="S94" s="382"/>
      <c r="T94" s="336">
        <f>SUM(S89:T93)</f>
        <v>0</v>
      </c>
    </row>
    <row r="95" spans="1:20" s="354" customFormat="1" ht="16.5" thickBot="1">
      <c r="A95" s="370"/>
      <c r="B95" s="314"/>
      <c r="C95" s="314"/>
      <c r="D95" s="314"/>
      <c r="E95" s="314"/>
      <c r="F95" s="314"/>
      <c r="G95" s="314"/>
      <c r="H95" s="314"/>
      <c r="I95" s="314"/>
      <c r="J95" s="314"/>
      <c r="K95" s="314"/>
      <c r="L95" s="314"/>
      <c r="M95" s="314"/>
      <c r="N95" s="314"/>
      <c r="O95" s="314"/>
      <c r="P95" s="314"/>
      <c r="Q95" s="369"/>
      <c r="R95" s="371"/>
      <c r="S95" s="367"/>
      <c r="T95" s="367"/>
    </row>
    <row r="96" spans="1:20" s="354" customFormat="1" ht="15.75" thickBot="1">
      <c r="A96" s="53"/>
      <c r="B96" s="382"/>
      <c r="C96" s="382"/>
      <c r="D96" s="382"/>
      <c r="E96" s="382"/>
      <c r="F96" s="382"/>
      <c r="G96" s="382"/>
      <c r="H96" s="382"/>
      <c r="I96" s="382"/>
      <c r="J96" s="382"/>
      <c r="K96" s="382"/>
      <c r="L96" s="382"/>
      <c r="M96" s="382"/>
      <c r="N96" s="382"/>
      <c r="O96" s="382"/>
      <c r="P96" s="382"/>
      <c r="Q96" s="334" t="s">
        <v>107</v>
      </c>
      <c r="R96" s="330"/>
      <c r="S96" s="330"/>
      <c r="T96" s="228"/>
    </row>
    <row r="97" spans="1:20" s="354" customFormat="1" ht="15.75">
      <c r="A97" s="58">
        <v>41518</v>
      </c>
      <c r="B97" s="59" t="s">
        <v>84</v>
      </c>
      <c r="C97" s="11">
        <f>SUM(D97:N97)</f>
        <v>0</v>
      </c>
      <c r="D97" s="247">
        <v>0</v>
      </c>
      <c r="E97" s="247">
        <v>0</v>
      </c>
      <c r="F97" s="248">
        <v>0</v>
      </c>
      <c r="G97" s="248">
        <v>0</v>
      </c>
      <c r="H97" s="50">
        <v>0</v>
      </c>
      <c r="I97" s="50"/>
      <c r="J97" s="50"/>
      <c r="K97" s="50"/>
      <c r="L97" s="50"/>
      <c r="M97" s="50"/>
      <c r="N97" s="50">
        <v>0</v>
      </c>
      <c r="O97" s="106"/>
      <c r="P97" s="50"/>
      <c r="Q97" s="390" t="s">
        <v>209</v>
      </c>
      <c r="R97" s="391" t="s">
        <v>207</v>
      </c>
      <c r="S97" s="333">
        <f>IF(SUM(C97:C100)&gt;0,C97+C98+C100+C99,0)</f>
        <v>0</v>
      </c>
      <c r="T97" s="335">
        <f>IF(SUM(C97:C100)&lt;0,C97+C98+C100+C99,0)</f>
        <v>-1303.56</v>
      </c>
    </row>
    <row r="98" spans="1:20" s="354" customFormat="1" ht="15.75">
      <c r="A98" s="62"/>
      <c r="B98" s="59" t="s">
        <v>148</v>
      </c>
      <c r="C98" s="11">
        <f>SUM(D98:N98)</f>
        <v>0</v>
      </c>
      <c r="D98" s="248"/>
      <c r="E98" s="248">
        <v>0</v>
      </c>
      <c r="F98" s="248"/>
      <c r="G98" s="249"/>
      <c r="H98" s="60"/>
      <c r="I98" s="50"/>
      <c r="J98" s="87"/>
      <c r="K98" s="87"/>
      <c r="L98" s="50"/>
      <c r="M98" s="50"/>
      <c r="N98" s="50"/>
      <c r="O98" s="106"/>
      <c r="P98" s="50"/>
      <c r="Q98" s="345" t="s">
        <v>11</v>
      </c>
      <c r="R98" s="346" t="s">
        <v>62</v>
      </c>
      <c r="S98" s="333">
        <v>0</v>
      </c>
      <c r="T98" s="335">
        <v>0</v>
      </c>
    </row>
    <row r="99" spans="1:20" s="354" customFormat="1" ht="15.75">
      <c r="A99" s="62"/>
      <c r="B99" s="59" t="s">
        <v>144</v>
      </c>
      <c r="C99" s="11">
        <f>SUM(D99:N99)</f>
        <v>0</v>
      </c>
      <c r="D99" s="246">
        <v>0</v>
      </c>
      <c r="E99" s="246"/>
      <c r="F99" s="246"/>
      <c r="G99" s="248">
        <v>0</v>
      </c>
      <c r="H99" s="105"/>
      <c r="I99" s="50"/>
      <c r="J99" s="87"/>
      <c r="K99" s="50"/>
      <c r="L99" s="50"/>
      <c r="M99" s="50"/>
      <c r="N99" s="50"/>
      <c r="O99" s="106"/>
      <c r="P99" s="50"/>
      <c r="Q99" s="338" t="s">
        <v>80</v>
      </c>
      <c r="R99" s="337" t="s">
        <v>59</v>
      </c>
      <c r="S99" s="112">
        <f>IF(SUM(C97)&lt;0,-C97,0)</f>
        <v>0</v>
      </c>
      <c r="T99" s="335">
        <f>IF(SUM(C97)&gt;0,-C97,0)</f>
        <v>0</v>
      </c>
    </row>
    <row r="100" spans="1:20" s="354" customFormat="1" ht="15.75">
      <c r="A100" s="62"/>
      <c r="B100" s="59" t="s">
        <v>57</v>
      </c>
      <c r="C100" s="64">
        <f>SUM(D100:N100)</f>
        <v>-1303.56</v>
      </c>
      <c r="D100" s="64"/>
      <c r="E100" s="64"/>
      <c r="F100" s="64"/>
      <c r="G100" s="64"/>
      <c r="H100" s="64">
        <f>ROUND(((C93)+(C97)/2)*(O100/12),2)</f>
        <v>-1303.56</v>
      </c>
      <c r="I100" s="64"/>
      <c r="J100" s="64"/>
      <c r="K100" s="64"/>
      <c r="L100" s="64"/>
      <c r="M100" s="64"/>
      <c r="N100" s="64"/>
      <c r="O100" s="99">
        <v>0.01</v>
      </c>
      <c r="P100" s="50"/>
      <c r="Q100" s="340" t="s">
        <v>154</v>
      </c>
      <c r="R100" s="337" t="s">
        <v>77</v>
      </c>
      <c r="S100" s="342">
        <v>0</v>
      </c>
      <c r="T100" s="335">
        <f>IF(SUM(C100)&gt;0,-C100,0)</f>
        <v>0</v>
      </c>
    </row>
    <row r="101" spans="1:20" s="354" customFormat="1" ht="16.5" thickBot="1">
      <c r="A101" s="104">
        <f>A97</f>
        <v>41518</v>
      </c>
      <c r="B101" s="50" t="s">
        <v>56</v>
      </c>
      <c r="C101" s="158">
        <f>SUM(C93:C100)</f>
        <v>-1565571.2499999998</v>
      </c>
      <c r="D101" s="158">
        <f>SUM(D93:D100)</f>
        <v>-883736.20005990437</v>
      </c>
      <c r="E101" s="158">
        <f>SUM(E93:E100)</f>
        <v>-659271.7478600872</v>
      </c>
      <c r="F101" s="158">
        <f t="shared" ref="F101:G101" si="20">SUM(F93:F100)</f>
        <v>0</v>
      </c>
      <c r="G101" s="158">
        <f t="shared" si="20"/>
        <v>0</v>
      </c>
      <c r="H101" s="158">
        <f>SUM(H93:H100)</f>
        <v>-22563.302080008452</v>
      </c>
      <c r="I101" s="158">
        <f t="shared" ref="I101:N101" si="21">SUM(I93:I100)</f>
        <v>0</v>
      </c>
      <c r="J101" s="158">
        <f t="shared" si="21"/>
        <v>0</v>
      </c>
      <c r="K101" s="158">
        <f t="shared" si="21"/>
        <v>0</v>
      </c>
      <c r="L101" s="158">
        <f t="shared" si="21"/>
        <v>0</v>
      </c>
      <c r="M101" s="158">
        <f t="shared" si="21"/>
        <v>0</v>
      </c>
      <c r="N101" s="158">
        <f t="shared" si="21"/>
        <v>0</v>
      </c>
      <c r="O101" s="50"/>
      <c r="P101" s="50"/>
      <c r="Q101" s="341" t="s">
        <v>83</v>
      </c>
      <c r="R101" s="339" t="s">
        <v>78</v>
      </c>
      <c r="S101" s="116">
        <f>IF(SUM(C100)&lt;0,-C100,0)</f>
        <v>1303.56</v>
      </c>
      <c r="T101" s="389">
        <v>0</v>
      </c>
    </row>
    <row r="102" spans="1:20" s="354" customFormat="1" ht="15.75" thickTop="1">
      <c r="A102" s="53"/>
      <c r="B102" s="382"/>
      <c r="C102" s="382"/>
      <c r="D102" s="382"/>
      <c r="E102" s="382"/>
      <c r="F102" s="382"/>
      <c r="G102" s="382"/>
      <c r="H102" s="382"/>
      <c r="I102" s="382"/>
      <c r="J102" s="382"/>
      <c r="K102" s="382"/>
      <c r="L102" s="382"/>
      <c r="M102" s="382"/>
      <c r="N102" s="382"/>
      <c r="O102" s="382"/>
      <c r="P102" s="382"/>
      <c r="Q102" s="382"/>
      <c r="R102" s="382"/>
      <c r="S102" s="382"/>
      <c r="T102" s="336">
        <f>SUM(S97:T101)</f>
        <v>0</v>
      </c>
    </row>
    <row r="103" spans="1:20" s="408" customFormat="1" ht="15.75">
      <c r="A103" s="457"/>
      <c r="B103" s="386" t="s">
        <v>224</v>
      </c>
      <c r="T103" s="433"/>
    </row>
    <row r="104" spans="1:20" s="354" customFormat="1">
      <c r="A104" s="353"/>
      <c r="T104" s="367"/>
    </row>
    <row r="105" spans="1:20" s="354" customFormat="1">
      <c r="A105" s="353"/>
      <c r="Q105" s="355"/>
      <c r="T105" s="367"/>
    </row>
    <row r="106" spans="1:20" s="354" customFormat="1" ht="15.75">
      <c r="A106" s="356"/>
      <c r="B106" s="357"/>
      <c r="C106" s="314"/>
      <c r="D106" s="350"/>
      <c r="E106" s="350"/>
      <c r="F106" s="351"/>
      <c r="G106" s="351"/>
      <c r="H106" s="314"/>
      <c r="I106" s="314"/>
      <c r="J106" s="314"/>
      <c r="K106" s="314"/>
      <c r="L106" s="314"/>
      <c r="M106" s="314"/>
      <c r="N106" s="314"/>
      <c r="O106" s="358"/>
      <c r="P106" s="314"/>
      <c r="Q106" s="359"/>
      <c r="R106" s="360"/>
      <c r="S106" s="361"/>
      <c r="T106" s="367"/>
    </row>
    <row r="107" spans="1:20" s="354" customFormat="1" ht="15.75">
      <c r="A107" s="362"/>
      <c r="B107" s="357"/>
      <c r="C107" s="314"/>
      <c r="D107" s="351"/>
      <c r="E107" s="351"/>
      <c r="F107" s="351"/>
      <c r="G107" s="352"/>
      <c r="H107" s="351"/>
      <c r="I107" s="314"/>
      <c r="J107" s="352"/>
      <c r="K107" s="352"/>
      <c r="L107" s="314"/>
      <c r="M107" s="314"/>
      <c r="N107" s="314"/>
      <c r="O107" s="358"/>
      <c r="P107" s="314"/>
      <c r="Q107" s="363"/>
      <c r="R107" s="364"/>
      <c r="S107" s="361"/>
      <c r="T107" s="367"/>
    </row>
    <row r="108" spans="1:20" s="354" customFormat="1" ht="15.75">
      <c r="A108" s="362"/>
      <c r="B108" s="357"/>
      <c r="C108" s="314"/>
      <c r="D108" s="314"/>
      <c r="E108" s="314"/>
      <c r="F108" s="314"/>
      <c r="G108" s="351"/>
      <c r="H108" s="365"/>
      <c r="I108" s="314"/>
      <c r="J108" s="352"/>
      <c r="K108" s="314"/>
      <c r="L108" s="314"/>
      <c r="M108" s="314"/>
      <c r="N108" s="314"/>
      <c r="O108" s="358"/>
      <c r="P108" s="314"/>
      <c r="Q108" s="366"/>
      <c r="R108" s="360"/>
      <c r="S108" s="367"/>
      <c r="T108" s="367"/>
    </row>
    <row r="109" spans="1:20" s="354" customFormat="1" ht="15.75">
      <c r="A109" s="362"/>
      <c r="B109" s="357"/>
      <c r="C109" s="314"/>
      <c r="D109" s="314"/>
      <c r="E109" s="314"/>
      <c r="F109" s="314"/>
      <c r="G109" s="314"/>
      <c r="H109" s="314"/>
      <c r="I109" s="314"/>
      <c r="J109" s="314"/>
      <c r="K109" s="314"/>
      <c r="L109" s="314"/>
      <c r="M109" s="314"/>
      <c r="N109" s="314"/>
      <c r="O109" s="368"/>
      <c r="P109" s="314"/>
      <c r="Q109" s="369"/>
      <c r="R109" s="360"/>
      <c r="S109" s="367"/>
      <c r="T109" s="367"/>
    </row>
    <row r="110" spans="1:20" s="354" customFormat="1" ht="15.75">
      <c r="A110" s="370"/>
      <c r="B110" s="314"/>
      <c r="C110" s="314"/>
      <c r="D110" s="314"/>
      <c r="E110" s="314"/>
      <c r="F110" s="314"/>
      <c r="G110" s="314"/>
      <c r="H110" s="314"/>
      <c r="I110" s="314"/>
      <c r="J110" s="314"/>
      <c r="K110" s="314"/>
      <c r="L110" s="314"/>
      <c r="M110" s="314"/>
      <c r="N110" s="314"/>
      <c r="O110" s="314"/>
      <c r="P110" s="314"/>
      <c r="Q110" s="369"/>
      <c r="R110" s="371"/>
      <c r="S110" s="367"/>
      <c r="T110" s="367"/>
    </row>
    <row r="111" spans="1:20" s="354" customFormat="1">
      <c r="A111" s="353"/>
      <c r="T111" s="367"/>
    </row>
    <row r="112" spans="1:20" s="354" customFormat="1">
      <c r="A112" s="353"/>
      <c r="T112" s="367"/>
    </row>
    <row r="113" spans="1:20" s="354" customFormat="1">
      <c r="A113" s="353"/>
      <c r="Q113" s="355"/>
      <c r="T113" s="367"/>
    </row>
    <row r="114" spans="1:20" s="354" customFormat="1" ht="15.75">
      <c r="A114" s="356"/>
      <c r="B114" s="357"/>
      <c r="C114" s="314"/>
      <c r="D114" s="350"/>
      <c r="E114" s="350"/>
      <c r="F114" s="351"/>
      <c r="G114" s="351"/>
      <c r="H114" s="314"/>
      <c r="I114" s="314"/>
      <c r="J114" s="314"/>
      <c r="K114" s="314"/>
      <c r="L114" s="314"/>
      <c r="M114" s="314"/>
      <c r="N114" s="314"/>
      <c r="O114" s="358"/>
      <c r="P114" s="314"/>
      <c r="Q114" s="359"/>
      <c r="R114" s="360"/>
      <c r="S114" s="361"/>
      <c r="T114" s="367"/>
    </row>
    <row r="115" spans="1:20" s="354" customFormat="1" ht="15.75">
      <c r="A115" s="362"/>
      <c r="B115" s="357"/>
      <c r="C115" s="314"/>
      <c r="D115" s="351"/>
      <c r="E115" s="351"/>
      <c r="F115" s="351"/>
      <c r="G115" s="352"/>
      <c r="H115" s="351"/>
      <c r="I115" s="314"/>
      <c r="J115" s="352"/>
      <c r="K115" s="352"/>
      <c r="L115" s="314"/>
      <c r="M115" s="314"/>
      <c r="N115" s="314"/>
      <c r="O115" s="358"/>
      <c r="P115" s="314"/>
      <c r="Q115" s="363"/>
      <c r="R115" s="364"/>
      <c r="S115" s="361"/>
      <c r="T115" s="367"/>
    </row>
    <row r="116" spans="1:20" s="354" customFormat="1" ht="15.75">
      <c r="A116" s="362"/>
      <c r="B116" s="357"/>
      <c r="C116" s="314"/>
      <c r="D116" s="314"/>
      <c r="E116" s="314"/>
      <c r="F116" s="314"/>
      <c r="G116" s="351"/>
      <c r="H116" s="365"/>
      <c r="I116" s="314"/>
      <c r="J116" s="352"/>
      <c r="K116" s="314"/>
      <c r="L116" s="314"/>
      <c r="M116" s="314"/>
      <c r="N116" s="314"/>
      <c r="O116" s="358"/>
      <c r="P116" s="314"/>
      <c r="Q116" s="366"/>
      <c r="R116" s="360"/>
      <c r="S116" s="367"/>
      <c r="T116" s="367"/>
    </row>
    <row r="117" spans="1:20" s="354" customFormat="1" ht="15.75">
      <c r="A117" s="362"/>
      <c r="B117" s="357"/>
      <c r="C117" s="314"/>
      <c r="D117" s="314"/>
      <c r="E117" s="314"/>
      <c r="F117" s="314"/>
      <c r="G117" s="314"/>
      <c r="H117" s="314"/>
      <c r="I117" s="314"/>
      <c r="J117" s="314"/>
      <c r="K117" s="314"/>
      <c r="L117" s="314"/>
      <c r="M117" s="314"/>
      <c r="N117" s="314"/>
      <c r="O117" s="368"/>
      <c r="P117" s="314"/>
      <c r="Q117" s="369"/>
      <c r="R117" s="360"/>
      <c r="S117" s="367"/>
      <c r="T117" s="367"/>
    </row>
    <row r="118" spans="1:20" s="354" customFormat="1" ht="15.75">
      <c r="A118" s="370"/>
      <c r="B118" s="314"/>
      <c r="C118" s="314"/>
      <c r="D118" s="314"/>
      <c r="E118" s="314"/>
      <c r="F118" s="314"/>
      <c r="G118" s="314"/>
      <c r="H118" s="314"/>
      <c r="I118" s="314"/>
      <c r="J118" s="314"/>
      <c r="K118" s="314"/>
      <c r="L118" s="314"/>
      <c r="M118" s="314"/>
      <c r="N118" s="314"/>
      <c r="O118" s="314"/>
      <c r="P118" s="314"/>
      <c r="Q118" s="369"/>
      <c r="R118" s="371"/>
      <c r="S118" s="367"/>
      <c r="T118" s="367"/>
    </row>
    <row r="119" spans="1:20" s="354" customFormat="1" ht="15.75">
      <c r="A119" s="370"/>
      <c r="B119" s="314"/>
      <c r="C119" s="314"/>
      <c r="D119" s="314"/>
      <c r="E119" s="314"/>
      <c r="F119" s="314"/>
      <c r="G119" s="314"/>
      <c r="H119" s="314"/>
      <c r="I119" s="314"/>
      <c r="J119" s="314"/>
      <c r="K119" s="314"/>
      <c r="L119" s="314"/>
      <c r="M119" s="314"/>
      <c r="N119" s="314"/>
      <c r="O119" s="314"/>
      <c r="P119" s="314"/>
      <c r="Q119" s="369"/>
      <c r="R119" s="371"/>
      <c r="S119" s="367"/>
      <c r="T119" s="367"/>
    </row>
    <row r="120" spans="1:20" s="354" customFormat="1" ht="15.75">
      <c r="A120" s="370"/>
      <c r="B120" s="314"/>
      <c r="C120" s="314"/>
      <c r="D120" s="314"/>
      <c r="E120" s="314"/>
      <c r="F120" s="314"/>
      <c r="G120" s="314"/>
      <c r="H120" s="314"/>
      <c r="I120" s="314"/>
      <c r="J120" s="314"/>
      <c r="K120" s="314"/>
      <c r="L120" s="314"/>
      <c r="M120" s="314"/>
      <c r="N120" s="314"/>
      <c r="O120" s="314"/>
      <c r="P120" s="314"/>
      <c r="Q120" s="369"/>
      <c r="R120" s="371"/>
      <c r="S120" s="367"/>
      <c r="T120" s="367"/>
    </row>
    <row r="121" spans="1:20" s="354" customFormat="1">
      <c r="A121" s="353"/>
      <c r="Q121" s="355"/>
      <c r="T121" s="367"/>
    </row>
    <row r="122" spans="1:20" s="354" customFormat="1" ht="15.75">
      <c r="A122" s="356"/>
      <c r="B122" s="357"/>
      <c r="C122" s="314"/>
      <c r="D122" s="350"/>
      <c r="E122" s="350"/>
      <c r="F122" s="351"/>
      <c r="G122" s="351"/>
      <c r="H122" s="314"/>
      <c r="I122" s="314"/>
      <c r="J122" s="314"/>
      <c r="K122" s="314"/>
      <c r="L122" s="314"/>
      <c r="M122" s="314"/>
      <c r="N122" s="314"/>
      <c r="O122" s="358"/>
      <c r="P122" s="314"/>
      <c r="Q122" s="359"/>
      <c r="R122" s="360"/>
      <c r="S122" s="361"/>
      <c r="T122" s="367"/>
    </row>
    <row r="123" spans="1:20" s="354" customFormat="1" ht="15.75">
      <c r="A123" s="362"/>
      <c r="B123" s="357"/>
      <c r="C123" s="314"/>
      <c r="D123" s="351"/>
      <c r="E123" s="351"/>
      <c r="F123" s="351"/>
      <c r="G123" s="352"/>
      <c r="H123" s="351"/>
      <c r="I123" s="314"/>
      <c r="J123" s="352"/>
      <c r="K123" s="352"/>
      <c r="L123" s="314"/>
      <c r="M123" s="314"/>
      <c r="N123" s="314"/>
      <c r="O123" s="358"/>
      <c r="P123" s="314"/>
      <c r="Q123" s="363"/>
      <c r="R123" s="364"/>
      <c r="S123" s="361"/>
      <c r="T123" s="367"/>
    </row>
    <row r="124" spans="1:20" s="354" customFormat="1" ht="15.75">
      <c r="A124" s="362"/>
      <c r="B124" s="357"/>
      <c r="C124" s="314"/>
      <c r="D124" s="314"/>
      <c r="E124" s="314"/>
      <c r="F124" s="314"/>
      <c r="G124" s="351"/>
      <c r="H124" s="365"/>
      <c r="I124" s="314"/>
      <c r="J124" s="352"/>
      <c r="K124" s="314"/>
      <c r="L124" s="314"/>
      <c r="M124" s="314"/>
      <c r="N124" s="314"/>
      <c r="O124" s="358"/>
      <c r="P124" s="314"/>
      <c r="Q124" s="366"/>
      <c r="R124" s="360"/>
      <c r="S124" s="367"/>
      <c r="T124" s="367"/>
    </row>
    <row r="125" spans="1:20" s="354" customFormat="1" ht="15.75">
      <c r="A125" s="362"/>
      <c r="B125" s="357"/>
      <c r="C125" s="314"/>
      <c r="D125" s="314"/>
      <c r="E125" s="314"/>
      <c r="F125" s="314"/>
      <c r="G125" s="314"/>
      <c r="H125" s="314"/>
      <c r="I125" s="314"/>
      <c r="J125" s="314"/>
      <c r="K125" s="314"/>
      <c r="L125" s="314"/>
      <c r="M125" s="314"/>
      <c r="N125" s="314"/>
      <c r="O125" s="368"/>
      <c r="P125" s="314"/>
      <c r="Q125" s="369"/>
      <c r="R125" s="360"/>
      <c r="S125" s="367"/>
      <c r="T125" s="367"/>
    </row>
    <row r="126" spans="1:20" s="354" customFormat="1" ht="15.75">
      <c r="A126" s="370"/>
      <c r="B126" s="314"/>
      <c r="C126" s="314"/>
      <c r="D126" s="314"/>
      <c r="E126" s="314"/>
      <c r="F126" s="314"/>
      <c r="G126" s="314"/>
      <c r="H126" s="314"/>
      <c r="I126" s="314"/>
      <c r="J126" s="314"/>
      <c r="K126" s="314"/>
      <c r="L126" s="314"/>
      <c r="M126" s="314"/>
      <c r="N126" s="314"/>
      <c r="O126" s="314"/>
      <c r="P126" s="314"/>
      <c r="Q126" s="369"/>
      <c r="R126" s="371"/>
      <c r="S126" s="367"/>
      <c r="T126" s="367"/>
    </row>
    <row r="127" spans="1:20" s="354" customFormat="1" ht="15.75">
      <c r="A127" s="370"/>
      <c r="B127" s="314"/>
      <c r="C127" s="314"/>
      <c r="D127" s="314"/>
      <c r="E127" s="314"/>
      <c r="F127" s="314"/>
      <c r="G127" s="314"/>
      <c r="H127" s="314"/>
      <c r="I127" s="314"/>
      <c r="J127" s="314"/>
      <c r="K127" s="314"/>
      <c r="L127" s="314"/>
      <c r="M127" s="314"/>
      <c r="N127" s="314"/>
      <c r="O127" s="314"/>
      <c r="P127" s="314"/>
      <c r="Q127" s="369"/>
      <c r="R127" s="371"/>
      <c r="S127" s="367"/>
      <c r="T127" s="367"/>
    </row>
    <row r="128" spans="1:20" s="354" customFormat="1" ht="15.75">
      <c r="A128" s="370"/>
      <c r="B128" s="314"/>
      <c r="C128" s="314"/>
      <c r="D128" s="314"/>
      <c r="E128" s="314"/>
      <c r="F128" s="314"/>
      <c r="G128" s="314"/>
      <c r="H128" s="314"/>
      <c r="I128" s="314"/>
      <c r="J128" s="314"/>
      <c r="K128" s="314"/>
      <c r="L128" s="314"/>
      <c r="M128" s="373"/>
      <c r="N128" s="374"/>
      <c r="O128" s="375"/>
      <c r="P128" s="314"/>
      <c r="Q128" s="369"/>
      <c r="R128" s="371"/>
      <c r="S128" s="367"/>
      <c r="T128" s="367"/>
    </row>
    <row r="129" spans="1:20" s="354" customFormat="1" ht="15.75">
      <c r="A129" s="370"/>
      <c r="B129" s="314"/>
      <c r="C129" s="314"/>
      <c r="D129" s="314"/>
      <c r="E129" s="314"/>
      <c r="F129" s="314"/>
      <c r="G129" s="314"/>
      <c r="H129" s="314"/>
      <c r="I129" s="314"/>
      <c r="J129" s="314"/>
      <c r="K129" s="314"/>
      <c r="L129" s="314"/>
      <c r="M129" s="373"/>
      <c r="N129" s="374"/>
      <c r="P129" s="314"/>
      <c r="Q129" s="369"/>
      <c r="R129" s="371"/>
      <c r="S129" s="367"/>
      <c r="T129" s="367"/>
    </row>
    <row r="130" spans="1:20" s="354" customFormat="1" ht="15.75">
      <c r="A130" s="370"/>
      <c r="B130" s="314"/>
      <c r="C130" s="314"/>
      <c r="D130" s="314"/>
      <c r="E130" s="314"/>
      <c r="F130" s="314"/>
      <c r="G130" s="314"/>
      <c r="H130" s="314"/>
      <c r="I130" s="314"/>
      <c r="J130" s="314"/>
      <c r="K130" s="314"/>
      <c r="L130" s="314"/>
      <c r="M130" s="373"/>
      <c r="N130" s="374"/>
      <c r="P130" s="314"/>
      <c r="Q130" s="369"/>
      <c r="R130" s="371"/>
      <c r="S130" s="367"/>
      <c r="T130" s="367"/>
    </row>
    <row r="131" spans="1:20" s="354" customFormat="1" ht="15.75">
      <c r="A131" s="370"/>
      <c r="B131" s="314"/>
      <c r="C131" s="314"/>
      <c r="D131" s="314"/>
      <c r="E131" s="314"/>
      <c r="F131" s="314"/>
      <c r="G131" s="314"/>
      <c r="H131" s="314"/>
      <c r="I131" s="314"/>
      <c r="J131" s="314"/>
      <c r="K131" s="314"/>
      <c r="L131" s="314"/>
      <c r="M131" s="314"/>
      <c r="N131" s="314"/>
      <c r="O131" s="314"/>
      <c r="P131" s="314"/>
      <c r="Q131" s="369"/>
      <c r="R131" s="371"/>
      <c r="S131" s="367"/>
      <c r="T131" s="367"/>
    </row>
    <row r="132" spans="1:20" s="354" customFormat="1">
      <c r="A132" s="353"/>
      <c r="Q132" s="355"/>
      <c r="T132" s="367"/>
    </row>
    <row r="133" spans="1:20" s="354" customFormat="1" ht="15.75">
      <c r="A133" s="356"/>
      <c r="B133" s="357"/>
      <c r="C133" s="314"/>
      <c r="D133" s="350"/>
      <c r="E133" s="350"/>
      <c r="F133" s="351"/>
      <c r="G133" s="351"/>
      <c r="H133" s="314"/>
      <c r="I133" s="314"/>
      <c r="J133" s="314"/>
      <c r="K133" s="314"/>
      <c r="L133" s="314"/>
      <c r="M133" s="314"/>
      <c r="N133" s="314"/>
      <c r="O133" s="358"/>
      <c r="P133" s="314"/>
      <c r="Q133" s="359"/>
      <c r="R133" s="360"/>
      <c r="S133" s="361"/>
      <c r="T133" s="367"/>
    </row>
    <row r="134" spans="1:20" s="354" customFormat="1" ht="15.75">
      <c r="A134" s="362"/>
      <c r="B134" s="357"/>
      <c r="C134" s="314"/>
      <c r="D134" s="351"/>
      <c r="E134" s="351"/>
      <c r="F134" s="351"/>
      <c r="G134" s="352"/>
      <c r="H134" s="351"/>
      <c r="I134" s="314"/>
      <c r="J134" s="352"/>
      <c r="K134" s="352"/>
      <c r="L134" s="314"/>
      <c r="M134" s="314"/>
      <c r="N134" s="314"/>
      <c r="O134" s="358"/>
      <c r="P134" s="314"/>
      <c r="Q134" s="363"/>
      <c r="R134" s="364"/>
      <c r="S134" s="361"/>
      <c r="T134" s="367"/>
    </row>
    <row r="135" spans="1:20" s="354" customFormat="1" ht="15.75">
      <c r="A135" s="362"/>
      <c r="B135" s="357"/>
      <c r="C135" s="314"/>
      <c r="D135" s="314"/>
      <c r="E135" s="314"/>
      <c r="F135" s="314"/>
      <c r="G135" s="351"/>
      <c r="H135" s="365"/>
      <c r="I135" s="314"/>
      <c r="J135" s="352"/>
      <c r="K135" s="314"/>
      <c r="L135" s="314"/>
      <c r="M135" s="314"/>
      <c r="N135" s="314"/>
      <c r="O135" s="358"/>
      <c r="P135" s="314"/>
      <c r="Q135" s="366"/>
      <c r="R135" s="360"/>
      <c r="S135" s="367"/>
      <c r="T135" s="367"/>
    </row>
    <row r="136" spans="1:20" s="354" customFormat="1" ht="15.75">
      <c r="A136" s="362"/>
      <c r="B136" s="357"/>
      <c r="C136" s="314"/>
      <c r="D136" s="314"/>
      <c r="E136" s="314"/>
      <c r="F136" s="314"/>
      <c r="G136" s="314"/>
      <c r="H136" s="314"/>
      <c r="I136" s="314"/>
      <c r="J136" s="314"/>
      <c r="K136" s="314"/>
      <c r="L136" s="314"/>
      <c r="M136" s="314"/>
      <c r="N136" s="314"/>
      <c r="O136" s="368"/>
      <c r="P136" s="314"/>
      <c r="Q136" s="369"/>
      <c r="R136" s="360"/>
      <c r="S136" s="367"/>
      <c r="T136" s="367"/>
    </row>
    <row r="137" spans="1:20" s="354" customFormat="1" ht="15.75">
      <c r="A137" s="370"/>
      <c r="B137" s="314"/>
      <c r="C137" s="314"/>
      <c r="D137" s="314"/>
      <c r="E137" s="314"/>
      <c r="F137" s="314"/>
      <c r="G137" s="314"/>
      <c r="H137" s="314"/>
      <c r="I137" s="314"/>
      <c r="J137" s="314"/>
      <c r="K137" s="314"/>
      <c r="L137" s="314"/>
      <c r="M137" s="314"/>
      <c r="N137" s="314"/>
      <c r="O137" s="314"/>
      <c r="P137" s="314"/>
      <c r="Q137" s="369"/>
      <c r="R137" s="371"/>
      <c r="S137" s="367"/>
      <c r="T137" s="367"/>
    </row>
    <row r="138" spans="1:20" s="354" customFormat="1">
      <c r="A138" s="353"/>
      <c r="T138" s="367"/>
    </row>
    <row r="139" spans="1:20" s="354" customFormat="1">
      <c r="A139" s="353"/>
      <c r="Q139" s="355"/>
      <c r="T139" s="367"/>
    </row>
    <row r="140" spans="1:20" s="354" customFormat="1">
      <c r="A140" s="353"/>
      <c r="Q140" s="359"/>
      <c r="R140" s="360"/>
      <c r="S140" s="376"/>
      <c r="T140" s="367"/>
    </row>
    <row r="141" spans="1:20" s="354" customFormat="1">
      <c r="A141" s="353"/>
      <c r="Q141" s="363"/>
      <c r="R141" s="364"/>
      <c r="S141" s="376"/>
      <c r="T141" s="367"/>
    </row>
    <row r="142" spans="1:20" s="354" customFormat="1">
      <c r="A142" s="353"/>
      <c r="Q142" s="366"/>
      <c r="R142" s="360"/>
      <c r="S142" s="359"/>
      <c r="T142" s="367"/>
    </row>
    <row r="143" spans="1:20" s="354" customFormat="1">
      <c r="A143" s="353"/>
      <c r="Q143" s="369"/>
      <c r="R143" s="360"/>
      <c r="S143" s="359"/>
      <c r="T143" s="367"/>
    </row>
    <row r="144" spans="1:20" s="354" customFormat="1">
      <c r="A144" s="353"/>
      <c r="Q144" s="369"/>
      <c r="R144" s="371"/>
      <c r="S144" s="359"/>
      <c r="T144" s="367"/>
    </row>
    <row r="145" spans="1:20" s="354" customFormat="1">
      <c r="A145" s="353"/>
      <c r="T145" s="367"/>
    </row>
    <row r="146" spans="1:20" s="354" customFormat="1">
      <c r="A146" s="353"/>
      <c r="Q146" s="355"/>
      <c r="T146" s="367"/>
    </row>
    <row r="147" spans="1:20" s="354" customFormat="1">
      <c r="A147" s="353"/>
      <c r="Q147" s="359"/>
      <c r="R147" s="360"/>
      <c r="S147" s="361"/>
      <c r="T147" s="367"/>
    </row>
    <row r="148" spans="1:20" s="354" customFormat="1">
      <c r="A148" s="353"/>
      <c r="Q148" s="363"/>
      <c r="R148" s="364"/>
      <c r="S148" s="361"/>
      <c r="T148" s="367"/>
    </row>
    <row r="149" spans="1:20" s="354" customFormat="1">
      <c r="A149" s="353"/>
      <c r="Q149" s="366"/>
      <c r="R149" s="360"/>
      <c r="S149" s="367"/>
      <c r="T149" s="367"/>
    </row>
    <row r="150" spans="1:20" s="354" customFormat="1">
      <c r="A150" s="353"/>
      <c r="N150" s="377"/>
      <c r="Q150" s="369"/>
      <c r="R150" s="360"/>
      <c r="S150" s="367"/>
      <c r="T150" s="367"/>
    </row>
    <row r="151" spans="1:20" s="354" customFormat="1">
      <c r="A151" s="353"/>
      <c r="Q151" s="369"/>
      <c r="R151" s="371"/>
      <c r="S151" s="367"/>
      <c r="T151" s="367"/>
    </row>
    <row r="152" spans="1:20" s="354" customFormat="1">
      <c r="A152" s="353"/>
      <c r="T152" s="367"/>
    </row>
    <row r="153" spans="1:20" s="354" customFormat="1">
      <c r="A153" s="353"/>
      <c r="Q153" s="355"/>
      <c r="T153" s="367"/>
    </row>
    <row r="154" spans="1:20" s="354" customFormat="1" ht="15.75">
      <c r="A154" s="356"/>
      <c r="B154" s="357"/>
      <c r="C154" s="314"/>
      <c r="D154" s="350"/>
      <c r="E154" s="350"/>
      <c r="F154" s="351"/>
      <c r="G154" s="351"/>
      <c r="H154" s="314"/>
      <c r="I154" s="314"/>
      <c r="J154" s="314"/>
      <c r="K154" s="314"/>
      <c r="L154" s="314"/>
      <c r="M154" s="314"/>
      <c r="N154" s="314"/>
      <c r="O154" s="358"/>
      <c r="P154" s="314"/>
      <c r="Q154" s="359"/>
      <c r="R154" s="360"/>
      <c r="S154" s="361"/>
      <c r="T154" s="367"/>
    </row>
    <row r="155" spans="1:20" s="354" customFormat="1" ht="15.75">
      <c r="A155" s="362"/>
      <c r="B155" s="357"/>
      <c r="C155" s="314"/>
      <c r="D155" s="351"/>
      <c r="E155" s="351"/>
      <c r="F155" s="351"/>
      <c r="G155" s="352"/>
      <c r="H155" s="351"/>
      <c r="I155" s="314"/>
      <c r="J155" s="352"/>
      <c r="K155" s="352"/>
      <c r="L155" s="314"/>
      <c r="M155" s="314"/>
      <c r="N155" s="314"/>
      <c r="O155" s="358"/>
      <c r="P155" s="314"/>
      <c r="Q155" s="363"/>
      <c r="R155" s="364"/>
      <c r="S155" s="361"/>
      <c r="T155" s="367"/>
    </row>
    <row r="156" spans="1:20" s="354" customFormat="1" ht="15.75">
      <c r="A156" s="362"/>
      <c r="B156" s="357"/>
      <c r="C156" s="314"/>
      <c r="D156" s="314"/>
      <c r="E156" s="314"/>
      <c r="F156" s="314"/>
      <c r="G156" s="351"/>
      <c r="H156" s="365"/>
      <c r="I156" s="314"/>
      <c r="J156" s="352"/>
      <c r="K156" s="314"/>
      <c r="L156" s="314"/>
      <c r="M156" s="314"/>
      <c r="N156" s="314"/>
      <c r="O156" s="358"/>
      <c r="P156" s="314"/>
      <c r="Q156" s="366"/>
      <c r="R156" s="360"/>
      <c r="S156" s="367"/>
      <c r="T156" s="367"/>
    </row>
    <row r="157" spans="1:20" s="354" customFormat="1" ht="15.75">
      <c r="A157" s="362"/>
      <c r="B157" s="357"/>
      <c r="C157" s="314"/>
      <c r="D157" s="314"/>
      <c r="E157" s="314"/>
      <c r="F157" s="314"/>
      <c r="G157" s="314"/>
      <c r="H157" s="314"/>
      <c r="I157" s="314"/>
      <c r="J157" s="314"/>
      <c r="K157" s="314"/>
      <c r="L157" s="314"/>
      <c r="M157" s="314"/>
      <c r="N157" s="314"/>
      <c r="O157" s="368"/>
      <c r="P157" s="314"/>
      <c r="Q157" s="369"/>
      <c r="R157" s="360"/>
      <c r="S157" s="367"/>
      <c r="T157" s="367"/>
    </row>
    <row r="158" spans="1:20" s="354" customFormat="1" ht="15.75">
      <c r="A158" s="370"/>
      <c r="B158" s="314"/>
      <c r="C158" s="314"/>
      <c r="D158" s="314"/>
      <c r="E158" s="314"/>
      <c r="F158" s="314"/>
      <c r="G158" s="314"/>
      <c r="H158" s="314"/>
      <c r="I158" s="314"/>
      <c r="J158" s="314"/>
      <c r="K158" s="314"/>
      <c r="L158" s="314"/>
      <c r="M158" s="314"/>
      <c r="N158" s="314"/>
      <c r="O158" s="314"/>
      <c r="P158" s="314"/>
      <c r="Q158" s="369"/>
      <c r="R158" s="371"/>
      <c r="S158" s="367"/>
      <c r="T158" s="367"/>
    </row>
    <row r="159" spans="1:20" s="354" customFormat="1">
      <c r="A159" s="353"/>
      <c r="T159" s="367"/>
    </row>
    <row r="160" spans="1:20" s="354" customFormat="1">
      <c r="A160" s="353"/>
      <c r="Q160" s="355"/>
      <c r="T160" s="367"/>
    </row>
    <row r="161" spans="1:20" s="354" customFormat="1" ht="15.75">
      <c r="A161" s="356"/>
      <c r="B161" s="357"/>
      <c r="C161" s="314"/>
      <c r="D161" s="350"/>
      <c r="E161" s="350"/>
      <c r="F161" s="351"/>
      <c r="G161" s="351"/>
      <c r="H161" s="314"/>
      <c r="I161" s="314"/>
      <c r="J161" s="314"/>
      <c r="K161" s="314"/>
      <c r="L161" s="314"/>
      <c r="M161" s="314"/>
      <c r="N161" s="314"/>
      <c r="O161" s="358"/>
      <c r="P161" s="314"/>
      <c r="Q161" s="359"/>
      <c r="R161" s="360"/>
      <c r="S161" s="361"/>
      <c r="T161" s="367"/>
    </row>
    <row r="162" spans="1:20" s="354" customFormat="1" ht="15.75">
      <c r="A162" s="362"/>
      <c r="B162" s="357"/>
      <c r="C162" s="314"/>
      <c r="D162" s="351"/>
      <c r="E162" s="351"/>
      <c r="F162" s="351"/>
      <c r="G162" s="352"/>
      <c r="H162" s="351"/>
      <c r="I162" s="314"/>
      <c r="J162" s="352"/>
      <c r="K162" s="352"/>
      <c r="L162" s="314"/>
      <c r="M162" s="314"/>
      <c r="N162" s="314"/>
      <c r="O162" s="358"/>
      <c r="P162" s="314"/>
      <c r="Q162" s="363"/>
      <c r="R162" s="364"/>
      <c r="S162" s="361"/>
      <c r="T162" s="367"/>
    </row>
    <row r="163" spans="1:20" s="354" customFormat="1" ht="15.75">
      <c r="A163" s="362"/>
      <c r="B163" s="357"/>
      <c r="C163" s="314"/>
      <c r="D163" s="314"/>
      <c r="E163" s="314"/>
      <c r="F163" s="314"/>
      <c r="G163" s="351"/>
      <c r="H163" s="365"/>
      <c r="I163" s="314"/>
      <c r="J163" s="352"/>
      <c r="K163" s="314"/>
      <c r="L163" s="314"/>
      <c r="M163" s="314"/>
      <c r="N163" s="314"/>
      <c r="O163" s="358"/>
      <c r="P163" s="314"/>
      <c r="Q163" s="366"/>
      <c r="R163" s="360"/>
      <c r="S163" s="367"/>
      <c r="T163" s="367"/>
    </row>
    <row r="164" spans="1:20" s="354" customFormat="1" ht="15.75">
      <c r="A164" s="362"/>
      <c r="B164" s="357"/>
      <c r="C164" s="314"/>
      <c r="D164" s="314"/>
      <c r="E164" s="314"/>
      <c r="F164" s="314"/>
      <c r="G164" s="314"/>
      <c r="H164" s="314"/>
      <c r="I164" s="314"/>
      <c r="J164" s="314"/>
      <c r="K164" s="314"/>
      <c r="L164" s="314"/>
      <c r="M164" s="314"/>
      <c r="N164" s="314"/>
      <c r="O164" s="368"/>
      <c r="P164" s="314"/>
      <c r="Q164" s="369"/>
      <c r="R164" s="360"/>
      <c r="S164" s="367"/>
      <c r="T164" s="367"/>
    </row>
    <row r="165" spans="1:20" s="354" customFormat="1" ht="15.75">
      <c r="A165" s="370"/>
      <c r="B165" s="314"/>
      <c r="C165" s="314"/>
      <c r="D165" s="314"/>
      <c r="E165" s="314"/>
      <c r="F165" s="314"/>
      <c r="G165" s="314"/>
      <c r="H165" s="314"/>
      <c r="I165" s="314"/>
      <c r="J165" s="314"/>
      <c r="K165" s="314"/>
      <c r="L165" s="314"/>
      <c r="M165" s="314"/>
      <c r="N165" s="314"/>
      <c r="O165" s="314"/>
      <c r="P165" s="314"/>
      <c r="Q165" s="369"/>
      <c r="R165" s="371"/>
      <c r="S165" s="367"/>
      <c r="T165" s="367"/>
    </row>
    <row r="166" spans="1:20" s="354" customFormat="1">
      <c r="A166" s="353"/>
      <c r="T166" s="367"/>
    </row>
    <row r="167" spans="1:20" s="354" customFormat="1" ht="15.75">
      <c r="A167" s="356"/>
      <c r="Q167" s="355"/>
      <c r="T167" s="367"/>
    </row>
    <row r="168" spans="1:20" s="354" customFormat="1" ht="15.75">
      <c r="A168" s="356"/>
      <c r="B168" s="357"/>
      <c r="C168" s="314"/>
      <c r="D168" s="350"/>
      <c r="E168" s="350"/>
      <c r="F168" s="351"/>
      <c r="G168" s="351"/>
      <c r="H168" s="314"/>
      <c r="I168" s="314"/>
      <c r="J168" s="314"/>
      <c r="K168" s="314"/>
      <c r="L168" s="314"/>
      <c r="M168" s="314"/>
      <c r="N168" s="314"/>
      <c r="O168" s="358"/>
      <c r="P168" s="314"/>
      <c r="Q168" s="359"/>
      <c r="R168" s="360"/>
      <c r="S168" s="361"/>
      <c r="T168" s="367"/>
    </row>
    <row r="169" spans="1:20" s="354" customFormat="1" ht="15.75">
      <c r="A169" s="362"/>
      <c r="B169" s="357"/>
      <c r="C169" s="314"/>
      <c r="D169" s="351"/>
      <c r="E169" s="351"/>
      <c r="F169" s="351"/>
      <c r="G169" s="352"/>
      <c r="H169" s="351"/>
      <c r="I169" s="314"/>
      <c r="J169" s="352"/>
      <c r="K169" s="352"/>
      <c r="L169" s="314"/>
      <c r="M169" s="314"/>
      <c r="N169" s="314"/>
      <c r="O169" s="358"/>
      <c r="P169" s="314"/>
      <c r="Q169" s="363"/>
      <c r="R169" s="364"/>
      <c r="S169" s="361"/>
      <c r="T169" s="367"/>
    </row>
    <row r="170" spans="1:20" s="354" customFormat="1" ht="15.75">
      <c r="A170" s="362"/>
      <c r="B170" s="357"/>
      <c r="C170" s="314"/>
      <c r="D170" s="314"/>
      <c r="E170" s="314"/>
      <c r="F170" s="314"/>
      <c r="G170" s="351"/>
      <c r="H170" s="365"/>
      <c r="I170" s="314"/>
      <c r="J170" s="352"/>
      <c r="K170" s="314"/>
      <c r="L170" s="314"/>
      <c r="M170" s="314"/>
      <c r="N170" s="314"/>
      <c r="O170" s="358"/>
      <c r="P170" s="314"/>
      <c r="Q170" s="366"/>
      <c r="R170" s="360"/>
      <c r="S170" s="367"/>
      <c r="T170" s="367"/>
    </row>
    <row r="171" spans="1:20" s="354" customFormat="1" ht="15.75">
      <c r="A171" s="362"/>
      <c r="B171" s="357"/>
      <c r="C171" s="314"/>
      <c r="D171" s="314"/>
      <c r="E171" s="314"/>
      <c r="F171" s="314"/>
      <c r="G171" s="314"/>
      <c r="H171" s="314"/>
      <c r="I171" s="314"/>
      <c r="J171" s="314"/>
      <c r="K171" s="314"/>
      <c r="L171" s="314"/>
      <c r="M171" s="314"/>
      <c r="N171" s="314"/>
      <c r="O171" s="368"/>
      <c r="P171" s="314"/>
      <c r="Q171" s="369"/>
      <c r="R171" s="360"/>
      <c r="S171" s="367"/>
      <c r="T171" s="367"/>
    </row>
    <row r="172" spans="1:20" s="354" customFormat="1" ht="15.75">
      <c r="A172" s="370"/>
      <c r="B172" s="314"/>
      <c r="C172" s="314"/>
      <c r="D172" s="314"/>
      <c r="E172" s="314"/>
      <c r="F172" s="314"/>
      <c r="G172" s="314"/>
      <c r="H172" s="314"/>
      <c r="I172" s="314"/>
      <c r="J172" s="314"/>
      <c r="K172" s="314"/>
      <c r="L172" s="314"/>
      <c r="M172" s="314"/>
      <c r="N172" s="314"/>
      <c r="O172" s="314"/>
      <c r="P172" s="314"/>
      <c r="Q172" s="369"/>
      <c r="R172" s="371"/>
      <c r="S172" s="367"/>
      <c r="T172" s="367"/>
    </row>
    <row r="173" spans="1:20" s="354" customFormat="1">
      <c r="A173" s="353"/>
      <c r="T173" s="367"/>
    </row>
    <row r="174" spans="1:20" s="354" customFormat="1" ht="15.75">
      <c r="A174" s="356"/>
      <c r="Q174" s="355"/>
      <c r="T174" s="367"/>
    </row>
    <row r="175" spans="1:20" s="354" customFormat="1" ht="15.75">
      <c r="A175" s="356"/>
      <c r="B175" s="357"/>
      <c r="C175" s="314"/>
      <c r="D175" s="350"/>
      <c r="E175" s="350"/>
      <c r="F175" s="351"/>
      <c r="G175" s="351"/>
      <c r="H175" s="314"/>
      <c r="I175" s="314"/>
      <c r="J175" s="314"/>
      <c r="K175" s="314"/>
      <c r="L175" s="314"/>
      <c r="M175" s="314"/>
      <c r="N175" s="314"/>
      <c r="O175" s="358"/>
      <c r="P175" s="314"/>
      <c r="Q175" s="359"/>
      <c r="R175" s="360"/>
      <c r="S175" s="361"/>
      <c r="T175" s="367"/>
    </row>
    <row r="176" spans="1:20" s="354" customFormat="1" ht="15.75">
      <c r="A176" s="362"/>
      <c r="B176" s="357"/>
      <c r="C176" s="314"/>
      <c r="D176" s="351"/>
      <c r="E176" s="351"/>
      <c r="F176" s="351"/>
      <c r="G176" s="352"/>
      <c r="H176" s="351"/>
      <c r="I176" s="314"/>
      <c r="J176" s="352"/>
      <c r="K176" s="352"/>
      <c r="L176" s="314"/>
      <c r="M176" s="314"/>
      <c r="N176" s="314"/>
      <c r="O176" s="358"/>
      <c r="P176" s="314"/>
      <c r="Q176" s="363"/>
      <c r="R176" s="364"/>
      <c r="S176" s="361"/>
      <c r="T176" s="367"/>
    </row>
    <row r="177" spans="1:20" s="354" customFormat="1" ht="15.75">
      <c r="A177" s="362"/>
      <c r="B177" s="357"/>
      <c r="C177" s="314"/>
      <c r="D177" s="314"/>
      <c r="E177" s="314"/>
      <c r="F177" s="314"/>
      <c r="G177" s="351"/>
      <c r="H177" s="365"/>
      <c r="I177" s="314"/>
      <c r="J177" s="352"/>
      <c r="K177" s="314"/>
      <c r="L177" s="314"/>
      <c r="M177" s="314"/>
      <c r="N177" s="314"/>
      <c r="O177" s="358"/>
      <c r="P177" s="314"/>
      <c r="Q177" s="366"/>
      <c r="R177" s="360"/>
      <c r="S177" s="367"/>
      <c r="T177" s="367"/>
    </row>
    <row r="178" spans="1:20" s="354" customFormat="1" ht="15.75">
      <c r="A178" s="362"/>
      <c r="B178" s="357"/>
      <c r="C178" s="314"/>
      <c r="D178" s="314"/>
      <c r="E178" s="314"/>
      <c r="F178" s="314"/>
      <c r="G178" s="314"/>
      <c r="H178" s="314"/>
      <c r="I178" s="314"/>
      <c r="J178" s="314"/>
      <c r="K178" s="314"/>
      <c r="L178" s="314"/>
      <c r="M178" s="314"/>
      <c r="N178" s="314"/>
      <c r="O178" s="368"/>
      <c r="P178" s="314"/>
      <c r="Q178" s="369"/>
      <c r="R178" s="360"/>
      <c r="S178" s="367"/>
      <c r="T178" s="367"/>
    </row>
    <row r="179" spans="1:20" s="354" customFormat="1" ht="15.75">
      <c r="A179" s="370"/>
      <c r="B179" s="314"/>
      <c r="C179" s="314"/>
      <c r="D179" s="314"/>
      <c r="E179" s="314"/>
      <c r="F179" s="314"/>
      <c r="G179" s="314"/>
      <c r="H179" s="314"/>
      <c r="I179" s="314"/>
      <c r="J179" s="314"/>
      <c r="K179" s="314"/>
      <c r="L179" s="314"/>
      <c r="M179" s="314"/>
      <c r="N179" s="314"/>
      <c r="O179" s="314"/>
      <c r="P179" s="314"/>
      <c r="Q179" s="369"/>
      <c r="R179" s="371"/>
      <c r="S179" s="367"/>
      <c r="T179" s="367"/>
    </row>
    <row r="180" spans="1:20" s="354" customFormat="1">
      <c r="A180" s="353"/>
      <c r="T180" s="367"/>
    </row>
    <row r="181" spans="1:20" s="354" customFormat="1">
      <c r="A181" s="353"/>
      <c r="T181" s="367"/>
    </row>
    <row r="182" spans="1:20" s="354" customFormat="1">
      <c r="A182" s="353"/>
      <c r="T182" s="367"/>
    </row>
    <row r="183" spans="1:20" s="354" customFormat="1">
      <c r="A183" s="353"/>
      <c r="T183" s="367"/>
    </row>
    <row r="184" spans="1:20" s="354" customFormat="1">
      <c r="A184" s="353"/>
      <c r="T184" s="367"/>
    </row>
    <row r="185" spans="1:20" s="354" customFormat="1">
      <c r="A185" s="353"/>
      <c r="T185" s="367"/>
    </row>
    <row r="186" spans="1:20" s="354" customFormat="1">
      <c r="A186" s="353"/>
      <c r="T186" s="367"/>
    </row>
    <row r="187" spans="1:20" s="354" customFormat="1">
      <c r="A187" s="353"/>
      <c r="T187" s="367"/>
    </row>
    <row r="188" spans="1:20" s="354" customFormat="1">
      <c r="A188" s="353"/>
      <c r="T188" s="367"/>
    </row>
    <row r="189" spans="1:20" s="354" customFormat="1">
      <c r="A189" s="353"/>
      <c r="T189" s="367"/>
    </row>
    <row r="190" spans="1:20" s="354" customFormat="1">
      <c r="A190" s="353"/>
      <c r="T190" s="367"/>
    </row>
    <row r="191" spans="1:20" s="354" customFormat="1">
      <c r="A191" s="353"/>
      <c r="T191" s="367"/>
    </row>
    <row r="192" spans="1:20" s="354" customFormat="1">
      <c r="A192" s="353"/>
      <c r="T192" s="367"/>
    </row>
    <row r="193" spans="1:20" s="354" customFormat="1">
      <c r="A193" s="353"/>
      <c r="T193" s="367"/>
    </row>
    <row r="194" spans="1:20" s="354" customFormat="1">
      <c r="A194" s="353"/>
      <c r="T194" s="367"/>
    </row>
    <row r="195" spans="1:20" s="354" customFormat="1">
      <c r="A195" s="353"/>
      <c r="T195" s="367"/>
    </row>
    <row r="196" spans="1:20" s="354" customFormat="1">
      <c r="A196" s="353"/>
      <c r="T196" s="367"/>
    </row>
    <row r="197" spans="1:20" s="354" customFormat="1">
      <c r="A197" s="353"/>
      <c r="T197" s="367"/>
    </row>
    <row r="198" spans="1:20" s="354" customFormat="1">
      <c r="A198" s="353"/>
      <c r="T198" s="367"/>
    </row>
    <row r="199" spans="1:20" s="354" customFormat="1">
      <c r="A199" s="353"/>
      <c r="T199" s="367"/>
    </row>
    <row r="200" spans="1:20" s="354" customFormat="1">
      <c r="A200" s="353"/>
      <c r="T200" s="367"/>
    </row>
    <row r="201" spans="1:20" s="354" customFormat="1">
      <c r="A201" s="353"/>
      <c r="T201" s="367"/>
    </row>
    <row r="202" spans="1:20" s="354" customFormat="1">
      <c r="A202" s="353"/>
      <c r="T202" s="367"/>
    </row>
    <row r="203" spans="1:20" s="354" customFormat="1">
      <c r="A203" s="353"/>
      <c r="T203" s="367"/>
    </row>
    <row r="204" spans="1:20" s="354" customFormat="1">
      <c r="A204" s="353"/>
      <c r="T204" s="367"/>
    </row>
    <row r="205" spans="1:20" s="354" customFormat="1">
      <c r="A205" s="353"/>
      <c r="T205" s="367"/>
    </row>
    <row r="206" spans="1:20" s="354" customFormat="1">
      <c r="A206" s="353"/>
      <c r="T206" s="367"/>
    </row>
    <row r="207" spans="1:20" s="354" customFormat="1">
      <c r="A207" s="353"/>
      <c r="T207" s="367"/>
    </row>
    <row r="208" spans="1:20" s="354" customFormat="1">
      <c r="A208" s="353"/>
      <c r="T208" s="367"/>
    </row>
    <row r="209" spans="1:20" s="354" customFormat="1">
      <c r="A209" s="353"/>
      <c r="T209" s="367"/>
    </row>
    <row r="210" spans="1:20" s="354" customFormat="1">
      <c r="A210" s="353"/>
      <c r="T210" s="367"/>
    </row>
    <row r="211" spans="1:20" s="354" customFormat="1">
      <c r="A211" s="353"/>
      <c r="T211" s="367"/>
    </row>
    <row r="212" spans="1:20" s="354" customFormat="1">
      <c r="A212" s="353"/>
      <c r="T212" s="367"/>
    </row>
    <row r="213" spans="1:20" s="354" customFormat="1">
      <c r="A213" s="353"/>
      <c r="T213" s="367"/>
    </row>
    <row r="214" spans="1:20" s="354" customFormat="1">
      <c r="A214" s="353"/>
      <c r="T214" s="367"/>
    </row>
    <row r="215" spans="1:20" s="354" customFormat="1">
      <c r="A215" s="353"/>
      <c r="T215" s="367"/>
    </row>
    <row r="216" spans="1:20" s="354" customFormat="1">
      <c r="A216" s="353"/>
      <c r="T216" s="367"/>
    </row>
    <row r="217" spans="1:20" s="354" customFormat="1">
      <c r="A217" s="353"/>
      <c r="T217" s="367"/>
    </row>
    <row r="218" spans="1:20" s="354" customFormat="1">
      <c r="A218" s="353"/>
      <c r="T218" s="367"/>
    </row>
    <row r="219" spans="1:20" s="354" customFormat="1">
      <c r="A219" s="353"/>
      <c r="T219" s="367"/>
    </row>
    <row r="220" spans="1:20" s="354" customFormat="1">
      <c r="A220" s="353"/>
      <c r="T220" s="367"/>
    </row>
    <row r="221" spans="1:20" s="354" customFormat="1">
      <c r="A221" s="353"/>
      <c r="T221" s="367"/>
    </row>
    <row r="222" spans="1:20" s="354" customFormat="1">
      <c r="A222" s="353"/>
      <c r="T222" s="367"/>
    </row>
    <row r="223" spans="1:20" s="354" customFormat="1">
      <c r="A223" s="353"/>
      <c r="T223" s="367"/>
    </row>
    <row r="224" spans="1:20" s="354" customFormat="1">
      <c r="A224" s="353"/>
      <c r="T224" s="367"/>
    </row>
    <row r="225" spans="1:20" s="354" customFormat="1">
      <c r="A225" s="353"/>
      <c r="T225" s="367"/>
    </row>
    <row r="226" spans="1:20" s="354" customFormat="1">
      <c r="A226" s="353"/>
      <c r="T226" s="367"/>
    </row>
    <row r="227" spans="1:20" s="354" customFormat="1">
      <c r="A227" s="353"/>
      <c r="T227" s="367"/>
    </row>
    <row r="228" spans="1:20" s="354" customFormat="1">
      <c r="A228" s="353"/>
      <c r="T228" s="367"/>
    </row>
    <row r="229" spans="1:20" s="354" customFormat="1">
      <c r="A229" s="353"/>
      <c r="T229" s="367"/>
    </row>
    <row r="230" spans="1:20" s="354" customFormat="1">
      <c r="A230" s="353"/>
      <c r="T230" s="367"/>
    </row>
    <row r="231" spans="1:20" s="354" customFormat="1">
      <c r="A231" s="353"/>
      <c r="T231" s="367"/>
    </row>
    <row r="232" spans="1:20" s="354" customFormat="1">
      <c r="A232" s="353"/>
      <c r="T232" s="367"/>
    </row>
    <row r="233" spans="1:20" s="354" customFormat="1">
      <c r="A233" s="353"/>
      <c r="T233" s="367"/>
    </row>
    <row r="234" spans="1:20" s="354" customFormat="1">
      <c r="A234" s="353"/>
      <c r="T234" s="367"/>
    </row>
    <row r="235" spans="1:20" s="354" customFormat="1">
      <c r="A235" s="353"/>
      <c r="T235" s="367"/>
    </row>
    <row r="236" spans="1:20" s="354" customFormat="1">
      <c r="A236" s="353"/>
      <c r="T236" s="367"/>
    </row>
    <row r="237" spans="1:20" s="354" customFormat="1">
      <c r="A237" s="353"/>
      <c r="T237" s="367"/>
    </row>
    <row r="238" spans="1:20" s="354" customFormat="1">
      <c r="A238" s="353"/>
      <c r="T238" s="367"/>
    </row>
    <row r="239" spans="1:20" s="354" customFormat="1">
      <c r="A239" s="353"/>
      <c r="T239" s="367"/>
    </row>
    <row r="240" spans="1:20" s="354" customFormat="1">
      <c r="A240" s="353"/>
      <c r="T240" s="367"/>
    </row>
    <row r="241" spans="1:20" s="354" customFormat="1">
      <c r="A241" s="353"/>
      <c r="T241" s="367"/>
    </row>
    <row r="242" spans="1:20" s="354" customFormat="1">
      <c r="A242" s="353"/>
      <c r="T242" s="367"/>
    </row>
    <row r="243" spans="1:20" s="354" customFormat="1">
      <c r="A243" s="353"/>
      <c r="T243" s="367"/>
    </row>
    <row r="244" spans="1:20" s="354" customFormat="1">
      <c r="A244" s="353"/>
      <c r="T244" s="367"/>
    </row>
    <row r="245" spans="1:20" s="354" customFormat="1">
      <c r="A245" s="353"/>
      <c r="T245" s="367"/>
    </row>
    <row r="246" spans="1:20" s="354" customFormat="1">
      <c r="A246" s="353"/>
      <c r="T246" s="367"/>
    </row>
    <row r="247" spans="1:20" s="354" customFormat="1">
      <c r="A247" s="353"/>
      <c r="T247" s="367"/>
    </row>
    <row r="248" spans="1:20" s="354" customFormat="1">
      <c r="A248" s="353"/>
      <c r="T248" s="367"/>
    </row>
    <row r="249" spans="1:20" s="354" customFormat="1">
      <c r="A249" s="353"/>
      <c r="T249" s="367"/>
    </row>
    <row r="250" spans="1:20" s="354" customFormat="1">
      <c r="A250" s="353"/>
      <c r="T250" s="367"/>
    </row>
    <row r="251" spans="1:20" s="354" customFormat="1">
      <c r="A251" s="353"/>
      <c r="T251" s="367"/>
    </row>
    <row r="252" spans="1:20" s="354" customFormat="1">
      <c r="A252" s="353"/>
      <c r="T252" s="367"/>
    </row>
    <row r="253" spans="1:20" s="354" customFormat="1">
      <c r="A253" s="353"/>
      <c r="T253" s="367"/>
    </row>
    <row r="254" spans="1:20" s="354" customFormat="1">
      <c r="A254" s="353"/>
      <c r="T254" s="367"/>
    </row>
    <row r="255" spans="1:20" s="354" customFormat="1">
      <c r="A255" s="353"/>
      <c r="T255" s="367"/>
    </row>
    <row r="256" spans="1:20" s="354" customFormat="1">
      <c r="A256" s="353"/>
      <c r="T256" s="367"/>
    </row>
    <row r="257" spans="1:20" s="354" customFormat="1">
      <c r="A257" s="353"/>
      <c r="T257" s="367"/>
    </row>
    <row r="258" spans="1:20" s="354" customFormat="1">
      <c r="A258" s="353"/>
      <c r="T258" s="367"/>
    </row>
    <row r="259" spans="1:20" s="354" customFormat="1">
      <c r="A259" s="353"/>
      <c r="T259" s="367"/>
    </row>
    <row r="260" spans="1:20" s="354" customFormat="1">
      <c r="A260" s="353"/>
      <c r="T260" s="367"/>
    </row>
    <row r="261" spans="1:20" s="354" customFormat="1">
      <c r="A261" s="353"/>
      <c r="T261" s="367"/>
    </row>
    <row r="262" spans="1:20" s="354" customFormat="1">
      <c r="A262" s="353"/>
      <c r="T262" s="367"/>
    </row>
    <row r="263" spans="1:20" s="354" customFormat="1">
      <c r="A263" s="353"/>
      <c r="T263" s="367"/>
    </row>
    <row r="264" spans="1:20" s="354" customFormat="1">
      <c r="A264" s="353"/>
      <c r="T264" s="367"/>
    </row>
    <row r="265" spans="1:20" s="354" customFormat="1">
      <c r="A265" s="353"/>
      <c r="T265" s="367"/>
    </row>
    <row r="266" spans="1:20" s="354" customFormat="1">
      <c r="A266" s="353"/>
      <c r="T266" s="367"/>
    </row>
    <row r="267" spans="1:20" s="354" customFormat="1">
      <c r="A267" s="353"/>
      <c r="T267" s="367"/>
    </row>
    <row r="268" spans="1:20" s="354" customFormat="1">
      <c r="A268" s="353"/>
      <c r="T268" s="367"/>
    </row>
    <row r="269" spans="1:20" s="354" customFormat="1">
      <c r="A269" s="353"/>
      <c r="T269" s="367"/>
    </row>
    <row r="270" spans="1:20" s="354" customFormat="1">
      <c r="A270" s="353"/>
      <c r="T270" s="367"/>
    </row>
    <row r="271" spans="1:20" s="354" customFormat="1">
      <c r="A271" s="353"/>
      <c r="T271" s="367"/>
    </row>
    <row r="272" spans="1:20" s="354" customFormat="1">
      <c r="A272" s="353"/>
      <c r="T272" s="367"/>
    </row>
    <row r="273" spans="1:20" s="354" customFormat="1">
      <c r="A273" s="353"/>
      <c r="T273" s="367"/>
    </row>
    <row r="274" spans="1:20" s="354" customFormat="1">
      <c r="A274" s="353"/>
      <c r="T274" s="367"/>
    </row>
    <row r="275" spans="1:20" s="354" customFormat="1">
      <c r="A275" s="353"/>
      <c r="T275" s="367"/>
    </row>
    <row r="276" spans="1:20" s="354" customFormat="1">
      <c r="A276" s="353"/>
      <c r="T276" s="367"/>
    </row>
    <row r="277" spans="1:20" s="354" customFormat="1">
      <c r="A277" s="353"/>
      <c r="T277" s="367"/>
    </row>
    <row r="278" spans="1:20" s="354" customFormat="1">
      <c r="A278" s="353"/>
      <c r="T278" s="367"/>
    </row>
    <row r="279" spans="1:20" s="354" customFormat="1">
      <c r="A279" s="353"/>
      <c r="T279" s="367"/>
    </row>
    <row r="280" spans="1:20" s="354" customFormat="1">
      <c r="A280" s="353"/>
      <c r="T280" s="367"/>
    </row>
    <row r="281" spans="1:20" s="354" customFormat="1">
      <c r="A281" s="353"/>
      <c r="T281" s="367"/>
    </row>
    <row r="282" spans="1:20" s="354" customFormat="1">
      <c r="A282" s="353"/>
      <c r="T282" s="367"/>
    </row>
    <row r="283" spans="1:20" s="354" customFormat="1">
      <c r="A283" s="353"/>
      <c r="T283" s="367"/>
    </row>
    <row r="284" spans="1:20" s="354" customFormat="1">
      <c r="A284" s="353"/>
      <c r="T284" s="367"/>
    </row>
    <row r="285" spans="1:20" s="354" customFormat="1">
      <c r="A285" s="353"/>
      <c r="T285" s="367"/>
    </row>
    <row r="286" spans="1:20" s="354" customFormat="1">
      <c r="A286" s="353"/>
      <c r="T286" s="367"/>
    </row>
    <row r="287" spans="1:20" s="354" customFormat="1">
      <c r="A287" s="353"/>
      <c r="T287" s="367"/>
    </row>
    <row r="288" spans="1:20" s="354" customFormat="1">
      <c r="A288" s="353"/>
      <c r="T288" s="367"/>
    </row>
    <row r="289" spans="1:20" s="354" customFormat="1">
      <c r="A289" s="353"/>
      <c r="T289" s="367"/>
    </row>
    <row r="290" spans="1:20" s="354" customFormat="1">
      <c r="A290" s="353"/>
      <c r="T290" s="367"/>
    </row>
    <row r="291" spans="1:20" s="354" customFormat="1">
      <c r="A291" s="353"/>
      <c r="T291" s="367"/>
    </row>
    <row r="292" spans="1:20" s="354" customFormat="1">
      <c r="A292" s="353"/>
      <c r="T292" s="367"/>
    </row>
    <row r="293" spans="1:20" s="354" customFormat="1">
      <c r="A293" s="353"/>
      <c r="T293" s="367"/>
    </row>
    <row r="294" spans="1:20" s="354" customFormat="1">
      <c r="A294" s="353"/>
      <c r="T294" s="367"/>
    </row>
    <row r="295" spans="1:20" s="354" customFormat="1">
      <c r="A295" s="353"/>
      <c r="T295" s="367"/>
    </row>
    <row r="296" spans="1:20" s="354" customFormat="1">
      <c r="A296" s="353"/>
      <c r="T296" s="367"/>
    </row>
    <row r="297" spans="1:20" s="354" customFormat="1">
      <c r="A297" s="353"/>
      <c r="T297" s="367"/>
    </row>
    <row r="298" spans="1:20" s="354" customFormat="1">
      <c r="A298" s="353"/>
      <c r="T298" s="367"/>
    </row>
    <row r="299" spans="1:20" s="354" customFormat="1">
      <c r="A299" s="353"/>
      <c r="T299" s="367"/>
    </row>
    <row r="300" spans="1:20">
      <c r="T300" s="367"/>
    </row>
    <row r="301" spans="1:20">
      <c r="T301" s="367"/>
    </row>
    <row r="302" spans="1:20">
      <c r="T302" s="367"/>
    </row>
    <row r="303" spans="1:20">
      <c r="T303" s="367"/>
    </row>
    <row r="304" spans="1:20">
      <c r="T304" s="367"/>
    </row>
    <row r="305" spans="20:20">
      <c r="T305" s="367"/>
    </row>
    <row r="306" spans="20:20">
      <c r="T306" s="367"/>
    </row>
    <row r="307" spans="20:20">
      <c r="T307" s="367"/>
    </row>
    <row r="308" spans="20:20">
      <c r="T308" s="367"/>
    </row>
    <row r="309" spans="20:20">
      <c r="T309" s="367"/>
    </row>
    <row r="310" spans="20:20">
      <c r="T310" s="367"/>
    </row>
    <row r="311" spans="20:20">
      <c r="T311" s="367"/>
    </row>
    <row r="312" spans="20:20">
      <c r="T312" s="367"/>
    </row>
    <row r="313" spans="20:20">
      <c r="T313" s="367"/>
    </row>
    <row r="314" spans="20:20">
      <c r="T314" s="367"/>
    </row>
    <row r="315" spans="20:20">
      <c r="T315" s="367"/>
    </row>
    <row r="316" spans="20:20">
      <c r="T316" s="367"/>
    </row>
    <row r="317" spans="20:20">
      <c r="T317" s="367"/>
    </row>
    <row r="318" spans="20:20">
      <c r="T318" s="367"/>
    </row>
    <row r="319" spans="20:20">
      <c r="T319" s="367"/>
    </row>
    <row r="320" spans="20:20">
      <c r="T320" s="367"/>
    </row>
    <row r="321" spans="20:20">
      <c r="T321" s="367"/>
    </row>
    <row r="322" spans="20:20">
      <c r="T322" s="367"/>
    </row>
    <row r="323" spans="20:20">
      <c r="T323" s="367"/>
    </row>
    <row r="324" spans="20:20">
      <c r="T324" s="367"/>
    </row>
    <row r="325" spans="20:20">
      <c r="T325" s="367"/>
    </row>
    <row r="326" spans="20:20">
      <c r="T326" s="367"/>
    </row>
    <row r="327" spans="20:20">
      <c r="T327" s="367"/>
    </row>
    <row r="328" spans="20:20">
      <c r="T328" s="367"/>
    </row>
    <row r="329" spans="20:20">
      <c r="T329" s="367"/>
    </row>
    <row r="330" spans="20:20">
      <c r="T330" s="367"/>
    </row>
    <row r="331" spans="20:20">
      <c r="T331" s="367"/>
    </row>
    <row r="332" spans="20:20">
      <c r="T332" s="367"/>
    </row>
    <row r="333" spans="20:20">
      <c r="T333" s="367"/>
    </row>
    <row r="334" spans="20:20">
      <c r="T334" s="367"/>
    </row>
    <row r="335" spans="20:20">
      <c r="T335" s="367"/>
    </row>
    <row r="336" spans="20:20">
      <c r="T336" s="367"/>
    </row>
    <row r="337" spans="20:20">
      <c r="T337" s="367"/>
    </row>
    <row r="338" spans="20:20">
      <c r="T338" s="367"/>
    </row>
    <row r="339" spans="20:20">
      <c r="T339" s="367"/>
    </row>
    <row r="340" spans="20:20">
      <c r="T340" s="367"/>
    </row>
    <row r="341" spans="20:20">
      <c r="T341" s="367"/>
    </row>
    <row r="342" spans="20:20">
      <c r="T342" s="367"/>
    </row>
    <row r="343" spans="20:20">
      <c r="T343" s="367"/>
    </row>
    <row r="344" spans="20:20">
      <c r="T344" s="367"/>
    </row>
    <row r="345" spans="20:20">
      <c r="T345" s="367"/>
    </row>
    <row r="346" spans="20:20">
      <c r="T346" s="367"/>
    </row>
    <row r="347" spans="20:20">
      <c r="T347" s="367"/>
    </row>
    <row r="348" spans="20:20">
      <c r="T348" s="367"/>
    </row>
    <row r="349" spans="20:20">
      <c r="T349" s="367"/>
    </row>
    <row r="350" spans="20:20">
      <c r="T350" s="367"/>
    </row>
    <row r="351" spans="20:20">
      <c r="T351" s="367"/>
    </row>
    <row r="352" spans="20:20">
      <c r="T352" s="367"/>
    </row>
    <row r="353" spans="20:20">
      <c r="T353" s="367"/>
    </row>
    <row r="354" spans="20:20">
      <c r="T354" s="367"/>
    </row>
    <row r="355" spans="20:20">
      <c r="T355" s="367"/>
    </row>
    <row r="356" spans="20:20">
      <c r="T356" s="367"/>
    </row>
    <row r="357" spans="20:20">
      <c r="T357" s="367"/>
    </row>
    <row r="358" spans="20:20">
      <c r="T358" s="367"/>
    </row>
    <row r="359" spans="20:20">
      <c r="T359" s="367"/>
    </row>
    <row r="360" spans="20:20">
      <c r="T360" s="367"/>
    </row>
    <row r="361" spans="20:20">
      <c r="T361" s="367"/>
    </row>
    <row r="362" spans="20:20">
      <c r="T362" s="367"/>
    </row>
    <row r="363" spans="20:20">
      <c r="T363" s="367"/>
    </row>
    <row r="364" spans="20:20">
      <c r="T364" s="367"/>
    </row>
    <row r="365" spans="20:20">
      <c r="T365" s="367"/>
    </row>
    <row r="366" spans="20:20">
      <c r="T366" s="367"/>
    </row>
    <row r="367" spans="20:20">
      <c r="T367" s="367"/>
    </row>
    <row r="368" spans="20:20">
      <c r="T368" s="367"/>
    </row>
    <row r="369" spans="20:20">
      <c r="T369" s="367"/>
    </row>
    <row r="370" spans="20:20">
      <c r="T370" s="367"/>
    </row>
    <row r="371" spans="20:20">
      <c r="T371" s="367"/>
    </row>
    <row r="372" spans="20:20">
      <c r="T372" s="367"/>
    </row>
    <row r="373" spans="20:20">
      <c r="T373" s="367"/>
    </row>
    <row r="374" spans="20:20">
      <c r="T374" s="367"/>
    </row>
    <row r="375" spans="20:20">
      <c r="T375" s="367"/>
    </row>
    <row r="376" spans="20:20">
      <c r="T376" s="367"/>
    </row>
    <row r="377" spans="20:20">
      <c r="T377" s="367"/>
    </row>
    <row r="378" spans="20:20">
      <c r="T378" s="367"/>
    </row>
    <row r="379" spans="20:20">
      <c r="T379" s="367"/>
    </row>
    <row r="380" spans="20:20">
      <c r="T380" s="367"/>
    </row>
    <row r="381" spans="20:20">
      <c r="T381" s="367"/>
    </row>
    <row r="382" spans="20:20">
      <c r="T382" s="367"/>
    </row>
    <row r="383" spans="20:20">
      <c r="T383" s="367"/>
    </row>
    <row r="384" spans="20:20">
      <c r="T384" s="367"/>
    </row>
    <row r="385" spans="20:20">
      <c r="T385" s="367"/>
    </row>
    <row r="386" spans="20:20">
      <c r="T386" s="367"/>
    </row>
    <row r="387" spans="20:20">
      <c r="T387" s="367"/>
    </row>
    <row r="388" spans="20:20">
      <c r="T388" s="367"/>
    </row>
    <row r="389" spans="20:20">
      <c r="T389" s="367"/>
    </row>
    <row r="390" spans="20:20">
      <c r="T390" s="367"/>
    </row>
    <row r="391" spans="20:20">
      <c r="T391" s="367"/>
    </row>
    <row r="392" spans="20:20">
      <c r="T392" s="367"/>
    </row>
    <row r="393" spans="20:20">
      <c r="T393" s="367"/>
    </row>
    <row r="394" spans="20:20">
      <c r="T394" s="367"/>
    </row>
    <row r="395" spans="20:20">
      <c r="T395" s="367"/>
    </row>
    <row r="396" spans="20:20">
      <c r="T396" s="367"/>
    </row>
    <row r="397" spans="20:20">
      <c r="T397" s="367"/>
    </row>
    <row r="398" spans="20:20">
      <c r="T398" s="367"/>
    </row>
    <row r="399" spans="20:20">
      <c r="T399" s="367"/>
    </row>
    <row r="400" spans="20:20">
      <c r="T400" s="367"/>
    </row>
    <row r="401" spans="20:20">
      <c r="T401" s="367"/>
    </row>
    <row r="402" spans="20:20">
      <c r="T402" s="367"/>
    </row>
    <row r="403" spans="20:20">
      <c r="T403" s="367"/>
    </row>
    <row r="404" spans="20:20">
      <c r="T404" s="367"/>
    </row>
    <row r="405" spans="20:20">
      <c r="T405" s="367"/>
    </row>
    <row r="406" spans="20:20">
      <c r="T406" s="367"/>
    </row>
    <row r="407" spans="20:20">
      <c r="T407" s="367"/>
    </row>
    <row r="408" spans="20:20">
      <c r="T408" s="367"/>
    </row>
    <row r="409" spans="20:20">
      <c r="T409" s="367"/>
    </row>
    <row r="410" spans="20:20">
      <c r="T410" s="367"/>
    </row>
    <row r="411" spans="20:20">
      <c r="T411" s="367"/>
    </row>
    <row r="412" spans="20:20">
      <c r="T412" s="367"/>
    </row>
    <row r="413" spans="20:20">
      <c r="T413" s="367"/>
    </row>
    <row r="414" spans="20:20">
      <c r="T414" s="367"/>
    </row>
    <row r="415" spans="20:20">
      <c r="T415" s="367"/>
    </row>
    <row r="416" spans="20:20">
      <c r="T416" s="367"/>
    </row>
    <row r="417" spans="20:20">
      <c r="T417" s="367"/>
    </row>
    <row r="418" spans="20:20">
      <c r="T418" s="367"/>
    </row>
    <row r="419" spans="20:20">
      <c r="T419" s="367"/>
    </row>
    <row r="420" spans="20:20">
      <c r="T420" s="367"/>
    </row>
    <row r="421" spans="20:20">
      <c r="T421" s="367"/>
    </row>
    <row r="422" spans="20:20">
      <c r="T422" s="367"/>
    </row>
    <row r="423" spans="20:20">
      <c r="T423" s="367"/>
    </row>
    <row r="424" spans="20:20">
      <c r="T424" s="367"/>
    </row>
    <row r="425" spans="20:20">
      <c r="T425" s="367"/>
    </row>
    <row r="426" spans="20:20">
      <c r="T426" s="367"/>
    </row>
    <row r="427" spans="20:20">
      <c r="T427" s="367"/>
    </row>
    <row r="428" spans="20:20">
      <c r="T428" s="367"/>
    </row>
    <row r="429" spans="20:20">
      <c r="T429" s="367"/>
    </row>
    <row r="430" spans="20:20">
      <c r="T430" s="367"/>
    </row>
    <row r="431" spans="20:20">
      <c r="T431" s="367"/>
    </row>
    <row r="432" spans="20:20">
      <c r="T432" s="367"/>
    </row>
    <row r="433" spans="20:20">
      <c r="T433" s="367"/>
    </row>
    <row r="434" spans="20:20">
      <c r="T434" s="367"/>
    </row>
    <row r="435" spans="20:20">
      <c r="T435" s="367"/>
    </row>
    <row r="436" spans="20:20">
      <c r="T436" s="367"/>
    </row>
    <row r="437" spans="20:20">
      <c r="T437" s="367"/>
    </row>
    <row r="438" spans="20:20">
      <c r="T438" s="367"/>
    </row>
    <row r="439" spans="20:20">
      <c r="T439" s="367"/>
    </row>
    <row r="440" spans="20:20">
      <c r="T440" s="367"/>
    </row>
    <row r="441" spans="20:20">
      <c r="T441" s="367"/>
    </row>
    <row r="442" spans="20:20">
      <c r="T442" s="367"/>
    </row>
    <row r="443" spans="20:20">
      <c r="T443" s="367"/>
    </row>
    <row r="444" spans="20:20">
      <c r="T444" s="367"/>
    </row>
    <row r="445" spans="20:20">
      <c r="T445" s="367"/>
    </row>
    <row r="446" spans="20:20">
      <c r="T446" s="367"/>
    </row>
    <row r="447" spans="20:20">
      <c r="T447" s="367"/>
    </row>
    <row r="448" spans="20:20">
      <c r="T448" s="367"/>
    </row>
    <row r="449" spans="20:20">
      <c r="T449" s="367"/>
    </row>
    <row r="1145" spans="3:3">
      <c r="C1145" s="329">
        <v>-2130</v>
      </c>
    </row>
    <row r="1153" spans="3:3">
      <c r="C1153" s="329">
        <f>7004298-2130</f>
        <v>7002168</v>
      </c>
    </row>
  </sheetData>
  <conditionalFormatting sqref="T17 T24 T31 T38 T46 T54 T62 T70 T78 T86 T102 T94">
    <cfRule type="cellIs" dxfId="106" priority="107" stopIfTrue="1" operator="equal">
      <formula>0</formula>
    </cfRule>
    <cfRule type="cellIs" dxfId="105" priority="108" stopIfTrue="1" operator="notEqual">
      <formula>0</formula>
    </cfRule>
  </conditionalFormatting>
  <conditionalFormatting sqref="T17 T24 T31 T38 T46 T54 T62 T70 T78 T86 T102 T94">
    <cfRule type="cellIs" dxfId="104" priority="106" stopIfTrue="1" operator="equal">
      <formula>0</formula>
    </cfRule>
  </conditionalFormatting>
  <printOptions gridLinesSet="0"/>
  <pageMargins left="0.18" right="0" top="0.5" bottom="0.5" header="0.5" footer="0.25"/>
  <pageSetup scale="53" orientation="landscape" horizontalDpi="300" verticalDpi="300" r:id="rId1"/>
  <headerFooter alignWithMargins="0">
    <oddFooter>&amp;L&amp;F&amp;C&amp;A&amp;R&amp;D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pageSetUpPr fitToPage="1"/>
  </sheetPr>
  <dimension ref="A1:J196"/>
  <sheetViews>
    <sheetView view="pageBreakPreview" topLeftCell="A159" zoomScale="85" zoomScaleNormal="100" zoomScaleSheetLayoutView="85" workbookViewId="0">
      <selection activeCell="G51" sqref="G51:J55"/>
    </sheetView>
  </sheetViews>
  <sheetFormatPr defaultColWidth="9.140625" defaultRowHeight="15"/>
  <cols>
    <col min="1" max="1" width="29.85546875" style="274" customWidth="1"/>
    <col min="2" max="2" width="6.85546875" style="274" bestFit="1" customWidth="1"/>
    <col min="3" max="3" width="15.85546875" style="274" bestFit="1" customWidth="1"/>
    <col min="4" max="4" width="14.85546875" style="274" bestFit="1" customWidth="1"/>
    <col min="5" max="5" width="16.140625" style="274" bestFit="1" customWidth="1"/>
    <col min="6" max="6" width="9.140625" style="274"/>
    <col min="7" max="7" width="36.28515625" style="274" bestFit="1" customWidth="1"/>
    <col min="8" max="8" width="17.5703125" style="274" bestFit="1" customWidth="1"/>
    <col min="9" max="10" width="15.140625" style="274" bestFit="1" customWidth="1"/>
    <col min="11" max="16384" width="9.140625" style="274"/>
  </cols>
  <sheetData>
    <row r="1" spans="1:10" ht="15.75">
      <c r="A1" s="273" t="s">
        <v>200</v>
      </c>
    </row>
    <row r="2" spans="1:10" ht="15.75">
      <c r="A2" s="445"/>
    </row>
    <row r="3" spans="1:10" ht="15.75">
      <c r="A3" s="273"/>
    </row>
    <row r="4" spans="1:10" ht="15.75" hidden="1">
      <c r="A4" s="289"/>
      <c r="B4" s="289"/>
      <c r="C4" s="283" t="s">
        <v>1</v>
      </c>
      <c r="D4" s="307">
        <v>41274</v>
      </c>
      <c r="E4" s="308">
        <v>280640.39010999998</v>
      </c>
    </row>
    <row r="5" spans="1:10" ht="15.75" hidden="1" thickBot="1"/>
    <row r="6" spans="1:10" ht="15.75" hidden="1">
      <c r="A6" s="695" t="s">
        <v>195</v>
      </c>
      <c r="B6" s="696"/>
      <c r="C6" s="696"/>
      <c r="D6" s="696"/>
      <c r="E6" s="697"/>
      <c r="G6" s="289"/>
      <c r="H6" s="289"/>
      <c r="I6" s="289"/>
    </row>
    <row r="7" spans="1:10" ht="15.75" hidden="1">
      <c r="A7" s="219">
        <v>41305</v>
      </c>
      <c r="B7" s="275"/>
      <c r="C7" s="276" t="s">
        <v>101</v>
      </c>
      <c r="D7" s="277"/>
      <c r="E7" s="278"/>
    </row>
    <row r="8" spans="1:10" ht="16.5" hidden="1" thickBot="1">
      <c r="A8" s="279"/>
      <c r="B8" s="280"/>
      <c r="C8" s="281" t="s">
        <v>21</v>
      </c>
      <c r="D8" s="281" t="s">
        <v>22</v>
      </c>
      <c r="E8" s="282" t="s">
        <v>23</v>
      </c>
    </row>
    <row r="9" spans="1:10" ht="15.75" hidden="1">
      <c r="A9" s="283" t="s">
        <v>24</v>
      </c>
      <c r="B9" s="284">
        <v>101</v>
      </c>
      <c r="C9" s="285">
        <v>22136409</v>
      </c>
      <c r="D9" s="286">
        <v>-2.1900000000000001E-3</v>
      </c>
      <c r="E9" s="287">
        <f>C9*D9</f>
        <v>-48478.735710000001</v>
      </c>
    </row>
    <row r="10" spans="1:10" ht="16.5" hidden="1" thickBot="1">
      <c r="A10" s="283" t="s">
        <v>24</v>
      </c>
      <c r="B10" s="284">
        <v>111</v>
      </c>
      <c r="C10" s="285">
        <v>7525225</v>
      </c>
      <c r="D10" s="286">
        <v>-2.1900000000000001E-3</v>
      </c>
      <c r="E10" s="287">
        <f t="shared" ref="E10:E16" si="0">C10*D10</f>
        <v>-16480.242750000001</v>
      </c>
      <c r="G10" s="288">
        <f>A7</f>
        <v>41305</v>
      </c>
      <c r="H10" s="289"/>
      <c r="I10" s="289"/>
      <c r="J10" s="289"/>
    </row>
    <row r="11" spans="1:10" ht="16.5" hidden="1" thickBot="1">
      <c r="A11" s="283" t="s">
        <v>24</v>
      </c>
      <c r="B11" s="284">
        <v>112</v>
      </c>
      <c r="C11" s="285">
        <v>0</v>
      </c>
      <c r="D11" s="286">
        <v>-2.1900000000000001E-3</v>
      </c>
      <c r="E11" s="287">
        <f t="shared" si="0"/>
        <v>0</v>
      </c>
      <c r="G11" s="290" t="s">
        <v>25</v>
      </c>
      <c r="H11" s="291"/>
      <c r="I11" s="292" t="s">
        <v>18</v>
      </c>
      <c r="J11" s="292" t="s">
        <v>19</v>
      </c>
    </row>
    <row r="12" spans="1:10" ht="15.75" hidden="1">
      <c r="A12" s="283" t="s">
        <v>24</v>
      </c>
      <c r="B12" s="284">
        <v>121</v>
      </c>
      <c r="C12" s="285">
        <v>606431</v>
      </c>
      <c r="D12" s="286">
        <v>-2.1900000000000001E-3</v>
      </c>
      <c r="E12" s="287">
        <f t="shared" si="0"/>
        <v>-1328.0838900000001</v>
      </c>
      <c r="G12" s="293" t="s">
        <v>97</v>
      </c>
      <c r="H12" s="294" t="s">
        <v>26</v>
      </c>
      <c r="I12" s="295">
        <f>-E17</f>
        <v>67542.528509999989</v>
      </c>
      <c r="J12" s="296">
        <v>0</v>
      </c>
    </row>
    <row r="13" spans="1:10" ht="16.5" hidden="1" thickBot="1">
      <c r="A13" s="283" t="s">
        <v>24</v>
      </c>
      <c r="B13" s="284">
        <v>122</v>
      </c>
      <c r="C13" s="285">
        <v>85748</v>
      </c>
      <c r="D13" s="286">
        <v>-2.1900000000000001E-3</v>
      </c>
      <c r="E13" s="287">
        <f t="shared" si="0"/>
        <v>-187.78812000000002</v>
      </c>
      <c r="G13" s="297" t="s">
        <v>196</v>
      </c>
      <c r="H13" s="298" t="s">
        <v>197</v>
      </c>
      <c r="I13" s="299">
        <v>0</v>
      </c>
      <c r="J13" s="300">
        <f>-I12</f>
        <v>-67542.528509999989</v>
      </c>
    </row>
    <row r="14" spans="1:10" ht="15.75" hidden="1">
      <c r="A14" s="283" t="s">
        <v>24</v>
      </c>
      <c r="B14" s="284">
        <v>131</v>
      </c>
      <c r="C14" s="285">
        <v>0</v>
      </c>
      <c r="D14" s="286">
        <v>-2.1900000000000001E-3</v>
      </c>
      <c r="E14" s="287">
        <f t="shared" si="0"/>
        <v>0</v>
      </c>
      <c r="G14" s="289"/>
      <c r="H14" s="289"/>
      <c r="I14" s="289"/>
      <c r="J14" s="301">
        <f>SUM(I12:J13)</f>
        <v>0</v>
      </c>
    </row>
    <row r="15" spans="1:10" ht="15.75" hidden="1">
      <c r="A15" s="283" t="s">
        <v>24</v>
      </c>
      <c r="B15" s="284">
        <v>132</v>
      </c>
      <c r="C15" s="285">
        <v>151236</v>
      </c>
      <c r="D15" s="286">
        <v>-2.1900000000000001E-3</v>
      </c>
      <c r="E15" s="287">
        <f t="shared" si="0"/>
        <v>-331.20684</v>
      </c>
    </row>
    <row r="16" spans="1:10" ht="15.75" hidden="1">
      <c r="A16" s="283" t="s">
        <v>24</v>
      </c>
      <c r="B16" s="284">
        <v>146</v>
      </c>
      <c r="C16" s="285">
        <v>3682356</v>
      </c>
      <c r="D16" s="286">
        <v>-2.0000000000000001E-4</v>
      </c>
      <c r="E16" s="302">
        <f t="shared" si="0"/>
        <v>-736.47120000000007</v>
      </c>
    </row>
    <row r="17" spans="1:10" ht="16.5" hidden="1" thickBot="1">
      <c r="A17" s="283" t="s">
        <v>198</v>
      </c>
      <c r="B17" s="284"/>
      <c r="C17" s="303">
        <f>SUM(C9:C16)</f>
        <v>34187405</v>
      </c>
      <c r="D17" s="304"/>
      <c r="E17" s="305">
        <f>SUM(E9:E16)</f>
        <v>-67542.528509999989</v>
      </c>
    </row>
    <row r="18" spans="1:10" ht="16.5" hidden="1" thickTop="1">
      <c r="A18" s="283"/>
      <c r="B18" s="284"/>
      <c r="C18" s="309">
        <v>34187405</v>
      </c>
      <c r="D18" s="304"/>
      <c r="E18" s="305"/>
    </row>
    <row r="19" spans="1:10" ht="15.75" hidden="1">
      <c r="A19" s="283"/>
      <c r="B19" s="284"/>
      <c r="C19" s="306">
        <f>C18-C17</f>
        <v>0</v>
      </c>
      <c r="D19" s="304"/>
      <c r="E19" s="305"/>
    </row>
    <row r="20" spans="1:10" ht="15.75" hidden="1">
      <c r="A20" s="289"/>
      <c r="B20" s="289"/>
      <c r="C20" s="283" t="s">
        <v>1</v>
      </c>
      <c r="D20" s="307">
        <f>A7</f>
        <v>41305</v>
      </c>
      <c r="E20" s="308">
        <f>E4+E17</f>
        <v>213097.8616</v>
      </c>
    </row>
    <row r="21" spans="1:10" ht="15.75" hidden="1" thickBot="1"/>
    <row r="22" spans="1:10" ht="15.75" hidden="1">
      <c r="A22" s="695" t="s">
        <v>195</v>
      </c>
      <c r="B22" s="696"/>
      <c r="C22" s="696"/>
      <c r="D22" s="696"/>
      <c r="E22" s="697"/>
      <c r="G22" s="289"/>
      <c r="H22" s="289"/>
      <c r="I22" s="289"/>
    </row>
    <row r="23" spans="1:10" ht="15.75" hidden="1">
      <c r="A23" s="219">
        <v>41333</v>
      </c>
      <c r="B23" s="275"/>
      <c r="C23" s="276" t="s">
        <v>101</v>
      </c>
      <c r="D23" s="277"/>
      <c r="E23" s="278"/>
    </row>
    <row r="24" spans="1:10" ht="16.5" hidden="1" thickBot="1">
      <c r="A24" s="279"/>
      <c r="B24" s="280"/>
      <c r="C24" s="281" t="s">
        <v>21</v>
      </c>
      <c r="D24" s="281" t="s">
        <v>22</v>
      </c>
      <c r="E24" s="282" t="s">
        <v>23</v>
      </c>
    </row>
    <row r="25" spans="1:10" ht="15.75" hidden="1">
      <c r="A25" s="283" t="s">
        <v>24</v>
      </c>
      <c r="B25" s="284">
        <v>101</v>
      </c>
      <c r="C25" s="285">
        <v>16585315</v>
      </c>
      <c r="D25" s="286">
        <v>-2.1900000000000001E-3</v>
      </c>
      <c r="E25" s="287">
        <v>-36321.839850000004</v>
      </c>
    </row>
    <row r="26" spans="1:10" ht="16.5" hidden="1" thickBot="1">
      <c r="A26" s="283" t="s">
        <v>24</v>
      </c>
      <c r="B26" s="284">
        <v>111</v>
      </c>
      <c r="C26" s="285">
        <v>5716465</v>
      </c>
      <c r="D26" s="286">
        <v>-2.1900000000000001E-3</v>
      </c>
      <c r="E26" s="287">
        <v>-12519.058350000001</v>
      </c>
      <c r="G26" s="288">
        <f>A23</f>
        <v>41333</v>
      </c>
      <c r="H26" s="289"/>
      <c r="I26" s="289"/>
      <c r="J26" s="289"/>
    </row>
    <row r="27" spans="1:10" ht="16.5" hidden="1" thickBot="1">
      <c r="A27" s="283" t="s">
        <v>24</v>
      </c>
      <c r="B27" s="284">
        <v>112</v>
      </c>
      <c r="C27" s="285">
        <v>0</v>
      </c>
      <c r="D27" s="286">
        <v>-2.1900000000000001E-3</v>
      </c>
      <c r="E27" s="287">
        <v>0</v>
      </c>
      <c r="G27" s="290" t="s">
        <v>25</v>
      </c>
      <c r="H27" s="291"/>
      <c r="I27" s="292" t="s">
        <v>18</v>
      </c>
      <c r="J27" s="292" t="s">
        <v>19</v>
      </c>
    </row>
    <row r="28" spans="1:10" ht="15.75" hidden="1">
      <c r="A28" s="283" t="s">
        <v>24</v>
      </c>
      <c r="B28" s="284">
        <v>121</v>
      </c>
      <c r="C28" s="285">
        <v>416479</v>
      </c>
      <c r="D28" s="286">
        <v>-2.1900000000000001E-3</v>
      </c>
      <c r="E28" s="287">
        <v>-912.08901000000003</v>
      </c>
      <c r="G28" s="293" t="s">
        <v>97</v>
      </c>
      <c r="H28" s="294" t="s">
        <v>26</v>
      </c>
      <c r="I28" s="295">
        <f>-E33</f>
        <v>50910.051820000008</v>
      </c>
      <c r="J28" s="296">
        <v>0</v>
      </c>
    </row>
    <row r="29" spans="1:10" ht="16.5" hidden="1" thickBot="1">
      <c r="A29" s="283" t="s">
        <v>24</v>
      </c>
      <c r="B29" s="284">
        <v>122</v>
      </c>
      <c r="C29" s="285">
        <v>94568</v>
      </c>
      <c r="D29" s="286">
        <v>-2.1900000000000001E-3</v>
      </c>
      <c r="E29" s="287">
        <v>-207.10392000000002</v>
      </c>
      <c r="G29" s="297" t="s">
        <v>196</v>
      </c>
      <c r="H29" s="298" t="s">
        <v>197</v>
      </c>
      <c r="I29" s="299">
        <v>0</v>
      </c>
      <c r="J29" s="300">
        <f>-I28</f>
        <v>-50910.051820000008</v>
      </c>
    </row>
    <row r="30" spans="1:10" ht="15.75" hidden="1">
      <c r="A30" s="283" t="s">
        <v>24</v>
      </c>
      <c r="B30" s="284">
        <v>131</v>
      </c>
      <c r="C30" s="285">
        <v>0</v>
      </c>
      <c r="D30" s="286">
        <v>-2.1900000000000001E-3</v>
      </c>
      <c r="E30" s="287">
        <v>0</v>
      </c>
      <c r="G30" s="289"/>
      <c r="H30" s="289"/>
      <c r="I30" s="289"/>
      <c r="J30" s="301">
        <f>SUM(I28:J29)</f>
        <v>0</v>
      </c>
    </row>
    <row r="31" spans="1:10" ht="15.75" hidden="1">
      <c r="A31" s="283" t="s">
        <v>24</v>
      </c>
      <c r="B31" s="284">
        <v>132</v>
      </c>
      <c r="C31" s="285">
        <v>172051</v>
      </c>
      <c r="D31" s="286">
        <v>-2.1900000000000001E-3</v>
      </c>
      <c r="E31" s="287">
        <v>-376.79169000000002</v>
      </c>
    </row>
    <row r="32" spans="1:10" ht="15.75" hidden="1">
      <c r="A32" s="283" t="s">
        <v>24</v>
      </c>
      <c r="B32" s="284">
        <v>146</v>
      </c>
      <c r="C32" s="285">
        <v>2865845</v>
      </c>
      <c r="D32" s="286">
        <v>-2.0000000000000001E-4</v>
      </c>
      <c r="E32" s="302">
        <v>-573.16899999999998</v>
      </c>
    </row>
    <row r="33" spans="1:10" ht="16.5" hidden="1" thickBot="1">
      <c r="A33" s="283" t="s">
        <v>198</v>
      </c>
      <c r="B33" s="284"/>
      <c r="C33" s="303">
        <f>SUM(C25:C32)</f>
        <v>25850723</v>
      </c>
      <c r="D33" s="304"/>
      <c r="E33" s="305">
        <f>SUM(E25:E32)</f>
        <v>-50910.051820000008</v>
      </c>
    </row>
    <row r="34" spans="1:10" ht="16.5" hidden="1" thickTop="1">
      <c r="A34" s="283"/>
      <c r="B34" s="284"/>
      <c r="C34" s="309">
        <v>25850723</v>
      </c>
      <c r="D34" s="304"/>
      <c r="E34" s="305"/>
    </row>
    <row r="35" spans="1:10" ht="15.75" hidden="1">
      <c r="A35" s="283"/>
      <c r="B35" s="284"/>
      <c r="C35" s="306">
        <f>C34-C33</f>
        <v>0</v>
      </c>
      <c r="D35" s="304"/>
      <c r="E35" s="305"/>
    </row>
    <row r="36" spans="1:10" ht="15.75" hidden="1">
      <c r="A36" s="289"/>
      <c r="B36" s="289"/>
      <c r="C36" s="283" t="s">
        <v>1</v>
      </c>
      <c r="D36" s="307">
        <f>A23</f>
        <v>41333</v>
      </c>
      <c r="E36" s="308">
        <f>E20+E33</f>
        <v>162187.80978000001</v>
      </c>
    </row>
    <row r="37" spans="1:10" ht="15.75" hidden="1" thickBot="1"/>
    <row r="38" spans="1:10" ht="15.75" hidden="1">
      <c r="A38" s="695" t="s">
        <v>195</v>
      </c>
      <c r="B38" s="696"/>
      <c r="C38" s="696"/>
      <c r="D38" s="696"/>
      <c r="E38" s="697"/>
      <c r="G38" s="289"/>
      <c r="H38" s="289"/>
      <c r="I38" s="289"/>
    </row>
    <row r="39" spans="1:10" ht="15.75" hidden="1">
      <c r="A39" s="219">
        <v>41364</v>
      </c>
      <c r="B39" s="275"/>
      <c r="C39" s="276" t="s">
        <v>101</v>
      </c>
      <c r="D39" s="277"/>
      <c r="E39" s="278"/>
    </row>
    <row r="40" spans="1:10" ht="16.5" hidden="1" thickBot="1">
      <c r="A40" s="279"/>
      <c r="B40" s="280"/>
      <c r="C40" s="281" t="s">
        <v>21</v>
      </c>
      <c r="D40" s="281" t="s">
        <v>22</v>
      </c>
      <c r="E40" s="282" t="s">
        <v>23</v>
      </c>
    </row>
    <row r="41" spans="1:10" ht="15.75" hidden="1">
      <c r="A41" s="283" t="s">
        <v>24</v>
      </c>
      <c r="B41" s="284">
        <v>101</v>
      </c>
      <c r="C41" s="285">
        <v>12776328</v>
      </c>
      <c r="D41" s="286">
        <v>-2.1900000000000001E-3</v>
      </c>
      <c r="E41" s="287">
        <v>-27980.158320000002</v>
      </c>
    </row>
    <row r="42" spans="1:10" ht="16.5" hidden="1" thickBot="1">
      <c r="A42" s="283" t="s">
        <v>24</v>
      </c>
      <c r="B42" s="284">
        <v>111</v>
      </c>
      <c r="C42" s="285">
        <v>4890087</v>
      </c>
      <c r="D42" s="286">
        <v>-2.1900000000000001E-3</v>
      </c>
      <c r="E42" s="287">
        <v>-10709.29053</v>
      </c>
      <c r="G42" s="288">
        <f>A39</f>
        <v>41364</v>
      </c>
      <c r="H42" s="289"/>
      <c r="I42" s="289"/>
      <c r="J42" s="289"/>
    </row>
    <row r="43" spans="1:10" ht="16.5" hidden="1" thickBot="1">
      <c r="A43" s="283" t="s">
        <v>24</v>
      </c>
      <c r="B43" s="284">
        <v>112</v>
      </c>
      <c r="C43" s="285">
        <v>0</v>
      </c>
      <c r="D43" s="286">
        <v>-2.1900000000000001E-3</v>
      </c>
      <c r="E43" s="287">
        <v>0</v>
      </c>
      <c r="G43" s="290" t="s">
        <v>25</v>
      </c>
      <c r="H43" s="291"/>
      <c r="I43" s="292" t="s">
        <v>18</v>
      </c>
      <c r="J43" s="292" t="s">
        <v>19</v>
      </c>
    </row>
    <row r="44" spans="1:10" ht="15.75" hidden="1">
      <c r="A44" s="283" t="s">
        <v>24</v>
      </c>
      <c r="B44" s="284">
        <v>121</v>
      </c>
      <c r="C44" s="285">
        <v>526218</v>
      </c>
      <c r="D44" s="286">
        <v>-2.1900000000000001E-3</v>
      </c>
      <c r="E44" s="287">
        <v>-1152.41742</v>
      </c>
      <c r="G44" s="293" t="s">
        <v>97</v>
      </c>
      <c r="H44" s="294" t="s">
        <v>26</v>
      </c>
      <c r="I44" s="295">
        <f>-E49</f>
        <v>40849.65926</v>
      </c>
      <c r="J44" s="296">
        <v>0</v>
      </c>
    </row>
    <row r="45" spans="1:10" ht="16.5" hidden="1" thickBot="1">
      <c r="A45" s="283" t="s">
        <v>24</v>
      </c>
      <c r="B45" s="284">
        <v>122</v>
      </c>
      <c r="C45" s="285">
        <v>71767</v>
      </c>
      <c r="D45" s="286">
        <v>-2.1900000000000001E-3</v>
      </c>
      <c r="E45" s="287">
        <v>-157.16973000000002</v>
      </c>
      <c r="G45" s="297" t="s">
        <v>196</v>
      </c>
      <c r="H45" s="298" t="s">
        <v>197</v>
      </c>
      <c r="I45" s="299">
        <v>0</v>
      </c>
      <c r="J45" s="300">
        <f>-I44</f>
        <v>-40849.65926</v>
      </c>
    </row>
    <row r="46" spans="1:10" ht="15.75" hidden="1">
      <c r="A46" s="283" t="s">
        <v>24</v>
      </c>
      <c r="B46" s="284">
        <v>131</v>
      </c>
      <c r="C46" s="285">
        <v>0</v>
      </c>
      <c r="D46" s="286">
        <v>-2.1900000000000001E-3</v>
      </c>
      <c r="E46" s="287">
        <v>0</v>
      </c>
      <c r="G46" s="289"/>
      <c r="H46" s="289"/>
      <c r="I46" s="289"/>
      <c r="J46" s="301">
        <f>SUM(I44:J45)</f>
        <v>0</v>
      </c>
    </row>
    <row r="47" spans="1:10" ht="15.75" hidden="1">
      <c r="A47" s="283" t="s">
        <v>24</v>
      </c>
      <c r="B47" s="284">
        <v>132</v>
      </c>
      <c r="C47" s="285">
        <v>135254</v>
      </c>
      <c r="D47" s="286">
        <v>-2.1900000000000001E-3</v>
      </c>
      <c r="E47" s="287">
        <v>-296.20625999999999</v>
      </c>
    </row>
    <row r="48" spans="1:10" ht="15.75" hidden="1">
      <c r="A48" s="283" t="s">
        <v>24</v>
      </c>
      <c r="B48" s="284">
        <v>146</v>
      </c>
      <c r="C48" s="285">
        <v>2772085</v>
      </c>
      <c r="D48" s="286">
        <v>-2.0000000000000001E-4</v>
      </c>
      <c r="E48" s="302">
        <v>-554.41700000000003</v>
      </c>
    </row>
    <row r="49" spans="1:10" ht="16.5" hidden="1" thickBot="1">
      <c r="A49" s="283" t="s">
        <v>198</v>
      </c>
      <c r="B49" s="284"/>
      <c r="C49" s="303">
        <f>SUM(C41:C48)</f>
        <v>21171739</v>
      </c>
      <c r="D49" s="304"/>
      <c r="E49" s="305">
        <f>SUM(E41:E48)</f>
        <v>-40849.65926</v>
      </c>
    </row>
    <row r="50" spans="1:10" ht="16.5" hidden="1" thickTop="1">
      <c r="A50" s="283"/>
      <c r="B50" s="284"/>
      <c r="C50" s="309">
        <v>21171739</v>
      </c>
      <c r="D50" s="304"/>
      <c r="E50" s="305"/>
    </row>
    <row r="51" spans="1:10" ht="15.75" hidden="1">
      <c r="A51" s="283"/>
      <c r="B51" s="284"/>
      <c r="C51" s="306">
        <f>C50-C49</f>
        <v>0</v>
      </c>
      <c r="D51" s="304"/>
      <c r="E51" s="305"/>
    </row>
    <row r="52" spans="1:10" ht="15.75" hidden="1">
      <c r="A52" s="289"/>
      <c r="B52" s="289"/>
      <c r="C52" s="283" t="s">
        <v>1</v>
      </c>
      <c r="D52" s="307">
        <f>A39</f>
        <v>41364</v>
      </c>
      <c r="E52" s="308">
        <f>E36+E49</f>
        <v>121338.15052000001</v>
      </c>
    </row>
    <row r="53" spans="1:10" ht="15.75" hidden="1" thickBot="1"/>
    <row r="54" spans="1:10" ht="15.75" hidden="1">
      <c r="A54" s="695" t="s">
        <v>195</v>
      </c>
      <c r="B54" s="696"/>
      <c r="C54" s="696"/>
      <c r="D54" s="696"/>
      <c r="E54" s="697"/>
      <c r="G54" s="289"/>
      <c r="H54" s="289"/>
      <c r="I54" s="289"/>
    </row>
    <row r="55" spans="1:10" ht="15.75" hidden="1">
      <c r="A55" s="219">
        <v>41394</v>
      </c>
      <c r="B55" s="275"/>
      <c r="C55" s="276" t="s">
        <v>101</v>
      </c>
      <c r="D55" s="277"/>
      <c r="E55" s="278"/>
    </row>
    <row r="56" spans="1:10" ht="16.5" hidden="1" thickBot="1">
      <c r="A56" s="279"/>
      <c r="B56" s="280"/>
      <c r="C56" s="281" t="s">
        <v>21</v>
      </c>
      <c r="D56" s="281" t="s">
        <v>22</v>
      </c>
      <c r="E56" s="282" t="s">
        <v>23</v>
      </c>
    </row>
    <row r="57" spans="1:10" ht="15.75" hidden="1">
      <c r="A57" s="283" t="s">
        <v>24</v>
      </c>
      <c r="B57" s="284">
        <v>101</v>
      </c>
      <c r="C57" s="285">
        <v>8689955</v>
      </c>
      <c r="D57" s="286">
        <v>-2.1900000000000001E-3</v>
      </c>
      <c r="E57" s="287">
        <v>-19031.00145</v>
      </c>
    </row>
    <row r="58" spans="1:10" ht="16.5" hidden="1" thickBot="1">
      <c r="A58" s="283" t="s">
        <v>24</v>
      </c>
      <c r="B58" s="284">
        <v>111</v>
      </c>
      <c r="C58" s="285">
        <v>3665435</v>
      </c>
      <c r="D58" s="286">
        <v>-2.1900000000000001E-3</v>
      </c>
      <c r="E58" s="287">
        <v>-8027.3026500000005</v>
      </c>
      <c r="G58" s="288">
        <f>A55</f>
        <v>41394</v>
      </c>
      <c r="H58" s="289"/>
      <c r="I58" s="289"/>
      <c r="J58" s="289"/>
    </row>
    <row r="59" spans="1:10" ht="16.5" hidden="1" thickBot="1">
      <c r="A59" s="283" t="s">
        <v>24</v>
      </c>
      <c r="B59" s="284">
        <v>112</v>
      </c>
      <c r="C59" s="285">
        <v>0</v>
      </c>
      <c r="D59" s="286">
        <v>-2.1900000000000001E-3</v>
      </c>
      <c r="E59" s="287">
        <v>0</v>
      </c>
      <c r="G59" s="290" t="s">
        <v>25</v>
      </c>
      <c r="H59" s="291"/>
      <c r="I59" s="292" t="s">
        <v>18</v>
      </c>
      <c r="J59" s="292" t="s">
        <v>19</v>
      </c>
    </row>
    <row r="60" spans="1:10" ht="15.75" hidden="1">
      <c r="A60" s="283" t="s">
        <v>24</v>
      </c>
      <c r="B60" s="284">
        <v>121</v>
      </c>
      <c r="C60" s="285">
        <v>375679</v>
      </c>
      <c r="D60" s="286">
        <v>-2.1900000000000001E-3</v>
      </c>
      <c r="E60" s="287">
        <v>-822.73701000000005</v>
      </c>
      <c r="G60" s="293" t="s">
        <v>97</v>
      </c>
      <c r="H60" s="294" t="s">
        <v>26</v>
      </c>
      <c r="I60" s="295">
        <f>-E65</f>
        <v>28792.572810000001</v>
      </c>
      <c r="J60" s="296">
        <v>0</v>
      </c>
    </row>
    <row r="61" spans="1:10" ht="16.5" hidden="1" thickBot="1">
      <c r="A61" s="283" t="s">
        <v>24</v>
      </c>
      <c r="B61" s="284">
        <v>122</v>
      </c>
      <c r="C61" s="285">
        <v>67054</v>
      </c>
      <c r="D61" s="286">
        <v>-2.1900000000000001E-3</v>
      </c>
      <c r="E61" s="287">
        <v>-146.84826000000001</v>
      </c>
      <c r="G61" s="297" t="s">
        <v>196</v>
      </c>
      <c r="H61" s="298" t="s">
        <v>197</v>
      </c>
      <c r="I61" s="299">
        <v>0</v>
      </c>
      <c r="J61" s="300">
        <f>-I60</f>
        <v>-28792.572810000001</v>
      </c>
    </row>
    <row r="62" spans="1:10" ht="15.75" hidden="1">
      <c r="A62" s="283" t="s">
        <v>24</v>
      </c>
      <c r="B62" s="284">
        <v>131</v>
      </c>
      <c r="C62" s="285">
        <v>0</v>
      </c>
      <c r="D62" s="286">
        <v>-2.1900000000000001E-3</v>
      </c>
      <c r="E62" s="287">
        <v>0</v>
      </c>
      <c r="G62" s="289"/>
      <c r="H62" s="289"/>
      <c r="I62" s="289"/>
      <c r="J62" s="301">
        <f>SUM(I60:J61)</f>
        <v>0</v>
      </c>
    </row>
    <row r="63" spans="1:10" ht="15.75" hidden="1">
      <c r="A63" s="283" t="s">
        <v>24</v>
      </c>
      <c r="B63" s="284">
        <v>132</v>
      </c>
      <c r="C63" s="285">
        <v>126416</v>
      </c>
      <c r="D63" s="286">
        <v>-2.1900000000000001E-3</v>
      </c>
      <c r="E63" s="287">
        <v>-276.85104000000001</v>
      </c>
    </row>
    <row r="64" spans="1:10" ht="15.75" hidden="1">
      <c r="A64" s="283" t="s">
        <v>24</v>
      </c>
      <c r="B64" s="284">
        <v>146</v>
      </c>
      <c r="C64" s="285">
        <v>2439162</v>
      </c>
      <c r="D64" s="286">
        <v>-2.0000000000000001E-4</v>
      </c>
      <c r="E64" s="302">
        <v>-487.83240000000001</v>
      </c>
    </row>
    <row r="65" spans="1:10" ht="16.5" hidden="1" thickBot="1">
      <c r="A65" s="283" t="s">
        <v>198</v>
      </c>
      <c r="B65" s="284"/>
      <c r="C65" s="303">
        <f>SUM(C57:C64)</f>
        <v>15363701</v>
      </c>
      <c r="D65" s="304"/>
      <c r="E65" s="305">
        <f>SUM(E57:E64)</f>
        <v>-28792.572810000001</v>
      </c>
    </row>
    <row r="66" spans="1:10" ht="16.5" hidden="1" thickTop="1">
      <c r="A66" s="283"/>
      <c r="B66" s="284"/>
      <c r="C66" s="309">
        <v>15363701</v>
      </c>
      <c r="D66" s="304"/>
      <c r="E66" s="305"/>
    </row>
    <row r="67" spans="1:10" ht="15.75" hidden="1">
      <c r="A67" s="283"/>
      <c r="B67" s="284"/>
      <c r="C67" s="306">
        <f>C66-C65</f>
        <v>0</v>
      </c>
      <c r="D67" s="304"/>
      <c r="E67" s="305"/>
    </row>
    <row r="68" spans="1:10" ht="15.75" hidden="1">
      <c r="A68" s="289"/>
      <c r="B68" s="289"/>
      <c r="C68" s="283" t="s">
        <v>1</v>
      </c>
      <c r="D68" s="307">
        <f>A55</f>
        <v>41394</v>
      </c>
      <c r="E68" s="308">
        <f>E52+E65</f>
        <v>92545.577710000012</v>
      </c>
      <c r="G68" s="383"/>
    </row>
    <row r="69" spans="1:10" ht="15.75" hidden="1" thickBot="1"/>
    <row r="70" spans="1:10" ht="15.75" hidden="1">
      <c r="A70" s="695" t="s">
        <v>195</v>
      </c>
      <c r="B70" s="696"/>
      <c r="C70" s="696"/>
      <c r="D70" s="696"/>
      <c r="E70" s="697"/>
      <c r="G70" s="289"/>
      <c r="H70" s="289"/>
      <c r="I70" s="289"/>
    </row>
    <row r="71" spans="1:10" ht="15.75" hidden="1">
      <c r="A71" s="219">
        <v>41425</v>
      </c>
      <c r="B71" s="275"/>
      <c r="C71" s="276" t="s">
        <v>101</v>
      </c>
      <c r="D71" s="277"/>
      <c r="E71" s="278"/>
    </row>
    <row r="72" spans="1:10" ht="16.5" hidden="1" thickBot="1">
      <c r="A72" s="279"/>
      <c r="B72" s="280"/>
      <c r="C72" s="281" t="s">
        <v>21</v>
      </c>
      <c r="D72" s="281" t="s">
        <v>22</v>
      </c>
      <c r="E72" s="282" t="s">
        <v>23</v>
      </c>
    </row>
    <row r="73" spans="1:10" ht="15.75" hidden="1">
      <c r="A73" s="283" t="s">
        <v>24</v>
      </c>
      <c r="B73" s="284">
        <v>101</v>
      </c>
      <c r="C73" s="285">
        <v>4182901</v>
      </c>
      <c r="D73" s="286">
        <v>-2.1900000000000001E-3</v>
      </c>
      <c r="E73" s="287">
        <v>-9160.5531900000005</v>
      </c>
    </row>
    <row r="74" spans="1:10" ht="16.5" hidden="1" thickBot="1">
      <c r="A74" s="283" t="s">
        <v>24</v>
      </c>
      <c r="B74" s="284">
        <v>111</v>
      </c>
      <c r="C74" s="285">
        <v>1970725</v>
      </c>
      <c r="D74" s="286">
        <v>-2.1900000000000001E-3</v>
      </c>
      <c r="E74" s="287">
        <v>-4315.8877499999999</v>
      </c>
      <c r="G74" s="288">
        <f>A71</f>
        <v>41425</v>
      </c>
      <c r="H74" s="289"/>
      <c r="I74" s="289"/>
      <c r="J74" s="289"/>
    </row>
    <row r="75" spans="1:10" ht="16.5" hidden="1" thickBot="1">
      <c r="A75" s="283" t="s">
        <v>24</v>
      </c>
      <c r="B75" s="284">
        <v>112</v>
      </c>
      <c r="C75" s="285">
        <v>0</v>
      </c>
      <c r="D75" s="286">
        <v>-2.1900000000000001E-3</v>
      </c>
      <c r="E75" s="287">
        <v>0</v>
      </c>
      <c r="G75" s="290" t="s">
        <v>25</v>
      </c>
      <c r="H75" s="291"/>
      <c r="I75" s="292" t="s">
        <v>18</v>
      </c>
      <c r="J75" s="292" t="s">
        <v>19</v>
      </c>
    </row>
    <row r="76" spans="1:10" ht="15.75" hidden="1">
      <c r="A76" s="283" t="s">
        <v>24</v>
      </c>
      <c r="B76" s="284">
        <v>121</v>
      </c>
      <c r="C76" s="285">
        <v>339319</v>
      </c>
      <c r="D76" s="286">
        <v>-2.1900000000000001E-3</v>
      </c>
      <c r="E76" s="287">
        <v>-743.10861</v>
      </c>
      <c r="G76" s="293" t="s">
        <v>97</v>
      </c>
      <c r="H76" s="294" t="s">
        <v>26</v>
      </c>
      <c r="I76" s="295">
        <f>-E81</f>
        <v>14976.37256</v>
      </c>
      <c r="J76" s="296">
        <v>0</v>
      </c>
    </row>
    <row r="77" spans="1:10" ht="16.5" hidden="1" thickBot="1">
      <c r="A77" s="283" t="s">
        <v>24</v>
      </c>
      <c r="B77" s="284">
        <v>122</v>
      </c>
      <c r="C77" s="285">
        <v>57247</v>
      </c>
      <c r="D77" s="286">
        <v>-2.1900000000000001E-3</v>
      </c>
      <c r="E77" s="287">
        <v>-125.37093</v>
      </c>
      <c r="G77" s="297" t="s">
        <v>196</v>
      </c>
      <c r="H77" s="298" t="s">
        <v>197</v>
      </c>
      <c r="I77" s="299">
        <v>0</v>
      </c>
      <c r="J77" s="300">
        <f>-I76</f>
        <v>-14976.37256</v>
      </c>
    </row>
    <row r="78" spans="1:10" ht="15.75" hidden="1">
      <c r="A78" s="283" t="s">
        <v>24</v>
      </c>
      <c r="B78" s="284">
        <v>131</v>
      </c>
      <c r="C78" s="285">
        <v>0</v>
      </c>
      <c r="D78" s="286">
        <v>-2.1900000000000001E-3</v>
      </c>
      <c r="E78" s="287">
        <v>0</v>
      </c>
      <c r="G78" s="289"/>
      <c r="H78" s="289"/>
      <c r="I78" s="289"/>
      <c r="J78" s="301">
        <f>SUM(I76:J77)</f>
        <v>0</v>
      </c>
    </row>
    <row r="79" spans="1:10" ht="15.75" hidden="1">
      <c r="A79" s="283" t="s">
        <v>24</v>
      </c>
      <c r="B79" s="284">
        <v>132</v>
      </c>
      <c r="C79" s="285">
        <v>107592</v>
      </c>
      <c r="D79" s="286">
        <v>-2.1900000000000001E-3</v>
      </c>
      <c r="E79" s="287">
        <v>-235.62648000000002</v>
      </c>
    </row>
    <row r="80" spans="1:10" ht="15.75" hidden="1">
      <c r="A80" s="283" t="s">
        <v>24</v>
      </c>
      <c r="B80" s="284">
        <v>146</v>
      </c>
      <c r="C80" s="285">
        <v>1979128</v>
      </c>
      <c r="D80" s="286">
        <v>-2.0000000000000001E-4</v>
      </c>
      <c r="E80" s="302">
        <v>-395.82560000000001</v>
      </c>
    </row>
    <row r="81" spans="1:10" ht="16.5" hidden="1" thickBot="1">
      <c r="A81" s="283" t="s">
        <v>198</v>
      </c>
      <c r="B81" s="284"/>
      <c r="C81" s="303">
        <f>SUM(C73:C80)</f>
        <v>8636912</v>
      </c>
      <c r="D81" s="304"/>
      <c r="E81" s="305">
        <f>SUM(E73:E80)</f>
        <v>-14976.37256</v>
      </c>
    </row>
    <row r="82" spans="1:10" ht="16.5" hidden="1" thickTop="1">
      <c r="A82" s="283"/>
      <c r="B82" s="284"/>
      <c r="C82" s="309">
        <v>8636912</v>
      </c>
      <c r="D82" s="304"/>
      <c r="E82" s="305"/>
    </row>
    <row r="83" spans="1:10" ht="15.75" hidden="1">
      <c r="A83" s="283"/>
      <c r="B83" s="284"/>
      <c r="C83" s="306">
        <f>C82-C81</f>
        <v>0</v>
      </c>
      <c r="D83" s="304"/>
      <c r="E83" s="305"/>
    </row>
    <row r="84" spans="1:10" ht="15.75">
      <c r="A84" s="289"/>
      <c r="B84" s="289"/>
      <c r="C84" s="283" t="s">
        <v>1</v>
      </c>
      <c r="D84" s="307">
        <f>EOMONTH(D68,1)</f>
        <v>41425</v>
      </c>
      <c r="E84" s="308">
        <f>E68+E81</f>
        <v>77569.205150000009</v>
      </c>
    </row>
    <row r="85" spans="1:10" ht="15.75" thickBot="1"/>
    <row r="86" spans="1:10" ht="15.75">
      <c r="A86" s="695" t="s">
        <v>195</v>
      </c>
      <c r="B86" s="696"/>
      <c r="C86" s="696"/>
      <c r="D86" s="696"/>
      <c r="E86" s="697"/>
      <c r="G86" s="289"/>
      <c r="H86" s="289"/>
      <c r="I86" s="289"/>
    </row>
    <row r="87" spans="1:10" ht="15.75">
      <c r="A87" s="219">
        <v>41426</v>
      </c>
      <c r="B87" s="275"/>
      <c r="C87" s="276" t="s">
        <v>101</v>
      </c>
      <c r="D87" s="277"/>
      <c r="E87" s="278"/>
    </row>
    <row r="88" spans="1:10" ht="16.5" thickBot="1">
      <c r="A88" s="279"/>
      <c r="B88" s="280"/>
      <c r="C88" s="281" t="s">
        <v>21</v>
      </c>
      <c r="D88" s="281" t="s">
        <v>22</v>
      </c>
      <c r="E88" s="282" t="s">
        <v>23</v>
      </c>
    </row>
    <row r="89" spans="1:10" ht="15.75">
      <c r="A89" s="283" t="s">
        <v>24</v>
      </c>
      <c r="B89" s="284">
        <v>101</v>
      </c>
      <c r="C89" s="285">
        <v>2800295</v>
      </c>
      <c r="D89" s="286">
        <v>-2.1900000000000001E-3</v>
      </c>
      <c r="E89" s="287">
        <v>-6132.6460500000003</v>
      </c>
    </row>
    <row r="90" spans="1:10" ht="16.5" thickBot="1">
      <c r="A90" s="283" t="s">
        <v>24</v>
      </c>
      <c r="B90" s="284">
        <v>111</v>
      </c>
      <c r="C90" s="285">
        <v>1678252</v>
      </c>
      <c r="D90" s="286">
        <v>-2.1900000000000001E-3</v>
      </c>
      <c r="E90" s="287">
        <v>-3675.3718800000001</v>
      </c>
      <c r="G90" s="288">
        <f>A87</f>
        <v>41426</v>
      </c>
      <c r="H90" s="289"/>
      <c r="I90" s="289"/>
      <c r="J90" s="289"/>
    </row>
    <row r="91" spans="1:10" ht="16.5" thickBot="1">
      <c r="A91" s="283" t="s">
        <v>24</v>
      </c>
      <c r="B91" s="284">
        <v>112</v>
      </c>
      <c r="C91" s="285">
        <v>0</v>
      </c>
      <c r="D91" s="286">
        <v>-2.1900000000000001E-3</v>
      </c>
      <c r="E91" s="287">
        <v>0</v>
      </c>
      <c r="G91" s="290" t="s">
        <v>25</v>
      </c>
      <c r="H91" s="291"/>
      <c r="I91" s="292" t="s">
        <v>18</v>
      </c>
      <c r="J91" s="292" t="s">
        <v>19</v>
      </c>
    </row>
    <row r="92" spans="1:10" ht="15.75">
      <c r="A92" s="283" t="s">
        <v>24</v>
      </c>
      <c r="B92" s="284">
        <v>121</v>
      </c>
      <c r="C92" s="285">
        <v>339158</v>
      </c>
      <c r="D92" s="286">
        <v>-2.1900000000000001E-3</v>
      </c>
      <c r="E92" s="287">
        <v>-742.75602000000003</v>
      </c>
      <c r="G92" s="293" t="s">
        <v>97</v>
      </c>
      <c r="H92" s="294" t="s">
        <v>26</v>
      </c>
      <c r="I92" s="295">
        <f>-E97</f>
        <v>11131.53289</v>
      </c>
      <c r="J92" s="296">
        <v>0</v>
      </c>
    </row>
    <row r="93" spans="1:10" ht="16.5" thickBot="1">
      <c r="A93" s="283" t="s">
        <v>24</v>
      </c>
      <c r="B93" s="284">
        <v>122</v>
      </c>
      <c r="C93" s="285">
        <v>42891</v>
      </c>
      <c r="D93" s="286">
        <v>-2.1900000000000001E-3</v>
      </c>
      <c r="E93" s="287">
        <v>-93.931290000000004</v>
      </c>
      <c r="G93" s="297" t="s">
        <v>196</v>
      </c>
      <c r="H93" s="298" t="s">
        <v>197</v>
      </c>
      <c r="I93" s="299">
        <v>0</v>
      </c>
      <c r="J93" s="300">
        <f>-I92</f>
        <v>-11131.53289</v>
      </c>
    </row>
    <row r="94" spans="1:10" ht="15.75">
      <c r="A94" s="283" t="s">
        <v>24</v>
      </c>
      <c r="B94" s="284">
        <v>131</v>
      </c>
      <c r="C94" s="285">
        <v>0</v>
      </c>
      <c r="D94" s="286">
        <v>-2.1900000000000001E-3</v>
      </c>
      <c r="E94" s="287">
        <v>0</v>
      </c>
      <c r="G94" s="289"/>
      <c r="H94" s="289"/>
      <c r="I94" s="289"/>
      <c r="J94" s="301">
        <f>SUM(I92:J93)</f>
        <v>0</v>
      </c>
    </row>
    <row r="95" spans="1:10" ht="15.75">
      <c r="A95" s="283" t="s">
        <v>24</v>
      </c>
      <c r="B95" s="284">
        <v>132</v>
      </c>
      <c r="C95" s="285">
        <v>77535</v>
      </c>
      <c r="D95" s="286">
        <v>-2.1900000000000001E-3</v>
      </c>
      <c r="E95" s="287">
        <v>-169.80165</v>
      </c>
    </row>
    <row r="96" spans="1:10" ht="15.75">
      <c r="A96" s="283" t="s">
        <v>24</v>
      </c>
      <c r="B96" s="284">
        <v>146</v>
      </c>
      <c r="C96" s="285">
        <v>1585130</v>
      </c>
      <c r="D96" s="286">
        <v>-2.0000000000000001E-4</v>
      </c>
      <c r="E96" s="302">
        <v>-317.02600000000001</v>
      </c>
    </row>
    <row r="97" spans="1:10" ht="16.5" thickBot="1">
      <c r="A97" s="283" t="s">
        <v>198</v>
      </c>
      <c r="B97" s="284"/>
      <c r="C97" s="303">
        <f>SUM(C89:C96)</f>
        <v>6523261</v>
      </c>
      <c r="D97" s="304"/>
      <c r="E97" s="305">
        <f>SUM(E89:E96)</f>
        <v>-11131.53289</v>
      </c>
    </row>
    <row r="98" spans="1:10" ht="16.5" thickTop="1">
      <c r="A98" s="283"/>
      <c r="B98" s="284"/>
      <c r="C98" s="309">
        <v>6523261</v>
      </c>
      <c r="D98" s="304"/>
      <c r="E98" s="305"/>
    </row>
    <row r="99" spans="1:10" ht="15.75">
      <c r="A99" s="283"/>
      <c r="B99" s="284"/>
      <c r="C99" s="306">
        <f>C98-C97</f>
        <v>0</v>
      </c>
      <c r="D99" s="304"/>
      <c r="E99" s="305"/>
    </row>
    <row r="100" spans="1:10" ht="15.75">
      <c r="A100" s="289"/>
      <c r="B100" s="289"/>
      <c r="C100" s="283" t="s">
        <v>1</v>
      </c>
      <c r="D100" s="307">
        <f>EOMONTH(D84,1)</f>
        <v>41455</v>
      </c>
      <c r="E100" s="308">
        <f>E84+E97</f>
        <v>66437.672260000007</v>
      </c>
    </row>
    <row r="101" spans="1:10" ht="15.75" thickBot="1"/>
    <row r="102" spans="1:10" ht="15.75">
      <c r="A102" s="695" t="s">
        <v>195</v>
      </c>
      <c r="B102" s="696"/>
      <c r="C102" s="696"/>
      <c r="D102" s="696"/>
      <c r="E102" s="697"/>
      <c r="G102" s="289"/>
      <c r="H102" s="289"/>
      <c r="I102" s="289"/>
    </row>
    <row r="103" spans="1:10" ht="15.75">
      <c r="A103" s="219">
        <v>41456</v>
      </c>
      <c r="B103" s="275"/>
      <c r="C103" s="276" t="s">
        <v>101</v>
      </c>
      <c r="D103" s="277"/>
      <c r="E103" s="278"/>
    </row>
    <row r="104" spans="1:10" ht="16.5" thickBot="1">
      <c r="A104" s="279"/>
      <c r="B104" s="280"/>
      <c r="C104" s="281" t="s">
        <v>21</v>
      </c>
      <c r="D104" s="281" t="s">
        <v>22</v>
      </c>
      <c r="E104" s="282" t="s">
        <v>23</v>
      </c>
    </row>
    <row r="105" spans="1:10" ht="15.75">
      <c r="A105" s="283" t="s">
        <v>24</v>
      </c>
      <c r="B105" s="284">
        <v>101</v>
      </c>
      <c r="C105" s="285">
        <v>2082299</v>
      </c>
      <c r="D105" s="286">
        <v>-2.1900000000000001E-3</v>
      </c>
      <c r="E105" s="287">
        <v>-4560.2348099999999</v>
      </c>
    </row>
    <row r="106" spans="1:10" ht="16.5" thickBot="1">
      <c r="A106" s="283" t="s">
        <v>24</v>
      </c>
      <c r="B106" s="284">
        <v>111</v>
      </c>
      <c r="C106" s="285">
        <v>1140112</v>
      </c>
      <c r="D106" s="286">
        <v>-2.1900000000000001E-3</v>
      </c>
      <c r="E106" s="287">
        <v>-2496.84528</v>
      </c>
      <c r="G106" s="288">
        <f>A103</f>
        <v>41456</v>
      </c>
      <c r="H106" s="289"/>
      <c r="I106" s="289"/>
      <c r="J106" s="289"/>
    </row>
    <row r="107" spans="1:10" ht="16.5" thickBot="1">
      <c r="A107" s="283" t="s">
        <v>24</v>
      </c>
      <c r="B107" s="284">
        <v>112</v>
      </c>
      <c r="C107" s="285">
        <v>0</v>
      </c>
      <c r="D107" s="286">
        <v>-2.1900000000000001E-3</v>
      </c>
      <c r="E107" s="287">
        <v>0</v>
      </c>
      <c r="G107" s="290" t="s">
        <v>25</v>
      </c>
      <c r="H107" s="291"/>
      <c r="I107" s="292" t="s">
        <v>18</v>
      </c>
      <c r="J107" s="292" t="s">
        <v>19</v>
      </c>
    </row>
    <row r="108" spans="1:10" ht="15.75">
      <c r="A108" s="283" t="s">
        <v>24</v>
      </c>
      <c r="B108" s="284">
        <v>121</v>
      </c>
      <c r="C108" s="285">
        <v>304732</v>
      </c>
      <c r="D108" s="286">
        <v>-2.1900000000000001E-3</v>
      </c>
      <c r="E108" s="287">
        <v>-667.36308000000008</v>
      </c>
      <c r="G108" s="293" t="s">
        <v>97</v>
      </c>
      <c r="H108" s="294" t="s">
        <v>26</v>
      </c>
      <c r="I108" s="295">
        <f>-E113</f>
        <v>8287.0303600000007</v>
      </c>
      <c r="J108" s="296">
        <v>0</v>
      </c>
    </row>
    <row r="109" spans="1:10" ht="16.5" thickBot="1">
      <c r="A109" s="283" t="s">
        <v>24</v>
      </c>
      <c r="B109" s="284">
        <v>122</v>
      </c>
      <c r="C109" s="285">
        <v>30928</v>
      </c>
      <c r="D109" s="286">
        <v>-2.1900000000000001E-3</v>
      </c>
      <c r="E109" s="287">
        <v>-67.732320000000001</v>
      </c>
      <c r="G109" s="297" t="s">
        <v>196</v>
      </c>
      <c r="H109" s="298" t="s">
        <v>197</v>
      </c>
      <c r="I109" s="299">
        <v>0</v>
      </c>
      <c r="J109" s="300">
        <f>-I108</f>
        <v>-8287.0303600000007</v>
      </c>
    </row>
    <row r="110" spans="1:10" ht="15.75">
      <c r="A110" s="283" t="s">
        <v>24</v>
      </c>
      <c r="B110" s="284">
        <v>131</v>
      </c>
      <c r="C110" s="285">
        <v>0</v>
      </c>
      <c r="D110" s="286">
        <v>-2.1900000000000001E-3</v>
      </c>
      <c r="E110" s="287">
        <v>0</v>
      </c>
      <c r="G110" s="289"/>
      <c r="H110" s="289"/>
      <c r="I110" s="289"/>
      <c r="J110" s="301">
        <f>SUM(I108:J109)</f>
        <v>0</v>
      </c>
    </row>
    <row r="111" spans="1:10" ht="15.75">
      <c r="A111" s="283" t="s">
        <v>24</v>
      </c>
      <c r="B111" s="284">
        <v>132</v>
      </c>
      <c r="C111" s="285">
        <v>74633</v>
      </c>
      <c r="D111" s="286">
        <v>-2.1900000000000001E-3</v>
      </c>
      <c r="E111" s="287">
        <v>-163.44627</v>
      </c>
    </row>
    <row r="112" spans="1:10" ht="15.75">
      <c r="A112" s="283" t="s">
        <v>24</v>
      </c>
      <c r="B112" s="284">
        <v>146</v>
      </c>
      <c r="C112" s="285">
        <v>1657043</v>
      </c>
      <c r="D112" s="286">
        <v>-2.0000000000000001E-4</v>
      </c>
      <c r="E112" s="302">
        <v>-331.40860000000004</v>
      </c>
    </row>
    <row r="113" spans="1:10" ht="16.5" thickBot="1">
      <c r="A113" s="283" t="s">
        <v>198</v>
      </c>
      <c r="B113" s="284"/>
      <c r="C113" s="303">
        <f>SUM(C105:C112)</f>
        <v>5289747</v>
      </c>
      <c r="D113" s="304"/>
      <c r="E113" s="305">
        <f>SUM(E105:E112)</f>
        <v>-8287.0303600000007</v>
      </c>
    </row>
    <row r="114" spans="1:10" ht="16.5" thickTop="1">
      <c r="A114" s="283"/>
      <c r="B114" s="284"/>
      <c r="C114" s="309">
        <v>5289747</v>
      </c>
      <c r="D114" s="304"/>
      <c r="E114" s="305"/>
    </row>
    <row r="115" spans="1:10" ht="15.75">
      <c r="A115" s="283"/>
      <c r="B115" s="284"/>
      <c r="C115" s="306">
        <f>C114-C113</f>
        <v>0</v>
      </c>
      <c r="D115" s="304"/>
      <c r="E115" s="305"/>
    </row>
    <row r="116" spans="1:10" ht="15.75">
      <c r="A116" s="289"/>
      <c r="B116" s="289"/>
      <c r="C116" s="283" t="s">
        <v>1</v>
      </c>
      <c r="D116" s="307">
        <f>EOMONTH(D100,1)</f>
        <v>41486</v>
      </c>
      <c r="E116" s="308">
        <f>E100+E113</f>
        <v>58150.641900000002</v>
      </c>
    </row>
    <row r="117" spans="1:10" ht="15.75" thickBot="1"/>
    <row r="118" spans="1:10" ht="15.75">
      <c r="A118" s="695" t="s">
        <v>195</v>
      </c>
      <c r="B118" s="696"/>
      <c r="C118" s="696"/>
      <c r="D118" s="696"/>
      <c r="E118" s="697"/>
      <c r="G118" s="289"/>
      <c r="H118" s="289"/>
      <c r="I118" s="289"/>
    </row>
    <row r="119" spans="1:10" ht="15.75">
      <c r="A119" s="219">
        <v>41487</v>
      </c>
      <c r="B119" s="275"/>
      <c r="C119" s="276" t="s">
        <v>101</v>
      </c>
      <c r="D119" s="277"/>
      <c r="E119" s="278"/>
    </row>
    <row r="120" spans="1:10" ht="16.5" thickBot="1">
      <c r="A120" s="279"/>
      <c r="B120" s="280"/>
      <c r="C120" s="281" t="s">
        <v>21</v>
      </c>
      <c r="D120" s="281" t="s">
        <v>22</v>
      </c>
      <c r="E120" s="282" t="s">
        <v>23</v>
      </c>
    </row>
    <row r="121" spans="1:10" ht="15.75">
      <c r="A121" s="283" t="s">
        <v>24</v>
      </c>
      <c r="B121" s="284">
        <v>101</v>
      </c>
      <c r="C121" s="285">
        <v>2046635</v>
      </c>
      <c r="D121" s="286">
        <v>-2.1900000000000001E-3</v>
      </c>
      <c r="E121" s="287">
        <v>-4482.1306500000001</v>
      </c>
    </row>
    <row r="122" spans="1:10" ht="16.5" thickBot="1">
      <c r="A122" s="283" t="s">
        <v>24</v>
      </c>
      <c r="B122" s="284">
        <v>111</v>
      </c>
      <c r="C122" s="285">
        <v>1287109</v>
      </c>
      <c r="D122" s="286">
        <v>-2.1900000000000001E-3</v>
      </c>
      <c r="E122" s="287">
        <v>-2818.7687100000003</v>
      </c>
      <c r="G122" s="288">
        <f>A119</f>
        <v>41487</v>
      </c>
      <c r="H122" s="289"/>
      <c r="I122" s="289"/>
      <c r="J122" s="289"/>
    </row>
    <row r="123" spans="1:10" ht="16.5" thickBot="1">
      <c r="A123" s="283" t="s">
        <v>24</v>
      </c>
      <c r="B123" s="284">
        <v>112</v>
      </c>
      <c r="C123" s="285">
        <v>0</v>
      </c>
      <c r="D123" s="286">
        <v>-2.1900000000000001E-3</v>
      </c>
      <c r="E123" s="287">
        <v>0</v>
      </c>
      <c r="G123" s="290" t="s">
        <v>25</v>
      </c>
      <c r="H123" s="291"/>
      <c r="I123" s="292" t="s">
        <v>18</v>
      </c>
      <c r="J123" s="292" t="s">
        <v>19</v>
      </c>
    </row>
    <row r="124" spans="1:10" ht="15.75">
      <c r="A124" s="283" t="s">
        <v>24</v>
      </c>
      <c r="B124" s="284">
        <v>121</v>
      </c>
      <c r="C124" s="285">
        <v>364418</v>
      </c>
      <c r="D124" s="286">
        <v>-2.1900000000000001E-3</v>
      </c>
      <c r="E124" s="287">
        <v>-798.07542000000001</v>
      </c>
      <c r="G124" s="293" t="s">
        <v>97</v>
      </c>
      <c r="H124" s="294" t="s">
        <v>26</v>
      </c>
      <c r="I124" s="295">
        <f>-E129</f>
        <v>8611.5948700000008</v>
      </c>
      <c r="J124" s="296">
        <v>0</v>
      </c>
    </row>
    <row r="125" spans="1:10" ht="16.5" thickBot="1">
      <c r="A125" s="283" t="s">
        <v>24</v>
      </c>
      <c r="B125" s="284">
        <v>122</v>
      </c>
      <c r="C125" s="285">
        <v>28500</v>
      </c>
      <c r="D125" s="286">
        <v>-2.1900000000000001E-3</v>
      </c>
      <c r="E125" s="287">
        <v>-62.415000000000006</v>
      </c>
      <c r="G125" s="297" t="s">
        <v>196</v>
      </c>
      <c r="H125" s="298" t="s">
        <v>197</v>
      </c>
      <c r="I125" s="299">
        <v>0</v>
      </c>
      <c r="J125" s="300">
        <f>-I124</f>
        <v>-8611.5948700000008</v>
      </c>
    </row>
    <row r="126" spans="1:10" ht="15.75">
      <c r="A126" s="283" t="s">
        <v>24</v>
      </c>
      <c r="B126" s="284">
        <v>131</v>
      </c>
      <c r="C126" s="285">
        <v>0</v>
      </c>
      <c r="D126" s="286">
        <v>-2.1900000000000001E-3</v>
      </c>
      <c r="E126" s="287">
        <v>0</v>
      </c>
      <c r="G126" s="289"/>
      <c r="H126" s="289"/>
      <c r="I126" s="289"/>
      <c r="J126" s="301">
        <f>SUM(I124:J125)</f>
        <v>0</v>
      </c>
    </row>
    <row r="127" spans="1:10" ht="15.75">
      <c r="A127" s="283" t="s">
        <v>24</v>
      </c>
      <c r="B127" s="284">
        <v>132</v>
      </c>
      <c r="C127" s="285">
        <v>49431</v>
      </c>
      <c r="D127" s="286">
        <v>-2.1900000000000001E-3</v>
      </c>
      <c r="E127" s="287">
        <v>-108.25389</v>
      </c>
    </row>
    <row r="128" spans="1:10" ht="15.75">
      <c r="A128" s="283" t="s">
        <v>24</v>
      </c>
      <c r="B128" s="284">
        <v>146</v>
      </c>
      <c r="C128" s="285">
        <v>1709756</v>
      </c>
      <c r="D128" s="286">
        <v>-2.0000000000000001E-4</v>
      </c>
      <c r="E128" s="302">
        <v>-341.95120000000003</v>
      </c>
    </row>
    <row r="129" spans="1:10" ht="16.5" thickBot="1">
      <c r="A129" s="283" t="s">
        <v>198</v>
      </c>
      <c r="B129" s="284"/>
      <c r="C129" s="303">
        <f>SUM(C121:C128)</f>
        <v>5485849</v>
      </c>
      <c r="D129" s="304"/>
      <c r="E129" s="305">
        <f>SUM(E121:E128)</f>
        <v>-8611.5948700000008</v>
      </c>
    </row>
    <row r="130" spans="1:10" ht="16.5" thickTop="1">
      <c r="A130" s="283"/>
      <c r="B130" s="284"/>
      <c r="C130" s="309">
        <v>5485849</v>
      </c>
      <c r="D130" s="304"/>
      <c r="E130" s="305"/>
    </row>
    <row r="131" spans="1:10" ht="15.75">
      <c r="A131" s="283"/>
      <c r="B131" s="284"/>
      <c r="C131" s="306">
        <f>C130-C129</f>
        <v>0</v>
      </c>
      <c r="D131" s="304"/>
      <c r="E131" s="305"/>
    </row>
    <row r="132" spans="1:10" ht="15.75">
      <c r="A132" s="289"/>
      <c r="B132" s="289"/>
      <c r="C132" s="283" t="s">
        <v>1</v>
      </c>
      <c r="D132" s="307">
        <f>EOMONTH(D116,1)</f>
        <v>41517</v>
      </c>
      <c r="E132" s="308">
        <f>E116+E129</f>
        <v>49539.047030000002</v>
      </c>
    </row>
    <row r="133" spans="1:10" ht="15.75" thickBot="1"/>
    <row r="134" spans="1:10" ht="15.75">
      <c r="A134" s="695" t="s">
        <v>195</v>
      </c>
      <c r="B134" s="696"/>
      <c r="C134" s="696"/>
      <c r="D134" s="696"/>
      <c r="E134" s="697"/>
      <c r="G134" s="289"/>
      <c r="H134" s="289"/>
      <c r="I134" s="289"/>
    </row>
    <row r="135" spans="1:10" ht="15.75">
      <c r="A135" s="219">
        <v>41518</v>
      </c>
      <c r="B135" s="275"/>
      <c r="C135" s="276" t="s">
        <v>101</v>
      </c>
      <c r="D135" s="277"/>
      <c r="E135" s="278"/>
    </row>
    <row r="136" spans="1:10" ht="16.5" thickBot="1">
      <c r="A136" s="279"/>
      <c r="B136" s="280"/>
      <c r="C136" s="281" t="s">
        <v>21</v>
      </c>
      <c r="D136" s="281" t="s">
        <v>22</v>
      </c>
      <c r="E136" s="282" t="s">
        <v>23</v>
      </c>
    </row>
    <row r="137" spans="1:10" ht="15.75">
      <c r="A137" s="283" t="s">
        <v>24</v>
      </c>
      <c r="B137" s="284">
        <v>101</v>
      </c>
      <c r="C137" s="285">
        <v>2647538</v>
      </c>
      <c r="D137" s="286">
        <v>-2.1900000000000001E-3</v>
      </c>
      <c r="E137" s="287">
        <v>-5798.1082200000001</v>
      </c>
    </row>
    <row r="138" spans="1:10" ht="16.5" thickBot="1">
      <c r="A138" s="283" t="s">
        <v>24</v>
      </c>
      <c r="B138" s="284">
        <v>111</v>
      </c>
      <c r="C138" s="285">
        <v>1599551</v>
      </c>
      <c r="D138" s="286">
        <v>-2.1900000000000001E-3</v>
      </c>
      <c r="E138" s="287">
        <v>-3503.0166900000004</v>
      </c>
      <c r="G138" s="288">
        <f>A135</f>
        <v>41518</v>
      </c>
      <c r="H138" s="289"/>
      <c r="I138" s="289"/>
      <c r="J138" s="289"/>
    </row>
    <row r="139" spans="1:10" ht="16.5" thickBot="1">
      <c r="A139" s="283" t="s">
        <v>24</v>
      </c>
      <c r="B139" s="284">
        <v>112</v>
      </c>
      <c r="C139" s="285">
        <v>0</v>
      </c>
      <c r="D139" s="286">
        <v>-2.1900000000000001E-3</v>
      </c>
      <c r="E139" s="287">
        <v>0</v>
      </c>
      <c r="G139" s="290" t="s">
        <v>25</v>
      </c>
      <c r="H139" s="291"/>
      <c r="I139" s="292" t="s">
        <v>18</v>
      </c>
      <c r="J139" s="292" t="s">
        <v>19</v>
      </c>
    </row>
    <row r="140" spans="1:10" ht="15.75">
      <c r="A140" s="283" t="s">
        <v>24</v>
      </c>
      <c r="B140" s="284">
        <v>121</v>
      </c>
      <c r="C140" s="285">
        <v>344046</v>
      </c>
      <c r="D140" s="286">
        <v>-2.1900000000000001E-3</v>
      </c>
      <c r="E140" s="287">
        <v>-753.46073999999999</v>
      </c>
      <c r="G140" s="293" t="s">
        <v>97</v>
      </c>
      <c r="H140" s="294" t="s">
        <v>26</v>
      </c>
      <c r="I140" s="295">
        <f>-E145</f>
        <v>10606.31724</v>
      </c>
      <c r="J140" s="296">
        <v>0</v>
      </c>
    </row>
    <row r="141" spans="1:10" ht="16.5" thickBot="1">
      <c r="A141" s="283" t="s">
        <v>24</v>
      </c>
      <c r="B141" s="284">
        <v>122</v>
      </c>
      <c r="C141" s="285">
        <v>31388</v>
      </c>
      <c r="D141" s="286">
        <v>-2.1900000000000001E-3</v>
      </c>
      <c r="E141" s="287">
        <v>-68.739720000000005</v>
      </c>
      <c r="G141" s="297" t="s">
        <v>196</v>
      </c>
      <c r="H141" s="298" t="s">
        <v>197</v>
      </c>
      <c r="I141" s="299">
        <v>0</v>
      </c>
      <c r="J141" s="300">
        <f>-I140</f>
        <v>-10606.31724</v>
      </c>
    </row>
    <row r="142" spans="1:10" ht="15.75">
      <c r="A142" s="283" t="s">
        <v>24</v>
      </c>
      <c r="B142" s="284">
        <v>131</v>
      </c>
      <c r="C142" s="285">
        <v>0</v>
      </c>
      <c r="D142" s="286">
        <v>-2.1900000000000001E-3</v>
      </c>
      <c r="E142" s="287">
        <v>0</v>
      </c>
      <c r="G142" s="289"/>
      <c r="H142" s="289"/>
      <c r="I142" s="289"/>
      <c r="J142" s="301">
        <f>SUM(I140:J141)</f>
        <v>0</v>
      </c>
    </row>
    <row r="143" spans="1:10" ht="15.75">
      <c r="A143" s="283" t="s">
        <v>24</v>
      </c>
      <c r="B143" s="284">
        <v>132</v>
      </c>
      <c r="C143" s="285">
        <v>54453</v>
      </c>
      <c r="D143" s="286">
        <v>-2.1900000000000001E-3</v>
      </c>
      <c r="E143" s="287">
        <v>-119.25207</v>
      </c>
    </row>
    <row r="144" spans="1:10" ht="15.75">
      <c r="A144" s="283" t="s">
        <v>24</v>
      </c>
      <c r="B144" s="284">
        <v>146</v>
      </c>
      <c r="C144" s="285">
        <v>1818699</v>
      </c>
      <c r="D144" s="286">
        <v>-2.0000000000000001E-4</v>
      </c>
      <c r="E144" s="302">
        <v>-363.7398</v>
      </c>
    </row>
    <row r="145" spans="1:10" ht="16.5" thickBot="1">
      <c r="A145" s="283" t="s">
        <v>198</v>
      </c>
      <c r="B145" s="284"/>
      <c r="C145" s="303">
        <f>SUM(C137:C144)</f>
        <v>6495675</v>
      </c>
      <c r="D145" s="304"/>
      <c r="E145" s="305">
        <f>SUM(E137:E144)</f>
        <v>-10606.31724</v>
      </c>
    </row>
    <row r="146" spans="1:10" ht="16.5" thickTop="1">
      <c r="A146" s="283"/>
      <c r="B146" s="284"/>
      <c r="C146" s="309">
        <v>6495675</v>
      </c>
      <c r="D146" s="304"/>
      <c r="E146" s="305"/>
    </row>
    <row r="147" spans="1:10" ht="15.75">
      <c r="A147" s="283"/>
      <c r="B147" s="284"/>
      <c r="C147" s="306">
        <f>C146-C145</f>
        <v>0</v>
      </c>
      <c r="D147" s="304"/>
      <c r="E147" s="305"/>
    </row>
    <row r="148" spans="1:10" ht="15.75">
      <c r="A148" s="289"/>
      <c r="B148" s="289"/>
      <c r="C148" s="283" t="s">
        <v>1</v>
      </c>
      <c r="D148" s="307">
        <f>EOMONTH(D132,1)</f>
        <v>41547</v>
      </c>
      <c r="E148" s="308">
        <f>E132+E145</f>
        <v>38932.729789999998</v>
      </c>
    </row>
    <row r="149" spans="1:10" ht="15.75" thickBot="1"/>
    <row r="150" spans="1:10" ht="15.75">
      <c r="A150" s="695" t="s">
        <v>195</v>
      </c>
      <c r="B150" s="696"/>
      <c r="C150" s="696"/>
      <c r="D150" s="696"/>
      <c r="E150" s="697"/>
      <c r="G150" s="289"/>
      <c r="H150" s="289"/>
      <c r="I150" s="289"/>
    </row>
    <row r="151" spans="1:10" ht="15.75">
      <c r="A151" s="219">
        <v>41578</v>
      </c>
      <c r="B151" s="275"/>
      <c r="C151" s="276" t="s">
        <v>101</v>
      </c>
      <c r="D151" s="277"/>
      <c r="E151" s="278"/>
    </row>
    <row r="152" spans="1:10" ht="16.5" thickBot="1">
      <c r="A152" s="279"/>
      <c r="B152" s="280"/>
      <c r="C152" s="281" t="s">
        <v>21</v>
      </c>
      <c r="D152" s="281" t="s">
        <v>22</v>
      </c>
      <c r="E152" s="282" t="s">
        <v>23</v>
      </c>
    </row>
    <row r="153" spans="1:10" ht="15.75">
      <c r="A153" s="283" t="s">
        <v>24</v>
      </c>
      <c r="B153" s="284">
        <v>101</v>
      </c>
      <c r="C153" s="285">
        <v>9244353</v>
      </c>
      <c r="D153" s="286">
        <v>-2.1900000000000001E-3</v>
      </c>
      <c r="E153" s="287">
        <v>-20245.13307</v>
      </c>
    </row>
    <row r="154" spans="1:10" ht="16.5" thickBot="1">
      <c r="A154" s="283" t="s">
        <v>24</v>
      </c>
      <c r="B154" s="284">
        <v>111</v>
      </c>
      <c r="C154" s="285">
        <v>3880001</v>
      </c>
      <c r="D154" s="286">
        <v>-2.1900000000000001E-3</v>
      </c>
      <c r="E154" s="287">
        <v>-8497.20219</v>
      </c>
      <c r="G154" s="288">
        <f>A151</f>
        <v>41578</v>
      </c>
      <c r="H154" s="289"/>
      <c r="I154" s="289"/>
      <c r="J154" s="289"/>
    </row>
    <row r="155" spans="1:10" ht="16.5" thickBot="1">
      <c r="A155" s="283" t="s">
        <v>24</v>
      </c>
      <c r="B155" s="284">
        <v>112</v>
      </c>
      <c r="C155" s="285">
        <v>0</v>
      </c>
      <c r="D155" s="286">
        <v>-2.1900000000000001E-3</v>
      </c>
      <c r="E155" s="287">
        <v>0</v>
      </c>
      <c r="G155" s="290" t="s">
        <v>25</v>
      </c>
      <c r="H155" s="291"/>
      <c r="I155" s="292" t="s">
        <v>18</v>
      </c>
      <c r="J155" s="292" t="s">
        <v>19</v>
      </c>
    </row>
    <row r="156" spans="1:10" ht="15.75">
      <c r="A156" s="283" t="s">
        <v>24</v>
      </c>
      <c r="B156" s="284">
        <v>121</v>
      </c>
      <c r="C156" s="285">
        <v>595792</v>
      </c>
      <c r="D156" s="286">
        <v>-2.1900000000000001E-3</v>
      </c>
      <c r="E156" s="287">
        <v>-1304.78448</v>
      </c>
      <c r="G156" s="293" t="s">
        <v>97</v>
      </c>
      <c r="H156" s="294" t="s">
        <v>26</v>
      </c>
      <c r="I156" s="295">
        <f>-E161</f>
        <v>30792.491249999999</v>
      </c>
      <c r="J156" s="296">
        <v>0</v>
      </c>
    </row>
    <row r="157" spans="1:10" ht="16.5" thickBot="1">
      <c r="A157" s="283" t="s">
        <v>24</v>
      </c>
      <c r="B157" s="284">
        <v>122</v>
      </c>
      <c r="C157" s="285">
        <v>40500</v>
      </c>
      <c r="D157" s="286">
        <v>-2.1900000000000001E-3</v>
      </c>
      <c r="E157" s="287">
        <v>-88.695000000000007</v>
      </c>
      <c r="G157" s="297" t="s">
        <v>196</v>
      </c>
      <c r="H157" s="298" t="s">
        <v>197</v>
      </c>
      <c r="I157" s="299">
        <v>0</v>
      </c>
      <c r="J157" s="300">
        <f>-I156</f>
        <v>-30792.491249999999</v>
      </c>
    </row>
    <row r="158" spans="1:10" ht="15.75">
      <c r="A158" s="283" t="s">
        <v>24</v>
      </c>
      <c r="B158" s="284">
        <v>131</v>
      </c>
      <c r="C158" s="285">
        <v>0</v>
      </c>
      <c r="D158" s="286">
        <v>-2.1900000000000001E-3</v>
      </c>
      <c r="E158" s="287">
        <v>0</v>
      </c>
      <c r="G158" s="289"/>
      <c r="H158" s="289"/>
      <c r="I158" s="289"/>
      <c r="J158" s="301">
        <f>SUM(I156:J157)</f>
        <v>0</v>
      </c>
    </row>
    <row r="159" spans="1:10" ht="15.75">
      <c r="A159" s="283" t="s">
        <v>24</v>
      </c>
      <c r="B159" s="284">
        <v>132</v>
      </c>
      <c r="C159" s="285">
        <v>68629</v>
      </c>
      <c r="D159" s="286">
        <v>-2.1900000000000001E-3</v>
      </c>
      <c r="E159" s="287">
        <v>-150.29751000000002</v>
      </c>
    </row>
    <row r="160" spans="1:10" ht="15.75">
      <c r="A160" s="283" t="s">
        <v>24</v>
      </c>
      <c r="B160" s="284">
        <v>146</v>
      </c>
      <c r="C160" s="285">
        <v>2531895</v>
      </c>
      <c r="D160" s="286">
        <v>-2.0000000000000001E-4</v>
      </c>
      <c r="E160" s="302">
        <v>-506.37900000000002</v>
      </c>
    </row>
    <row r="161" spans="1:10" ht="16.5" thickBot="1">
      <c r="A161" s="283" t="s">
        <v>198</v>
      </c>
      <c r="B161" s="284"/>
      <c r="C161" s="303">
        <f>SUM(C153:C160)</f>
        <v>16361170</v>
      </c>
      <c r="D161" s="304"/>
      <c r="E161" s="305">
        <f>SUM(E153:E160)</f>
        <v>-30792.491249999999</v>
      </c>
    </row>
    <row r="162" spans="1:10" ht="16.5" thickTop="1">
      <c r="A162" s="283"/>
      <c r="B162" s="284"/>
      <c r="C162" s="309">
        <v>16361170</v>
      </c>
      <c r="D162" s="304"/>
      <c r="E162" s="305"/>
    </row>
    <row r="163" spans="1:10" ht="15.75">
      <c r="A163" s="283"/>
      <c r="B163" s="284"/>
      <c r="C163" s="306">
        <f>C162-C161</f>
        <v>0</v>
      </c>
      <c r="D163" s="304"/>
      <c r="E163" s="305"/>
    </row>
    <row r="164" spans="1:10" ht="15.75">
      <c r="A164" s="289"/>
      <c r="B164" s="289"/>
      <c r="C164" s="283" t="s">
        <v>1</v>
      </c>
      <c r="D164" s="307">
        <f>EOMONTH(D148,1)</f>
        <v>41578</v>
      </c>
      <c r="E164" s="308">
        <f>E148+E161</f>
        <v>8140.2385399999985</v>
      </c>
    </row>
    <row r="165" spans="1:10" ht="15.75" thickBot="1"/>
    <row r="166" spans="1:10" ht="15.75">
      <c r="A166" s="695" t="s">
        <v>195</v>
      </c>
      <c r="B166" s="696"/>
      <c r="C166" s="696"/>
      <c r="D166" s="696"/>
      <c r="E166" s="697"/>
      <c r="G166" s="289"/>
      <c r="H166" s="289"/>
      <c r="I166" s="289"/>
    </row>
    <row r="167" spans="1:10" ht="15.75">
      <c r="A167" s="219">
        <f>EOMONTH(A151,1)</f>
        <v>41608</v>
      </c>
      <c r="B167" s="275"/>
      <c r="C167" s="276" t="s">
        <v>101</v>
      </c>
      <c r="D167" s="277"/>
      <c r="E167" s="278"/>
    </row>
    <row r="168" spans="1:10" ht="16.5" thickBot="1">
      <c r="A168" s="279"/>
      <c r="B168" s="280"/>
      <c r="C168" s="281" t="s">
        <v>21</v>
      </c>
      <c r="D168" s="281" t="s">
        <v>22</v>
      </c>
      <c r="E168" s="282" t="s">
        <v>23</v>
      </c>
    </row>
    <row r="169" spans="1:10" ht="15.75">
      <c r="A169" s="283" t="s">
        <v>24</v>
      </c>
      <c r="B169" s="284">
        <v>101</v>
      </c>
      <c r="C169" s="285">
        <v>15070678</v>
      </c>
      <c r="D169" s="286" t="s">
        <v>187</v>
      </c>
      <c r="E169" s="287">
        <v>0</v>
      </c>
    </row>
    <row r="170" spans="1:10" ht="16.5" thickBot="1">
      <c r="A170" s="283" t="s">
        <v>24</v>
      </c>
      <c r="B170" s="284">
        <v>111</v>
      </c>
      <c r="C170" s="285">
        <v>5651303</v>
      </c>
      <c r="D170" s="286" t="s">
        <v>187</v>
      </c>
      <c r="E170" s="287">
        <v>0</v>
      </c>
      <c r="G170" s="288">
        <f>A167</f>
        <v>41608</v>
      </c>
      <c r="H170" s="289"/>
      <c r="I170" s="289"/>
      <c r="J170" s="289"/>
    </row>
    <row r="171" spans="1:10" ht="16.5" thickBot="1">
      <c r="A171" s="283" t="s">
        <v>24</v>
      </c>
      <c r="B171" s="284">
        <v>112</v>
      </c>
      <c r="C171" s="285">
        <v>0</v>
      </c>
      <c r="D171" s="286" t="s">
        <v>187</v>
      </c>
      <c r="E171" s="287">
        <v>0</v>
      </c>
      <c r="G171" s="290" t="s">
        <v>25</v>
      </c>
      <c r="H171" s="291"/>
      <c r="I171" s="292" t="s">
        <v>18</v>
      </c>
      <c r="J171" s="292" t="s">
        <v>19</v>
      </c>
    </row>
    <row r="172" spans="1:10" ht="15.75">
      <c r="A172" s="283" t="s">
        <v>24</v>
      </c>
      <c r="B172" s="284">
        <v>121</v>
      </c>
      <c r="C172" s="285">
        <v>396185</v>
      </c>
      <c r="D172" s="286" t="s">
        <v>187</v>
      </c>
      <c r="E172" s="287">
        <v>0</v>
      </c>
      <c r="G172" s="293" t="s">
        <v>97</v>
      </c>
      <c r="H172" s="294" t="s">
        <v>26</v>
      </c>
      <c r="I172" s="295">
        <f>-E177</f>
        <v>8833.92</v>
      </c>
      <c r="J172" s="296">
        <v>0</v>
      </c>
    </row>
    <row r="173" spans="1:10" ht="16.5" thickBot="1">
      <c r="A173" s="283" t="s">
        <v>24</v>
      </c>
      <c r="B173" s="284">
        <v>122</v>
      </c>
      <c r="C173" s="285">
        <v>51667</v>
      </c>
      <c r="D173" s="286" t="s">
        <v>187</v>
      </c>
      <c r="E173" s="287">
        <v>0</v>
      </c>
      <c r="G173" s="297" t="s">
        <v>196</v>
      </c>
      <c r="H173" s="298" t="s">
        <v>197</v>
      </c>
      <c r="I173" s="299">
        <v>0</v>
      </c>
      <c r="J173" s="300">
        <f>-I172</f>
        <v>-8833.92</v>
      </c>
    </row>
    <row r="174" spans="1:10" ht="15.75">
      <c r="A174" s="283" t="s">
        <v>24</v>
      </c>
      <c r="B174" s="284">
        <v>131</v>
      </c>
      <c r="C174" s="285">
        <v>0</v>
      </c>
      <c r="D174" s="286" t="s">
        <v>187</v>
      </c>
      <c r="E174" s="287">
        <v>0</v>
      </c>
      <c r="G174" s="289"/>
      <c r="H174" s="289"/>
      <c r="I174" s="289"/>
      <c r="J174" s="301">
        <f>SUM(I172:J173)</f>
        <v>0</v>
      </c>
    </row>
    <row r="175" spans="1:10" ht="15.75">
      <c r="A175" s="283" t="s">
        <v>24</v>
      </c>
      <c r="B175" s="284">
        <v>132</v>
      </c>
      <c r="C175" s="285">
        <v>142001</v>
      </c>
      <c r="D175" s="286" t="s">
        <v>187</v>
      </c>
      <c r="E175" s="287">
        <v>0</v>
      </c>
    </row>
    <row r="176" spans="1:10" ht="15.75">
      <c r="A176" s="283" t="s">
        <v>24</v>
      </c>
      <c r="B176" s="284">
        <v>146</v>
      </c>
      <c r="C176" s="285">
        <v>2936207</v>
      </c>
      <c r="D176" s="286" t="s">
        <v>187</v>
      </c>
      <c r="E176" s="302">
        <v>0</v>
      </c>
    </row>
    <row r="177" spans="1:10" ht="16.5" thickBot="1">
      <c r="A177" s="283" t="s">
        <v>198</v>
      </c>
      <c r="B177" s="284"/>
      <c r="C177" s="303">
        <f>SUM(C169:C176)</f>
        <v>24248041</v>
      </c>
      <c r="D177" s="304"/>
      <c r="E177" s="305">
        <v>-8833.92</v>
      </c>
    </row>
    <row r="178" spans="1:10" ht="16.5" thickTop="1">
      <c r="A178" s="283"/>
      <c r="B178" s="284"/>
      <c r="C178" s="309">
        <v>24248041</v>
      </c>
      <c r="D178" s="304"/>
      <c r="E178" s="305"/>
    </row>
    <row r="179" spans="1:10" ht="15.75">
      <c r="A179" s="283"/>
      <c r="B179" s="284"/>
      <c r="C179" s="306">
        <f>C178-C177</f>
        <v>0</v>
      </c>
      <c r="D179" s="304"/>
      <c r="E179" s="305"/>
    </row>
    <row r="180" spans="1:10" ht="15.75">
      <c r="A180" s="289"/>
      <c r="B180" s="289"/>
      <c r="C180" s="283" t="s">
        <v>1</v>
      </c>
      <c r="D180" s="307">
        <f>EOMONTH(D164,1)</f>
        <v>41608</v>
      </c>
      <c r="E180" s="308">
        <f>E164+E177</f>
        <v>-693.68146000000161</v>
      </c>
    </row>
    <row r="181" spans="1:10" ht="15.75" thickBot="1"/>
    <row r="182" spans="1:10" ht="15.75">
      <c r="A182" s="695" t="s">
        <v>195</v>
      </c>
      <c r="B182" s="696"/>
      <c r="C182" s="696"/>
      <c r="D182" s="696"/>
      <c r="E182" s="697"/>
      <c r="G182" s="289"/>
      <c r="H182" s="289"/>
      <c r="I182" s="289"/>
    </row>
    <row r="183" spans="1:10" ht="15.75">
      <c r="A183" s="219">
        <f>EOMONTH(A167,1)</f>
        <v>41639</v>
      </c>
      <c r="B183" s="275"/>
      <c r="C183" s="276" t="s">
        <v>101</v>
      </c>
      <c r="D183" s="277"/>
      <c r="E183" s="278"/>
    </row>
    <row r="184" spans="1:10" ht="16.5" thickBot="1">
      <c r="A184" s="279"/>
      <c r="B184" s="280"/>
      <c r="C184" s="281" t="s">
        <v>21</v>
      </c>
      <c r="D184" s="281" t="s">
        <v>22</v>
      </c>
      <c r="E184" s="282" t="s">
        <v>23</v>
      </c>
    </row>
    <row r="185" spans="1:10" ht="15.75">
      <c r="A185" s="283" t="s">
        <v>24</v>
      </c>
      <c r="B185" s="284">
        <v>101</v>
      </c>
      <c r="C185" s="285">
        <f>Jan!$G$23</f>
        <v>20257484</v>
      </c>
      <c r="D185" s="286" t="s">
        <v>187</v>
      </c>
      <c r="E185" s="287">
        <v>0</v>
      </c>
    </row>
    <row r="186" spans="1:10" ht="16.5" thickBot="1">
      <c r="A186" s="283" t="s">
        <v>24</v>
      </c>
      <c r="B186" s="284">
        <v>111</v>
      </c>
      <c r="C186" s="285">
        <f>Jan!$G$25</f>
        <v>6608892</v>
      </c>
      <c r="D186" s="286" t="s">
        <v>187</v>
      </c>
      <c r="E186" s="287">
        <v>0</v>
      </c>
      <c r="G186" s="288">
        <f>A183</f>
        <v>41639</v>
      </c>
      <c r="H186" s="289"/>
      <c r="I186" s="289"/>
      <c r="J186" s="289"/>
    </row>
    <row r="187" spans="1:10" ht="16.5" thickBot="1">
      <c r="A187" s="283" t="s">
        <v>24</v>
      </c>
      <c r="B187" s="284">
        <v>112</v>
      </c>
      <c r="C187" s="285">
        <f>Jan!$G$26</f>
        <v>10558</v>
      </c>
      <c r="D187" s="286" t="s">
        <v>187</v>
      </c>
      <c r="E187" s="287">
        <v>0</v>
      </c>
      <c r="G187" s="290" t="s">
        <v>25</v>
      </c>
      <c r="H187" s="291"/>
      <c r="I187" s="292" t="s">
        <v>18</v>
      </c>
      <c r="J187" s="292" t="s">
        <v>19</v>
      </c>
    </row>
    <row r="188" spans="1:10" ht="15.75">
      <c r="A188" s="283" t="s">
        <v>24</v>
      </c>
      <c r="B188" s="284">
        <v>121</v>
      </c>
      <c r="C188" s="285">
        <f>Jan!$G$27</f>
        <v>362835</v>
      </c>
      <c r="D188" s="286" t="s">
        <v>187</v>
      </c>
      <c r="E188" s="287">
        <v>0</v>
      </c>
      <c r="G188" s="293" t="s">
        <v>97</v>
      </c>
      <c r="H188" s="294" t="s">
        <v>26</v>
      </c>
      <c r="I188" s="295">
        <f>-E193</f>
        <v>13002.04</v>
      </c>
      <c r="J188" s="296">
        <v>0</v>
      </c>
    </row>
    <row r="189" spans="1:10" ht="16.5" thickBot="1">
      <c r="A189" s="283" t="s">
        <v>24</v>
      </c>
      <c r="B189" s="284">
        <v>122</v>
      </c>
      <c r="C189" s="285">
        <f>Jan!$G$28</f>
        <v>65295</v>
      </c>
      <c r="D189" s="286" t="s">
        <v>187</v>
      </c>
      <c r="E189" s="287">
        <v>0</v>
      </c>
      <c r="G189" s="297" t="s">
        <v>196</v>
      </c>
      <c r="H189" s="298" t="s">
        <v>197</v>
      </c>
      <c r="I189" s="299">
        <v>0</v>
      </c>
      <c r="J189" s="300">
        <f>-I188</f>
        <v>-13002.04</v>
      </c>
    </row>
    <row r="190" spans="1:10" ht="15.75">
      <c r="A190" s="283" t="s">
        <v>24</v>
      </c>
      <c r="B190" s="284">
        <v>131</v>
      </c>
      <c r="C190" s="285">
        <f>Jan!$G$29</f>
        <v>0</v>
      </c>
      <c r="D190" s="286" t="s">
        <v>187</v>
      </c>
      <c r="E190" s="287">
        <v>0</v>
      </c>
      <c r="G190" s="289"/>
      <c r="H190" s="289"/>
      <c r="I190" s="289"/>
      <c r="J190" s="301">
        <f>SUM(I188:J189)</f>
        <v>0</v>
      </c>
    </row>
    <row r="191" spans="1:10" ht="15.75">
      <c r="A191" s="283" t="s">
        <v>24</v>
      </c>
      <c r="B191" s="284">
        <v>132</v>
      </c>
      <c r="C191" s="285">
        <f>Jan!$G$30</f>
        <v>139102</v>
      </c>
      <c r="D191" s="286" t="s">
        <v>187</v>
      </c>
      <c r="E191" s="287">
        <v>0</v>
      </c>
    </row>
    <row r="192" spans="1:10" ht="15.75">
      <c r="A192" s="283" t="s">
        <v>24</v>
      </c>
      <c r="B192" s="284">
        <v>146</v>
      </c>
      <c r="C192" s="285">
        <f>Jan!$G$31</f>
        <v>3629622</v>
      </c>
      <c r="D192" s="286" t="s">
        <v>187</v>
      </c>
      <c r="E192" s="302">
        <v>0</v>
      </c>
    </row>
    <row r="193" spans="1:9" ht="16.5" thickBot="1">
      <c r="A193" s="283" t="s">
        <v>198</v>
      </c>
      <c r="B193" s="284"/>
      <c r="C193" s="303">
        <f>SUM(C185:C192)</f>
        <v>31073788</v>
      </c>
      <c r="D193" s="304"/>
      <c r="E193" s="305">
        <v>-13002.04</v>
      </c>
    </row>
    <row r="194" spans="1:9" ht="16.5" thickTop="1">
      <c r="A194" s="283"/>
      <c r="B194" s="284"/>
      <c r="C194" s="309">
        <v>34635509</v>
      </c>
      <c r="D194" s="304"/>
      <c r="E194" s="305"/>
    </row>
    <row r="195" spans="1:9" ht="15.75">
      <c r="A195" s="283"/>
      <c r="B195" s="284"/>
      <c r="C195" s="306">
        <f>C194-C193</f>
        <v>3561721</v>
      </c>
      <c r="D195" s="304"/>
      <c r="E195" s="305"/>
    </row>
    <row r="196" spans="1:9" ht="15.75">
      <c r="C196" s="283" t="s">
        <v>1</v>
      </c>
      <c r="D196" s="307">
        <f>EOMONTH(D180,1)</f>
        <v>41639</v>
      </c>
      <c r="E196" s="308">
        <f>E180+E193</f>
        <v>-13695.721460000002</v>
      </c>
      <c r="G196" s="473" t="s">
        <v>244</v>
      </c>
      <c r="H196" s="474">
        <f>_xll.Get_Balance(I196,"YTD","USD","Total","A","","001","191025","GD","WA","DL")-E196</f>
        <v>1.4600000031350646E-3</v>
      </c>
      <c r="I196" s="475">
        <v>201312</v>
      </c>
    </row>
  </sheetData>
  <mergeCells count="12">
    <mergeCell ref="A182:E182"/>
    <mergeCell ref="A166:E166"/>
    <mergeCell ref="A6:E6"/>
    <mergeCell ref="A22:E22"/>
    <mergeCell ref="A38:E38"/>
    <mergeCell ref="A54:E54"/>
    <mergeCell ref="A70:E70"/>
    <mergeCell ref="A150:E150"/>
    <mergeCell ref="A134:E134"/>
    <mergeCell ref="A118:E118"/>
    <mergeCell ref="A102:E102"/>
    <mergeCell ref="A86:E86"/>
  </mergeCells>
  <conditionalFormatting sqref="J14">
    <cfRule type="cellIs" dxfId="103" priority="35" stopIfTrue="1" operator="equal">
      <formula>0</formula>
    </cfRule>
    <cfRule type="cellIs" dxfId="102" priority="36" stopIfTrue="1" operator="notEqual">
      <formula>0</formula>
    </cfRule>
  </conditionalFormatting>
  <conditionalFormatting sqref="C19">
    <cfRule type="cellIs" dxfId="101" priority="34" operator="notEqual">
      <formula>0</formula>
    </cfRule>
  </conditionalFormatting>
  <conditionalFormatting sqref="J30">
    <cfRule type="cellIs" dxfId="100" priority="32" stopIfTrue="1" operator="equal">
      <formula>0</formula>
    </cfRule>
    <cfRule type="cellIs" dxfId="99" priority="33" stopIfTrue="1" operator="notEqual">
      <formula>0</formula>
    </cfRule>
  </conditionalFormatting>
  <conditionalFormatting sqref="C35">
    <cfRule type="cellIs" dxfId="98" priority="31" operator="notEqual">
      <formula>0</formula>
    </cfRule>
  </conditionalFormatting>
  <conditionalFormatting sqref="J46">
    <cfRule type="cellIs" dxfId="97" priority="29" stopIfTrue="1" operator="equal">
      <formula>0</formula>
    </cfRule>
    <cfRule type="cellIs" dxfId="96" priority="30" stopIfTrue="1" operator="notEqual">
      <formula>0</formula>
    </cfRule>
  </conditionalFormatting>
  <conditionalFormatting sqref="C51">
    <cfRule type="cellIs" dxfId="95" priority="28" operator="notEqual">
      <formula>0</formula>
    </cfRule>
  </conditionalFormatting>
  <conditionalFormatting sqref="J62">
    <cfRule type="cellIs" dxfId="94" priority="26" stopIfTrue="1" operator="equal">
      <formula>0</formula>
    </cfRule>
    <cfRule type="cellIs" dxfId="93" priority="27" stopIfTrue="1" operator="notEqual">
      <formula>0</formula>
    </cfRule>
  </conditionalFormatting>
  <conditionalFormatting sqref="C67">
    <cfRule type="cellIs" dxfId="92" priority="25" operator="notEqual">
      <formula>0</formula>
    </cfRule>
  </conditionalFormatting>
  <conditionalFormatting sqref="J78">
    <cfRule type="cellIs" dxfId="91" priority="23" stopIfTrue="1" operator="equal">
      <formula>0</formula>
    </cfRule>
    <cfRule type="cellIs" dxfId="90" priority="24" stopIfTrue="1" operator="notEqual">
      <formula>0</formula>
    </cfRule>
  </conditionalFormatting>
  <conditionalFormatting sqref="C83">
    <cfRule type="cellIs" dxfId="89" priority="22" operator="notEqual">
      <formula>0</formula>
    </cfRule>
  </conditionalFormatting>
  <conditionalFormatting sqref="J94">
    <cfRule type="cellIs" dxfId="88" priority="20" stopIfTrue="1" operator="equal">
      <formula>0</formula>
    </cfRule>
    <cfRule type="cellIs" dxfId="87" priority="21" stopIfTrue="1" operator="notEqual">
      <formula>0</formula>
    </cfRule>
  </conditionalFormatting>
  <conditionalFormatting sqref="C99">
    <cfRule type="cellIs" dxfId="86" priority="19" operator="notEqual">
      <formula>0</formula>
    </cfRule>
  </conditionalFormatting>
  <conditionalFormatting sqref="J110">
    <cfRule type="cellIs" dxfId="85" priority="17" stopIfTrue="1" operator="equal">
      <formula>0</formula>
    </cfRule>
    <cfRule type="cellIs" dxfId="84" priority="18" stopIfTrue="1" operator="notEqual">
      <formula>0</formula>
    </cfRule>
  </conditionalFormatting>
  <conditionalFormatting sqref="C115">
    <cfRule type="cellIs" dxfId="83" priority="16" operator="notEqual">
      <formula>0</formula>
    </cfRule>
  </conditionalFormatting>
  <conditionalFormatting sqref="J126">
    <cfRule type="cellIs" dxfId="82" priority="14" stopIfTrue="1" operator="equal">
      <formula>0</formula>
    </cfRule>
    <cfRule type="cellIs" dxfId="81" priority="15" stopIfTrue="1" operator="notEqual">
      <formula>0</formula>
    </cfRule>
  </conditionalFormatting>
  <conditionalFormatting sqref="C131">
    <cfRule type="cellIs" dxfId="80" priority="13" operator="notEqual">
      <formula>0</formula>
    </cfRule>
  </conditionalFormatting>
  <conditionalFormatting sqref="J142">
    <cfRule type="cellIs" dxfId="79" priority="11" stopIfTrue="1" operator="equal">
      <formula>0</formula>
    </cfRule>
    <cfRule type="cellIs" dxfId="78" priority="12" stopIfTrue="1" operator="notEqual">
      <formula>0</formula>
    </cfRule>
  </conditionalFormatting>
  <conditionalFormatting sqref="C147">
    <cfRule type="cellIs" dxfId="77" priority="10" operator="notEqual">
      <formula>0</formula>
    </cfRule>
  </conditionalFormatting>
  <conditionalFormatting sqref="J158">
    <cfRule type="cellIs" dxfId="76" priority="8" stopIfTrue="1" operator="equal">
      <formula>0</formula>
    </cfRule>
    <cfRule type="cellIs" dxfId="75" priority="9" stopIfTrue="1" operator="notEqual">
      <formula>0</formula>
    </cfRule>
  </conditionalFormatting>
  <conditionalFormatting sqref="C163">
    <cfRule type="cellIs" dxfId="74" priority="7" operator="notEqual">
      <formula>0</formula>
    </cfRule>
  </conditionalFormatting>
  <conditionalFormatting sqref="J174">
    <cfRule type="cellIs" dxfId="73" priority="5" stopIfTrue="1" operator="equal">
      <formula>0</formula>
    </cfRule>
    <cfRule type="cellIs" dxfId="72" priority="6" stopIfTrue="1" operator="notEqual">
      <formula>0</formula>
    </cfRule>
  </conditionalFormatting>
  <conditionalFormatting sqref="C179">
    <cfRule type="cellIs" dxfId="71" priority="4" operator="notEqual">
      <formula>0</formula>
    </cfRule>
  </conditionalFormatting>
  <conditionalFormatting sqref="J190">
    <cfRule type="cellIs" dxfId="70" priority="2" stopIfTrue="1" operator="equal">
      <formula>0</formula>
    </cfRule>
    <cfRule type="cellIs" dxfId="69" priority="3" stopIfTrue="1" operator="notEqual">
      <formula>0</formula>
    </cfRule>
  </conditionalFormatting>
  <conditionalFormatting sqref="C195">
    <cfRule type="cellIs" dxfId="68" priority="1" operator="notEqual">
      <formula>0</formula>
    </cfRule>
  </conditionalFormatting>
  <pageMargins left="0.7" right="0.7" top="0.75" bottom="0.75" header="0.3" footer="0.3"/>
  <pageSetup scale="3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3">
    <tabColor rgb="FF92D050"/>
  </sheetPr>
  <dimension ref="A1:J309"/>
  <sheetViews>
    <sheetView showGridLines="0" view="pageBreakPreview" topLeftCell="A261" zoomScale="85" zoomScaleNormal="80" zoomScaleSheetLayoutView="85" workbookViewId="0">
      <selection activeCell="E297" sqref="E297"/>
    </sheetView>
  </sheetViews>
  <sheetFormatPr defaultColWidth="9.140625" defaultRowHeight="15"/>
  <cols>
    <col min="1" max="1" width="12.42578125" style="1" customWidth="1"/>
    <col min="2" max="2" width="9.42578125" style="1" bestFit="1" customWidth="1"/>
    <col min="3" max="3" width="17" style="1" customWidth="1"/>
    <col min="4" max="4" width="25.7109375" style="1" customWidth="1"/>
    <col min="5" max="5" width="21.85546875" style="1" bestFit="1" customWidth="1"/>
    <col min="6" max="6" width="16.28515625" style="1" bestFit="1" customWidth="1"/>
    <col min="7" max="7" width="32.42578125" style="1" customWidth="1"/>
    <col min="8" max="8" width="19.28515625" style="1" customWidth="1"/>
    <col min="9" max="9" width="20.42578125" style="1" customWidth="1"/>
    <col min="10" max="10" width="19.5703125" style="1" customWidth="1"/>
    <col min="11" max="11" width="3.42578125" style="1" customWidth="1"/>
    <col min="12" max="16384" width="9.140625" style="1"/>
  </cols>
  <sheetData>
    <row r="1" spans="1:10" ht="15.75">
      <c r="A1" s="51" t="s">
        <v>13</v>
      </c>
    </row>
    <row r="2" spans="1:10" ht="15.75">
      <c r="A2" s="51" t="s">
        <v>0</v>
      </c>
    </row>
    <row r="3" spans="1:10" ht="15.75">
      <c r="A3" s="51" t="s">
        <v>172</v>
      </c>
    </row>
    <row r="4" spans="1:10" ht="15.75">
      <c r="A4" s="51" t="s">
        <v>171</v>
      </c>
    </row>
    <row r="6" spans="1:10" ht="15.75">
      <c r="B6" s="17"/>
      <c r="C6" s="2"/>
      <c r="D6" s="3"/>
      <c r="E6" s="4"/>
    </row>
    <row r="7" spans="1:10" s="329" customFormat="1" ht="15.75" hidden="1">
      <c r="A7" s="331"/>
      <c r="B7" s="331"/>
      <c r="C7" s="50" t="s">
        <v>1</v>
      </c>
      <c r="D7" s="90">
        <v>41213</v>
      </c>
      <c r="E7" s="50">
        <v>2351759.8593735616</v>
      </c>
      <c r="F7" s="331"/>
      <c r="G7" s="245"/>
    </row>
    <row r="8" spans="1:10" s="382" customFormat="1" ht="15.75" hidden="1">
      <c r="A8" s="383"/>
      <c r="B8" s="383"/>
      <c r="C8" s="50"/>
      <c r="D8" s="90"/>
      <c r="E8" s="50"/>
      <c r="F8" s="383"/>
      <c r="G8" s="245"/>
    </row>
    <row r="9" spans="1:10" s="202" customFormat="1" ht="15.75" hidden="1">
      <c r="D9" s="258" t="s">
        <v>212</v>
      </c>
      <c r="E9" s="161">
        <f>'WA Def 191010'!R14</f>
        <v>-7340824.0093394704</v>
      </c>
    </row>
    <row r="10" spans="1:10" s="202" customFormat="1" ht="16.5" hidden="1" thickBot="1">
      <c r="D10" s="258" t="s">
        <v>210</v>
      </c>
      <c r="E10" s="388">
        <f>E9+E7</f>
        <v>-4989064.1499659084</v>
      </c>
    </row>
    <row r="11" spans="1:10" s="382" customFormat="1" ht="16.5" hidden="1" thickTop="1" thickBot="1"/>
    <row r="12" spans="1:10" s="382" customFormat="1" ht="15.75" hidden="1">
      <c r="A12" s="73" t="s">
        <v>141</v>
      </c>
      <c r="B12" s="78"/>
      <c r="C12" s="79"/>
      <c r="D12" s="80"/>
      <c r="E12" s="81"/>
      <c r="G12" s="5"/>
      <c r="H12" s="5"/>
      <c r="I12" s="48"/>
      <c r="J12" s="48"/>
    </row>
    <row r="13" spans="1:10" s="382" customFormat="1" ht="15.75" hidden="1">
      <c r="A13" s="219">
        <v>41243</v>
      </c>
      <c r="B13" s="137"/>
      <c r="C13" s="11"/>
      <c r="D13" s="138"/>
      <c r="E13" s="77"/>
      <c r="G13" s="5"/>
      <c r="H13" s="5"/>
      <c r="I13" s="48"/>
      <c r="J13" s="48"/>
    </row>
    <row r="14" spans="1:10" s="382" customFormat="1" ht="16.5" hidden="1" thickBot="1">
      <c r="A14" s="139"/>
      <c r="B14" s="140"/>
      <c r="C14" s="131" t="s">
        <v>21</v>
      </c>
      <c r="D14" s="131" t="s">
        <v>22</v>
      </c>
      <c r="E14" s="128" t="s">
        <v>23</v>
      </c>
      <c r="F14" s="383"/>
      <c r="G14" s="383"/>
      <c r="H14" s="383"/>
      <c r="I14" s="383"/>
      <c r="J14" s="383"/>
    </row>
    <row r="15" spans="1:10" s="382" customFormat="1" ht="15.75" hidden="1">
      <c r="A15" s="50" t="s">
        <v>24</v>
      </c>
      <c r="B15" s="95">
        <v>101</v>
      </c>
      <c r="C15" s="206">
        <v>12694976</v>
      </c>
      <c r="D15" s="387">
        <v>3.3950000000000001E-2</v>
      </c>
      <c r="E15" s="168">
        <v>427531.76</v>
      </c>
      <c r="F15" s="383" t="s">
        <v>187</v>
      </c>
      <c r="G15" s="383"/>
      <c r="H15" s="383"/>
      <c r="I15" s="383"/>
      <c r="J15" s="383"/>
    </row>
    <row r="16" spans="1:10" s="382" customFormat="1" ht="16.5" hidden="1" thickBot="1">
      <c r="A16" s="50" t="s">
        <v>24</v>
      </c>
      <c r="B16" s="95">
        <v>111</v>
      </c>
      <c r="C16" s="206">
        <v>4637935</v>
      </c>
      <c r="D16" s="387">
        <v>3.0599999999999999E-2</v>
      </c>
      <c r="E16" s="168">
        <v>143027.17000000001</v>
      </c>
      <c r="F16" s="383" t="s">
        <v>187</v>
      </c>
      <c r="G16" s="123">
        <f>A13</f>
        <v>41243</v>
      </c>
      <c r="H16" s="383"/>
      <c r="I16" s="383"/>
      <c r="J16" s="383"/>
    </row>
    <row r="17" spans="1:10" s="382" customFormat="1" ht="16.5" hidden="1" thickBot="1">
      <c r="A17" s="50" t="s">
        <v>24</v>
      </c>
      <c r="B17" s="95">
        <v>112</v>
      </c>
      <c r="C17" s="206">
        <v>0</v>
      </c>
      <c r="D17" s="387"/>
      <c r="E17" s="168">
        <v>0</v>
      </c>
      <c r="F17" s="383" t="s">
        <v>187</v>
      </c>
      <c r="G17" s="113" t="s">
        <v>25</v>
      </c>
      <c r="H17" s="205"/>
      <c r="I17" s="126" t="s">
        <v>18</v>
      </c>
      <c r="J17" s="126" t="s">
        <v>19</v>
      </c>
    </row>
    <row r="18" spans="1:10" s="382" customFormat="1" ht="15.75" hidden="1">
      <c r="A18" s="50" t="s">
        <v>24</v>
      </c>
      <c r="B18" s="95">
        <v>121</v>
      </c>
      <c r="C18" s="206">
        <v>347215</v>
      </c>
      <c r="D18" s="387">
        <v>2.998E-2</v>
      </c>
      <c r="E18" s="168">
        <v>11613.6</v>
      </c>
      <c r="F18" s="383" t="s">
        <v>187</v>
      </c>
      <c r="G18" s="151" t="s">
        <v>28</v>
      </c>
      <c r="H18" s="152" t="s">
        <v>75</v>
      </c>
      <c r="I18" s="152"/>
      <c r="J18" s="97">
        <v>0</v>
      </c>
    </row>
    <row r="19" spans="1:10" s="382" customFormat="1" ht="15.75" hidden="1">
      <c r="A19" s="50" t="s">
        <v>24</v>
      </c>
      <c r="B19" s="95">
        <v>122</v>
      </c>
      <c r="C19" s="206">
        <v>0</v>
      </c>
      <c r="D19" s="387"/>
      <c r="E19" s="168">
        <v>0</v>
      </c>
      <c r="F19" s="383" t="s">
        <v>187</v>
      </c>
      <c r="G19" s="153" t="s">
        <v>29</v>
      </c>
      <c r="H19" s="7" t="s">
        <v>76</v>
      </c>
      <c r="I19" s="7">
        <v>12723.82</v>
      </c>
      <c r="J19" s="223"/>
    </row>
    <row r="20" spans="1:10" s="382" customFormat="1" ht="15.75" hidden="1">
      <c r="A20" s="50" t="s">
        <v>24</v>
      </c>
      <c r="B20" s="95">
        <v>131</v>
      </c>
      <c r="C20" s="206">
        <v>0</v>
      </c>
      <c r="D20" s="387">
        <v>5.7389999999999997E-2</v>
      </c>
      <c r="E20" s="168">
        <v>0</v>
      </c>
      <c r="F20" s="383" t="s">
        <v>187</v>
      </c>
      <c r="G20" s="153" t="s">
        <v>97</v>
      </c>
      <c r="H20" s="7" t="s">
        <v>26</v>
      </c>
      <c r="I20" s="8"/>
      <c r="J20" s="98">
        <v>-582079.61</v>
      </c>
    </row>
    <row r="21" spans="1:10" s="382" customFormat="1" ht="15.75" hidden="1">
      <c r="A21" s="50" t="s">
        <v>24</v>
      </c>
      <c r="B21" s="95">
        <v>132</v>
      </c>
      <c r="C21" s="206">
        <v>0</v>
      </c>
      <c r="D21" s="387"/>
      <c r="E21" s="168">
        <v>0</v>
      </c>
      <c r="F21" s="383" t="s">
        <v>187</v>
      </c>
      <c r="G21" s="153" t="s">
        <v>10</v>
      </c>
      <c r="H21" s="7" t="s">
        <v>17</v>
      </c>
      <c r="I21" s="7">
        <v>0</v>
      </c>
      <c r="J21" s="98"/>
    </row>
    <row r="22" spans="1:10" s="382" customFormat="1" ht="16.5" hidden="1" thickBot="1">
      <c r="A22" s="50" t="s">
        <v>24</v>
      </c>
      <c r="B22" s="95">
        <v>146</v>
      </c>
      <c r="C22" s="206">
        <v>2701032</v>
      </c>
      <c r="D22" s="238"/>
      <c r="E22" s="168">
        <v>0</v>
      </c>
      <c r="F22" s="383" t="s">
        <v>187</v>
      </c>
      <c r="G22" s="154" t="s">
        <v>98</v>
      </c>
      <c r="H22" s="147" t="s">
        <v>27</v>
      </c>
      <c r="I22" s="110">
        <v>569355.79</v>
      </c>
      <c r="J22" s="107"/>
    </row>
    <row r="23" spans="1:10" s="382" customFormat="1" ht="15.75" hidden="1">
      <c r="A23" s="50" t="s">
        <v>151</v>
      </c>
      <c r="B23" s="95"/>
      <c r="C23" s="206"/>
      <c r="D23" s="121"/>
      <c r="E23" s="168">
        <v>0</v>
      </c>
      <c r="F23" s="383" t="s">
        <v>187</v>
      </c>
      <c r="G23" s="383"/>
      <c r="H23" s="383"/>
      <c r="I23" s="383"/>
      <c r="J23" s="336">
        <f>SUM(I18:J22)</f>
        <v>0</v>
      </c>
    </row>
    <row r="24" spans="1:10" s="382" customFormat="1" ht="15.75" hidden="1">
      <c r="A24" s="141" t="s">
        <v>143</v>
      </c>
      <c r="B24" s="95">
        <v>146</v>
      </c>
      <c r="C24" s="206"/>
      <c r="D24" s="121"/>
      <c r="E24" s="168">
        <v>0</v>
      </c>
      <c r="F24" s="383" t="s">
        <v>187</v>
      </c>
      <c r="G24" s="123"/>
      <c r="H24" s="7"/>
      <c r="I24" s="7"/>
      <c r="J24" s="7"/>
    </row>
    <row r="25" spans="1:10" s="382" customFormat="1" ht="15.75" hidden="1">
      <c r="A25" s="141" t="s">
        <v>105</v>
      </c>
      <c r="B25" s="95"/>
      <c r="C25" s="206"/>
      <c r="D25" s="121"/>
      <c r="E25" s="226">
        <v>0</v>
      </c>
      <c r="F25" s="383"/>
      <c r="G25" s="123"/>
      <c r="H25" s="7"/>
      <c r="I25" s="12"/>
      <c r="J25" s="12"/>
    </row>
    <row r="26" spans="1:10" s="382" customFormat="1" ht="16.5" hidden="1" thickBot="1">
      <c r="A26" s="50"/>
      <c r="B26" s="95"/>
      <c r="C26" s="159">
        <f>SUM(C15:C25)</f>
        <v>20381158</v>
      </c>
      <c r="D26" s="142"/>
      <c r="E26" s="207">
        <f>SUM(E15:E25)</f>
        <v>582172.53</v>
      </c>
      <c r="F26" s="383"/>
      <c r="G26" s="123"/>
      <c r="H26" s="7"/>
      <c r="I26" s="7"/>
      <c r="J26" s="8"/>
    </row>
    <row r="27" spans="1:10" s="382" customFormat="1" ht="16.5" hidden="1" thickTop="1">
      <c r="A27" s="50"/>
      <c r="B27" s="95"/>
      <c r="C27" s="224">
        <v>20381158</v>
      </c>
      <c r="D27" s="142" t="s">
        <v>161</v>
      </c>
      <c r="E27" s="156">
        <v>0</v>
      </c>
      <c r="F27" s="383"/>
      <c r="G27" s="11"/>
      <c r="H27" s="7"/>
      <c r="I27" s="8"/>
      <c r="J27" s="7"/>
    </row>
    <row r="28" spans="1:10" s="382" customFormat="1" ht="16.5" hidden="1" thickBot="1">
      <c r="A28" s="50"/>
      <c r="B28" s="95"/>
      <c r="C28" s="230">
        <f>C27-C26</f>
        <v>0</v>
      </c>
      <c r="D28" s="142"/>
      <c r="E28" s="160">
        <f>SUM(E26:E27)</f>
        <v>582172.53</v>
      </c>
      <c r="F28" s="383"/>
      <c r="G28" s="65" t="s">
        <v>158</v>
      </c>
      <c r="H28" s="7"/>
      <c r="I28" s="7"/>
      <c r="J28" s="7"/>
    </row>
    <row r="29" spans="1:10" s="382" customFormat="1" ht="16.5" hidden="1" thickTop="1">
      <c r="A29" s="383"/>
      <c r="B29" s="383"/>
      <c r="C29" s="383"/>
      <c r="D29" s="142" t="s">
        <v>87</v>
      </c>
      <c r="E29" s="50">
        <f>E28+E10</f>
        <v>-4406891.6199659081</v>
      </c>
      <c r="F29" s="383"/>
      <c r="G29" s="8">
        <f>(E10*(D30/12))+(E28*(D30/24))</f>
        <v>-12723.690105116002</v>
      </c>
      <c r="H29" s="394"/>
      <c r="I29" s="394"/>
      <c r="J29" s="7"/>
    </row>
    <row r="30" spans="1:10" s="382" customFormat="1" ht="15.75" hidden="1">
      <c r="A30" s="383"/>
      <c r="B30" s="383"/>
      <c r="C30" s="50" t="s">
        <v>57</v>
      </c>
      <c r="D30" s="225">
        <v>3.2500000000000001E-2</v>
      </c>
      <c r="E30" s="119">
        <f>ROUND(((E10)+(SUM(E28))/2)*(D30/12),2)</f>
        <v>-12723.69</v>
      </c>
      <c r="F30" s="383"/>
      <c r="G30" s="8"/>
      <c r="H30" s="7"/>
      <c r="I30" s="12"/>
      <c r="J30" s="12"/>
    </row>
    <row r="31" spans="1:10" s="382" customFormat="1" ht="15.75" hidden="1">
      <c r="A31" s="383"/>
      <c r="B31" s="383"/>
      <c r="C31" s="50" t="s">
        <v>1</v>
      </c>
      <c r="D31" s="90">
        <f>A13</f>
        <v>41243</v>
      </c>
      <c r="E31" s="50">
        <f>SUM(E29:E30)</f>
        <v>-4419615.3099659085</v>
      </c>
      <c r="F31" s="383"/>
      <c r="G31" s="245"/>
    </row>
    <row r="32" spans="1:10" s="382" customFormat="1" ht="15.75" hidden="1">
      <c r="A32" s="383"/>
      <c r="B32" s="383"/>
      <c r="C32" s="50"/>
      <c r="D32" s="441" t="s">
        <v>199</v>
      </c>
      <c r="E32" s="64">
        <v>-4419708.3600000003</v>
      </c>
      <c r="F32" s="383"/>
      <c r="G32" s="245"/>
    </row>
    <row r="33" spans="1:10" s="382" customFormat="1" ht="15.75" hidden="1">
      <c r="A33" s="383"/>
      <c r="B33" s="383"/>
      <c r="C33" s="50"/>
      <c r="D33" s="441" t="s">
        <v>218</v>
      </c>
      <c r="E33" s="442">
        <f>E31-E32</f>
        <v>93.050034091807902</v>
      </c>
      <c r="F33" s="383"/>
      <c r="G33" s="245"/>
    </row>
    <row r="34" spans="1:10" s="382" customFormat="1" ht="15.75" hidden="1" thickBot="1"/>
    <row r="35" spans="1:10" s="382" customFormat="1" ht="15.75" hidden="1">
      <c r="A35" s="73" t="s">
        <v>141</v>
      </c>
      <c r="B35" s="78"/>
      <c r="C35" s="79"/>
      <c r="D35" s="80"/>
      <c r="E35" s="81"/>
      <c r="G35" s="5"/>
      <c r="H35" s="5"/>
      <c r="I35" s="48"/>
      <c r="J35" s="48"/>
    </row>
    <row r="36" spans="1:10" s="382" customFormat="1" ht="15.75" hidden="1">
      <c r="A36" s="219">
        <v>41274</v>
      </c>
      <c r="B36" s="137"/>
      <c r="C36" s="11"/>
      <c r="D36" s="138"/>
      <c r="E36" s="77"/>
      <c r="G36" s="5"/>
      <c r="H36" s="5"/>
      <c r="I36" s="48"/>
      <c r="J36" s="48"/>
    </row>
    <row r="37" spans="1:10" s="382" customFormat="1" ht="16.5" hidden="1" thickBot="1">
      <c r="A37" s="139"/>
      <c r="B37" s="140"/>
      <c r="C37" s="131" t="s">
        <v>21</v>
      </c>
      <c r="D37" s="131" t="s">
        <v>22</v>
      </c>
      <c r="E37" s="128" t="s">
        <v>23</v>
      </c>
      <c r="F37" s="383"/>
      <c r="G37" s="383"/>
      <c r="H37" s="383"/>
      <c r="I37" s="383"/>
      <c r="J37" s="383"/>
    </row>
    <row r="38" spans="1:10" s="382" customFormat="1" ht="15.75" hidden="1">
      <c r="A38" s="50" t="s">
        <v>24</v>
      </c>
      <c r="B38" s="95">
        <v>101</v>
      </c>
      <c r="C38" s="206">
        <v>18054358</v>
      </c>
      <c r="D38" s="387">
        <v>3.3950000000000001E-2</v>
      </c>
      <c r="E38" s="168">
        <v>610563.22</v>
      </c>
      <c r="F38" s="383" t="s">
        <v>187</v>
      </c>
      <c r="G38" s="383"/>
      <c r="H38" s="383"/>
      <c r="I38" s="383"/>
      <c r="J38" s="383"/>
    </row>
    <row r="39" spans="1:10" s="382" customFormat="1" ht="16.5" hidden="1" thickBot="1">
      <c r="A39" s="50" t="s">
        <v>24</v>
      </c>
      <c r="B39" s="95">
        <v>111</v>
      </c>
      <c r="C39" s="206">
        <v>6151406</v>
      </c>
      <c r="D39" s="387">
        <v>3.0599999999999999E-2</v>
      </c>
      <c r="E39" s="168">
        <v>187548.98</v>
      </c>
      <c r="F39" s="383" t="s">
        <v>187</v>
      </c>
      <c r="G39" s="123">
        <f>A36</f>
        <v>41274</v>
      </c>
      <c r="H39" s="383"/>
      <c r="I39" s="383"/>
      <c r="J39" s="383"/>
    </row>
    <row r="40" spans="1:10" s="382" customFormat="1" ht="16.5" hidden="1" thickBot="1">
      <c r="A40" s="50" t="s">
        <v>24</v>
      </c>
      <c r="B40" s="95">
        <v>112</v>
      </c>
      <c r="C40" s="206">
        <v>0</v>
      </c>
      <c r="D40" s="387"/>
      <c r="E40" s="168">
        <f t="shared" ref="E40" si="0">C40*D40</f>
        <v>0</v>
      </c>
      <c r="F40" s="383" t="s">
        <v>187</v>
      </c>
      <c r="G40" s="113" t="s">
        <v>25</v>
      </c>
      <c r="H40" s="205"/>
      <c r="I40" s="126" t="s">
        <v>18</v>
      </c>
      <c r="J40" s="126" t="s">
        <v>19</v>
      </c>
    </row>
    <row r="41" spans="1:10" s="382" customFormat="1" ht="15.75" hidden="1">
      <c r="A41" s="50" t="s">
        <v>24</v>
      </c>
      <c r="B41" s="95">
        <v>121</v>
      </c>
      <c r="C41" s="206">
        <v>385155</v>
      </c>
      <c r="D41" s="387">
        <v>2.998E-2</v>
      </c>
      <c r="E41" s="168">
        <v>11473.63</v>
      </c>
      <c r="F41" s="383" t="s">
        <v>187</v>
      </c>
      <c r="G41" s="151" t="s">
        <v>28</v>
      </c>
      <c r="H41" s="152" t="s">
        <v>75</v>
      </c>
      <c r="I41" s="152"/>
      <c r="J41" s="97">
        <f>IF(-E53&lt;0,-E53,0)</f>
        <v>0</v>
      </c>
    </row>
    <row r="42" spans="1:10" s="382" customFormat="1" ht="15.75" hidden="1">
      <c r="A42" s="50" t="s">
        <v>24</v>
      </c>
      <c r="B42" s="95">
        <v>122</v>
      </c>
      <c r="C42" s="206">
        <v>0</v>
      </c>
      <c r="D42" s="387"/>
      <c r="E42" s="168">
        <f t="shared" ref="E42:E47" si="1">C42*D42</f>
        <v>0</v>
      </c>
      <c r="F42" s="383" t="s">
        <v>187</v>
      </c>
      <c r="G42" s="153" t="s">
        <v>29</v>
      </c>
      <c r="H42" s="7" t="s">
        <v>76</v>
      </c>
      <c r="I42" s="7">
        <f>IF(-E53&gt;0,-E53,0)</f>
        <v>10764.89</v>
      </c>
      <c r="J42" s="223"/>
    </row>
    <row r="43" spans="1:10" s="382" customFormat="1" ht="15.75" hidden="1">
      <c r="A43" s="50" t="s">
        <v>24</v>
      </c>
      <c r="B43" s="95">
        <v>131</v>
      </c>
      <c r="C43" s="206">
        <v>0</v>
      </c>
      <c r="D43" s="387">
        <v>5.7389999999999997E-2</v>
      </c>
      <c r="E43" s="168">
        <f t="shared" si="1"/>
        <v>0</v>
      </c>
      <c r="F43" s="383" t="s">
        <v>187</v>
      </c>
      <c r="G43" s="153" t="s">
        <v>97</v>
      </c>
      <c r="H43" s="7" t="s">
        <v>26</v>
      </c>
      <c r="I43" s="8"/>
      <c r="J43" s="98">
        <f>-E51</f>
        <v>-889770.75003409176</v>
      </c>
    </row>
    <row r="44" spans="1:10" s="382" customFormat="1" ht="15.75" hidden="1">
      <c r="A44" s="50" t="s">
        <v>24</v>
      </c>
      <c r="B44" s="95">
        <v>132</v>
      </c>
      <c r="C44" s="206">
        <v>0</v>
      </c>
      <c r="D44" s="387"/>
      <c r="E44" s="168">
        <f t="shared" si="1"/>
        <v>0</v>
      </c>
      <c r="F44" s="383" t="s">
        <v>187</v>
      </c>
      <c r="G44" s="153" t="s">
        <v>10</v>
      </c>
      <c r="H44" s="7" t="s">
        <v>17</v>
      </c>
      <c r="I44" s="7">
        <v>0</v>
      </c>
      <c r="J44" s="98"/>
    </row>
    <row r="45" spans="1:10" s="382" customFormat="1" ht="16.5" hidden="1" thickBot="1">
      <c r="A45" s="50" t="s">
        <v>24</v>
      </c>
      <c r="B45" s="95">
        <v>146</v>
      </c>
      <c r="C45" s="206">
        <v>3066817</v>
      </c>
      <c r="D45" s="238"/>
      <c r="E45" s="168">
        <f t="shared" si="1"/>
        <v>0</v>
      </c>
      <c r="F45" s="383" t="s">
        <v>187</v>
      </c>
      <c r="G45" s="154" t="s">
        <v>98</v>
      </c>
      <c r="H45" s="147" t="s">
        <v>27</v>
      </c>
      <c r="I45" s="110">
        <f>-E32+E54</f>
        <v>879005.86003409186</v>
      </c>
      <c r="J45" s="107"/>
    </row>
    <row r="46" spans="1:10" s="382" customFormat="1" ht="15.75" hidden="1">
      <c r="A46" s="50" t="s">
        <v>151</v>
      </c>
      <c r="B46" s="95"/>
      <c r="C46" s="206"/>
      <c r="D46" s="121"/>
      <c r="E46" s="168">
        <f t="shared" si="1"/>
        <v>0</v>
      </c>
      <c r="F46" s="383" t="s">
        <v>187</v>
      </c>
      <c r="G46" s="383"/>
      <c r="H46" s="383"/>
      <c r="I46" s="383"/>
      <c r="J46" s="336">
        <f>SUM(I41:J45)</f>
        <v>0</v>
      </c>
    </row>
    <row r="47" spans="1:10" s="382" customFormat="1" ht="15.75" hidden="1">
      <c r="A47" s="141" t="s">
        <v>143</v>
      </c>
      <c r="B47" s="95">
        <v>146</v>
      </c>
      <c r="C47" s="206"/>
      <c r="D47" s="121"/>
      <c r="E47" s="168">
        <f t="shared" si="1"/>
        <v>0</v>
      </c>
      <c r="F47" s="383" t="s">
        <v>187</v>
      </c>
      <c r="G47" s="123"/>
      <c r="H47" s="7"/>
      <c r="I47" s="7"/>
      <c r="J47" s="7"/>
    </row>
    <row r="48" spans="1:10" s="382" customFormat="1" ht="15.75" hidden="1">
      <c r="A48" s="141" t="s">
        <v>105</v>
      </c>
      <c r="B48" s="95"/>
      <c r="C48" s="206"/>
      <c r="D48" s="121"/>
      <c r="E48" s="226">
        <v>80091.87</v>
      </c>
      <c r="F48" s="383"/>
      <c r="G48" s="123"/>
      <c r="H48" s="7"/>
      <c r="I48" s="12"/>
      <c r="J48" s="12"/>
    </row>
    <row r="49" spans="1:10" s="382" customFormat="1" ht="16.5" hidden="1" thickBot="1">
      <c r="A49" s="50"/>
      <c r="B49" s="95"/>
      <c r="C49" s="159">
        <f>SUM(C38:C48)</f>
        <v>27657736</v>
      </c>
      <c r="D49" s="142"/>
      <c r="E49" s="207">
        <f>SUM(E38:E48)</f>
        <v>889677.7</v>
      </c>
      <c r="F49" s="383"/>
      <c r="G49" s="123"/>
      <c r="H49" s="7"/>
      <c r="I49" s="7"/>
      <c r="J49" s="8"/>
    </row>
    <row r="50" spans="1:10" s="382" customFormat="1" ht="16.5" hidden="1" thickTop="1">
      <c r="A50" s="50"/>
      <c r="B50" s="95"/>
      <c r="C50" s="224">
        <v>27657736</v>
      </c>
      <c r="D50" s="142" t="s">
        <v>161</v>
      </c>
      <c r="E50" s="156">
        <f>E33</f>
        <v>93.050034091807902</v>
      </c>
      <c r="F50" s="383"/>
      <c r="G50" s="11"/>
      <c r="H50" s="7"/>
      <c r="I50" s="8"/>
      <c r="J50" s="7"/>
    </row>
    <row r="51" spans="1:10" s="382" customFormat="1" ht="16.5" hidden="1" thickBot="1">
      <c r="A51" s="50"/>
      <c r="B51" s="95"/>
      <c r="C51" s="230">
        <f>C50-C49</f>
        <v>0</v>
      </c>
      <c r="D51" s="142"/>
      <c r="E51" s="160">
        <f>SUM(E49:E50)</f>
        <v>889770.75003409176</v>
      </c>
      <c r="F51" s="383"/>
      <c r="G51" s="65" t="s">
        <v>158</v>
      </c>
      <c r="H51" s="7"/>
      <c r="I51" s="7"/>
      <c r="J51" s="7"/>
    </row>
    <row r="52" spans="1:10" s="382" customFormat="1" ht="16.5" hidden="1" thickTop="1">
      <c r="A52" s="383"/>
      <c r="B52" s="383"/>
      <c r="C52" s="383"/>
      <c r="D52" s="142" t="s">
        <v>87</v>
      </c>
      <c r="E52" s="50">
        <f>E51+E32</f>
        <v>-3529937.6099659083</v>
      </c>
      <c r="F52" s="383"/>
      <c r="G52" s="8">
        <f>(E31*(D53/12))+(E51*(D53/24))</f>
        <v>-10764.893573819838</v>
      </c>
      <c r="H52" s="396"/>
      <c r="I52" s="396"/>
      <c r="J52" s="7"/>
    </row>
    <row r="53" spans="1:10" s="382" customFormat="1" ht="15.75" hidden="1">
      <c r="A53" s="383"/>
      <c r="B53" s="383"/>
      <c r="C53" s="50" t="s">
        <v>57</v>
      </c>
      <c r="D53" s="225">
        <v>3.2500000000000001E-2</v>
      </c>
      <c r="E53" s="119">
        <f>ROUND(((E31)+(SUM(E51))/2)*(D53/12),2)</f>
        <v>-10764.89</v>
      </c>
      <c r="F53" s="383"/>
      <c r="G53" s="8"/>
      <c r="H53" s="7"/>
      <c r="I53" s="12"/>
      <c r="J53" s="12"/>
    </row>
    <row r="54" spans="1:10" s="382" customFormat="1" ht="15.75" hidden="1">
      <c r="A54" s="383"/>
      <c r="B54" s="383"/>
      <c r="C54" s="50" t="s">
        <v>1</v>
      </c>
      <c r="D54" s="90">
        <f>A36</f>
        <v>41274</v>
      </c>
      <c r="E54" s="50">
        <f>SUM(E52:E53)</f>
        <v>-3540702.4999659085</v>
      </c>
      <c r="F54" s="383"/>
      <c r="G54" s="245"/>
    </row>
    <row r="55" spans="1:10" s="329" customFormat="1" ht="15.75" hidden="1" thickBot="1"/>
    <row r="56" spans="1:10" ht="15.75" hidden="1">
      <c r="A56" s="73" t="s">
        <v>141</v>
      </c>
      <c r="B56" s="78"/>
      <c r="C56" s="79"/>
      <c r="D56" s="80"/>
      <c r="E56" s="81"/>
      <c r="F56" s="382"/>
      <c r="G56" s="5"/>
      <c r="H56" s="5"/>
      <c r="I56" s="48"/>
      <c r="J56" s="48"/>
    </row>
    <row r="57" spans="1:10" ht="15.75" hidden="1">
      <c r="A57" s="219">
        <v>41305</v>
      </c>
      <c r="B57" s="137"/>
      <c r="C57" s="11"/>
      <c r="D57" s="138"/>
      <c r="E57" s="77"/>
      <c r="F57" s="382"/>
      <c r="G57" s="5"/>
      <c r="H57" s="5"/>
      <c r="I57" s="48"/>
      <c r="J57" s="48"/>
    </row>
    <row r="58" spans="1:10" ht="16.5" hidden="1" thickBot="1">
      <c r="A58" s="139"/>
      <c r="B58" s="140"/>
      <c r="C58" s="131" t="s">
        <v>21</v>
      </c>
      <c r="D58" s="131" t="s">
        <v>22</v>
      </c>
      <c r="E58" s="128" t="s">
        <v>23</v>
      </c>
      <c r="F58" s="383"/>
      <c r="G58" s="383"/>
      <c r="H58" s="383"/>
      <c r="I58" s="383"/>
      <c r="J58" s="383"/>
    </row>
    <row r="59" spans="1:10" ht="15.75" hidden="1">
      <c r="A59" s="50" t="s">
        <v>24</v>
      </c>
      <c r="B59" s="95">
        <v>101</v>
      </c>
      <c r="C59" s="206">
        <v>22136409</v>
      </c>
      <c r="D59" s="387">
        <v>3.3950000000000001E-2</v>
      </c>
      <c r="E59" s="168">
        <f>C59*D59</f>
        <v>751531.08555000008</v>
      </c>
      <c r="F59" s="383"/>
      <c r="G59" s="383"/>
      <c r="H59" s="383"/>
      <c r="I59" s="383"/>
      <c r="J59" s="383"/>
    </row>
    <row r="60" spans="1:10" ht="16.5" hidden="1" thickBot="1">
      <c r="A60" s="50" t="s">
        <v>24</v>
      </c>
      <c r="B60" s="95">
        <v>111</v>
      </c>
      <c r="C60" s="206">
        <v>7525225</v>
      </c>
      <c r="D60" s="387">
        <v>3.0599999999999999E-2</v>
      </c>
      <c r="E60" s="168">
        <f>C60*D60</f>
        <v>230271.88499999998</v>
      </c>
      <c r="F60" s="383"/>
      <c r="G60" s="123">
        <f>A57</f>
        <v>41305</v>
      </c>
      <c r="H60" s="383"/>
      <c r="I60" s="383"/>
      <c r="J60" s="383"/>
    </row>
    <row r="61" spans="1:10" ht="16.5" hidden="1" thickBot="1">
      <c r="A61" s="50" t="s">
        <v>24</v>
      </c>
      <c r="B61" s="95">
        <v>112</v>
      </c>
      <c r="C61" s="206">
        <v>0</v>
      </c>
      <c r="D61" s="387"/>
      <c r="E61" s="168">
        <f t="shared" ref="E61:E68" si="2">C61*D61</f>
        <v>0</v>
      </c>
      <c r="F61" s="383"/>
      <c r="G61" s="113" t="s">
        <v>25</v>
      </c>
      <c r="H61" s="205"/>
      <c r="I61" s="126" t="s">
        <v>18</v>
      </c>
      <c r="J61" s="126" t="s">
        <v>19</v>
      </c>
    </row>
    <row r="62" spans="1:10" ht="15.75" hidden="1">
      <c r="A62" s="50" t="s">
        <v>24</v>
      </c>
      <c r="B62" s="95">
        <v>121</v>
      </c>
      <c r="C62" s="206">
        <v>606431</v>
      </c>
      <c r="D62" s="387">
        <v>2.998E-2</v>
      </c>
      <c r="E62" s="168">
        <f>C62*D62</f>
        <v>18180.801380000001</v>
      </c>
      <c r="F62" s="383"/>
      <c r="G62" s="151" t="s">
        <v>28</v>
      </c>
      <c r="H62" s="152" t="s">
        <v>75</v>
      </c>
      <c r="I62" s="152"/>
      <c r="J62" s="97">
        <f>IF(-E74&lt;0,-E74,0)</f>
        <v>0</v>
      </c>
    </row>
    <row r="63" spans="1:10" ht="15.75" hidden="1">
      <c r="A63" s="50" t="s">
        <v>24</v>
      </c>
      <c r="B63" s="95">
        <v>122</v>
      </c>
      <c r="C63" s="206">
        <v>0</v>
      </c>
      <c r="D63" s="387"/>
      <c r="E63" s="168">
        <f t="shared" si="2"/>
        <v>0</v>
      </c>
      <c r="F63" s="383"/>
      <c r="G63" s="153" t="s">
        <v>29</v>
      </c>
      <c r="H63" s="7" t="s">
        <v>76</v>
      </c>
      <c r="I63" s="7">
        <f>IF(-E74&gt;0,-E74,0)</f>
        <v>8235.26</v>
      </c>
      <c r="J63" s="223"/>
    </row>
    <row r="64" spans="1:10" ht="15.75" hidden="1">
      <c r="A64" s="50" t="s">
        <v>24</v>
      </c>
      <c r="B64" s="95">
        <v>131</v>
      </c>
      <c r="C64" s="206">
        <v>0</v>
      </c>
      <c r="D64" s="387">
        <v>5.7389999999999997E-2</v>
      </c>
      <c r="E64" s="168">
        <f t="shared" si="2"/>
        <v>0</v>
      </c>
      <c r="F64" s="383"/>
      <c r="G64" s="153" t="s">
        <v>97</v>
      </c>
      <c r="H64" s="7" t="s">
        <v>26</v>
      </c>
      <c r="I64" s="8"/>
      <c r="J64" s="98">
        <f>-E72</f>
        <v>-999983.77193000005</v>
      </c>
    </row>
    <row r="65" spans="1:10" ht="15.75" hidden="1">
      <c r="A65" s="50" t="s">
        <v>24</v>
      </c>
      <c r="B65" s="95">
        <v>132</v>
      </c>
      <c r="C65" s="206">
        <v>0</v>
      </c>
      <c r="D65" s="387"/>
      <c r="E65" s="168">
        <f t="shared" si="2"/>
        <v>0</v>
      </c>
      <c r="F65" s="383"/>
      <c r="G65" s="153" t="s">
        <v>10</v>
      </c>
      <c r="H65" s="7" t="s">
        <v>17</v>
      </c>
      <c r="I65" s="7">
        <v>0</v>
      </c>
      <c r="J65" s="98"/>
    </row>
    <row r="66" spans="1:10" ht="16.5" hidden="1" thickBot="1">
      <c r="A66" s="50" t="s">
        <v>24</v>
      </c>
      <c r="B66" s="95">
        <v>146</v>
      </c>
      <c r="C66" s="206">
        <v>3682356</v>
      </c>
      <c r="D66" s="238"/>
      <c r="E66" s="168">
        <f t="shared" si="2"/>
        <v>0</v>
      </c>
      <c r="F66" s="383"/>
      <c r="G66" s="154" t="s">
        <v>98</v>
      </c>
      <c r="H66" s="147" t="s">
        <v>27</v>
      </c>
      <c r="I66" s="110">
        <f>-E54+E75</f>
        <v>991748.5119300005</v>
      </c>
      <c r="J66" s="107"/>
    </row>
    <row r="67" spans="1:10" ht="15.75" hidden="1">
      <c r="A67" s="50" t="s">
        <v>151</v>
      </c>
      <c r="B67" s="95"/>
      <c r="C67" s="206"/>
      <c r="D67" s="121"/>
      <c r="E67" s="168">
        <f t="shared" si="2"/>
        <v>0</v>
      </c>
      <c r="F67" s="383"/>
      <c r="G67" s="698"/>
      <c r="H67" s="698"/>
      <c r="I67" s="698"/>
      <c r="J67" s="336">
        <f>SUM(I62:J66)</f>
        <v>0</v>
      </c>
    </row>
    <row r="68" spans="1:10" ht="15.75" hidden="1">
      <c r="A68" s="141" t="s">
        <v>143</v>
      </c>
      <c r="B68" s="95">
        <v>146</v>
      </c>
      <c r="C68" s="206"/>
      <c r="D68" s="121"/>
      <c r="E68" s="168">
        <f t="shared" si="2"/>
        <v>0</v>
      </c>
      <c r="F68" s="383"/>
      <c r="G68" s="699"/>
      <c r="H68" s="699"/>
      <c r="I68" s="699"/>
      <c r="J68" s="7"/>
    </row>
    <row r="69" spans="1:10" ht="15.75" hidden="1">
      <c r="A69" s="141" t="s">
        <v>105</v>
      </c>
      <c r="B69" s="95"/>
      <c r="C69" s="206"/>
      <c r="D69" s="121"/>
      <c r="E69" s="226">
        <v>0</v>
      </c>
      <c r="F69" s="383"/>
      <c r="G69" s="699"/>
      <c r="H69" s="699"/>
      <c r="I69" s="699"/>
      <c r="J69" s="12"/>
    </row>
    <row r="70" spans="1:10" ht="16.5" hidden="1" thickBot="1">
      <c r="A70" s="50"/>
      <c r="B70" s="95"/>
      <c r="C70" s="159">
        <f>SUM(C59:C69)</f>
        <v>33950421</v>
      </c>
      <c r="D70" s="142"/>
      <c r="E70" s="207">
        <f>SUM(E59:E69)</f>
        <v>999983.77193000005</v>
      </c>
      <c r="F70" s="383"/>
      <c r="G70" s="699"/>
      <c r="H70" s="699"/>
      <c r="I70" s="699"/>
      <c r="J70" s="8"/>
    </row>
    <row r="71" spans="1:10" ht="16.5" hidden="1" thickTop="1">
      <c r="A71" s="50"/>
      <c r="B71" s="95"/>
      <c r="C71" s="224">
        <v>33950421</v>
      </c>
      <c r="D71" s="142" t="s">
        <v>161</v>
      </c>
      <c r="E71" s="156">
        <v>0</v>
      </c>
      <c r="F71" s="383"/>
      <c r="G71" s="11"/>
      <c r="H71" s="7"/>
      <c r="I71" s="8"/>
      <c r="J71" s="7"/>
    </row>
    <row r="72" spans="1:10" ht="16.5" hidden="1" thickBot="1">
      <c r="A72" s="50"/>
      <c r="B72" s="95"/>
      <c r="C72" s="230">
        <f>C71-C70</f>
        <v>0</v>
      </c>
      <c r="D72" s="142"/>
      <c r="E72" s="160">
        <f>SUM(E70:E71)</f>
        <v>999983.77193000005</v>
      </c>
      <c r="F72" s="383"/>
      <c r="G72" s="65" t="s">
        <v>158</v>
      </c>
      <c r="H72" s="7"/>
      <c r="I72" s="7"/>
      <c r="J72" s="7"/>
    </row>
    <row r="73" spans="1:10" ht="16.5" hidden="1" thickTop="1">
      <c r="A73" s="383"/>
      <c r="B73" s="383"/>
      <c r="C73" s="383"/>
      <c r="D73" s="142" t="s">
        <v>87</v>
      </c>
      <c r="E73" s="50">
        <f>E72+E54</f>
        <v>-2540718.7280359082</v>
      </c>
      <c r="F73" s="383"/>
      <c r="G73" s="8">
        <f>(E54*(D74/12))+(E72*(D74/24))</f>
        <v>-8235.2579129191272</v>
      </c>
      <c r="H73" s="444"/>
      <c r="I73" s="444"/>
      <c r="J73" s="7"/>
    </row>
    <row r="74" spans="1:10" ht="15.75" hidden="1">
      <c r="A74" s="383"/>
      <c r="B74" s="383"/>
      <c r="C74" s="50" t="s">
        <v>57</v>
      </c>
      <c r="D74" s="225">
        <v>3.2500000000000001E-2</v>
      </c>
      <c r="E74" s="119">
        <f>ROUND(((E54)+(SUM(E72))/2)*(D74/12),2)</f>
        <v>-8235.26</v>
      </c>
      <c r="F74" s="383"/>
      <c r="G74" s="8"/>
      <c r="H74" s="7"/>
      <c r="I74" s="12"/>
      <c r="J74" s="12"/>
    </row>
    <row r="75" spans="1:10" ht="15.75" hidden="1">
      <c r="A75" s="383"/>
      <c r="B75" s="383"/>
      <c r="C75" s="50" t="s">
        <v>1</v>
      </c>
      <c r="D75" s="90">
        <f>A57</f>
        <v>41305</v>
      </c>
      <c r="E75" s="50">
        <f>SUM(E73:E74)</f>
        <v>-2548953.988035908</v>
      </c>
      <c r="F75" s="383"/>
      <c r="G75" s="245"/>
      <c r="H75" s="382"/>
      <c r="I75" s="382"/>
      <c r="J75" s="382"/>
    </row>
    <row r="76" spans="1:10" s="382" customFormat="1" ht="15.75" hidden="1" thickBot="1"/>
    <row r="77" spans="1:10" s="382" customFormat="1" ht="15.75" hidden="1">
      <c r="A77" s="73" t="s">
        <v>141</v>
      </c>
      <c r="B77" s="78"/>
      <c r="C77" s="79"/>
      <c r="D77" s="80"/>
      <c r="E77" s="81"/>
      <c r="G77" s="5"/>
      <c r="H77" s="5"/>
      <c r="I77" s="48"/>
      <c r="J77" s="48"/>
    </row>
    <row r="78" spans="1:10" s="382" customFormat="1" ht="15.75" hidden="1">
      <c r="A78" s="219">
        <v>41333</v>
      </c>
      <c r="B78" s="137"/>
      <c r="C78" s="11"/>
      <c r="D78" s="138"/>
      <c r="E78" s="77"/>
      <c r="G78" s="5"/>
      <c r="H78" s="5"/>
      <c r="I78" s="48"/>
      <c r="J78" s="48"/>
    </row>
    <row r="79" spans="1:10" s="382" customFormat="1" ht="16.5" hidden="1" thickBot="1">
      <c r="A79" s="139"/>
      <c r="B79" s="140"/>
      <c r="C79" s="131" t="s">
        <v>21</v>
      </c>
      <c r="D79" s="131" t="s">
        <v>22</v>
      </c>
      <c r="E79" s="128" t="s">
        <v>23</v>
      </c>
      <c r="F79" s="383"/>
      <c r="G79" s="383"/>
      <c r="H79" s="383"/>
      <c r="I79" s="383"/>
      <c r="J79" s="383"/>
    </row>
    <row r="80" spans="1:10" s="382" customFormat="1" ht="15.75" hidden="1">
      <c r="A80" s="50" t="s">
        <v>24</v>
      </c>
      <c r="B80" s="95">
        <v>101</v>
      </c>
      <c r="C80" s="206">
        <v>16585315</v>
      </c>
      <c r="D80" s="387">
        <v>3.3950000000000001E-2</v>
      </c>
      <c r="E80" s="168">
        <v>563071.44425000006</v>
      </c>
      <c r="F80" s="383"/>
      <c r="G80" s="383"/>
      <c r="H80" s="383"/>
      <c r="I80" s="383"/>
      <c r="J80" s="383"/>
    </row>
    <row r="81" spans="1:10" s="382" customFormat="1" ht="16.5" hidden="1" thickBot="1">
      <c r="A81" s="50" t="s">
        <v>24</v>
      </c>
      <c r="B81" s="95">
        <v>111</v>
      </c>
      <c r="C81" s="206">
        <v>5716465</v>
      </c>
      <c r="D81" s="387">
        <v>3.0599999999999999E-2</v>
      </c>
      <c r="E81" s="168">
        <v>174923.829</v>
      </c>
      <c r="F81" s="383"/>
      <c r="G81" s="123">
        <f>A78</f>
        <v>41333</v>
      </c>
      <c r="H81" s="383"/>
      <c r="I81" s="383"/>
      <c r="J81" s="383"/>
    </row>
    <row r="82" spans="1:10" s="382" customFormat="1" ht="16.5" hidden="1" thickBot="1">
      <c r="A82" s="50" t="s">
        <v>24</v>
      </c>
      <c r="B82" s="95">
        <v>112</v>
      </c>
      <c r="C82" s="206">
        <v>0</v>
      </c>
      <c r="D82" s="387"/>
      <c r="E82" s="168">
        <v>0</v>
      </c>
      <c r="F82" s="383"/>
      <c r="G82" s="113" t="s">
        <v>25</v>
      </c>
      <c r="H82" s="205"/>
      <c r="I82" s="126" t="s">
        <v>18</v>
      </c>
      <c r="J82" s="126" t="s">
        <v>19</v>
      </c>
    </row>
    <row r="83" spans="1:10" s="382" customFormat="1" ht="15.75" hidden="1">
      <c r="A83" s="50" t="s">
        <v>24</v>
      </c>
      <c r="B83" s="95">
        <v>121</v>
      </c>
      <c r="C83" s="206">
        <v>416479</v>
      </c>
      <c r="D83" s="387">
        <v>2.998E-2</v>
      </c>
      <c r="E83" s="168">
        <v>12486.040419999999</v>
      </c>
      <c r="F83" s="383"/>
      <c r="G83" s="151" t="s">
        <v>28</v>
      </c>
      <c r="H83" s="152" t="s">
        <v>75</v>
      </c>
      <c r="I83" s="152"/>
      <c r="J83" s="97">
        <f>IF(-E95&lt;0,-E95,0)</f>
        <v>0</v>
      </c>
    </row>
    <row r="84" spans="1:10" s="382" customFormat="1" ht="15.75" hidden="1">
      <c r="A84" s="50" t="s">
        <v>24</v>
      </c>
      <c r="B84" s="95">
        <v>122</v>
      </c>
      <c r="C84" s="206">
        <v>0</v>
      </c>
      <c r="D84" s="387"/>
      <c r="E84" s="168">
        <v>0</v>
      </c>
      <c r="F84" s="383"/>
      <c r="G84" s="153" t="s">
        <v>29</v>
      </c>
      <c r="H84" s="7" t="s">
        <v>76</v>
      </c>
      <c r="I84" s="7">
        <f>IF(-E95&gt;0,-E95,0)</f>
        <v>5887.14</v>
      </c>
      <c r="J84" s="223"/>
    </row>
    <row r="85" spans="1:10" s="382" customFormat="1" ht="15.75" hidden="1">
      <c r="A85" s="50" t="s">
        <v>24</v>
      </c>
      <c r="B85" s="95">
        <v>131</v>
      </c>
      <c r="C85" s="206">
        <v>0</v>
      </c>
      <c r="D85" s="387">
        <v>5.7389999999999997E-2</v>
      </c>
      <c r="E85" s="168">
        <v>0</v>
      </c>
      <c r="F85" s="383"/>
      <c r="G85" s="153" t="s">
        <v>97</v>
      </c>
      <c r="H85" s="7" t="s">
        <v>26</v>
      </c>
      <c r="I85" s="8"/>
      <c r="J85" s="98">
        <f>-E93</f>
        <v>-750481.31367000006</v>
      </c>
    </row>
    <row r="86" spans="1:10" s="382" customFormat="1" ht="15.75" hidden="1">
      <c r="A86" s="50" t="s">
        <v>24</v>
      </c>
      <c r="B86" s="95">
        <v>132</v>
      </c>
      <c r="C86" s="206">
        <v>0</v>
      </c>
      <c r="D86" s="387"/>
      <c r="E86" s="168">
        <v>0</v>
      </c>
      <c r="F86" s="383"/>
      <c r="G86" s="153" t="s">
        <v>10</v>
      </c>
      <c r="H86" s="7" t="s">
        <v>17</v>
      </c>
      <c r="I86" s="7">
        <v>0</v>
      </c>
      <c r="J86" s="98"/>
    </row>
    <row r="87" spans="1:10" s="382" customFormat="1" ht="16.5" hidden="1" thickBot="1">
      <c r="A87" s="50" t="s">
        <v>24</v>
      </c>
      <c r="B87" s="95">
        <v>146</v>
      </c>
      <c r="C87" s="206">
        <v>2865845</v>
      </c>
      <c r="D87" s="238"/>
      <c r="E87" s="168">
        <v>0</v>
      </c>
      <c r="F87" s="383"/>
      <c r="G87" s="154" t="s">
        <v>98</v>
      </c>
      <c r="H87" s="147" t="s">
        <v>27</v>
      </c>
      <c r="I87" s="110">
        <f>-E75+E96</f>
        <v>744594.17367000016</v>
      </c>
      <c r="J87" s="107"/>
    </row>
    <row r="88" spans="1:10" s="382" customFormat="1" ht="15.75" hidden="1">
      <c r="A88" s="50" t="s">
        <v>151</v>
      </c>
      <c r="B88" s="95"/>
      <c r="C88" s="206"/>
      <c r="D88" s="121"/>
      <c r="E88" s="168">
        <v>0</v>
      </c>
      <c r="F88" s="383"/>
      <c r="G88" s="383"/>
      <c r="H88" s="383"/>
      <c r="I88" s="383"/>
      <c r="J88" s="336">
        <f>SUM(I83:J87)</f>
        <v>0</v>
      </c>
    </row>
    <row r="89" spans="1:10" s="382" customFormat="1" ht="15.75" hidden="1">
      <c r="A89" s="141" t="s">
        <v>143</v>
      </c>
      <c r="B89" s="95">
        <v>146</v>
      </c>
      <c r="C89" s="206"/>
      <c r="D89" s="121"/>
      <c r="E89" s="168">
        <v>0</v>
      </c>
      <c r="F89" s="383"/>
      <c r="G89" s="123"/>
      <c r="H89" s="7"/>
      <c r="I89" s="7"/>
      <c r="J89" s="7"/>
    </row>
    <row r="90" spans="1:10" s="382" customFormat="1" ht="15.75" hidden="1">
      <c r="A90" s="141" t="s">
        <v>105</v>
      </c>
      <c r="B90" s="95"/>
      <c r="C90" s="206"/>
      <c r="D90" s="121"/>
      <c r="E90" s="226">
        <v>0</v>
      </c>
      <c r="F90" s="383"/>
      <c r="G90" s="123"/>
      <c r="H90" s="7"/>
      <c r="I90" s="12"/>
      <c r="J90" s="12"/>
    </row>
    <row r="91" spans="1:10" s="382" customFormat="1" ht="16.5" hidden="1" thickBot="1">
      <c r="A91" s="50"/>
      <c r="B91" s="95"/>
      <c r="C91" s="159">
        <f>SUM(C80:C90)</f>
        <v>25584104</v>
      </c>
      <c r="D91" s="142"/>
      <c r="E91" s="207">
        <f>SUM(E80:E90)</f>
        <v>750481.31367000006</v>
      </c>
      <c r="F91" s="383"/>
      <c r="G91" s="123"/>
      <c r="H91" s="7"/>
      <c r="I91" s="7"/>
      <c r="J91" s="8"/>
    </row>
    <row r="92" spans="1:10" s="382" customFormat="1" ht="16.5" hidden="1" thickTop="1">
      <c r="A92" s="50"/>
      <c r="B92" s="95"/>
      <c r="C92" s="224">
        <v>25584104</v>
      </c>
      <c r="D92" s="142" t="s">
        <v>161</v>
      </c>
      <c r="E92" s="156">
        <v>0</v>
      </c>
      <c r="F92" s="383"/>
      <c r="G92" s="11"/>
      <c r="H92" s="7"/>
      <c r="I92" s="8"/>
      <c r="J92" s="7"/>
    </row>
    <row r="93" spans="1:10" s="382" customFormat="1" ht="16.5" hidden="1" thickBot="1">
      <c r="A93" s="50"/>
      <c r="B93" s="95"/>
      <c r="C93" s="230">
        <f>C92-C91</f>
        <v>0</v>
      </c>
      <c r="D93" s="142"/>
      <c r="E93" s="160">
        <f>SUM(E91:E92)</f>
        <v>750481.31367000006</v>
      </c>
      <c r="F93" s="383"/>
      <c r="G93" s="65" t="s">
        <v>158</v>
      </c>
      <c r="H93" s="7"/>
      <c r="I93" s="7"/>
      <c r="J93" s="7"/>
    </row>
    <row r="94" spans="1:10" s="382" customFormat="1" ht="16.5" hidden="1" thickTop="1">
      <c r="A94" s="383"/>
      <c r="B94" s="383"/>
      <c r="C94" s="383"/>
      <c r="D94" s="142" t="s">
        <v>87</v>
      </c>
      <c r="E94" s="50">
        <f>E93+E75</f>
        <v>-1798472.6743659079</v>
      </c>
      <c r="F94" s="383"/>
      <c r="G94" s="8">
        <f>(E75*(D95/12))+(E93*(D95/24))</f>
        <v>-5887.1402720024589</v>
      </c>
      <c r="H94" s="446"/>
      <c r="I94" s="446"/>
      <c r="J94" s="7"/>
    </row>
    <row r="95" spans="1:10" s="382" customFormat="1" ht="15.75" hidden="1">
      <c r="A95" s="383"/>
      <c r="B95" s="383"/>
      <c r="C95" s="50" t="s">
        <v>57</v>
      </c>
      <c r="D95" s="225">
        <v>3.2500000000000001E-2</v>
      </c>
      <c r="E95" s="119">
        <f>ROUND(((E75)+(SUM(E93))/2)*(D95/12),2)</f>
        <v>-5887.14</v>
      </c>
      <c r="F95" s="383"/>
      <c r="G95" s="8"/>
      <c r="H95" s="7"/>
      <c r="I95" s="12"/>
      <c r="J95" s="12"/>
    </row>
    <row r="96" spans="1:10" s="382" customFormat="1" ht="15.75" hidden="1">
      <c r="A96" s="383"/>
      <c r="B96" s="383"/>
      <c r="C96" s="50" t="s">
        <v>1</v>
      </c>
      <c r="D96" s="90">
        <f>A78</f>
        <v>41333</v>
      </c>
      <c r="E96" s="50">
        <f>SUM(E94:E95)</f>
        <v>-1804359.8143659078</v>
      </c>
      <c r="F96" s="383"/>
      <c r="G96" s="245"/>
    </row>
    <row r="97" spans="1:10" s="382" customFormat="1" ht="15.75" hidden="1" thickBot="1"/>
    <row r="98" spans="1:10" s="382" customFormat="1" ht="15.75" hidden="1">
      <c r="A98" s="73" t="s">
        <v>141</v>
      </c>
      <c r="B98" s="78"/>
      <c r="C98" s="79"/>
      <c r="D98" s="80"/>
      <c r="E98" s="81"/>
      <c r="G98" s="5"/>
      <c r="H98" s="5"/>
      <c r="I98" s="48"/>
      <c r="J98" s="48"/>
    </row>
    <row r="99" spans="1:10" s="382" customFormat="1" ht="15.75" hidden="1">
      <c r="A99" s="219">
        <v>41364</v>
      </c>
      <c r="B99" s="137"/>
      <c r="C99" s="11"/>
      <c r="D99" s="138"/>
      <c r="E99" s="77"/>
      <c r="G99" s="5"/>
      <c r="H99" s="5"/>
      <c r="I99" s="48"/>
      <c r="J99" s="48"/>
    </row>
    <row r="100" spans="1:10" s="382" customFormat="1" ht="16.5" hidden="1" thickBot="1">
      <c r="A100" s="139"/>
      <c r="B100" s="140"/>
      <c r="C100" s="131" t="s">
        <v>21</v>
      </c>
      <c r="D100" s="131" t="s">
        <v>22</v>
      </c>
      <c r="E100" s="128" t="s">
        <v>23</v>
      </c>
      <c r="F100" s="383"/>
      <c r="G100" s="383"/>
      <c r="H100" s="383"/>
      <c r="I100" s="383"/>
      <c r="J100" s="383"/>
    </row>
    <row r="101" spans="1:10" s="382" customFormat="1" ht="15.75" hidden="1">
      <c r="A101" s="50" t="s">
        <v>24</v>
      </c>
      <c r="B101" s="95">
        <v>101</v>
      </c>
      <c r="C101" s="206">
        <v>12776328</v>
      </c>
      <c r="D101" s="387">
        <v>3.3950000000000001E-2</v>
      </c>
      <c r="E101" s="168">
        <v>433756.33559999999</v>
      </c>
      <c r="F101" s="383"/>
      <c r="G101" s="383"/>
      <c r="H101" s="383"/>
      <c r="I101" s="383"/>
      <c r="J101" s="383"/>
    </row>
    <row r="102" spans="1:10" s="382" customFormat="1" ht="16.5" hidden="1" thickBot="1">
      <c r="A102" s="50" t="s">
        <v>24</v>
      </c>
      <c r="B102" s="95">
        <v>111</v>
      </c>
      <c r="C102" s="206">
        <v>4890087</v>
      </c>
      <c r="D102" s="387">
        <v>3.0599999999999999E-2</v>
      </c>
      <c r="E102" s="168">
        <v>149636.66219999999</v>
      </c>
      <c r="F102" s="383"/>
      <c r="G102" s="123">
        <f>A99</f>
        <v>41364</v>
      </c>
      <c r="H102" s="383"/>
      <c r="I102" s="383"/>
      <c r="J102" s="383"/>
    </row>
    <row r="103" spans="1:10" s="382" customFormat="1" ht="16.5" hidden="1" thickBot="1">
      <c r="A103" s="50" t="s">
        <v>24</v>
      </c>
      <c r="B103" s="95">
        <v>112</v>
      </c>
      <c r="C103" s="206">
        <v>0</v>
      </c>
      <c r="D103" s="387"/>
      <c r="E103" s="168">
        <v>0</v>
      </c>
      <c r="F103" s="383"/>
      <c r="G103" s="113" t="s">
        <v>25</v>
      </c>
      <c r="H103" s="205"/>
      <c r="I103" s="126" t="s">
        <v>18</v>
      </c>
      <c r="J103" s="126" t="s">
        <v>19</v>
      </c>
    </row>
    <row r="104" spans="1:10" s="382" customFormat="1" ht="15.75" hidden="1">
      <c r="A104" s="50" t="s">
        <v>24</v>
      </c>
      <c r="B104" s="95">
        <v>121</v>
      </c>
      <c r="C104" s="206">
        <v>526218</v>
      </c>
      <c r="D104" s="387">
        <v>2.998E-2</v>
      </c>
      <c r="E104" s="168">
        <v>15776.01564</v>
      </c>
      <c r="F104" s="383"/>
      <c r="G104" s="151" t="s">
        <v>28</v>
      </c>
      <c r="H104" s="152" t="s">
        <v>75</v>
      </c>
      <c r="I104" s="152"/>
      <c r="J104" s="97">
        <f>IF(-E116&lt;0,-E116,0)</f>
        <v>0</v>
      </c>
    </row>
    <row r="105" spans="1:10" s="382" customFormat="1" ht="15.75" hidden="1">
      <c r="A105" s="50" t="s">
        <v>24</v>
      </c>
      <c r="B105" s="95">
        <v>122</v>
      </c>
      <c r="C105" s="206">
        <v>0</v>
      </c>
      <c r="D105" s="387"/>
      <c r="E105" s="168">
        <v>0</v>
      </c>
      <c r="F105" s="383"/>
      <c r="G105" s="153" t="s">
        <v>29</v>
      </c>
      <c r="H105" s="7" t="s">
        <v>76</v>
      </c>
      <c r="I105" s="7">
        <f>IF(-E116&gt;0,-E116,0)</f>
        <v>4075.43</v>
      </c>
      <c r="J105" s="223"/>
    </row>
    <row r="106" spans="1:10" s="382" customFormat="1" ht="15.75" hidden="1">
      <c r="A106" s="50" t="s">
        <v>24</v>
      </c>
      <c r="B106" s="95">
        <v>131</v>
      </c>
      <c r="C106" s="206">
        <v>0</v>
      </c>
      <c r="D106" s="387">
        <v>5.7389999999999997E-2</v>
      </c>
      <c r="E106" s="168">
        <v>0</v>
      </c>
      <c r="F106" s="383"/>
      <c r="G106" s="153" t="s">
        <v>97</v>
      </c>
      <c r="H106" s="7" t="s">
        <v>26</v>
      </c>
      <c r="I106" s="8"/>
      <c r="J106" s="98">
        <f>-E114</f>
        <v>-599169.01344000001</v>
      </c>
    </row>
    <row r="107" spans="1:10" s="382" customFormat="1" ht="15.75" hidden="1">
      <c r="A107" s="50" t="s">
        <v>24</v>
      </c>
      <c r="B107" s="95">
        <v>132</v>
      </c>
      <c r="C107" s="206">
        <v>0</v>
      </c>
      <c r="D107" s="387"/>
      <c r="E107" s="168">
        <v>0</v>
      </c>
      <c r="F107" s="383"/>
      <c r="G107" s="153" t="s">
        <v>10</v>
      </c>
      <c r="H107" s="7" t="s">
        <v>17</v>
      </c>
      <c r="I107" s="7">
        <v>0</v>
      </c>
      <c r="J107" s="98"/>
    </row>
    <row r="108" spans="1:10" s="382" customFormat="1" ht="16.5" hidden="1" thickBot="1">
      <c r="A108" s="50" t="s">
        <v>24</v>
      </c>
      <c r="B108" s="95">
        <v>146</v>
      </c>
      <c r="C108" s="206">
        <v>2772085</v>
      </c>
      <c r="D108" s="238"/>
      <c r="E108" s="168">
        <v>0</v>
      </c>
      <c r="F108" s="383"/>
      <c r="G108" s="154" t="s">
        <v>98</v>
      </c>
      <c r="H108" s="147" t="s">
        <v>27</v>
      </c>
      <c r="I108" s="110">
        <f>-E96+E117</f>
        <v>595093.58344000019</v>
      </c>
      <c r="J108" s="107"/>
    </row>
    <row r="109" spans="1:10" s="382" customFormat="1" ht="15.75" hidden="1">
      <c r="A109" s="50" t="s">
        <v>151</v>
      </c>
      <c r="B109" s="95"/>
      <c r="C109" s="206"/>
      <c r="D109" s="121"/>
      <c r="E109" s="168">
        <v>0</v>
      </c>
      <c r="F109" s="383"/>
      <c r="G109" s="383"/>
      <c r="H109" s="383"/>
      <c r="I109" s="383"/>
      <c r="J109" s="336">
        <f>SUM(I104:J108)</f>
        <v>0</v>
      </c>
    </row>
    <row r="110" spans="1:10" s="382" customFormat="1" ht="15.75" hidden="1">
      <c r="A110" s="141" t="s">
        <v>143</v>
      </c>
      <c r="B110" s="95">
        <v>146</v>
      </c>
      <c r="C110" s="206"/>
      <c r="D110" s="121"/>
      <c r="E110" s="168">
        <v>0</v>
      </c>
      <c r="F110" s="383"/>
      <c r="G110" s="123"/>
      <c r="H110" s="7"/>
      <c r="I110" s="7"/>
      <c r="J110" s="7"/>
    </row>
    <row r="111" spans="1:10" s="382" customFormat="1" ht="15.75" hidden="1">
      <c r="A111" s="141" t="s">
        <v>105</v>
      </c>
      <c r="B111" s="95"/>
      <c r="C111" s="206"/>
      <c r="D111" s="121"/>
      <c r="E111" s="226">
        <v>0</v>
      </c>
      <c r="F111" s="383"/>
      <c r="G111" s="123"/>
      <c r="H111" s="7"/>
      <c r="I111" s="12"/>
      <c r="J111" s="12"/>
    </row>
    <row r="112" spans="1:10" s="382" customFormat="1" ht="16.5" hidden="1" thickBot="1">
      <c r="A112" s="50"/>
      <c r="B112" s="95"/>
      <c r="C112" s="159">
        <f>SUM(C101:C111)</f>
        <v>20964718</v>
      </c>
      <c r="D112" s="142"/>
      <c r="E112" s="207">
        <f>SUM(E101:E111)</f>
        <v>599169.01344000001</v>
      </c>
      <c r="F112" s="383"/>
      <c r="G112" s="123"/>
      <c r="H112" s="7"/>
      <c r="I112" s="7"/>
      <c r="J112" s="8"/>
    </row>
    <row r="113" spans="1:10" s="382" customFormat="1" ht="16.5" hidden="1" thickTop="1">
      <c r="A113" s="50"/>
      <c r="B113" s="95"/>
      <c r="C113" s="224">
        <v>20964718</v>
      </c>
      <c r="D113" s="142" t="s">
        <v>161</v>
      </c>
      <c r="E113" s="156">
        <v>0</v>
      </c>
      <c r="F113" s="383"/>
      <c r="G113" s="11"/>
      <c r="H113" s="7"/>
      <c r="I113" s="8"/>
      <c r="J113" s="7"/>
    </row>
    <row r="114" spans="1:10" s="382" customFormat="1" ht="16.5" hidden="1" thickBot="1">
      <c r="A114" s="50"/>
      <c r="B114" s="95"/>
      <c r="C114" s="230">
        <f>C113-C112</f>
        <v>0</v>
      </c>
      <c r="D114" s="142"/>
      <c r="E114" s="160">
        <f>SUM(E112:E113)</f>
        <v>599169.01344000001</v>
      </c>
      <c r="F114" s="383"/>
      <c r="G114" s="65" t="s">
        <v>158</v>
      </c>
      <c r="H114" s="7"/>
      <c r="I114" s="7"/>
      <c r="J114" s="7"/>
    </row>
    <row r="115" spans="1:10" s="382" customFormat="1" ht="16.5" hidden="1" thickTop="1">
      <c r="A115" s="383"/>
      <c r="B115" s="383"/>
      <c r="C115" s="383"/>
      <c r="D115" s="142" t="s">
        <v>87</v>
      </c>
      <c r="E115" s="50">
        <f>E114+E96</f>
        <v>-1205190.8009259077</v>
      </c>
      <c r="F115" s="383"/>
      <c r="G115" s="8">
        <f>(E96*(D116/12))+(E114*(D116/24))</f>
        <v>-4075.4331248743338</v>
      </c>
      <c r="H115" s="448"/>
      <c r="I115" s="448"/>
      <c r="J115" s="7"/>
    </row>
    <row r="116" spans="1:10" s="382" customFormat="1" ht="15.75" hidden="1">
      <c r="A116" s="383"/>
      <c r="B116" s="383"/>
      <c r="C116" s="50" t="s">
        <v>57</v>
      </c>
      <c r="D116" s="225">
        <v>3.2500000000000001E-2</v>
      </c>
      <c r="E116" s="119">
        <f>ROUND(((E96)+(SUM(E114))/2)*(D116/12),2)</f>
        <v>-4075.43</v>
      </c>
      <c r="F116" s="383"/>
      <c r="G116" s="8"/>
      <c r="H116" s="7"/>
      <c r="I116" s="12"/>
      <c r="J116" s="12"/>
    </row>
    <row r="117" spans="1:10" s="382" customFormat="1" ht="15.75" hidden="1">
      <c r="A117" s="383"/>
      <c r="B117" s="383"/>
      <c r="C117" s="50" t="s">
        <v>1</v>
      </c>
      <c r="D117" s="90">
        <f>A99</f>
        <v>41364</v>
      </c>
      <c r="E117" s="50">
        <f>SUM(E115:E116)</f>
        <v>-1209266.2309259076</v>
      </c>
      <c r="F117" s="383"/>
      <c r="G117" s="245"/>
    </row>
    <row r="118" spans="1:10" s="382" customFormat="1" ht="15.75" hidden="1" thickBot="1"/>
    <row r="119" spans="1:10" s="382" customFormat="1" ht="15.75" hidden="1">
      <c r="A119" s="73" t="s">
        <v>141</v>
      </c>
      <c r="B119" s="78"/>
      <c r="C119" s="79"/>
      <c r="D119" s="80"/>
      <c r="E119" s="81"/>
      <c r="G119" s="5"/>
      <c r="H119" s="5"/>
      <c r="I119" s="48"/>
      <c r="J119" s="48"/>
    </row>
    <row r="120" spans="1:10" s="382" customFormat="1" ht="15.75" hidden="1">
      <c r="A120" s="219">
        <v>41394</v>
      </c>
      <c r="B120" s="137"/>
      <c r="C120" s="11"/>
      <c r="D120" s="138"/>
      <c r="E120" s="77"/>
      <c r="G120" s="5"/>
      <c r="H120" s="5"/>
      <c r="I120" s="48"/>
      <c r="J120" s="48"/>
    </row>
    <row r="121" spans="1:10" s="382" customFormat="1" ht="16.5" hidden="1" thickBot="1">
      <c r="A121" s="139"/>
      <c r="B121" s="140"/>
      <c r="C121" s="131" t="s">
        <v>21</v>
      </c>
      <c r="D121" s="131" t="s">
        <v>22</v>
      </c>
      <c r="E121" s="128" t="s">
        <v>23</v>
      </c>
      <c r="F121" s="383"/>
      <c r="G121" s="383"/>
      <c r="H121" s="383"/>
      <c r="I121" s="383"/>
      <c r="J121" s="383"/>
    </row>
    <row r="122" spans="1:10" s="382" customFormat="1" ht="15.75" hidden="1">
      <c r="A122" s="50" t="s">
        <v>24</v>
      </c>
      <c r="B122" s="95">
        <v>101</v>
      </c>
      <c r="C122" s="206">
        <v>8689955</v>
      </c>
      <c r="D122" s="387">
        <v>3.3950000000000001E-2</v>
      </c>
      <c r="E122" s="168">
        <v>295023.97224999999</v>
      </c>
      <c r="F122" s="383"/>
      <c r="G122" s="383"/>
      <c r="H122" s="383"/>
      <c r="I122" s="383"/>
      <c r="J122" s="383"/>
    </row>
    <row r="123" spans="1:10" s="382" customFormat="1" ht="16.5" hidden="1" thickBot="1">
      <c r="A123" s="50" t="s">
        <v>24</v>
      </c>
      <c r="B123" s="95">
        <v>111</v>
      </c>
      <c r="C123" s="206">
        <v>3665435</v>
      </c>
      <c r="D123" s="387">
        <v>3.0599999999999999E-2</v>
      </c>
      <c r="E123" s="168">
        <v>112162.311</v>
      </c>
      <c r="F123" s="383"/>
      <c r="G123" s="123">
        <f>A120</f>
        <v>41394</v>
      </c>
      <c r="H123" s="383"/>
      <c r="I123" s="383"/>
      <c r="J123" s="383"/>
    </row>
    <row r="124" spans="1:10" s="382" customFormat="1" ht="16.5" hidden="1" thickBot="1">
      <c r="A124" s="50" t="s">
        <v>24</v>
      </c>
      <c r="B124" s="95">
        <v>112</v>
      </c>
      <c r="C124" s="206">
        <v>0</v>
      </c>
      <c r="D124" s="387"/>
      <c r="E124" s="168">
        <v>0</v>
      </c>
      <c r="F124" s="383"/>
      <c r="G124" s="113" t="s">
        <v>25</v>
      </c>
      <c r="H124" s="205"/>
      <c r="I124" s="126" t="s">
        <v>18</v>
      </c>
      <c r="J124" s="126" t="s">
        <v>19</v>
      </c>
    </row>
    <row r="125" spans="1:10" s="382" customFormat="1" ht="15.75" hidden="1">
      <c r="A125" s="50" t="s">
        <v>24</v>
      </c>
      <c r="B125" s="95">
        <v>121</v>
      </c>
      <c r="C125" s="206">
        <v>375679</v>
      </c>
      <c r="D125" s="387">
        <v>2.998E-2</v>
      </c>
      <c r="E125" s="168">
        <v>11262.85642</v>
      </c>
      <c r="F125" s="383"/>
      <c r="G125" s="151" t="s">
        <v>28</v>
      </c>
      <c r="H125" s="152" t="s">
        <v>75</v>
      </c>
      <c r="I125" s="152"/>
      <c r="J125" s="97">
        <f>IF(-E137&lt;0,-E137,0)</f>
        <v>0</v>
      </c>
    </row>
    <row r="126" spans="1:10" s="382" customFormat="1" ht="15.75" hidden="1">
      <c r="A126" s="50" t="s">
        <v>24</v>
      </c>
      <c r="B126" s="95">
        <v>122</v>
      </c>
      <c r="C126" s="206">
        <v>0</v>
      </c>
      <c r="D126" s="387"/>
      <c r="E126" s="168">
        <v>0</v>
      </c>
      <c r="F126" s="383"/>
      <c r="G126" s="153" t="s">
        <v>29</v>
      </c>
      <c r="H126" s="7" t="s">
        <v>76</v>
      </c>
      <c r="I126" s="7">
        <f>IF(-E137&gt;0,-E137,0)</f>
        <v>2708.45</v>
      </c>
      <c r="J126" s="223"/>
    </row>
    <row r="127" spans="1:10" s="382" customFormat="1" ht="15.75" hidden="1">
      <c r="A127" s="50" t="s">
        <v>24</v>
      </c>
      <c r="B127" s="95">
        <v>131</v>
      </c>
      <c r="C127" s="206">
        <v>0</v>
      </c>
      <c r="D127" s="387">
        <v>5.7389999999999997E-2</v>
      </c>
      <c r="E127" s="168">
        <v>0</v>
      </c>
      <c r="F127" s="383"/>
      <c r="G127" s="153" t="s">
        <v>97</v>
      </c>
      <c r="H127" s="7" t="s">
        <v>26</v>
      </c>
      <c r="I127" s="8"/>
      <c r="J127" s="98">
        <f>-E135</f>
        <v>-418449.13967</v>
      </c>
    </row>
    <row r="128" spans="1:10" s="382" customFormat="1" ht="15.75" hidden="1">
      <c r="A128" s="50" t="s">
        <v>24</v>
      </c>
      <c r="B128" s="95">
        <v>132</v>
      </c>
      <c r="C128" s="206">
        <v>0</v>
      </c>
      <c r="D128" s="387"/>
      <c r="E128" s="168">
        <v>0</v>
      </c>
      <c r="F128" s="383"/>
      <c r="G128" s="153" t="s">
        <v>10</v>
      </c>
      <c r="H128" s="7" t="s">
        <v>17</v>
      </c>
      <c r="I128" s="7">
        <v>0</v>
      </c>
      <c r="J128" s="98"/>
    </row>
    <row r="129" spans="1:10" s="382" customFormat="1" ht="16.5" hidden="1" thickBot="1">
      <c r="A129" s="50" t="s">
        <v>24</v>
      </c>
      <c r="B129" s="95">
        <v>146</v>
      </c>
      <c r="C129" s="206">
        <v>2439162</v>
      </c>
      <c r="D129" s="238"/>
      <c r="E129" s="168">
        <v>0</v>
      </c>
      <c r="F129" s="383"/>
      <c r="G129" s="154" t="s">
        <v>98</v>
      </c>
      <c r="H129" s="147" t="s">
        <v>27</v>
      </c>
      <c r="I129" s="110">
        <f>-E117+E138</f>
        <v>415740.68966999999</v>
      </c>
      <c r="J129" s="107"/>
    </row>
    <row r="130" spans="1:10" s="382" customFormat="1" ht="15.75" hidden="1">
      <c r="A130" s="50" t="s">
        <v>151</v>
      </c>
      <c r="B130" s="95"/>
      <c r="C130" s="206"/>
      <c r="D130" s="121"/>
      <c r="E130" s="168">
        <v>0</v>
      </c>
      <c r="F130" s="383"/>
      <c r="G130" s="383"/>
      <c r="H130" s="383"/>
      <c r="I130" s="383"/>
      <c r="J130" s="336">
        <f>SUM(I125:J129)</f>
        <v>0</v>
      </c>
    </row>
    <row r="131" spans="1:10" s="382" customFormat="1" ht="15.75" hidden="1">
      <c r="A131" s="141" t="s">
        <v>143</v>
      </c>
      <c r="B131" s="95">
        <v>146</v>
      </c>
      <c r="C131" s="206"/>
      <c r="D131" s="121"/>
      <c r="E131" s="168">
        <v>0</v>
      </c>
      <c r="F131" s="383"/>
      <c r="G131" s="123"/>
      <c r="H131" s="7"/>
      <c r="I131" s="7"/>
      <c r="J131" s="7"/>
    </row>
    <row r="132" spans="1:10" s="382" customFormat="1" ht="15.75" hidden="1">
      <c r="A132" s="141" t="s">
        <v>105</v>
      </c>
      <c r="B132" s="95"/>
      <c r="C132" s="206"/>
      <c r="D132" s="121"/>
      <c r="E132" s="226">
        <v>0</v>
      </c>
      <c r="F132" s="383"/>
      <c r="G132" s="123"/>
      <c r="H132" s="7"/>
      <c r="I132" s="12"/>
      <c r="J132" s="12"/>
    </row>
    <row r="133" spans="1:10" s="382" customFormat="1" ht="16.5" hidden="1" thickBot="1">
      <c r="A133" s="50"/>
      <c r="B133" s="95"/>
      <c r="C133" s="159">
        <f>SUM(C122:C132)</f>
        <v>15170231</v>
      </c>
      <c r="D133" s="142"/>
      <c r="E133" s="207">
        <f>SUM(E122:E132)</f>
        <v>418449.13967</v>
      </c>
      <c r="F133" s="383"/>
      <c r="G133" s="123"/>
      <c r="H133" s="7"/>
      <c r="I133" s="7"/>
      <c r="J133" s="8"/>
    </row>
    <row r="134" spans="1:10" s="382" customFormat="1" ht="16.5" hidden="1" thickTop="1">
      <c r="A134" s="50"/>
      <c r="B134" s="95"/>
      <c r="C134" s="224">
        <v>15170231</v>
      </c>
      <c r="D134" s="142" t="s">
        <v>161</v>
      </c>
      <c r="E134" s="156">
        <v>0</v>
      </c>
      <c r="F134" s="383"/>
      <c r="G134" s="11"/>
      <c r="H134" s="7"/>
      <c r="I134" s="8"/>
      <c r="J134" s="7"/>
    </row>
    <row r="135" spans="1:10" s="382" customFormat="1" ht="16.5" hidden="1" thickBot="1">
      <c r="A135" s="50"/>
      <c r="B135" s="95"/>
      <c r="C135" s="230">
        <f>C134-C133</f>
        <v>0</v>
      </c>
      <c r="D135" s="142"/>
      <c r="E135" s="160">
        <f>SUM(E133:E134)</f>
        <v>418449.13967</v>
      </c>
      <c r="F135" s="383"/>
      <c r="G135" s="65" t="s">
        <v>158</v>
      </c>
      <c r="H135" s="7"/>
      <c r="I135" s="7"/>
      <c r="J135" s="7"/>
    </row>
    <row r="136" spans="1:10" s="382" customFormat="1" ht="16.5" hidden="1" thickTop="1">
      <c r="A136" s="383"/>
      <c r="B136" s="383"/>
      <c r="C136" s="383"/>
      <c r="D136" s="142" t="s">
        <v>87</v>
      </c>
      <c r="E136" s="50">
        <f>E135+E117</f>
        <v>-790817.09125590767</v>
      </c>
      <c r="F136" s="383"/>
      <c r="G136" s="8">
        <f>(E117*(D137/12))+(E135*(D137/24))</f>
        <v>-2708.4461654545416</v>
      </c>
      <c r="H136" s="449"/>
      <c r="I136" s="449"/>
      <c r="J136" s="7"/>
    </row>
    <row r="137" spans="1:10" s="382" customFormat="1" ht="15.75" hidden="1">
      <c r="A137" s="383"/>
      <c r="B137" s="383"/>
      <c r="C137" s="50" t="s">
        <v>57</v>
      </c>
      <c r="D137" s="225">
        <v>3.2500000000000001E-2</v>
      </c>
      <c r="E137" s="119">
        <f>ROUND(((E117)+(SUM(E135))/2)*(D137/12),2)</f>
        <v>-2708.45</v>
      </c>
      <c r="F137" s="383"/>
      <c r="G137" s="8"/>
      <c r="H137" s="7"/>
      <c r="I137" s="12"/>
      <c r="J137" s="12"/>
    </row>
    <row r="138" spans="1:10" s="382" customFormat="1" ht="15.75" hidden="1">
      <c r="A138" s="383"/>
      <c r="B138" s="383"/>
      <c r="C138" s="50" t="s">
        <v>1</v>
      </c>
      <c r="D138" s="90">
        <f>A120</f>
        <v>41394</v>
      </c>
      <c r="E138" s="50">
        <f>SUM(E136:E137)</f>
        <v>-793525.54125590762</v>
      </c>
      <c r="F138" s="383"/>
      <c r="G138" s="383"/>
    </row>
    <row r="139" spans="1:10" s="382" customFormat="1" ht="15.75" hidden="1" thickBot="1"/>
    <row r="140" spans="1:10" s="382" customFormat="1" ht="15.75" hidden="1">
      <c r="A140" s="73" t="s">
        <v>141</v>
      </c>
      <c r="B140" s="78"/>
      <c r="C140" s="79"/>
      <c r="D140" s="80"/>
      <c r="E140" s="81"/>
      <c r="G140" s="5"/>
      <c r="H140" s="5"/>
      <c r="I140" s="48"/>
      <c r="J140" s="48"/>
    </row>
    <row r="141" spans="1:10" s="382" customFormat="1" ht="15.75" hidden="1">
      <c r="A141" s="219">
        <v>41425</v>
      </c>
      <c r="B141" s="137"/>
      <c r="C141" s="11"/>
      <c r="D141" s="138"/>
      <c r="E141" s="77"/>
      <c r="G141" s="5"/>
      <c r="H141" s="5"/>
      <c r="I141" s="48"/>
      <c r="J141" s="48"/>
    </row>
    <row r="142" spans="1:10" s="382" customFormat="1" ht="16.5" hidden="1" thickBot="1">
      <c r="A142" s="139"/>
      <c r="B142" s="140"/>
      <c r="C142" s="131" t="s">
        <v>21</v>
      </c>
      <c r="D142" s="131" t="s">
        <v>22</v>
      </c>
      <c r="E142" s="128" t="s">
        <v>23</v>
      </c>
      <c r="F142" s="383"/>
      <c r="G142" s="383"/>
      <c r="H142" s="383"/>
      <c r="I142" s="383"/>
      <c r="J142" s="383"/>
    </row>
    <row r="143" spans="1:10" s="382" customFormat="1" ht="15.75" hidden="1">
      <c r="A143" s="50" t="s">
        <v>24</v>
      </c>
      <c r="B143" s="95">
        <v>101</v>
      </c>
      <c r="C143" s="206">
        <v>4182901</v>
      </c>
      <c r="D143" s="387">
        <v>3.3950000000000001E-2</v>
      </c>
      <c r="E143" s="168">
        <v>142009.48895</v>
      </c>
      <c r="F143" s="383"/>
      <c r="G143" s="383"/>
      <c r="H143" s="383"/>
      <c r="I143" s="383"/>
      <c r="J143" s="383"/>
    </row>
    <row r="144" spans="1:10" s="382" customFormat="1" ht="16.5" hidden="1" thickBot="1">
      <c r="A144" s="50" t="s">
        <v>24</v>
      </c>
      <c r="B144" s="95">
        <v>111</v>
      </c>
      <c r="C144" s="206">
        <v>1970725</v>
      </c>
      <c r="D144" s="387">
        <v>3.0599999999999999E-2</v>
      </c>
      <c r="E144" s="168">
        <v>60304.184999999998</v>
      </c>
      <c r="F144" s="383"/>
      <c r="G144" s="123">
        <f>A141</f>
        <v>41425</v>
      </c>
      <c r="H144" s="383"/>
      <c r="I144" s="383"/>
      <c r="J144" s="383"/>
    </row>
    <row r="145" spans="1:10" s="382" customFormat="1" ht="16.5" hidden="1" thickBot="1">
      <c r="A145" s="50" t="s">
        <v>24</v>
      </c>
      <c r="B145" s="95">
        <v>112</v>
      </c>
      <c r="C145" s="206">
        <v>0</v>
      </c>
      <c r="D145" s="387"/>
      <c r="E145" s="168">
        <v>0</v>
      </c>
      <c r="F145" s="383"/>
      <c r="G145" s="113" t="s">
        <v>25</v>
      </c>
      <c r="H145" s="205"/>
      <c r="I145" s="126" t="s">
        <v>18</v>
      </c>
      <c r="J145" s="126" t="s">
        <v>19</v>
      </c>
    </row>
    <row r="146" spans="1:10" s="382" customFormat="1" ht="15.75" hidden="1">
      <c r="A146" s="50" t="s">
        <v>24</v>
      </c>
      <c r="B146" s="95">
        <v>121</v>
      </c>
      <c r="C146" s="206">
        <v>339319</v>
      </c>
      <c r="D146" s="387">
        <v>2.998E-2</v>
      </c>
      <c r="E146" s="168">
        <v>10172.78362</v>
      </c>
      <c r="F146" s="383"/>
      <c r="G146" s="151" t="s">
        <v>28</v>
      </c>
      <c r="H146" s="152" t="s">
        <v>75</v>
      </c>
      <c r="I146" s="152"/>
      <c r="J146" s="97">
        <f>IF(-E158&lt;0,-E158,0)</f>
        <v>0</v>
      </c>
    </row>
    <row r="147" spans="1:10" s="382" customFormat="1" ht="15.75" hidden="1">
      <c r="A147" s="50" t="s">
        <v>24</v>
      </c>
      <c r="B147" s="95">
        <v>122</v>
      </c>
      <c r="C147" s="206">
        <v>0</v>
      </c>
      <c r="D147" s="387"/>
      <c r="E147" s="168">
        <v>0</v>
      </c>
      <c r="F147" s="383"/>
      <c r="G147" s="153" t="s">
        <v>29</v>
      </c>
      <c r="H147" s="7" t="s">
        <v>76</v>
      </c>
      <c r="I147" s="7">
        <f>IF(-E158&gt;0,-E158,0)</f>
        <v>1861.39</v>
      </c>
      <c r="J147" s="223"/>
    </row>
    <row r="148" spans="1:10" s="382" customFormat="1" ht="15.75" hidden="1">
      <c r="A148" s="50" t="s">
        <v>24</v>
      </c>
      <c r="B148" s="95">
        <v>131</v>
      </c>
      <c r="C148" s="206">
        <v>0</v>
      </c>
      <c r="D148" s="387">
        <v>5.7389999999999997E-2</v>
      </c>
      <c r="E148" s="168">
        <v>0</v>
      </c>
      <c r="F148" s="383"/>
      <c r="G148" s="153" t="s">
        <v>97</v>
      </c>
      <c r="H148" s="7" t="s">
        <v>26</v>
      </c>
      <c r="I148" s="8"/>
      <c r="J148" s="98">
        <f>-E156</f>
        <v>-212486.45757</v>
      </c>
    </row>
    <row r="149" spans="1:10" s="382" customFormat="1" ht="15.75" hidden="1">
      <c r="A149" s="50" t="s">
        <v>24</v>
      </c>
      <c r="B149" s="95">
        <v>132</v>
      </c>
      <c r="C149" s="206">
        <v>0</v>
      </c>
      <c r="D149" s="387"/>
      <c r="E149" s="168">
        <v>0</v>
      </c>
      <c r="F149" s="383"/>
      <c r="G149" s="153" t="s">
        <v>10</v>
      </c>
      <c r="H149" s="7" t="s">
        <v>17</v>
      </c>
      <c r="I149" s="7">
        <v>0</v>
      </c>
      <c r="J149" s="98"/>
    </row>
    <row r="150" spans="1:10" s="382" customFormat="1" ht="16.5" hidden="1" thickBot="1">
      <c r="A150" s="50" t="s">
        <v>24</v>
      </c>
      <c r="B150" s="95">
        <v>146</v>
      </c>
      <c r="C150" s="206">
        <v>1979128</v>
      </c>
      <c r="D150" s="238"/>
      <c r="E150" s="168">
        <v>0</v>
      </c>
      <c r="F150" s="383"/>
      <c r="G150" s="154" t="s">
        <v>98</v>
      </c>
      <c r="H150" s="147" t="s">
        <v>27</v>
      </c>
      <c r="I150" s="110">
        <f>-E138+E159</f>
        <v>210625.06756999996</v>
      </c>
      <c r="J150" s="107"/>
    </row>
    <row r="151" spans="1:10" s="382" customFormat="1" ht="15.75" hidden="1">
      <c r="A151" s="50" t="s">
        <v>151</v>
      </c>
      <c r="B151" s="95"/>
      <c r="C151" s="206"/>
      <c r="D151" s="121"/>
      <c r="E151" s="168">
        <v>0</v>
      </c>
      <c r="F151" s="383"/>
      <c r="G151" s="383"/>
      <c r="H151" s="383"/>
      <c r="I151" s="383"/>
      <c r="J151" s="336">
        <f>SUM(I146:J150)</f>
        <v>0</v>
      </c>
    </row>
    <row r="152" spans="1:10" s="382" customFormat="1" ht="15.75" hidden="1">
      <c r="A152" s="141" t="s">
        <v>143</v>
      </c>
      <c r="B152" s="95">
        <v>146</v>
      </c>
      <c r="C152" s="206"/>
      <c r="D152" s="121"/>
      <c r="E152" s="168">
        <v>0</v>
      </c>
      <c r="F152" s="383"/>
      <c r="G152" s="123"/>
      <c r="H152" s="7"/>
      <c r="I152" s="7"/>
      <c r="J152" s="7"/>
    </row>
    <row r="153" spans="1:10" s="382" customFormat="1" ht="15.75" hidden="1">
      <c r="A153" s="141" t="s">
        <v>105</v>
      </c>
      <c r="B153" s="95"/>
      <c r="C153" s="206"/>
      <c r="D153" s="121"/>
      <c r="E153" s="226">
        <v>0</v>
      </c>
      <c r="F153" s="383"/>
      <c r="G153" s="123"/>
      <c r="H153" s="7"/>
      <c r="I153" s="12"/>
      <c r="J153" s="12"/>
    </row>
    <row r="154" spans="1:10" s="382" customFormat="1" ht="16.5" hidden="1" thickBot="1">
      <c r="A154" s="50"/>
      <c r="B154" s="95"/>
      <c r="C154" s="159">
        <f>SUM(C143:C153)</f>
        <v>8472073</v>
      </c>
      <c r="D154" s="142"/>
      <c r="E154" s="207">
        <f>SUM(E143:E153)</f>
        <v>212486.45757</v>
      </c>
      <c r="F154" s="383"/>
      <c r="G154" s="123"/>
      <c r="H154" s="7"/>
      <c r="I154" s="7"/>
      <c r="J154" s="8"/>
    </row>
    <row r="155" spans="1:10" s="382" customFormat="1" ht="16.5" hidden="1" thickTop="1">
      <c r="A155" s="50"/>
      <c r="B155" s="95"/>
      <c r="C155" s="224">
        <v>8472073</v>
      </c>
      <c r="D155" s="142" t="s">
        <v>161</v>
      </c>
      <c r="E155" s="156">
        <v>0</v>
      </c>
      <c r="F155" s="383"/>
      <c r="G155" s="11"/>
      <c r="H155" s="7"/>
      <c r="I155" s="8"/>
      <c r="J155" s="7"/>
    </row>
    <row r="156" spans="1:10" s="382" customFormat="1" ht="16.5" hidden="1" thickBot="1">
      <c r="A156" s="50"/>
      <c r="B156" s="95"/>
      <c r="C156" s="230">
        <f>C155-C154</f>
        <v>0</v>
      </c>
      <c r="D156" s="142"/>
      <c r="E156" s="160">
        <f>SUM(E154:E155)</f>
        <v>212486.45757</v>
      </c>
      <c r="F156" s="383"/>
      <c r="G156" s="65" t="s">
        <v>158</v>
      </c>
      <c r="H156" s="7"/>
      <c r="I156" s="7"/>
      <c r="J156" s="7"/>
    </row>
    <row r="157" spans="1:10" s="382" customFormat="1" ht="16.5" hidden="1" thickTop="1">
      <c r="A157" s="383"/>
      <c r="B157" s="383"/>
      <c r="C157" s="383"/>
      <c r="D157" s="142" t="s">
        <v>87</v>
      </c>
      <c r="E157" s="50">
        <f>E156+E138</f>
        <v>-581039.08368590765</v>
      </c>
      <c r="F157" s="383"/>
      <c r="G157" s="8">
        <f>(E138*(D158/12))+(E156*(D158/24))</f>
        <v>-1861.389596275375</v>
      </c>
      <c r="H157" s="451"/>
      <c r="I157" s="451"/>
      <c r="J157" s="7"/>
    </row>
    <row r="158" spans="1:10" s="382" customFormat="1" ht="15.75" hidden="1">
      <c r="A158" s="383"/>
      <c r="B158" s="383"/>
      <c r="C158" s="50" t="s">
        <v>57</v>
      </c>
      <c r="D158" s="225">
        <v>3.2500000000000001E-2</v>
      </c>
      <c r="E158" s="119">
        <f>ROUND(((E138)+(SUM(E156))/2)*(D158/12),2)</f>
        <v>-1861.39</v>
      </c>
      <c r="F158" s="383"/>
      <c r="G158" s="8"/>
      <c r="H158" s="7"/>
      <c r="I158" s="12"/>
      <c r="J158" s="12"/>
    </row>
    <row r="159" spans="1:10" s="382" customFormat="1" ht="15.75" hidden="1">
      <c r="A159" s="383"/>
      <c r="B159" s="383"/>
      <c r="C159" s="50" t="s">
        <v>1</v>
      </c>
      <c r="D159" s="90">
        <f>A141</f>
        <v>41425</v>
      </c>
      <c r="E159" s="50">
        <f>SUM(E157:E158)</f>
        <v>-582900.47368590767</v>
      </c>
      <c r="F159" s="383"/>
      <c r="G159" s="245"/>
    </row>
    <row r="160" spans="1:10" s="382" customFormat="1" ht="15.75" hidden="1" thickBot="1"/>
    <row r="161" spans="1:10" s="382" customFormat="1" ht="15.75" hidden="1">
      <c r="A161" s="73" t="s">
        <v>141</v>
      </c>
      <c r="B161" s="78"/>
      <c r="C161" s="79"/>
      <c r="D161" s="80"/>
      <c r="E161" s="81"/>
      <c r="G161" s="5"/>
      <c r="H161" s="5"/>
      <c r="I161" s="48"/>
      <c r="J161" s="48"/>
    </row>
    <row r="162" spans="1:10" s="382" customFormat="1" ht="15.75" hidden="1">
      <c r="A162" s="219">
        <v>41426</v>
      </c>
      <c r="B162" s="137"/>
      <c r="C162" s="11"/>
      <c r="D162" s="138"/>
      <c r="E162" s="77"/>
      <c r="G162" s="5"/>
      <c r="H162" s="5"/>
      <c r="I162" s="48"/>
      <c r="J162" s="48"/>
    </row>
    <row r="163" spans="1:10" s="382" customFormat="1" ht="16.5" hidden="1" thickBot="1">
      <c r="A163" s="139"/>
      <c r="B163" s="140"/>
      <c r="C163" s="131" t="s">
        <v>21</v>
      </c>
      <c r="D163" s="131" t="s">
        <v>22</v>
      </c>
      <c r="E163" s="128" t="s">
        <v>23</v>
      </c>
      <c r="F163" s="383"/>
      <c r="G163" s="383"/>
      <c r="H163" s="383"/>
      <c r="I163" s="383"/>
      <c r="J163" s="383"/>
    </row>
    <row r="164" spans="1:10" s="382" customFormat="1" ht="15.75" hidden="1">
      <c r="A164" s="50" t="s">
        <v>24</v>
      </c>
      <c r="B164" s="95">
        <v>101</v>
      </c>
      <c r="C164" s="206">
        <v>2800295</v>
      </c>
      <c r="D164" s="387">
        <v>3.3950000000000001E-2</v>
      </c>
      <c r="E164" s="168">
        <v>95070.015249999997</v>
      </c>
      <c r="F164" s="383"/>
      <c r="G164" s="383"/>
      <c r="H164" s="383"/>
      <c r="I164" s="383"/>
      <c r="J164" s="383"/>
    </row>
    <row r="165" spans="1:10" s="382" customFormat="1" ht="16.5" hidden="1" thickBot="1">
      <c r="A165" s="50" t="s">
        <v>24</v>
      </c>
      <c r="B165" s="95">
        <v>111</v>
      </c>
      <c r="C165" s="206">
        <v>1678252</v>
      </c>
      <c r="D165" s="387">
        <v>3.0599999999999999E-2</v>
      </c>
      <c r="E165" s="168">
        <v>51354.511200000001</v>
      </c>
      <c r="F165" s="383"/>
      <c r="G165" s="123">
        <f>A162</f>
        <v>41426</v>
      </c>
      <c r="H165" s="383"/>
      <c r="I165" s="383"/>
      <c r="J165" s="383"/>
    </row>
    <row r="166" spans="1:10" s="382" customFormat="1" ht="16.5" hidden="1" thickBot="1">
      <c r="A166" s="50" t="s">
        <v>24</v>
      </c>
      <c r="B166" s="95">
        <v>112</v>
      </c>
      <c r="C166" s="206">
        <v>0</v>
      </c>
      <c r="D166" s="387"/>
      <c r="E166" s="168">
        <v>0</v>
      </c>
      <c r="F166" s="383"/>
      <c r="G166" s="113" t="s">
        <v>25</v>
      </c>
      <c r="H166" s="205"/>
      <c r="I166" s="126" t="s">
        <v>18</v>
      </c>
      <c r="J166" s="126" t="s">
        <v>19</v>
      </c>
    </row>
    <row r="167" spans="1:10" s="382" customFormat="1" ht="15.75" hidden="1">
      <c r="A167" s="50" t="s">
        <v>24</v>
      </c>
      <c r="B167" s="95">
        <v>121</v>
      </c>
      <c r="C167" s="206">
        <v>339158</v>
      </c>
      <c r="D167" s="387">
        <v>2.998E-2</v>
      </c>
      <c r="E167" s="168">
        <v>10167.956840000001</v>
      </c>
      <c r="F167" s="383"/>
      <c r="G167" s="151" t="s">
        <v>28</v>
      </c>
      <c r="H167" s="152" t="s">
        <v>75</v>
      </c>
      <c r="I167" s="152"/>
      <c r="J167" s="97">
        <f>IF(-E179&lt;0,-E179,0)</f>
        <v>0</v>
      </c>
    </row>
    <row r="168" spans="1:10" s="382" customFormat="1" ht="15.75" hidden="1">
      <c r="A168" s="50" t="s">
        <v>24</v>
      </c>
      <c r="B168" s="95">
        <v>122</v>
      </c>
      <c r="C168" s="206">
        <v>0</v>
      </c>
      <c r="D168" s="387"/>
      <c r="E168" s="168">
        <v>0</v>
      </c>
      <c r="F168" s="383"/>
      <c r="G168" s="153" t="s">
        <v>29</v>
      </c>
      <c r="H168" s="7" t="s">
        <v>76</v>
      </c>
      <c r="I168" s="7">
        <f>IF(-E179&gt;0,-E179,0)</f>
        <v>1366.64</v>
      </c>
      <c r="J168" s="223"/>
    </row>
    <row r="169" spans="1:10" s="382" customFormat="1" ht="15.75" hidden="1">
      <c r="A169" s="50" t="s">
        <v>24</v>
      </c>
      <c r="B169" s="95">
        <v>131</v>
      </c>
      <c r="C169" s="206">
        <v>0</v>
      </c>
      <c r="D169" s="387">
        <v>5.7389999999999997E-2</v>
      </c>
      <c r="E169" s="168">
        <v>0</v>
      </c>
      <c r="F169" s="383"/>
      <c r="G169" s="153" t="s">
        <v>97</v>
      </c>
      <c r="H169" s="7" t="s">
        <v>26</v>
      </c>
      <c r="I169" s="8"/>
      <c r="J169" s="98">
        <f>-E177</f>
        <v>-156592.48329</v>
      </c>
    </row>
    <row r="170" spans="1:10" s="382" customFormat="1" ht="15.75" hidden="1">
      <c r="A170" s="50" t="s">
        <v>24</v>
      </c>
      <c r="B170" s="95">
        <v>132</v>
      </c>
      <c r="C170" s="206">
        <v>0</v>
      </c>
      <c r="D170" s="387"/>
      <c r="E170" s="168">
        <v>0</v>
      </c>
      <c r="F170" s="383"/>
      <c r="G170" s="153" t="s">
        <v>10</v>
      </c>
      <c r="H170" s="7" t="s">
        <v>17</v>
      </c>
      <c r="I170" s="7">
        <v>0</v>
      </c>
      <c r="J170" s="98"/>
    </row>
    <row r="171" spans="1:10" s="382" customFormat="1" ht="16.5" hidden="1" thickBot="1">
      <c r="A171" s="50" t="s">
        <v>24</v>
      </c>
      <c r="B171" s="95">
        <v>146</v>
      </c>
      <c r="C171" s="206">
        <v>1585130</v>
      </c>
      <c r="D171" s="238"/>
      <c r="E171" s="168">
        <v>0</v>
      </c>
      <c r="F171" s="383"/>
      <c r="G171" s="154" t="s">
        <v>98</v>
      </c>
      <c r="H171" s="147" t="s">
        <v>27</v>
      </c>
      <c r="I171" s="110">
        <f>-E159+E180</f>
        <v>155225.84328999999</v>
      </c>
      <c r="J171" s="107"/>
    </row>
    <row r="172" spans="1:10" s="382" customFormat="1" ht="15.75" hidden="1">
      <c r="A172" s="50" t="s">
        <v>151</v>
      </c>
      <c r="B172" s="95"/>
      <c r="C172" s="206"/>
      <c r="D172" s="121"/>
      <c r="E172" s="168">
        <v>0</v>
      </c>
      <c r="F172" s="383"/>
      <c r="G172" s="383"/>
      <c r="H172" s="383"/>
      <c r="I172" s="383"/>
      <c r="J172" s="336">
        <f>SUM(I167:J171)</f>
        <v>0</v>
      </c>
    </row>
    <row r="173" spans="1:10" s="382" customFormat="1" ht="15.75" hidden="1">
      <c r="A173" s="141" t="s">
        <v>143</v>
      </c>
      <c r="B173" s="95">
        <v>146</v>
      </c>
      <c r="C173" s="206"/>
      <c r="D173" s="121"/>
      <c r="E173" s="168">
        <v>0</v>
      </c>
      <c r="F173" s="383"/>
      <c r="G173" s="123"/>
      <c r="H173" s="7"/>
      <c r="I173" s="7"/>
      <c r="J173" s="7"/>
    </row>
    <row r="174" spans="1:10" s="382" customFormat="1" ht="15.75" hidden="1">
      <c r="A174" s="141" t="s">
        <v>105</v>
      </c>
      <c r="B174" s="95"/>
      <c r="C174" s="206"/>
      <c r="D174" s="121"/>
      <c r="E174" s="226">
        <v>0</v>
      </c>
      <c r="F174" s="383"/>
      <c r="G174" s="123"/>
      <c r="H174" s="7"/>
      <c r="I174" s="12"/>
      <c r="J174" s="12"/>
    </row>
    <row r="175" spans="1:10" s="382" customFormat="1" ht="16.5" hidden="1" thickBot="1">
      <c r="A175" s="50"/>
      <c r="B175" s="95"/>
      <c r="C175" s="159">
        <f>SUM(C164:C174)</f>
        <v>6402835</v>
      </c>
      <c r="D175" s="142"/>
      <c r="E175" s="207">
        <f>SUM(E164:E174)</f>
        <v>156592.48329</v>
      </c>
      <c r="F175" s="383"/>
      <c r="G175" s="123"/>
      <c r="H175" s="7"/>
      <c r="I175" s="7"/>
      <c r="J175" s="8"/>
    </row>
    <row r="176" spans="1:10" s="382" customFormat="1" ht="16.5" hidden="1" thickTop="1">
      <c r="A176" s="50"/>
      <c r="B176" s="95"/>
      <c r="C176" s="224">
        <v>6402835</v>
      </c>
      <c r="D176" s="142" t="s">
        <v>161</v>
      </c>
      <c r="E176" s="156">
        <v>0</v>
      </c>
      <c r="F176" s="383"/>
      <c r="G176" s="11"/>
      <c r="H176" s="7"/>
      <c r="I176" s="8"/>
      <c r="J176" s="7"/>
    </row>
    <row r="177" spans="1:10" s="382" customFormat="1" ht="16.5" hidden="1" thickBot="1">
      <c r="A177" s="50"/>
      <c r="B177" s="95"/>
      <c r="C177" s="230">
        <f>C176-C175</f>
        <v>0</v>
      </c>
      <c r="D177" s="142"/>
      <c r="E177" s="160">
        <f>SUM(E175:E176)</f>
        <v>156592.48329</v>
      </c>
      <c r="F177" s="383"/>
      <c r="G177" s="65" t="s">
        <v>158</v>
      </c>
      <c r="H177" s="7"/>
      <c r="I177" s="7"/>
      <c r="J177" s="7"/>
    </row>
    <row r="178" spans="1:10" s="382" customFormat="1" ht="16.5" hidden="1" thickTop="1">
      <c r="A178" s="383"/>
      <c r="B178" s="383"/>
      <c r="C178" s="383"/>
      <c r="D178" s="142" t="s">
        <v>87</v>
      </c>
      <c r="E178" s="50">
        <f>E177+E159</f>
        <v>-426307.99039590766</v>
      </c>
      <c r="F178" s="383"/>
      <c r="G178" s="8">
        <f>(E159*(D179/12))+(E177*(D179/24))</f>
        <v>-1366.6364617774584</v>
      </c>
      <c r="H178" s="452"/>
      <c r="I178" s="452"/>
      <c r="J178" s="7"/>
    </row>
    <row r="179" spans="1:10" s="382" customFormat="1" ht="15.75" hidden="1">
      <c r="A179" s="383"/>
      <c r="B179" s="383"/>
      <c r="C179" s="50" t="s">
        <v>57</v>
      </c>
      <c r="D179" s="225">
        <v>3.2500000000000001E-2</v>
      </c>
      <c r="E179" s="119">
        <f>ROUND(((E159)+(SUM(E177))/2)*(D179/12),2)</f>
        <v>-1366.64</v>
      </c>
      <c r="F179" s="383"/>
      <c r="G179" s="8"/>
      <c r="H179" s="7"/>
      <c r="I179" s="12"/>
      <c r="J179" s="12"/>
    </row>
    <row r="180" spans="1:10" s="382" customFormat="1" ht="15.75" hidden="1">
      <c r="A180" s="383"/>
      <c r="B180" s="383"/>
      <c r="C180" s="50" t="s">
        <v>1</v>
      </c>
      <c r="D180" s="90">
        <v>41455</v>
      </c>
      <c r="E180" s="50">
        <f>SUM(E178:E179)</f>
        <v>-427674.63039590768</v>
      </c>
      <c r="F180" s="383"/>
      <c r="G180" s="245"/>
    </row>
    <row r="181" spans="1:10" s="382" customFormat="1" ht="15.75" hidden="1" thickBot="1"/>
    <row r="182" spans="1:10" s="382" customFormat="1" ht="15.75" hidden="1">
      <c r="A182" s="73" t="s">
        <v>141</v>
      </c>
      <c r="B182" s="78"/>
      <c r="C182" s="79"/>
      <c r="D182" s="80"/>
      <c r="E182" s="81"/>
      <c r="G182" s="5"/>
      <c r="H182" s="5"/>
      <c r="I182" s="48"/>
      <c r="J182" s="48"/>
    </row>
    <row r="183" spans="1:10" s="382" customFormat="1" ht="15.75" hidden="1">
      <c r="A183" s="219">
        <v>41456</v>
      </c>
      <c r="B183" s="137"/>
      <c r="C183" s="11"/>
      <c r="D183" s="138"/>
      <c r="E183" s="77"/>
      <c r="G183" s="5"/>
      <c r="H183" s="5"/>
      <c r="I183" s="48"/>
      <c r="J183" s="48"/>
    </row>
    <row r="184" spans="1:10" s="382" customFormat="1" ht="16.5" hidden="1" thickBot="1">
      <c r="A184" s="139"/>
      <c r="B184" s="140"/>
      <c r="C184" s="131" t="s">
        <v>21</v>
      </c>
      <c r="D184" s="131" t="s">
        <v>22</v>
      </c>
      <c r="E184" s="128" t="s">
        <v>23</v>
      </c>
      <c r="F184" s="383"/>
      <c r="G184" s="383"/>
      <c r="H184" s="383"/>
      <c r="I184" s="383"/>
      <c r="J184" s="383"/>
    </row>
    <row r="185" spans="1:10" s="382" customFormat="1" ht="15.75" hidden="1">
      <c r="A185" s="50" t="s">
        <v>24</v>
      </c>
      <c r="B185" s="95">
        <v>101</v>
      </c>
      <c r="C185" s="206">
        <v>2082299</v>
      </c>
      <c r="D185" s="387">
        <v>3.3950000000000001E-2</v>
      </c>
      <c r="E185" s="168">
        <v>70694.051050000009</v>
      </c>
      <c r="F185" s="383"/>
      <c r="G185" s="383"/>
      <c r="H185" s="383"/>
      <c r="I185" s="383"/>
      <c r="J185" s="383"/>
    </row>
    <row r="186" spans="1:10" s="382" customFormat="1" ht="16.5" hidden="1" thickBot="1">
      <c r="A186" s="50" t="s">
        <v>24</v>
      </c>
      <c r="B186" s="95">
        <v>111</v>
      </c>
      <c r="C186" s="206">
        <v>1140112</v>
      </c>
      <c r="D186" s="387">
        <v>3.0599999999999999E-2</v>
      </c>
      <c r="E186" s="168">
        <v>34887.427199999998</v>
      </c>
      <c r="F186" s="383"/>
      <c r="G186" s="123">
        <f>A183</f>
        <v>41456</v>
      </c>
      <c r="H186" s="383"/>
      <c r="I186" s="383"/>
      <c r="J186" s="383"/>
    </row>
    <row r="187" spans="1:10" s="382" customFormat="1" ht="16.5" hidden="1" thickBot="1">
      <c r="A187" s="50" t="s">
        <v>24</v>
      </c>
      <c r="B187" s="95">
        <v>112</v>
      </c>
      <c r="C187" s="206">
        <v>0</v>
      </c>
      <c r="D187" s="387"/>
      <c r="E187" s="168">
        <v>0</v>
      </c>
      <c r="F187" s="383"/>
      <c r="G187" s="113" t="s">
        <v>25</v>
      </c>
      <c r="H187" s="205"/>
      <c r="I187" s="126" t="s">
        <v>18</v>
      </c>
      <c r="J187" s="126" t="s">
        <v>19</v>
      </c>
    </row>
    <row r="188" spans="1:10" s="382" customFormat="1" ht="15.75" hidden="1">
      <c r="A188" s="50" t="s">
        <v>24</v>
      </c>
      <c r="B188" s="95">
        <v>121</v>
      </c>
      <c r="C188" s="206">
        <v>304732</v>
      </c>
      <c r="D188" s="387">
        <v>2.998E-2</v>
      </c>
      <c r="E188" s="168">
        <v>9135.8653599999998</v>
      </c>
      <c r="F188" s="383"/>
      <c r="G188" s="151" t="s">
        <v>28</v>
      </c>
      <c r="H188" s="152" t="s">
        <v>75</v>
      </c>
      <c r="I188" s="152"/>
      <c r="J188" s="97">
        <f>IF(-E200&lt;0,-E200,0)</f>
        <v>0</v>
      </c>
    </row>
    <row r="189" spans="1:10" s="382" customFormat="1" ht="15.75" hidden="1">
      <c r="A189" s="50" t="s">
        <v>24</v>
      </c>
      <c r="B189" s="95">
        <v>122</v>
      </c>
      <c r="C189" s="206">
        <v>0</v>
      </c>
      <c r="D189" s="387"/>
      <c r="E189" s="168">
        <v>0</v>
      </c>
      <c r="F189" s="383"/>
      <c r="G189" s="153" t="s">
        <v>29</v>
      </c>
      <c r="H189" s="7" t="s">
        <v>76</v>
      </c>
      <c r="I189" s="7">
        <f>IF(-E200&gt;0,-E200,0)</f>
        <v>1002.94</v>
      </c>
      <c r="J189" s="223"/>
    </row>
    <row r="190" spans="1:10" s="382" customFormat="1" ht="15.75" hidden="1">
      <c r="A190" s="50" t="s">
        <v>24</v>
      </c>
      <c r="B190" s="95">
        <v>131</v>
      </c>
      <c r="C190" s="206">
        <v>0</v>
      </c>
      <c r="D190" s="387">
        <v>5.7389999999999997E-2</v>
      </c>
      <c r="E190" s="168">
        <v>0</v>
      </c>
      <c r="F190" s="383"/>
      <c r="G190" s="153" t="s">
        <v>97</v>
      </c>
      <c r="H190" s="7" t="s">
        <v>26</v>
      </c>
      <c r="I190" s="8"/>
      <c r="J190" s="98">
        <f>-E198</f>
        <v>-114717.34361000001</v>
      </c>
    </row>
    <row r="191" spans="1:10" s="382" customFormat="1" ht="15.75" hidden="1">
      <c r="A191" s="50" t="s">
        <v>24</v>
      </c>
      <c r="B191" s="95">
        <v>132</v>
      </c>
      <c r="C191" s="206">
        <v>0</v>
      </c>
      <c r="D191" s="387"/>
      <c r="E191" s="168">
        <v>0</v>
      </c>
      <c r="F191" s="383"/>
      <c r="G191" s="153" t="s">
        <v>10</v>
      </c>
      <c r="H191" s="7" t="s">
        <v>17</v>
      </c>
      <c r="I191" s="7">
        <v>0</v>
      </c>
      <c r="J191" s="98"/>
    </row>
    <row r="192" spans="1:10" s="382" customFormat="1" ht="16.5" hidden="1" thickBot="1">
      <c r="A192" s="50" t="s">
        <v>24</v>
      </c>
      <c r="B192" s="95">
        <v>146</v>
      </c>
      <c r="C192" s="206">
        <v>1657043</v>
      </c>
      <c r="D192" s="238"/>
      <c r="E192" s="168">
        <v>0</v>
      </c>
      <c r="F192" s="383"/>
      <c r="G192" s="154" t="s">
        <v>98</v>
      </c>
      <c r="H192" s="147" t="s">
        <v>27</v>
      </c>
      <c r="I192" s="110">
        <f>-E180+E201</f>
        <v>113714.40360999998</v>
      </c>
      <c r="J192" s="107"/>
    </row>
    <row r="193" spans="1:10" s="382" customFormat="1" ht="15.75" hidden="1">
      <c r="A193" s="50" t="s">
        <v>151</v>
      </c>
      <c r="B193" s="95"/>
      <c r="C193" s="206"/>
      <c r="D193" s="121"/>
      <c r="E193" s="168">
        <v>0</v>
      </c>
      <c r="F193" s="383"/>
      <c r="G193" s="383"/>
      <c r="H193" s="383"/>
      <c r="I193" s="383"/>
      <c r="J193" s="336">
        <f>SUM(I188:J192)</f>
        <v>0</v>
      </c>
    </row>
    <row r="194" spans="1:10" s="382" customFormat="1" ht="15.75" hidden="1">
      <c r="A194" s="141" t="s">
        <v>143</v>
      </c>
      <c r="B194" s="95">
        <v>146</v>
      </c>
      <c r="C194" s="206"/>
      <c r="D194" s="121"/>
      <c r="E194" s="168">
        <v>0</v>
      </c>
      <c r="F194" s="383"/>
      <c r="G194" s="123"/>
      <c r="H194" s="7"/>
      <c r="I194" s="7"/>
      <c r="J194" s="7"/>
    </row>
    <row r="195" spans="1:10" s="382" customFormat="1" ht="15.75" hidden="1">
      <c r="A195" s="141" t="s">
        <v>105</v>
      </c>
      <c r="B195" s="95"/>
      <c r="C195" s="206"/>
      <c r="D195" s="121"/>
      <c r="E195" s="226">
        <v>0</v>
      </c>
      <c r="F195" s="383"/>
      <c r="G195" s="123"/>
      <c r="H195" s="7"/>
      <c r="I195" s="12"/>
      <c r="J195" s="12"/>
    </row>
    <row r="196" spans="1:10" s="382" customFormat="1" ht="16.5" hidden="1" thickBot="1">
      <c r="A196" s="50"/>
      <c r="B196" s="95"/>
      <c r="C196" s="159">
        <f>SUM(C185:C195)</f>
        <v>5184186</v>
      </c>
      <c r="D196" s="142"/>
      <c r="E196" s="207">
        <f>SUM(E185:E195)</f>
        <v>114717.34361000001</v>
      </c>
      <c r="F196" s="383"/>
      <c r="G196" s="123"/>
      <c r="H196" s="7"/>
      <c r="I196" s="7"/>
      <c r="J196" s="8"/>
    </row>
    <row r="197" spans="1:10" s="382" customFormat="1" ht="16.5" hidden="1" thickTop="1">
      <c r="A197" s="50"/>
      <c r="B197" s="95"/>
      <c r="C197" s="224">
        <v>5184186</v>
      </c>
      <c r="D197" s="142" t="s">
        <v>161</v>
      </c>
      <c r="E197" s="156">
        <v>0</v>
      </c>
      <c r="F197" s="383"/>
      <c r="G197" s="11"/>
      <c r="H197" s="7"/>
      <c r="I197" s="8"/>
      <c r="J197" s="7"/>
    </row>
    <row r="198" spans="1:10" s="382" customFormat="1" ht="16.5" hidden="1" thickBot="1">
      <c r="A198" s="50"/>
      <c r="B198" s="95"/>
      <c r="C198" s="230">
        <f>C197-C196</f>
        <v>0</v>
      </c>
      <c r="D198" s="142"/>
      <c r="E198" s="160">
        <f>SUM(E196:E197)</f>
        <v>114717.34361000001</v>
      </c>
      <c r="F198" s="383"/>
      <c r="G198" s="65" t="s">
        <v>158</v>
      </c>
      <c r="H198" s="7"/>
      <c r="I198" s="7"/>
      <c r="J198" s="7"/>
    </row>
    <row r="199" spans="1:10" s="382" customFormat="1" ht="16.5" hidden="1" thickTop="1">
      <c r="A199" s="383"/>
      <c r="B199" s="383"/>
      <c r="C199" s="383"/>
      <c r="D199" s="142" t="s">
        <v>87</v>
      </c>
      <c r="E199" s="50">
        <f>E198+E180</f>
        <v>-312957.28678590769</v>
      </c>
      <c r="F199" s="383"/>
      <c r="G199" s="8">
        <f>(E180*(D200/12))+(E198*(D200/24))</f>
        <v>-1002.9390545170418</v>
      </c>
      <c r="H199" s="453"/>
      <c r="I199" s="453"/>
      <c r="J199" s="7"/>
    </row>
    <row r="200" spans="1:10" s="382" customFormat="1" ht="15.75" hidden="1">
      <c r="A200" s="383"/>
      <c r="B200" s="383"/>
      <c r="C200" s="50" t="s">
        <v>57</v>
      </c>
      <c r="D200" s="225">
        <v>3.2500000000000001E-2</v>
      </c>
      <c r="E200" s="119">
        <f>ROUND(((E180)+(SUM(E198))/2)*(D200/12),2)</f>
        <v>-1002.94</v>
      </c>
      <c r="F200" s="383"/>
      <c r="G200" s="8"/>
      <c r="H200" s="7"/>
      <c r="I200" s="12"/>
      <c r="J200" s="12"/>
    </row>
    <row r="201" spans="1:10" s="382" customFormat="1" ht="15.75" hidden="1">
      <c r="A201" s="383"/>
      <c r="B201" s="383"/>
      <c r="C201" s="50" t="s">
        <v>1</v>
      </c>
      <c r="D201" s="90">
        <f>A183</f>
        <v>41456</v>
      </c>
      <c r="E201" s="50">
        <f>SUM(E199:E200)</f>
        <v>-313960.2267859077</v>
      </c>
      <c r="F201" s="383"/>
      <c r="G201" s="245"/>
    </row>
    <row r="202" spans="1:10" ht="15.75" hidden="1" thickBot="1"/>
    <row r="203" spans="1:10" s="382" customFormat="1" ht="15.75" hidden="1">
      <c r="A203" s="73" t="s">
        <v>141</v>
      </c>
      <c r="B203" s="78"/>
      <c r="C203" s="79"/>
      <c r="D203" s="80"/>
      <c r="E203" s="81"/>
      <c r="G203" s="5"/>
      <c r="H203" s="5"/>
      <c r="I203" s="48"/>
      <c r="J203" s="48"/>
    </row>
    <row r="204" spans="1:10" s="382" customFormat="1" ht="15.75" hidden="1">
      <c r="A204" s="219">
        <v>41487</v>
      </c>
      <c r="B204" s="137"/>
      <c r="C204" s="11"/>
      <c r="D204" s="138"/>
      <c r="E204" s="77"/>
      <c r="G204" s="5"/>
      <c r="H204" s="5"/>
      <c r="I204" s="48"/>
      <c r="J204" s="48"/>
    </row>
    <row r="205" spans="1:10" s="382" customFormat="1" ht="16.5" hidden="1" thickBot="1">
      <c r="A205" s="139"/>
      <c r="B205" s="140"/>
      <c r="C205" s="131" t="s">
        <v>21</v>
      </c>
      <c r="D205" s="131" t="s">
        <v>22</v>
      </c>
      <c r="E205" s="128" t="s">
        <v>23</v>
      </c>
      <c r="F205" s="383"/>
      <c r="G205" s="383"/>
      <c r="H205" s="383"/>
      <c r="I205" s="383"/>
      <c r="J205" s="383"/>
    </row>
    <row r="206" spans="1:10" s="382" customFormat="1" ht="15.75" hidden="1">
      <c r="A206" s="50" t="s">
        <v>24</v>
      </c>
      <c r="B206" s="95">
        <v>101</v>
      </c>
      <c r="C206" s="206">
        <v>2046635</v>
      </c>
      <c r="D206" s="387">
        <v>3.3950000000000001E-2</v>
      </c>
      <c r="E206" s="168">
        <v>69483.258249999999</v>
      </c>
      <c r="F206" s="383"/>
      <c r="G206" s="383"/>
      <c r="H206" s="383"/>
      <c r="I206" s="383"/>
      <c r="J206" s="383"/>
    </row>
    <row r="207" spans="1:10" s="382" customFormat="1" ht="16.5" hidden="1" thickBot="1">
      <c r="A207" s="50" t="s">
        <v>24</v>
      </c>
      <c r="B207" s="95">
        <v>111</v>
      </c>
      <c r="C207" s="206">
        <v>1287109</v>
      </c>
      <c r="D207" s="387">
        <v>3.0599999999999999E-2</v>
      </c>
      <c r="E207" s="168">
        <v>39385.535400000001</v>
      </c>
      <c r="F207" s="383"/>
      <c r="G207" s="123">
        <f>A204</f>
        <v>41487</v>
      </c>
      <c r="H207" s="383"/>
      <c r="I207" s="383"/>
      <c r="J207" s="383"/>
    </row>
    <row r="208" spans="1:10" s="382" customFormat="1" ht="16.5" hidden="1" thickBot="1">
      <c r="A208" s="50" t="s">
        <v>24</v>
      </c>
      <c r="B208" s="95">
        <v>112</v>
      </c>
      <c r="C208" s="206">
        <v>0</v>
      </c>
      <c r="D208" s="387"/>
      <c r="E208" s="168">
        <v>0</v>
      </c>
      <c r="F208" s="383"/>
      <c r="G208" s="113" t="s">
        <v>25</v>
      </c>
      <c r="H208" s="205"/>
      <c r="I208" s="126" t="s">
        <v>18</v>
      </c>
      <c r="J208" s="126" t="s">
        <v>19</v>
      </c>
    </row>
    <row r="209" spans="1:10" s="382" customFormat="1" ht="15.75" hidden="1">
      <c r="A209" s="50" t="s">
        <v>24</v>
      </c>
      <c r="B209" s="95">
        <v>121</v>
      </c>
      <c r="C209" s="206">
        <v>364418</v>
      </c>
      <c r="D209" s="387">
        <v>2.998E-2</v>
      </c>
      <c r="E209" s="168">
        <v>10925.25164</v>
      </c>
      <c r="F209" s="383"/>
      <c r="G209" s="151" t="s">
        <v>28</v>
      </c>
      <c r="H209" s="152" t="s">
        <v>75</v>
      </c>
      <c r="I209" s="152"/>
      <c r="J209" s="97">
        <f>IF(-E221&lt;0,-E221,0)</f>
        <v>0</v>
      </c>
    </row>
    <row r="210" spans="1:10" s="382" customFormat="1" ht="15.75" hidden="1">
      <c r="A210" s="50" t="s">
        <v>24</v>
      </c>
      <c r="B210" s="95">
        <v>122</v>
      </c>
      <c r="C210" s="206">
        <v>0</v>
      </c>
      <c r="D210" s="387"/>
      <c r="E210" s="168">
        <v>0</v>
      </c>
      <c r="F210" s="383"/>
      <c r="G210" s="153" t="s">
        <v>29</v>
      </c>
      <c r="H210" s="7" t="s">
        <v>76</v>
      </c>
      <c r="I210" s="7">
        <f>IF(-E221&gt;0,-E221,0)</f>
        <v>688.09</v>
      </c>
      <c r="J210" s="223"/>
    </row>
    <row r="211" spans="1:10" s="382" customFormat="1" ht="15.75" hidden="1">
      <c r="A211" s="50" t="s">
        <v>24</v>
      </c>
      <c r="B211" s="95">
        <v>131</v>
      </c>
      <c r="C211" s="206">
        <v>0</v>
      </c>
      <c r="D211" s="387">
        <v>5.7389999999999997E-2</v>
      </c>
      <c r="E211" s="168">
        <v>0</v>
      </c>
      <c r="F211" s="383"/>
      <c r="G211" s="153" t="s">
        <v>97</v>
      </c>
      <c r="H211" s="7" t="s">
        <v>26</v>
      </c>
      <c r="I211" s="8"/>
      <c r="J211" s="98">
        <f>-E219</f>
        <v>-119794.04529000001</v>
      </c>
    </row>
    <row r="212" spans="1:10" s="382" customFormat="1" ht="15.75" hidden="1">
      <c r="A212" s="50" t="s">
        <v>24</v>
      </c>
      <c r="B212" s="95">
        <v>132</v>
      </c>
      <c r="C212" s="206">
        <v>0</v>
      </c>
      <c r="D212" s="387"/>
      <c r="E212" s="168">
        <v>0</v>
      </c>
      <c r="F212" s="383"/>
      <c r="G212" s="153" t="s">
        <v>10</v>
      </c>
      <c r="H212" s="7" t="s">
        <v>17</v>
      </c>
      <c r="I212" s="7">
        <v>0</v>
      </c>
      <c r="J212" s="98"/>
    </row>
    <row r="213" spans="1:10" s="382" customFormat="1" ht="16.5" hidden="1" thickBot="1">
      <c r="A213" s="50" t="s">
        <v>24</v>
      </c>
      <c r="B213" s="95">
        <v>146</v>
      </c>
      <c r="C213" s="206">
        <v>1709756</v>
      </c>
      <c r="D213" s="238"/>
      <c r="E213" s="168">
        <v>0</v>
      </c>
      <c r="F213" s="383"/>
      <c r="G213" s="154" t="s">
        <v>98</v>
      </c>
      <c r="H213" s="147" t="s">
        <v>27</v>
      </c>
      <c r="I213" s="110">
        <f>-E201+E222</f>
        <v>119105.95529000001</v>
      </c>
      <c r="J213" s="107"/>
    </row>
    <row r="214" spans="1:10" s="382" customFormat="1" ht="15.75" hidden="1">
      <c r="A214" s="50" t="s">
        <v>151</v>
      </c>
      <c r="B214" s="95"/>
      <c r="C214" s="206"/>
      <c r="D214" s="121"/>
      <c r="E214" s="168">
        <v>0</v>
      </c>
      <c r="F214" s="383"/>
      <c r="G214" s="383"/>
      <c r="H214" s="383"/>
      <c r="I214" s="383"/>
      <c r="J214" s="336">
        <f>SUM(I209:J213)</f>
        <v>0</v>
      </c>
    </row>
    <row r="215" spans="1:10" s="382" customFormat="1" ht="15.75" hidden="1">
      <c r="A215" s="141" t="s">
        <v>143</v>
      </c>
      <c r="B215" s="95">
        <v>146</v>
      </c>
      <c r="C215" s="206"/>
      <c r="D215" s="121"/>
      <c r="E215" s="168">
        <v>0</v>
      </c>
      <c r="F215" s="383"/>
      <c r="G215" s="123"/>
      <c r="H215" s="7"/>
      <c r="I215" s="7"/>
      <c r="J215" s="7"/>
    </row>
    <row r="216" spans="1:10" s="382" customFormat="1" ht="15.75" hidden="1">
      <c r="A216" s="141" t="s">
        <v>105</v>
      </c>
      <c r="B216" s="95"/>
      <c r="C216" s="206"/>
      <c r="D216" s="121"/>
      <c r="E216" s="226">
        <v>0</v>
      </c>
      <c r="F216" s="383"/>
      <c r="G216" s="123"/>
      <c r="H216" s="7"/>
      <c r="I216" s="12"/>
      <c r="J216" s="12"/>
    </row>
    <row r="217" spans="1:10" s="382" customFormat="1" ht="16.5" hidden="1" thickBot="1">
      <c r="A217" s="50"/>
      <c r="B217" s="95"/>
      <c r="C217" s="159">
        <f>SUM(C206:C216)</f>
        <v>5407918</v>
      </c>
      <c r="D217" s="142"/>
      <c r="E217" s="207">
        <f>SUM(E206:E216)</f>
        <v>119794.04529000001</v>
      </c>
      <c r="F217" s="383"/>
      <c r="G217" s="123"/>
      <c r="H217" s="7"/>
      <c r="I217" s="7"/>
      <c r="J217" s="8"/>
    </row>
    <row r="218" spans="1:10" s="382" customFormat="1" ht="16.5" hidden="1" thickTop="1">
      <c r="A218" s="50"/>
      <c r="B218" s="95"/>
      <c r="C218" s="224">
        <v>5407918</v>
      </c>
      <c r="D218" s="142" t="s">
        <v>161</v>
      </c>
      <c r="E218" s="156">
        <v>0</v>
      </c>
      <c r="F218" s="383"/>
      <c r="G218" s="11"/>
      <c r="H218" s="7"/>
      <c r="I218" s="8"/>
      <c r="J218" s="7"/>
    </row>
    <row r="219" spans="1:10" s="382" customFormat="1" ht="16.5" hidden="1" thickBot="1">
      <c r="A219" s="50"/>
      <c r="B219" s="95"/>
      <c r="C219" s="230">
        <f>C218-C217</f>
        <v>0</v>
      </c>
      <c r="D219" s="142"/>
      <c r="E219" s="160">
        <f>SUM(E217:E218)</f>
        <v>119794.04529000001</v>
      </c>
      <c r="F219" s="383"/>
      <c r="G219" s="65" t="s">
        <v>158</v>
      </c>
      <c r="H219" s="7"/>
      <c r="I219" s="7"/>
      <c r="J219" s="7"/>
    </row>
    <row r="220" spans="1:10" s="382" customFormat="1" ht="16.5" hidden="1" thickTop="1">
      <c r="A220" s="383"/>
      <c r="B220" s="383"/>
      <c r="C220" s="383"/>
      <c r="D220" s="142" t="s">
        <v>87</v>
      </c>
      <c r="E220" s="50">
        <f>E219+E201</f>
        <v>-194166.18149590769</v>
      </c>
      <c r="F220" s="383"/>
      <c r="G220" s="8">
        <f>(E201*(D221/12))+(E219*(D221/24))</f>
        <v>-688.08784454829174</v>
      </c>
      <c r="H220" s="454"/>
      <c r="I220" s="454"/>
      <c r="J220" s="7"/>
    </row>
    <row r="221" spans="1:10" s="382" customFormat="1" ht="15.75" hidden="1">
      <c r="A221" s="383"/>
      <c r="B221" s="383"/>
      <c r="C221" s="50" t="s">
        <v>57</v>
      </c>
      <c r="D221" s="225">
        <v>3.2500000000000001E-2</v>
      </c>
      <c r="E221" s="119">
        <f>ROUND(((E201)+(SUM(E219))/2)*(D221/12),2)</f>
        <v>-688.09</v>
      </c>
      <c r="F221" s="383"/>
      <c r="G221" s="8"/>
      <c r="H221" s="7"/>
      <c r="I221" s="12"/>
      <c r="J221" s="12"/>
    </row>
    <row r="222" spans="1:10" s="382" customFormat="1" ht="15.75">
      <c r="A222" s="383"/>
      <c r="B222" s="383"/>
      <c r="C222" s="50" t="s">
        <v>1</v>
      </c>
      <c r="D222" s="90">
        <f>A204</f>
        <v>41487</v>
      </c>
      <c r="E222" s="50">
        <f>SUM(E220:E221)</f>
        <v>-194854.27149590768</v>
      </c>
      <c r="F222" s="383"/>
      <c r="G222" s="245"/>
    </row>
    <row r="223" spans="1:10" ht="15.75" thickBot="1"/>
    <row r="224" spans="1:10" s="382" customFormat="1" ht="15.75">
      <c r="A224" s="73" t="s">
        <v>141</v>
      </c>
      <c r="B224" s="78"/>
      <c r="C224" s="79"/>
      <c r="D224" s="80"/>
      <c r="E224" s="81"/>
      <c r="G224" s="5"/>
      <c r="H224" s="5"/>
      <c r="I224" s="48"/>
      <c r="J224" s="48"/>
    </row>
    <row r="225" spans="1:10" s="382" customFormat="1" ht="15.75">
      <c r="A225" s="219">
        <v>41518</v>
      </c>
      <c r="B225" s="137"/>
      <c r="C225" s="11"/>
      <c r="D225" s="138"/>
      <c r="E225" s="77"/>
      <c r="G225" s="5"/>
      <c r="H225" s="5"/>
      <c r="I225" s="48"/>
      <c r="J225" s="48"/>
    </row>
    <row r="226" spans="1:10" s="382" customFormat="1" ht="16.5" thickBot="1">
      <c r="A226" s="139"/>
      <c r="B226" s="140"/>
      <c r="C226" s="131" t="s">
        <v>21</v>
      </c>
      <c r="D226" s="131" t="s">
        <v>22</v>
      </c>
      <c r="E226" s="128" t="s">
        <v>23</v>
      </c>
      <c r="F226" s="383"/>
      <c r="G226" s="383"/>
      <c r="H226" s="383"/>
      <c r="I226" s="383"/>
      <c r="J226" s="383"/>
    </row>
    <row r="227" spans="1:10" s="382" customFormat="1" ht="15.75">
      <c r="A227" s="50" t="s">
        <v>24</v>
      </c>
      <c r="B227" s="95">
        <v>101</v>
      </c>
      <c r="C227" s="206">
        <v>2647538</v>
      </c>
      <c r="D227" s="387">
        <v>3.3950000000000001E-2</v>
      </c>
      <c r="E227" s="168">
        <v>89883.915099999998</v>
      </c>
      <c r="F227" s="383"/>
      <c r="G227" s="383"/>
      <c r="H227" s="383"/>
      <c r="I227" s="383"/>
      <c r="J227" s="383"/>
    </row>
    <row r="228" spans="1:10" s="382" customFormat="1" ht="16.5" thickBot="1">
      <c r="A228" s="50" t="s">
        <v>24</v>
      </c>
      <c r="B228" s="95">
        <v>111</v>
      </c>
      <c r="C228" s="206">
        <v>1599551</v>
      </c>
      <c r="D228" s="387">
        <v>3.0599999999999999E-2</v>
      </c>
      <c r="E228" s="168">
        <v>48946.260600000001</v>
      </c>
      <c r="F228" s="383"/>
      <c r="G228" s="123">
        <f>A225</f>
        <v>41518</v>
      </c>
      <c r="H228" s="383"/>
      <c r="I228" s="383"/>
      <c r="J228" s="383"/>
    </row>
    <row r="229" spans="1:10" s="382" customFormat="1" ht="16.5" thickBot="1">
      <c r="A229" s="50" t="s">
        <v>24</v>
      </c>
      <c r="B229" s="95">
        <v>112</v>
      </c>
      <c r="C229" s="206">
        <v>0</v>
      </c>
      <c r="D229" s="387"/>
      <c r="E229" s="168">
        <v>0</v>
      </c>
      <c r="F229" s="383"/>
      <c r="G229" s="113" t="s">
        <v>25</v>
      </c>
      <c r="H229" s="205"/>
      <c r="I229" s="126" t="s">
        <v>18</v>
      </c>
      <c r="J229" s="126" t="s">
        <v>19</v>
      </c>
    </row>
    <row r="230" spans="1:10" s="382" customFormat="1" ht="15.75">
      <c r="A230" s="50" t="s">
        <v>24</v>
      </c>
      <c r="B230" s="95">
        <v>121</v>
      </c>
      <c r="C230" s="206">
        <v>344046</v>
      </c>
      <c r="D230" s="387">
        <v>2.998E-2</v>
      </c>
      <c r="E230" s="168">
        <v>10314.49908</v>
      </c>
      <c r="F230" s="383"/>
      <c r="G230" s="151" t="s">
        <v>28</v>
      </c>
      <c r="H230" s="152" t="s">
        <v>75</v>
      </c>
      <c r="I230" s="152"/>
      <c r="J230" s="97">
        <f>IF(-E242&lt;0,-E242,0)</f>
        <v>0</v>
      </c>
    </row>
    <row r="231" spans="1:10" s="382" customFormat="1" ht="15.75">
      <c r="A231" s="50" t="s">
        <v>24</v>
      </c>
      <c r="B231" s="95">
        <v>122</v>
      </c>
      <c r="C231" s="206">
        <v>0</v>
      </c>
      <c r="D231" s="387"/>
      <c r="E231" s="168">
        <v>0</v>
      </c>
      <c r="F231" s="383"/>
      <c r="G231" s="153" t="s">
        <v>29</v>
      </c>
      <c r="H231" s="7" t="s">
        <v>76</v>
      </c>
      <c r="I231" s="7">
        <f>IF(-E242&gt;0,-E242,0)</f>
        <v>325.76</v>
      </c>
      <c r="J231" s="223"/>
    </row>
    <row r="232" spans="1:10" s="382" customFormat="1" ht="15.75">
      <c r="A232" s="50" t="s">
        <v>24</v>
      </c>
      <c r="B232" s="95">
        <v>131</v>
      </c>
      <c r="C232" s="206">
        <v>0</v>
      </c>
      <c r="D232" s="387">
        <v>5.7389999999999997E-2</v>
      </c>
      <c r="E232" s="168">
        <v>0</v>
      </c>
      <c r="F232" s="383"/>
      <c r="G232" s="153" t="s">
        <v>97</v>
      </c>
      <c r="H232" s="7" t="s">
        <v>26</v>
      </c>
      <c r="I232" s="8"/>
      <c r="J232" s="98">
        <f>-E240</f>
        <v>-149144.67478</v>
      </c>
    </row>
    <row r="233" spans="1:10" s="382" customFormat="1" ht="15.75">
      <c r="A233" s="50" t="s">
        <v>24</v>
      </c>
      <c r="B233" s="95">
        <v>132</v>
      </c>
      <c r="C233" s="206">
        <v>0</v>
      </c>
      <c r="D233" s="387"/>
      <c r="E233" s="168">
        <v>0</v>
      </c>
      <c r="F233" s="383"/>
      <c r="G233" s="153" t="s">
        <v>10</v>
      </c>
      <c r="H233" s="7" t="s">
        <v>17</v>
      </c>
      <c r="I233" s="7">
        <v>0</v>
      </c>
      <c r="J233" s="98"/>
    </row>
    <row r="234" spans="1:10" s="382" customFormat="1" ht="16.5" thickBot="1">
      <c r="A234" s="50" t="s">
        <v>24</v>
      </c>
      <c r="B234" s="95">
        <v>146</v>
      </c>
      <c r="C234" s="206">
        <v>1818699</v>
      </c>
      <c r="D234" s="238"/>
      <c r="E234" s="168">
        <v>0</v>
      </c>
      <c r="F234" s="383"/>
      <c r="G234" s="154" t="s">
        <v>98</v>
      </c>
      <c r="H234" s="147" t="s">
        <v>27</v>
      </c>
      <c r="I234" s="110">
        <f>-E222+E243</f>
        <v>148818.91477999999</v>
      </c>
      <c r="J234" s="107"/>
    </row>
    <row r="235" spans="1:10" s="382" customFormat="1" ht="15.75">
      <c r="A235" s="50" t="s">
        <v>151</v>
      </c>
      <c r="B235" s="95"/>
      <c r="C235" s="206"/>
      <c r="D235" s="121"/>
      <c r="E235" s="168">
        <v>0</v>
      </c>
      <c r="F235" s="383"/>
      <c r="G235" s="383"/>
      <c r="H235" s="383"/>
      <c r="I235" s="383"/>
      <c r="J235" s="336">
        <f>SUM(I230:J234)</f>
        <v>0</v>
      </c>
    </row>
    <row r="236" spans="1:10" s="382" customFormat="1" ht="15.75">
      <c r="A236" s="141" t="s">
        <v>143</v>
      </c>
      <c r="B236" s="95">
        <v>146</v>
      </c>
      <c r="C236" s="206"/>
      <c r="D236" s="121"/>
      <c r="E236" s="168">
        <v>0</v>
      </c>
      <c r="F236" s="383"/>
      <c r="G236" s="123"/>
      <c r="H236" s="7"/>
      <c r="I236" s="7"/>
      <c r="J236" s="7"/>
    </row>
    <row r="237" spans="1:10" s="382" customFormat="1" ht="15.75">
      <c r="A237" s="141" t="s">
        <v>105</v>
      </c>
      <c r="B237" s="95"/>
      <c r="C237" s="206"/>
      <c r="D237" s="121"/>
      <c r="E237" s="226">
        <v>0</v>
      </c>
      <c r="F237" s="383"/>
      <c r="G237" s="123"/>
      <c r="H237" s="7"/>
      <c r="I237" s="12"/>
      <c r="J237" s="12"/>
    </row>
    <row r="238" spans="1:10" s="382" customFormat="1" ht="16.5" thickBot="1">
      <c r="A238" s="50"/>
      <c r="B238" s="95"/>
      <c r="C238" s="159">
        <f>SUM(C227:C237)</f>
        <v>6409834</v>
      </c>
      <c r="D238" s="142"/>
      <c r="E238" s="207">
        <f>SUM(E227:E237)</f>
        <v>149144.67478</v>
      </c>
      <c r="F238" s="383"/>
      <c r="G238" s="123"/>
      <c r="H238" s="7"/>
      <c r="I238" s="7"/>
      <c r="J238" s="8"/>
    </row>
    <row r="239" spans="1:10" s="382" customFormat="1" ht="16.5" thickTop="1">
      <c r="A239" s="50"/>
      <c r="B239" s="95"/>
      <c r="C239" s="224">
        <v>6409834</v>
      </c>
      <c r="D239" s="142" t="s">
        <v>161</v>
      </c>
      <c r="E239" s="156">
        <v>0</v>
      </c>
      <c r="F239" s="383"/>
      <c r="G239" s="11"/>
      <c r="H239" s="7"/>
      <c r="I239" s="8"/>
      <c r="J239" s="7"/>
    </row>
    <row r="240" spans="1:10" s="382" customFormat="1" ht="16.5" thickBot="1">
      <c r="A240" s="50"/>
      <c r="B240" s="95"/>
      <c r="C240" s="230">
        <f>C239-C238</f>
        <v>0</v>
      </c>
      <c r="D240" s="142"/>
      <c r="E240" s="160">
        <f>SUM(E238:E239)</f>
        <v>149144.67478</v>
      </c>
      <c r="F240" s="383"/>
      <c r="G240" s="65" t="s">
        <v>158</v>
      </c>
      <c r="H240" s="7"/>
      <c r="I240" s="7"/>
      <c r="J240" s="7"/>
    </row>
    <row r="241" spans="1:10" s="382" customFormat="1" ht="16.5" thickTop="1">
      <c r="A241" s="383"/>
      <c r="B241" s="383"/>
      <c r="C241" s="383"/>
      <c r="D241" s="142" t="s">
        <v>87</v>
      </c>
      <c r="E241" s="50">
        <f>E240+E222</f>
        <v>-45709.596715907683</v>
      </c>
      <c r="F241" s="383"/>
      <c r="G241" s="8">
        <f>(E222*(D242/12))+(E240*(D242/24))</f>
        <v>-325.7635715368333</v>
      </c>
      <c r="H241" s="455"/>
      <c r="I241" s="455"/>
      <c r="J241" s="7"/>
    </row>
    <row r="242" spans="1:10" s="382" customFormat="1" ht="15.75">
      <c r="A242" s="383"/>
      <c r="B242" s="383"/>
      <c r="C242" s="50" t="s">
        <v>57</v>
      </c>
      <c r="D242" s="225">
        <v>3.2500000000000001E-2</v>
      </c>
      <c r="E242" s="119">
        <f>ROUND(((E222)+(SUM(E240))/2)*(D242/12),2)</f>
        <v>-325.76</v>
      </c>
      <c r="F242" s="383"/>
      <c r="G242" s="8"/>
      <c r="H242" s="7"/>
      <c r="I242" s="12"/>
      <c r="J242" s="12"/>
    </row>
    <row r="243" spans="1:10" s="382" customFormat="1" ht="15.75">
      <c r="A243" s="383"/>
      <c r="B243" s="383"/>
      <c r="C243" s="50" t="s">
        <v>1</v>
      </c>
      <c r="D243" s="90">
        <f>A225</f>
        <v>41518</v>
      </c>
      <c r="E243" s="50">
        <f>SUM(E241:E242)</f>
        <v>-46035.356715907685</v>
      </c>
      <c r="F243" s="383"/>
      <c r="G243" s="245"/>
    </row>
    <row r="244" spans="1:10" ht="15.75" thickBot="1"/>
    <row r="245" spans="1:10" s="382" customFormat="1" ht="15.75">
      <c r="A245" s="73" t="s">
        <v>141</v>
      </c>
      <c r="B245" s="78"/>
      <c r="C245" s="79"/>
      <c r="D245" s="80"/>
      <c r="E245" s="81"/>
      <c r="G245" s="5"/>
      <c r="H245" s="5"/>
      <c r="I245" s="48"/>
      <c r="J245" s="48"/>
    </row>
    <row r="246" spans="1:10" s="382" customFormat="1" ht="15.75">
      <c r="A246" s="219">
        <v>41578</v>
      </c>
      <c r="B246" s="137"/>
      <c r="C246" s="11"/>
      <c r="D246" s="138"/>
      <c r="E246" s="77"/>
      <c r="G246" s="5"/>
      <c r="H246" s="5"/>
      <c r="I246" s="48"/>
      <c r="J246" s="48"/>
    </row>
    <row r="247" spans="1:10" s="382" customFormat="1" ht="16.5" thickBot="1">
      <c r="A247" s="139"/>
      <c r="B247" s="140"/>
      <c r="C247" s="131" t="s">
        <v>21</v>
      </c>
      <c r="D247" s="131" t="s">
        <v>22</v>
      </c>
      <c r="E247" s="128" t="s">
        <v>23</v>
      </c>
      <c r="F247" s="383"/>
      <c r="G247" s="383"/>
      <c r="H247" s="383"/>
      <c r="I247" s="383"/>
      <c r="J247" s="383"/>
    </row>
    <row r="248" spans="1:10" s="382" customFormat="1" ht="15.75">
      <c r="A248" s="50" t="s">
        <v>24</v>
      </c>
      <c r="B248" s="95">
        <v>101</v>
      </c>
      <c r="C248" s="206">
        <v>9244353</v>
      </c>
      <c r="D248" s="387">
        <v>3.3950000000000001E-2</v>
      </c>
      <c r="E248" s="168">
        <v>313845.78435000003</v>
      </c>
      <c r="F248" s="383"/>
      <c r="G248" s="383"/>
      <c r="H248" s="383"/>
      <c r="I248" s="383"/>
      <c r="J248" s="383"/>
    </row>
    <row r="249" spans="1:10" s="382" customFormat="1" ht="16.5" thickBot="1">
      <c r="A249" s="50" t="s">
        <v>24</v>
      </c>
      <c r="B249" s="95">
        <v>111</v>
      </c>
      <c r="C249" s="206">
        <v>3880001</v>
      </c>
      <c r="D249" s="387">
        <v>3.0599999999999999E-2</v>
      </c>
      <c r="E249" s="168">
        <v>118728.0306</v>
      </c>
      <c r="F249" s="383"/>
      <c r="G249" s="123">
        <f>A246</f>
        <v>41578</v>
      </c>
      <c r="H249" s="383"/>
      <c r="I249" s="383"/>
      <c r="J249" s="383"/>
    </row>
    <row r="250" spans="1:10" s="382" customFormat="1" ht="16.5" thickBot="1">
      <c r="A250" s="50" t="s">
        <v>24</v>
      </c>
      <c r="B250" s="95">
        <v>112</v>
      </c>
      <c r="C250" s="206">
        <v>0</v>
      </c>
      <c r="D250" s="387"/>
      <c r="E250" s="168">
        <v>0</v>
      </c>
      <c r="F250" s="383"/>
      <c r="G250" s="113" t="s">
        <v>25</v>
      </c>
      <c r="H250" s="205"/>
      <c r="I250" s="126" t="s">
        <v>18</v>
      </c>
      <c r="J250" s="126" t="s">
        <v>19</v>
      </c>
    </row>
    <row r="251" spans="1:10" s="382" customFormat="1" ht="15.75">
      <c r="A251" s="50" t="s">
        <v>24</v>
      </c>
      <c r="B251" s="95">
        <v>121</v>
      </c>
      <c r="C251" s="206">
        <v>595792</v>
      </c>
      <c r="D251" s="387">
        <v>2.998E-2</v>
      </c>
      <c r="E251" s="168">
        <v>17861.844160000001</v>
      </c>
      <c r="F251" s="383"/>
      <c r="G251" s="151" t="s">
        <v>28</v>
      </c>
      <c r="H251" s="152" t="s">
        <v>75</v>
      </c>
      <c r="I251" s="152"/>
      <c r="J251" s="97">
        <f>IF(-E263&lt;0,-E263,0)</f>
        <v>-485.29</v>
      </c>
    </row>
    <row r="252" spans="1:10" s="382" customFormat="1" ht="15.75">
      <c r="A252" s="50" t="s">
        <v>24</v>
      </c>
      <c r="B252" s="95">
        <v>122</v>
      </c>
      <c r="C252" s="206">
        <v>0</v>
      </c>
      <c r="D252" s="387"/>
      <c r="E252" s="168">
        <v>0</v>
      </c>
      <c r="F252" s="383"/>
      <c r="G252" s="153" t="s">
        <v>29</v>
      </c>
      <c r="H252" s="7" t="s">
        <v>76</v>
      </c>
      <c r="I252" s="7">
        <f>IF(-E263&gt;0,-E263,0)</f>
        <v>0</v>
      </c>
      <c r="J252" s="223"/>
    </row>
    <row r="253" spans="1:10" s="382" customFormat="1" ht="15.75">
      <c r="A253" s="50" t="s">
        <v>24</v>
      </c>
      <c r="B253" s="95">
        <v>131</v>
      </c>
      <c r="C253" s="206">
        <v>0</v>
      </c>
      <c r="D253" s="387">
        <v>5.7389999999999997E-2</v>
      </c>
      <c r="E253" s="168">
        <v>0</v>
      </c>
      <c r="F253" s="383"/>
      <c r="G253" s="153" t="s">
        <v>97</v>
      </c>
      <c r="H253" s="7" t="s">
        <v>26</v>
      </c>
      <c r="I253" s="8"/>
      <c r="J253" s="98">
        <f>-E261</f>
        <v>-450435.65911000001</v>
      </c>
    </row>
    <row r="254" spans="1:10" s="382" customFormat="1" ht="15.75">
      <c r="A254" s="50" t="s">
        <v>24</v>
      </c>
      <c r="B254" s="95">
        <v>132</v>
      </c>
      <c r="C254" s="206">
        <v>0</v>
      </c>
      <c r="D254" s="387"/>
      <c r="E254" s="168">
        <v>0</v>
      </c>
      <c r="F254" s="383"/>
      <c r="G254" s="153" t="s">
        <v>10</v>
      </c>
      <c r="H254" s="7" t="s">
        <v>17</v>
      </c>
      <c r="I254" s="7">
        <v>0</v>
      </c>
      <c r="J254" s="98"/>
    </row>
    <row r="255" spans="1:10" s="382" customFormat="1" ht="16.5" thickBot="1">
      <c r="A255" s="50" t="s">
        <v>24</v>
      </c>
      <c r="B255" s="95">
        <v>146</v>
      </c>
      <c r="C255" s="206">
        <v>2531895</v>
      </c>
      <c r="D255" s="238"/>
      <c r="E255" s="168">
        <v>0</v>
      </c>
      <c r="F255" s="383"/>
      <c r="G255" s="154" t="s">
        <v>98</v>
      </c>
      <c r="H255" s="147" t="s">
        <v>27</v>
      </c>
      <c r="I255" s="110">
        <f>-E243+E264</f>
        <v>450920.94910999999</v>
      </c>
      <c r="J255" s="107"/>
    </row>
    <row r="256" spans="1:10" s="382" customFormat="1" ht="15.75">
      <c r="A256" s="50" t="s">
        <v>151</v>
      </c>
      <c r="B256" s="95"/>
      <c r="C256" s="206"/>
      <c r="D256" s="121"/>
      <c r="E256" s="168">
        <v>0</v>
      </c>
      <c r="F256" s="383"/>
      <c r="G256" s="383"/>
      <c r="H256" s="383"/>
      <c r="I256" s="383"/>
      <c r="J256" s="336">
        <f>SUM(I251:J255)</f>
        <v>0</v>
      </c>
    </row>
    <row r="257" spans="1:10" s="382" customFormat="1" ht="15.75">
      <c r="A257" s="141" t="s">
        <v>143</v>
      </c>
      <c r="B257" s="95">
        <v>146</v>
      </c>
      <c r="C257" s="206"/>
      <c r="D257" s="121"/>
      <c r="E257" s="168">
        <v>0</v>
      </c>
      <c r="F257" s="383"/>
      <c r="G257" s="123"/>
      <c r="H257" s="7"/>
      <c r="I257" s="7"/>
      <c r="J257" s="7"/>
    </row>
    <row r="258" spans="1:10" s="382" customFormat="1" ht="15.75">
      <c r="A258" s="141" t="s">
        <v>105</v>
      </c>
      <c r="B258" s="95"/>
      <c r="C258" s="206"/>
      <c r="D258" s="121"/>
      <c r="E258" s="226">
        <v>0</v>
      </c>
      <c r="F258" s="383"/>
      <c r="G258" s="123"/>
      <c r="H258" s="7"/>
      <c r="I258" s="12"/>
      <c r="J258" s="12"/>
    </row>
    <row r="259" spans="1:10" s="382" customFormat="1" ht="16.5" thickBot="1">
      <c r="A259" s="50"/>
      <c r="B259" s="95"/>
      <c r="C259" s="159">
        <f>SUM(C248:C258)</f>
        <v>16252041</v>
      </c>
      <c r="D259" s="142"/>
      <c r="E259" s="207">
        <f>SUM(E248:E258)</f>
        <v>450435.65911000001</v>
      </c>
      <c r="F259" s="383"/>
      <c r="G259" s="123"/>
      <c r="H259" s="7"/>
      <c r="I259" s="7"/>
      <c r="J259" s="8"/>
    </row>
    <row r="260" spans="1:10" s="382" customFormat="1" ht="16.5" thickTop="1">
      <c r="A260" s="50"/>
      <c r="B260" s="95"/>
      <c r="C260" s="224">
        <v>16252041</v>
      </c>
      <c r="D260" s="142" t="s">
        <v>161</v>
      </c>
      <c r="E260" s="156">
        <v>0</v>
      </c>
      <c r="F260" s="383"/>
      <c r="G260" s="11"/>
      <c r="H260" s="7"/>
      <c r="I260" s="8"/>
      <c r="J260" s="7"/>
    </row>
    <row r="261" spans="1:10" s="382" customFormat="1" ht="16.5" thickBot="1">
      <c r="A261" s="50"/>
      <c r="B261" s="95"/>
      <c r="C261" s="230">
        <f>C260-C259</f>
        <v>0</v>
      </c>
      <c r="D261" s="142"/>
      <c r="E261" s="160">
        <f>SUM(E259:E260)</f>
        <v>450435.65911000001</v>
      </c>
      <c r="F261" s="383"/>
      <c r="G261" s="65" t="s">
        <v>158</v>
      </c>
      <c r="H261" s="7"/>
      <c r="I261" s="7"/>
      <c r="J261" s="7"/>
    </row>
    <row r="262" spans="1:10" s="382" customFormat="1" ht="16.5" thickTop="1">
      <c r="A262" s="383"/>
      <c r="B262" s="383"/>
      <c r="C262" s="383"/>
      <c r="D262" s="142" t="s">
        <v>87</v>
      </c>
      <c r="E262" s="50">
        <f>E261+E243</f>
        <v>404400.30239409232</v>
      </c>
      <c r="F262" s="383"/>
      <c r="G262" s="8">
        <f>(E243*(D263/12))+(E261*(D263/24))</f>
        <v>485.28586393920841</v>
      </c>
      <c r="H262" s="456"/>
      <c r="I262" s="456"/>
      <c r="J262" s="7"/>
    </row>
    <row r="263" spans="1:10" s="382" customFormat="1" ht="15.75">
      <c r="A263" s="383"/>
      <c r="B263" s="383"/>
      <c r="C263" s="50" t="s">
        <v>57</v>
      </c>
      <c r="D263" s="225">
        <v>3.2500000000000001E-2</v>
      </c>
      <c r="E263" s="119">
        <f>ROUND(((E243)+(SUM(E261))/2)*(D263/12),2)</f>
        <v>485.29</v>
      </c>
      <c r="F263" s="383"/>
      <c r="G263" s="8"/>
      <c r="H263" s="7"/>
      <c r="I263" s="12"/>
      <c r="J263" s="12"/>
    </row>
    <row r="264" spans="1:10" s="382" customFormat="1" ht="15.75">
      <c r="A264" s="383"/>
      <c r="B264" s="383"/>
      <c r="C264" s="50" t="s">
        <v>1</v>
      </c>
      <c r="D264" s="90">
        <f>A246</f>
        <v>41578</v>
      </c>
      <c r="E264" s="50">
        <f>SUM(E262:E263)</f>
        <v>404885.59239409229</v>
      </c>
      <c r="F264" s="383"/>
      <c r="G264" s="245"/>
    </row>
    <row r="265" spans="1:10" s="382" customFormat="1" ht="15.75">
      <c r="A265" s="383"/>
      <c r="B265" s="383"/>
      <c r="C265" s="50"/>
      <c r="D265" s="441" t="s">
        <v>230</v>
      </c>
      <c r="E265" s="64">
        <f>-'WA Def 191010'!C109</f>
        <v>1145801.7486667871</v>
      </c>
      <c r="F265" s="383"/>
      <c r="G265" s="245"/>
    </row>
    <row r="266" spans="1:10" s="382" customFormat="1" ht="16.5" thickBot="1">
      <c r="A266" s="383"/>
      <c r="B266" s="383"/>
      <c r="C266" s="50"/>
      <c r="D266" s="441" t="s">
        <v>231</v>
      </c>
      <c r="E266" s="160">
        <f>E265+E264</f>
        <v>1550687.3410608794</v>
      </c>
      <c r="F266" s="383"/>
      <c r="G266" s="245"/>
    </row>
    <row r="267" spans="1:10" s="382" customFormat="1" ht="16.5" thickTop="1" thickBot="1"/>
    <row r="268" spans="1:10" s="382" customFormat="1" ht="15.75">
      <c r="A268" s="73" t="s">
        <v>141</v>
      </c>
      <c r="B268" s="78"/>
      <c r="C268" s="79"/>
      <c r="D268" s="80"/>
      <c r="E268" s="81"/>
      <c r="G268" s="5"/>
      <c r="H268" s="5"/>
      <c r="I268" s="48"/>
      <c r="J268" s="48"/>
    </row>
    <row r="269" spans="1:10" s="382" customFormat="1" ht="15.75">
      <c r="A269" s="219">
        <v>41608</v>
      </c>
      <c r="B269" s="137"/>
      <c r="C269" s="11"/>
      <c r="D269" s="138"/>
      <c r="E269" s="77"/>
      <c r="G269" s="5"/>
      <c r="H269" s="5"/>
      <c r="I269" s="48"/>
      <c r="J269" s="48"/>
    </row>
    <row r="270" spans="1:10" s="382" customFormat="1" ht="16.5" thickBot="1">
      <c r="A270" s="139"/>
      <c r="B270" s="140"/>
      <c r="C270" s="131" t="s">
        <v>21</v>
      </c>
      <c r="D270" s="131" t="s">
        <v>22</v>
      </c>
      <c r="E270" s="128" t="s">
        <v>23</v>
      </c>
      <c r="F270" s="383"/>
      <c r="G270" s="383"/>
      <c r="H270" s="383"/>
      <c r="I270" s="383"/>
      <c r="J270" s="383"/>
    </row>
    <row r="271" spans="1:10" s="382" customFormat="1" ht="15.75">
      <c r="A271" s="50" t="s">
        <v>24</v>
      </c>
      <c r="B271" s="95">
        <v>101</v>
      </c>
      <c r="C271" s="206">
        <v>15070678</v>
      </c>
      <c r="D271" s="387" t="s">
        <v>187</v>
      </c>
      <c r="E271" s="168">
        <v>-28858.639999999999</v>
      </c>
      <c r="F271" s="383"/>
      <c r="G271" s="383"/>
      <c r="H271" s="383"/>
      <c r="I271" s="383"/>
      <c r="J271" s="383"/>
    </row>
    <row r="272" spans="1:10" s="382" customFormat="1" ht="16.5" thickBot="1">
      <c r="A272" s="50" t="s">
        <v>24</v>
      </c>
      <c r="B272" s="95">
        <v>111</v>
      </c>
      <c r="C272" s="206">
        <v>5651303</v>
      </c>
      <c r="D272" s="387" t="s">
        <v>187</v>
      </c>
      <c r="E272" s="168">
        <v>-36478.370000000003</v>
      </c>
      <c r="F272" s="383"/>
      <c r="G272" s="123">
        <f>A269</f>
        <v>41608</v>
      </c>
      <c r="H272" s="383"/>
      <c r="I272" s="383"/>
      <c r="J272" s="383"/>
    </row>
    <row r="273" spans="1:10" s="382" customFormat="1" ht="16.5" thickBot="1">
      <c r="A273" s="50" t="s">
        <v>24</v>
      </c>
      <c r="B273" s="95">
        <v>112</v>
      </c>
      <c r="C273" s="206">
        <v>0</v>
      </c>
      <c r="D273" s="387" t="s">
        <v>187</v>
      </c>
      <c r="E273" s="168">
        <v>0</v>
      </c>
      <c r="F273" s="383"/>
      <c r="G273" s="113" t="s">
        <v>25</v>
      </c>
      <c r="H273" s="205"/>
      <c r="I273" s="126" t="s">
        <v>18</v>
      </c>
      <c r="J273" s="126" t="s">
        <v>19</v>
      </c>
    </row>
    <row r="274" spans="1:10" s="382" customFormat="1" ht="15.75">
      <c r="A274" s="50" t="s">
        <v>24</v>
      </c>
      <c r="B274" s="95">
        <v>121</v>
      </c>
      <c r="C274" s="206">
        <v>396185</v>
      </c>
      <c r="D274" s="387" t="s">
        <v>187</v>
      </c>
      <c r="E274" s="168">
        <v>-16940.830000000002</v>
      </c>
      <c r="F274" s="383"/>
      <c r="G274" s="151" t="s">
        <v>28</v>
      </c>
      <c r="H274" s="152" t="s">
        <v>75</v>
      </c>
      <c r="I274" s="466"/>
      <c r="J274" s="467">
        <f>IF(-E286&lt;0,-E286,0)</f>
        <v>-4107.12</v>
      </c>
    </row>
    <row r="275" spans="1:10" s="382" customFormat="1" ht="15.75">
      <c r="A275" s="50" t="s">
        <v>24</v>
      </c>
      <c r="B275" s="95">
        <v>122</v>
      </c>
      <c r="C275" s="206">
        <v>0</v>
      </c>
      <c r="D275" s="387" t="s">
        <v>187</v>
      </c>
      <c r="E275" s="168">
        <v>0</v>
      </c>
      <c r="F275" s="383"/>
      <c r="G275" s="153" t="s">
        <v>29</v>
      </c>
      <c r="H275" s="7" t="s">
        <v>76</v>
      </c>
      <c r="I275" s="468">
        <f>IF(-E286&gt;0,-E286,0)</f>
        <v>0</v>
      </c>
      <c r="J275" s="458"/>
    </row>
    <row r="276" spans="1:10" s="382" customFormat="1" ht="15.75">
      <c r="A276" s="50" t="s">
        <v>24</v>
      </c>
      <c r="B276" s="95">
        <v>131</v>
      </c>
      <c r="C276" s="206">
        <v>0</v>
      </c>
      <c r="D276" s="387" t="s">
        <v>187</v>
      </c>
      <c r="E276" s="168">
        <v>0</v>
      </c>
      <c r="F276" s="383"/>
      <c r="G276" s="153" t="s">
        <v>97</v>
      </c>
      <c r="H276" s="7" t="s">
        <v>26</v>
      </c>
      <c r="I276" s="468">
        <f>IF(-E284&gt;0,-E284,0)</f>
        <v>68424.86</v>
      </c>
      <c r="J276" s="458">
        <f>IF(-E284&lt;0,-E284,0)</f>
        <v>0</v>
      </c>
    </row>
    <row r="277" spans="1:10" s="382" customFormat="1" ht="15.75">
      <c r="A277" s="50" t="s">
        <v>24</v>
      </c>
      <c r="B277" s="95">
        <v>132</v>
      </c>
      <c r="C277" s="206">
        <v>0</v>
      </c>
      <c r="D277" s="387" t="s">
        <v>187</v>
      </c>
      <c r="E277" s="168">
        <v>0</v>
      </c>
      <c r="F277" s="383"/>
      <c r="G277" s="153" t="s">
        <v>10</v>
      </c>
      <c r="H277" s="7" t="s">
        <v>17</v>
      </c>
      <c r="I277" s="468"/>
      <c r="J277" s="458"/>
    </row>
    <row r="278" spans="1:10" s="382" customFormat="1" ht="16.5" thickBot="1">
      <c r="A278" s="50" t="s">
        <v>24</v>
      </c>
      <c r="B278" s="95">
        <v>146</v>
      </c>
      <c r="C278" s="206">
        <v>2936207</v>
      </c>
      <c r="D278" s="387" t="s">
        <v>187</v>
      </c>
      <c r="E278" s="168">
        <v>0</v>
      </c>
      <c r="F278" s="383"/>
      <c r="G278" s="154" t="s">
        <v>98</v>
      </c>
      <c r="H278" s="147" t="s">
        <v>27</v>
      </c>
      <c r="I278" s="460">
        <f>IF(-(E266-E287)&lt;0,0,-(E266-E287))</f>
        <v>0</v>
      </c>
      <c r="J278" s="469">
        <f>IF(-(E266-E287)&gt;0,0,-(E266-E287))</f>
        <v>-64317.739999999991</v>
      </c>
    </row>
    <row r="279" spans="1:10" s="382" customFormat="1" ht="15.75">
      <c r="A279" s="50" t="s">
        <v>151</v>
      </c>
      <c r="B279" s="95"/>
      <c r="C279" s="206"/>
      <c r="D279" s="387"/>
      <c r="E279" s="168">
        <v>0</v>
      </c>
      <c r="F279" s="383"/>
      <c r="G279" s="383"/>
      <c r="H279" s="383"/>
      <c r="I279" s="383"/>
      <c r="J279" s="336">
        <f>SUM(I274:J278)</f>
        <v>0</v>
      </c>
    </row>
    <row r="280" spans="1:10" s="382" customFormat="1" ht="15.75">
      <c r="A280" s="141" t="s">
        <v>143</v>
      </c>
      <c r="B280" s="95">
        <v>146</v>
      </c>
      <c r="C280" s="206"/>
      <c r="D280" s="121"/>
      <c r="E280" s="168">
        <v>0</v>
      </c>
      <c r="F280" s="383"/>
      <c r="G280" s="123"/>
      <c r="H280" s="7"/>
      <c r="I280" s="7"/>
      <c r="J280" s="7"/>
    </row>
    <row r="281" spans="1:10" s="382" customFormat="1" ht="15.75">
      <c r="A281" s="141" t="s">
        <v>105</v>
      </c>
      <c r="B281" s="95"/>
      <c r="C281" s="206"/>
      <c r="D281" s="121"/>
      <c r="E281" s="226">
        <v>13852.98</v>
      </c>
      <c r="F281" s="383"/>
      <c r="G281" s="123"/>
      <c r="H281" s="7"/>
      <c r="I281" s="12"/>
      <c r="J281" s="12"/>
    </row>
    <row r="282" spans="1:10" s="382" customFormat="1" ht="16.5" thickBot="1">
      <c r="A282" s="50"/>
      <c r="B282" s="95"/>
      <c r="C282" s="159">
        <f>SUM(C271:C281)</f>
        <v>24054373</v>
      </c>
      <c r="D282" s="142"/>
      <c r="E282" s="207">
        <f>SUM(E271:E281)</f>
        <v>-68424.86</v>
      </c>
      <c r="F282" s="383">
        <f>SUM(E271:E274)</f>
        <v>-82277.84</v>
      </c>
      <c r="G282" s="123"/>
      <c r="H282" s="7"/>
      <c r="I282" s="7"/>
      <c r="J282" s="8"/>
    </row>
    <row r="283" spans="1:10" s="382" customFormat="1" ht="16.5" thickTop="1">
      <c r="A283" s="50"/>
      <c r="B283" s="95"/>
      <c r="C283" s="224">
        <v>24054373</v>
      </c>
      <c r="D283" s="142" t="s">
        <v>161</v>
      </c>
      <c r="E283" s="156">
        <v>0</v>
      </c>
      <c r="F283" s="383"/>
      <c r="G283" s="11"/>
      <c r="H283" s="7"/>
      <c r="I283" s="8"/>
      <c r="J283" s="7"/>
    </row>
    <row r="284" spans="1:10" s="382" customFormat="1" ht="16.5" thickBot="1">
      <c r="A284" s="50"/>
      <c r="B284" s="95"/>
      <c r="C284" s="230">
        <f>C283-C282</f>
        <v>0</v>
      </c>
      <c r="D284" s="142"/>
      <c r="E284" s="160">
        <f>SUM(E282:E283)</f>
        <v>-68424.86</v>
      </c>
      <c r="F284" s="383"/>
      <c r="G284" s="65" t="s">
        <v>158</v>
      </c>
      <c r="H284" s="7"/>
      <c r="I284" s="7"/>
      <c r="J284" s="7"/>
    </row>
    <row r="285" spans="1:10" s="382" customFormat="1" ht="16.5" thickTop="1">
      <c r="A285" s="383"/>
      <c r="B285" s="383"/>
      <c r="C285" s="383"/>
      <c r="D285" s="142" t="s">
        <v>87</v>
      </c>
      <c r="E285" s="50">
        <f>E284+E266</f>
        <v>1482262.4810608793</v>
      </c>
      <c r="F285" s="383"/>
      <c r="G285" s="8">
        <f>(E266*(D286/12))+(E284*(D286/24))</f>
        <v>4107.1195507898819</v>
      </c>
      <c r="H285" s="464"/>
      <c r="I285" s="464"/>
      <c r="J285" s="7"/>
    </row>
    <row r="286" spans="1:10" s="382" customFormat="1" ht="15.75">
      <c r="A286" s="383"/>
      <c r="B286" s="383"/>
      <c r="C286" s="50" t="s">
        <v>57</v>
      </c>
      <c r="D286" s="225">
        <v>3.2500000000000001E-2</v>
      </c>
      <c r="E286" s="119">
        <f>ROUND(((E266)+(SUM(E284))/2)*(D286/12),2)</f>
        <v>4107.12</v>
      </c>
      <c r="F286" s="383"/>
      <c r="G286" s="8"/>
      <c r="H286" s="7"/>
      <c r="I286" s="12"/>
      <c r="J286" s="12"/>
    </row>
    <row r="287" spans="1:10" s="382" customFormat="1" ht="15.75">
      <c r="A287" s="383"/>
      <c r="B287" s="383"/>
      <c r="C287" s="50" t="s">
        <v>1</v>
      </c>
      <c r="D287" s="90">
        <f>A269</f>
        <v>41608</v>
      </c>
      <c r="E287" s="50">
        <f>SUM(E285:E286)</f>
        <v>1486369.6010608794</v>
      </c>
      <c r="F287" s="383"/>
      <c r="G287" s="245"/>
    </row>
    <row r="288" spans="1:10" s="382" customFormat="1" ht="15.75" thickBot="1"/>
    <row r="289" spans="1:10" s="382" customFormat="1" ht="15.75">
      <c r="A289" s="73" t="s">
        <v>141</v>
      </c>
      <c r="B289" s="78"/>
      <c r="C289" s="79"/>
      <c r="D289" s="80"/>
      <c r="E289" s="81"/>
      <c r="G289" s="5"/>
      <c r="H289" s="5"/>
      <c r="I289" s="48"/>
      <c r="J289" s="48"/>
    </row>
    <row r="290" spans="1:10" s="382" customFormat="1" ht="15.75">
      <c r="A290" s="219">
        <f>EOMONTH(A269,1)</f>
        <v>41639</v>
      </c>
      <c r="B290" s="137"/>
      <c r="C290" s="11"/>
      <c r="D290" s="138"/>
      <c r="E290" s="77"/>
      <c r="G290" s="5"/>
      <c r="H290" s="5"/>
      <c r="I290" s="48"/>
      <c r="J290" s="48"/>
    </row>
    <row r="291" spans="1:10" s="382" customFormat="1" ht="16.5" thickBot="1">
      <c r="A291" s="139"/>
      <c r="B291" s="140"/>
      <c r="C291" s="131" t="s">
        <v>21</v>
      </c>
      <c r="D291" s="131" t="s">
        <v>22</v>
      </c>
      <c r="E291" s="128" t="s">
        <v>23</v>
      </c>
      <c r="F291" s="383"/>
      <c r="G291" s="383"/>
      <c r="H291" s="383"/>
      <c r="I291" s="383"/>
      <c r="J291" s="383"/>
    </row>
    <row r="292" spans="1:10" s="382" customFormat="1" ht="15.75">
      <c r="A292" s="50" t="s">
        <v>24</v>
      </c>
      <c r="B292" s="95">
        <v>101</v>
      </c>
      <c r="C292" s="206">
        <f>Jan!$G$23</f>
        <v>20257484</v>
      </c>
      <c r="D292" s="387" t="s">
        <v>187</v>
      </c>
      <c r="E292" s="168">
        <v>-56737.25</v>
      </c>
      <c r="F292" s="383"/>
      <c r="G292" s="383"/>
      <c r="H292" s="383"/>
      <c r="I292" s="383"/>
      <c r="J292" s="383"/>
    </row>
    <row r="293" spans="1:10" s="382" customFormat="1" ht="16.5" thickBot="1">
      <c r="A293" s="50" t="s">
        <v>24</v>
      </c>
      <c r="B293" s="95">
        <v>111</v>
      </c>
      <c r="C293" s="206">
        <f>Jan!$G$25</f>
        <v>6608892</v>
      </c>
      <c r="D293" s="387" t="s">
        <v>187</v>
      </c>
      <c r="E293" s="168">
        <v>-36348.93</v>
      </c>
      <c r="F293" s="383"/>
      <c r="G293" s="123">
        <f>A290</f>
        <v>41639</v>
      </c>
      <c r="H293" s="383"/>
      <c r="I293" s="383"/>
      <c r="J293" s="383"/>
    </row>
    <row r="294" spans="1:10" s="382" customFormat="1" ht="16.5" thickBot="1">
      <c r="A294" s="50" t="s">
        <v>24</v>
      </c>
      <c r="B294" s="95">
        <v>112</v>
      </c>
      <c r="C294" s="206">
        <f>Jan!$G$26</f>
        <v>10558</v>
      </c>
      <c r="D294" s="387" t="s">
        <v>187</v>
      </c>
      <c r="E294" s="168">
        <v>0</v>
      </c>
      <c r="F294" s="383"/>
      <c r="G294" s="113" t="s">
        <v>25</v>
      </c>
      <c r="H294" s="205"/>
      <c r="I294" s="126" t="s">
        <v>18</v>
      </c>
      <c r="J294" s="126" t="s">
        <v>19</v>
      </c>
    </row>
    <row r="295" spans="1:10" s="382" customFormat="1" ht="15.75">
      <c r="A295" s="50" t="s">
        <v>24</v>
      </c>
      <c r="B295" s="95">
        <v>121</v>
      </c>
      <c r="C295" s="206">
        <f>Jan!$G$27</f>
        <v>362835</v>
      </c>
      <c r="D295" s="387" t="s">
        <v>187</v>
      </c>
      <c r="E295" s="168">
        <v>-8844.16</v>
      </c>
      <c r="F295" s="383"/>
      <c r="G295" s="151" t="s">
        <v>28</v>
      </c>
      <c r="H295" s="152" t="s">
        <v>75</v>
      </c>
      <c r="I295" s="466"/>
      <c r="J295" s="467">
        <f>IF(-E307&lt;0,-E307,0)</f>
        <v>-3887.55</v>
      </c>
    </row>
    <row r="296" spans="1:10" s="382" customFormat="1" ht="15.75">
      <c r="A296" s="50" t="s">
        <v>24</v>
      </c>
      <c r="B296" s="95">
        <v>122</v>
      </c>
      <c r="C296" s="206">
        <v>0</v>
      </c>
      <c r="D296" s="387" t="s">
        <v>187</v>
      </c>
      <c r="E296" s="168">
        <v>0</v>
      </c>
      <c r="F296" s="383"/>
      <c r="G296" s="153" t="s">
        <v>29</v>
      </c>
      <c r="H296" s="7" t="s">
        <v>76</v>
      </c>
      <c r="I296" s="468">
        <f>IF(-E307&gt;0,-E307,0)</f>
        <v>0</v>
      </c>
      <c r="J296" s="458"/>
    </row>
    <row r="297" spans="1:10" s="382" customFormat="1" ht="15.75">
      <c r="A297" s="50" t="s">
        <v>24</v>
      </c>
      <c r="B297" s="95">
        <v>131</v>
      </c>
      <c r="C297" s="206">
        <f>Jan!$G$29</f>
        <v>0</v>
      </c>
      <c r="D297" s="387" t="s">
        <v>187</v>
      </c>
      <c r="E297" s="168">
        <v>0</v>
      </c>
      <c r="F297" s="383"/>
      <c r="G297" s="153" t="s">
        <v>97</v>
      </c>
      <c r="H297" s="7" t="s">
        <v>26</v>
      </c>
      <c r="I297" s="468">
        <f>IF(-E305&gt;0,-E305,0)</f>
        <v>101930.34</v>
      </c>
      <c r="J297" s="458">
        <f>IF(-E305&lt;0,-E305,0)</f>
        <v>0</v>
      </c>
    </row>
    <row r="298" spans="1:10" s="382" customFormat="1" ht="15.75">
      <c r="A298" s="50" t="s">
        <v>24</v>
      </c>
      <c r="B298" s="95">
        <v>132</v>
      </c>
      <c r="C298" s="206">
        <v>0</v>
      </c>
      <c r="D298" s="387" t="s">
        <v>187</v>
      </c>
      <c r="E298" s="168">
        <v>0</v>
      </c>
      <c r="F298" s="383"/>
      <c r="G298" s="153" t="s">
        <v>10</v>
      </c>
      <c r="H298" s="7" t="s">
        <v>17</v>
      </c>
      <c r="I298" s="468"/>
      <c r="J298" s="458"/>
    </row>
    <row r="299" spans="1:10" s="382" customFormat="1" ht="16.5" thickBot="1">
      <c r="A299" s="50" t="s">
        <v>24</v>
      </c>
      <c r="B299" s="95">
        <v>146</v>
      </c>
      <c r="C299" s="206">
        <f>Jan!$G$31</f>
        <v>3629622</v>
      </c>
      <c r="D299" s="387" t="s">
        <v>187</v>
      </c>
      <c r="E299" s="168">
        <v>0</v>
      </c>
      <c r="F299" s="383"/>
      <c r="G299" s="154" t="s">
        <v>98</v>
      </c>
      <c r="H299" s="147" t="s">
        <v>27</v>
      </c>
      <c r="I299" s="460">
        <f>IF(-(E287-E308)&lt;0,0,-(E287-E308))</f>
        <v>0</v>
      </c>
      <c r="J299" s="469">
        <f>IF(-(E287-E308)&gt;0,0,-(E287-E308))</f>
        <v>-98042.790000000037</v>
      </c>
    </row>
    <row r="300" spans="1:10" s="382" customFormat="1" ht="15.75">
      <c r="A300" s="50" t="s">
        <v>151</v>
      </c>
      <c r="B300" s="95"/>
      <c r="C300" s="206"/>
      <c r="D300" s="387"/>
      <c r="E300" s="168">
        <v>0</v>
      </c>
      <c r="F300" s="383"/>
      <c r="G300" s="383"/>
      <c r="H300" s="383"/>
      <c r="I300" s="383"/>
      <c r="J300" s="336">
        <f>SUM(I295:J299)</f>
        <v>0</v>
      </c>
    </row>
    <row r="301" spans="1:10" s="382" customFormat="1" ht="15.75">
      <c r="A301" s="141" t="s">
        <v>143</v>
      </c>
      <c r="B301" s="95">
        <v>146</v>
      </c>
      <c r="C301" s="206"/>
      <c r="D301" s="121"/>
      <c r="E301" s="168">
        <v>0</v>
      </c>
      <c r="F301" s="383"/>
      <c r="G301" s="123"/>
      <c r="H301" s="7"/>
      <c r="I301" s="7"/>
      <c r="J301" s="7"/>
    </row>
    <row r="302" spans="1:10" s="382" customFormat="1" ht="15.75">
      <c r="A302" s="141" t="s">
        <v>105</v>
      </c>
      <c r="B302" s="95"/>
      <c r="C302" s="206"/>
      <c r="D302" s="121"/>
      <c r="E302" s="226">
        <v>0</v>
      </c>
      <c r="F302" s="383"/>
      <c r="G302" s="123"/>
      <c r="H302" s="7"/>
      <c r="I302" s="12"/>
      <c r="J302" s="12"/>
    </row>
    <row r="303" spans="1:10" s="382" customFormat="1" ht="16.5" thickBot="1">
      <c r="A303" s="50"/>
      <c r="B303" s="95"/>
      <c r="C303" s="159">
        <f>SUM(C292:C302)</f>
        <v>30869391</v>
      </c>
      <c r="D303" s="142"/>
      <c r="E303" s="207">
        <f>SUM(E292:E302)</f>
        <v>-101930.34</v>
      </c>
      <c r="F303" s="383"/>
      <c r="G303" s="123"/>
      <c r="H303" s="7"/>
      <c r="I303" s="7"/>
      <c r="J303" s="8"/>
    </row>
    <row r="304" spans="1:10" s="382" customFormat="1" ht="16.5" thickTop="1">
      <c r="A304" s="50"/>
      <c r="B304" s="95"/>
      <c r="C304" s="224">
        <v>34418458</v>
      </c>
      <c r="D304" s="142" t="s">
        <v>161</v>
      </c>
      <c r="E304" s="156">
        <v>0</v>
      </c>
      <c r="F304" s="383"/>
      <c r="G304" s="11"/>
      <c r="H304" s="7"/>
      <c r="I304" s="8"/>
      <c r="J304" s="7"/>
    </row>
    <row r="305" spans="1:10" s="382" customFormat="1" ht="16.5" thickBot="1">
      <c r="A305" s="50"/>
      <c r="B305" s="95"/>
      <c r="C305" s="230">
        <f>C304-C303</f>
        <v>3549067</v>
      </c>
      <c r="D305" s="142"/>
      <c r="E305" s="160">
        <f>SUM(E303:E304)</f>
        <v>-101930.34</v>
      </c>
      <c r="F305" s="383"/>
      <c r="G305" s="65" t="s">
        <v>158</v>
      </c>
      <c r="H305" s="7"/>
      <c r="I305" s="7"/>
      <c r="J305" s="7"/>
    </row>
    <row r="306" spans="1:10" s="382" customFormat="1" ht="16.5" thickTop="1">
      <c r="A306" s="383"/>
      <c r="B306" s="383"/>
      <c r="C306" s="383"/>
      <c r="D306" s="142" t="s">
        <v>87</v>
      </c>
      <c r="E306" s="50">
        <f>E305+E287</f>
        <v>1384439.2610608793</v>
      </c>
      <c r="F306" s="383"/>
      <c r="G306" s="8">
        <f>(E287*(D307/12))+(E305*(D307/24))</f>
        <v>3887.5536674565483</v>
      </c>
      <c r="H306" s="470"/>
      <c r="I306" s="470"/>
      <c r="J306" s="7"/>
    </row>
    <row r="307" spans="1:10" s="382" customFormat="1" ht="15.75">
      <c r="A307" s="383"/>
      <c r="B307" s="383"/>
      <c r="C307" s="50" t="s">
        <v>57</v>
      </c>
      <c r="D307" s="225">
        <v>3.2500000000000001E-2</v>
      </c>
      <c r="E307" s="119">
        <f>ROUND(((E287)+(SUM(E305))/2)*(D307/12),2)</f>
        <v>3887.55</v>
      </c>
      <c r="F307" s="383"/>
      <c r="G307" s="8"/>
      <c r="H307" s="7"/>
      <c r="I307" s="12"/>
      <c r="J307" s="12"/>
    </row>
    <row r="308" spans="1:10" s="382" customFormat="1" ht="15.75">
      <c r="A308" s="383"/>
      <c r="B308" s="383"/>
      <c r="C308" s="50" t="s">
        <v>1</v>
      </c>
      <c r="D308" s="90">
        <f>A290</f>
        <v>41639</v>
      </c>
      <c r="E308" s="50">
        <f>SUM(E306:E307)</f>
        <v>1388326.8110608794</v>
      </c>
      <c r="F308" s="383"/>
      <c r="G308" s="473" t="s">
        <v>244</v>
      </c>
      <c r="H308" s="474" t="e">
        <f>_xll.Get_Balance(I308,"YTD","USD","Total","A","","001","191000","GD","WA","DL")-E308</f>
        <v>#VALUE!</v>
      </c>
      <c r="I308" s="475">
        <v>201312</v>
      </c>
    </row>
    <row r="309" spans="1:10" s="382" customFormat="1"/>
  </sheetData>
  <mergeCells count="1">
    <mergeCell ref="G67:I70"/>
  </mergeCells>
  <conditionalFormatting sqref="C28">
    <cfRule type="cellIs" dxfId="67" priority="68" operator="notEqual">
      <formula>0</formula>
    </cfRule>
  </conditionalFormatting>
  <conditionalFormatting sqref="J23">
    <cfRule type="cellIs" dxfId="66" priority="66" stopIfTrue="1" operator="equal">
      <formula>0</formula>
    </cfRule>
    <cfRule type="cellIs" dxfId="65" priority="67" stopIfTrue="1" operator="notEqual">
      <formula>0</formula>
    </cfRule>
  </conditionalFormatting>
  <conditionalFormatting sqref="C51">
    <cfRule type="cellIs" dxfId="64" priority="65" operator="notEqual">
      <formula>0</formula>
    </cfRule>
  </conditionalFormatting>
  <conditionalFormatting sqref="J46">
    <cfRule type="cellIs" dxfId="63" priority="63" stopIfTrue="1" operator="equal">
      <formula>0</formula>
    </cfRule>
    <cfRule type="cellIs" dxfId="62" priority="64" stopIfTrue="1" operator="notEqual">
      <formula>0</formula>
    </cfRule>
  </conditionalFormatting>
  <conditionalFormatting sqref="J46">
    <cfRule type="cellIs" dxfId="61" priority="61" stopIfTrue="1" operator="equal">
      <formula>0</formula>
    </cfRule>
    <cfRule type="cellIs" dxfId="60" priority="62" stopIfTrue="1" operator="notEqual">
      <formula>0</formula>
    </cfRule>
  </conditionalFormatting>
  <conditionalFormatting sqref="C72">
    <cfRule type="cellIs" dxfId="59" priority="60" operator="notEqual">
      <formula>0</formula>
    </cfRule>
  </conditionalFormatting>
  <conditionalFormatting sqref="J67">
    <cfRule type="cellIs" dxfId="58" priority="58" stopIfTrue="1" operator="equal">
      <formula>0</formula>
    </cfRule>
    <cfRule type="cellIs" dxfId="57" priority="59" stopIfTrue="1" operator="notEqual">
      <formula>0</formula>
    </cfRule>
  </conditionalFormatting>
  <conditionalFormatting sqref="J67">
    <cfRule type="cellIs" dxfId="56" priority="56" stopIfTrue="1" operator="equal">
      <formula>0</formula>
    </cfRule>
    <cfRule type="cellIs" dxfId="55" priority="57" stopIfTrue="1" operator="notEqual">
      <formula>0</formula>
    </cfRule>
  </conditionalFormatting>
  <conditionalFormatting sqref="C93">
    <cfRule type="cellIs" dxfId="54" priority="55" operator="notEqual">
      <formula>0</formula>
    </cfRule>
  </conditionalFormatting>
  <conditionalFormatting sqref="J88">
    <cfRule type="cellIs" dxfId="53" priority="53" stopIfTrue="1" operator="equal">
      <formula>0</formula>
    </cfRule>
    <cfRule type="cellIs" dxfId="52" priority="54" stopIfTrue="1" operator="notEqual">
      <formula>0</formula>
    </cfRule>
  </conditionalFormatting>
  <conditionalFormatting sqref="J88">
    <cfRule type="cellIs" dxfId="51" priority="51" stopIfTrue="1" operator="equal">
      <formula>0</formula>
    </cfRule>
    <cfRule type="cellIs" dxfId="50" priority="52" stopIfTrue="1" operator="notEqual">
      <formula>0</formula>
    </cfRule>
  </conditionalFormatting>
  <conditionalFormatting sqref="C114">
    <cfRule type="cellIs" dxfId="49" priority="50" operator="notEqual">
      <formula>0</formula>
    </cfRule>
  </conditionalFormatting>
  <conditionalFormatting sqref="J109">
    <cfRule type="cellIs" dxfId="48" priority="48" stopIfTrue="1" operator="equal">
      <formula>0</formula>
    </cfRule>
    <cfRule type="cellIs" dxfId="47" priority="49" stopIfTrue="1" operator="notEqual">
      <formula>0</formula>
    </cfRule>
  </conditionalFormatting>
  <conditionalFormatting sqref="J109">
    <cfRule type="cellIs" dxfId="46" priority="46" stopIfTrue="1" operator="equal">
      <formula>0</formula>
    </cfRule>
    <cfRule type="cellIs" dxfId="45" priority="47" stopIfTrue="1" operator="notEqual">
      <formula>0</formula>
    </cfRule>
  </conditionalFormatting>
  <conditionalFormatting sqref="C135">
    <cfRule type="cellIs" dxfId="44" priority="45" operator="notEqual">
      <formula>0</formula>
    </cfRule>
  </conditionalFormatting>
  <conditionalFormatting sqref="J130">
    <cfRule type="cellIs" dxfId="43" priority="43" stopIfTrue="1" operator="equal">
      <formula>0</formula>
    </cfRule>
    <cfRule type="cellIs" dxfId="42" priority="44" stopIfTrue="1" operator="notEqual">
      <formula>0</formula>
    </cfRule>
  </conditionalFormatting>
  <conditionalFormatting sqref="J130">
    <cfRule type="cellIs" dxfId="41" priority="41" stopIfTrue="1" operator="equal">
      <formula>0</formula>
    </cfRule>
    <cfRule type="cellIs" dxfId="40" priority="42" stopIfTrue="1" operator="notEqual">
      <formula>0</formula>
    </cfRule>
  </conditionalFormatting>
  <conditionalFormatting sqref="C156">
    <cfRule type="cellIs" dxfId="39" priority="40" operator="notEqual">
      <formula>0</formula>
    </cfRule>
  </conditionalFormatting>
  <conditionalFormatting sqref="J151">
    <cfRule type="cellIs" dxfId="38" priority="38" stopIfTrue="1" operator="equal">
      <formula>0</formula>
    </cfRule>
    <cfRule type="cellIs" dxfId="37" priority="39" stopIfTrue="1" operator="notEqual">
      <formula>0</formula>
    </cfRule>
  </conditionalFormatting>
  <conditionalFormatting sqref="J151">
    <cfRule type="cellIs" dxfId="36" priority="36" stopIfTrue="1" operator="equal">
      <formula>0</formula>
    </cfRule>
    <cfRule type="cellIs" dxfId="35" priority="37" stopIfTrue="1" operator="notEqual">
      <formula>0</formula>
    </cfRule>
  </conditionalFormatting>
  <conditionalFormatting sqref="C177">
    <cfRule type="cellIs" dxfId="34" priority="35" operator="notEqual">
      <formula>0</formula>
    </cfRule>
  </conditionalFormatting>
  <conditionalFormatting sqref="J172">
    <cfRule type="cellIs" dxfId="33" priority="33" stopIfTrue="1" operator="equal">
      <formula>0</formula>
    </cfRule>
    <cfRule type="cellIs" dxfId="32" priority="34" stopIfTrue="1" operator="notEqual">
      <formula>0</formula>
    </cfRule>
  </conditionalFormatting>
  <conditionalFormatting sqref="J172">
    <cfRule type="cellIs" dxfId="31" priority="31" stopIfTrue="1" operator="equal">
      <formula>0</formula>
    </cfRule>
    <cfRule type="cellIs" dxfId="30" priority="32" stopIfTrue="1" operator="notEqual">
      <formula>0</formula>
    </cfRule>
  </conditionalFormatting>
  <conditionalFormatting sqref="C198">
    <cfRule type="cellIs" dxfId="29" priority="30" operator="notEqual">
      <formula>0</formula>
    </cfRule>
  </conditionalFormatting>
  <conditionalFormatting sqref="J193">
    <cfRule type="cellIs" dxfId="28" priority="28" stopIfTrue="1" operator="equal">
      <formula>0</formula>
    </cfRule>
    <cfRule type="cellIs" dxfId="27" priority="29" stopIfTrue="1" operator="notEqual">
      <formula>0</formula>
    </cfRule>
  </conditionalFormatting>
  <conditionalFormatting sqref="J193">
    <cfRule type="cellIs" dxfId="26" priority="26" stopIfTrue="1" operator="equal">
      <formula>0</formula>
    </cfRule>
    <cfRule type="cellIs" dxfId="25" priority="27" stopIfTrue="1" operator="notEqual">
      <formula>0</formula>
    </cfRule>
  </conditionalFormatting>
  <conditionalFormatting sqref="C219">
    <cfRule type="cellIs" dxfId="24" priority="25" operator="notEqual">
      <formula>0</formula>
    </cfRule>
  </conditionalFormatting>
  <conditionalFormatting sqref="J214">
    <cfRule type="cellIs" dxfId="23" priority="23" stopIfTrue="1" operator="equal">
      <formula>0</formula>
    </cfRule>
    <cfRule type="cellIs" dxfId="22" priority="24" stopIfTrue="1" operator="notEqual">
      <formula>0</formula>
    </cfRule>
  </conditionalFormatting>
  <conditionalFormatting sqref="J214">
    <cfRule type="cellIs" dxfId="21" priority="21" stopIfTrue="1" operator="equal">
      <formula>0</formula>
    </cfRule>
    <cfRule type="cellIs" dxfId="20" priority="22" stopIfTrue="1" operator="notEqual">
      <formula>0</formula>
    </cfRule>
  </conditionalFormatting>
  <conditionalFormatting sqref="C240">
    <cfRule type="cellIs" dxfId="19" priority="20" operator="notEqual">
      <formula>0</formula>
    </cfRule>
  </conditionalFormatting>
  <conditionalFormatting sqref="J235">
    <cfRule type="cellIs" dxfId="18" priority="18" stopIfTrue="1" operator="equal">
      <formula>0</formula>
    </cfRule>
    <cfRule type="cellIs" dxfId="17" priority="19" stopIfTrue="1" operator="notEqual">
      <formula>0</formula>
    </cfRule>
  </conditionalFormatting>
  <conditionalFormatting sqref="J235">
    <cfRule type="cellIs" dxfId="16" priority="16" stopIfTrue="1" operator="equal">
      <formula>0</formula>
    </cfRule>
    <cfRule type="cellIs" dxfId="15" priority="17" stopIfTrue="1" operator="notEqual">
      <formula>0</formula>
    </cfRule>
  </conditionalFormatting>
  <conditionalFormatting sqref="C261">
    <cfRule type="cellIs" dxfId="14" priority="15" operator="notEqual">
      <formula>0</formula>
    </cfRule>
  </conditionalFormatting>
  <conditionalFormatting sqref="J256">
    <cfRule type="cellIs" dxfId="13" priority="13" stopIfTrue="1" operator="equal">
      <formula>0</formula>
    </cfRule>
    <cfRule type="cellIs" dxfId="12" priority="14" stopIfTrue="1" operator="notEqual">
      <formula>0</formula>
    </cfRule>
  </conditionalFormatting>
  <conditionalFormatting sqref="J256">
    <cfRule type="cellIs" dxfId="11" priority="11" stopIfTrue="1" operator="equal">
      <formula>0</formula>
    </cfRule>
    <cfRule type="cellIs" dxfId="10" priority="12" stopIfTrue="1" operator="notEqual">
      <formula>0</formula>
    </cfRule>
  </conditionalFormatting>
  <conditionalFormatting sqref="C284">
    <cfRule type="cellIs" dxfId="9" priority="10" operator="notEqual">
      <formula>0</formula>
    </cfRule>
  </conditionalFormatting>
  <conditionalFormatting sqref="J279">
    <cfRule type="cellIs" dxfId="8" priority="8" stopIfTrue="1" operator="equal">
      <formula>0</formula>
    </cfRule>
    <cfRule type="cellIs" dxfId="7" priority="9" stopIfTrue="1" operator="notEqual">
      <formula>0</formula>
    </cfRule>
  </conditionalFormatting>
  <conditionalFormatting sqref="J279">
    <cfRule type="cellIs" dxfId="6" priority="6" stopIfTrue="1" operator="equal">
      <formula>0</formula>
    </cfRule>
    <cfRule type="cellIs" dxfId="5" priority="7" stopIfTrue="1" operator="notEqual">
      <formula>0</formula>
    </cfRule>
  </conditionalFormatting>
  <conditionalFormatting sqref="C305">
    <cfRule type="cellIs" dxfId="4" priority="5" operator="notEqual">
      <formula>0</formula>
    </cfRule>
  </conditionalFormatting>
  <conditionalFormatting sqref="J300">
    <cfRule type="cellIs" dxfId="3" priority="3" stopIfTrue="1" operator="equal">
      <formula>0</formula>
    </cfRule>
    <cfRule type="cellIs" dxfId="2" priority="4" stopIfTrue="1" operator="notEqual">
      <formula>0</formula>
    </cfRule>
  </conditionalFormatting>
  <conditionalFormatting sqref="J300">
    <cfRule type="cellIs" dxfId="1" priority="1" stopIfTrue="1" operator="equal">
      <formula>0</formula>
    </cfRule>
    <cfRule type="cellIs" dxfId="0" priority="2" stopIfTrue="1" operator="notEqual">
      <formula>0</formula>
    </cfRule>
  </conditionalFormatting>
  <printOptions gridLinesSet="0"/>
  <pageMargins left="0.5" right="0.25" top="0.92" bottom="0.5" header="0.25" footer="0.25"/>
  <pageSetup scale="45" fitToHeight="2" orientation="portrait" horizontalDpi="300" verticalDpi="300" r:id="rId1"/>
  <headerFooter alignWithMargins="0">
    <oddHeader>&amp;L&amp;12Prior Period Unrecovered Gas Costs
Washington
191000</oddHeader>
    <oddFooter>&amp;L&amp;F&amp;C&amp;A&amp;R&amp;D  &amp;T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W27"/>
  <sheetViews>
    <sheetView zoomScale="85" zoomScaleNormal="85" workbookViewId="0">
      <selection activeCell="M24" sqref="M24"/>
    </sheetView>
  </sheetViews>
  <sheetFormatPr defaultColWidth="8.85546875" defaultRowHeight="15"/>
  <cols>
    <col min="1" max="1" width="9.140625" style="632" customWidth="1"/>
    <col min="2" max="2" width="8.85546875" style="632"/>
    <col min="3" max="3" width="1.7109375" style="633" customWidth="1"/>
    <col min="4" max="4" width="12.140625" style="633" customWidth="1"/>
    <col min="5" max="5" width="13.7109375" style="632" customWidth="1"/>
    <col min="6" max="7" width="14.28515625" style="662" customWidth="1"/>
    <col min="8" max="8" width="14.7109375" style="632" bestFit="1" customWidth="1"/>
    <col min="9" max="9" width="12.140625" style="632" customWidth="1"/>
    <col min="10" max="10" width="15.28515625" style="662" bestFit="1" customWidth="1"/>
    <col min="11" max="11" width="1.7109375" style="633" customWidth="1"/>
    <col min="12" max="12" width="13.5703125" style="632" customWidth="1"/>
    <col min="13" max="13" width="13.85546875" style="632" bestFit="1" customWidth="1"/>
    <col min="14" max="16" width="8.85546875" style="632"/>
    <col min="17" max="17" width="12.7109375" style="632" customWidth="1"/>
    <col min="18" max="19" width="13.140625" style="632" bestFit="1" customWidth="1"/>
    <col min="20" max="16384" width="8.85546875" style="632"/>
  </cols>
  <sheetData>
    <row r="1" spans="1:15" s="627" customFormat="1" ht="15.75">
      <c r="A1" s="625" t="s">
        <v>13</v>
      </c>
      <c r="B1" s="626"/>
      <c r="C1" s="626"/>
      <c r="D1" s="626"/>
      <c r="E1" s="626"/>
      <c r="F1" s="626"/>
      <c r="G1" s="626"/>
      <c r="H1" s="626"/>
    </row>
    <row r="2" spans="1:15" s="627" customFormat="1" ht="15.75">
      <c r="A2" s="625" t="s">
        <v>0</v>
      </c>
      <c r="B2" s="626"/>
      <c r="C2" s="626"/>
      <c r="D2" s="626"/>
      <c r="E2" s="626"/>
      <c r="F2" s="626"/>
      <c r="G2" s="626"/>
      <c r="H2" s="626"/>
    </row>
    <row r="3" spans="1:15" s="627" customFormat="1" ht="15.75">
      <c r="A3" s="625" t="s">
        <v>340</v>
      </c>
      <c r="B3" s="626"/>
      <c r="C3" s="626"/>
      <c r="D3" s="626"/>
      <c r="E3" s="626"/>
      <c r="F3" s="626"/>
      <c r="G3" s="626"/>
      <c r="H3" s="626"/>
    </row>
    <row r="4" spans="1:15" s="630" customFormat="1" ht="18.75" thickBot="1">
      <c r="A4" s="628"/>
      <c r="B4" s="629"/>
      <c r="C4" s="629"/>
      <c r="D4" s="629"/>
      <c r="E4" s="629"/>
      <c r="F4" s="629"/>
      <c r="G4" s="629"/>
      <c r="H4" s="629"/>
    </row>
    <row r="5" spans="1:15" s="635" customFormat="1" ht="16.5" thickBot="1">
      <c r="A5" s="631"/>
      <c r="B5" s="632"/>
      <c r="C5" s="633"/>
      <c r="D5" s="686" t="s">
        <v>341</v>
      </c>
      <c r="E5" s="687"/>
      <c r="F5" s="687"/>
      <c r="G5" s="687"/>
      <c r="H5" s="687"/>
      <c r="I5" s="687"/>
      <c r="J5" s="688"/>
      <c r="K5" s="634"/>
      <c r="L5" s="632"/>
      <c r="M5" s="632"/>
      <c r="N5" s="632"/>
      <c r="O5" s="632"/>
    </row>
    <row r="6" spans="1:15" s="635" customFormat="1" ht="56.45" customHeight="1">
      <c r="A6" s="636" t="s">
        <v>321</v>
      </c>
      <c r="B6" s="637" t="s">
        <v>253</v>
      </c>
      <c r="C6" s="638"/>
      <c r="D6" s="639" t="s">
        <v>322</v>
      </c>
      <c r="E6" s="639" t="s">
        <v>345</v>
      </c>
      <c r="F6" s="639" t="s">
        <v>250</v>
      </c>
      <c r="G6" s="639" t="s">
        <v>3</v>
      </c>
      <c r="H6" s="639" t="s">
        <v>2</v>
      </c>
      <c r="I6" s="639" t="s">
        <v>4</v>
      </c>
      <c r="J6" s="639" t="s">
        <v>56</v>
      </c>
      <c r="K6" s="638"/>
      <c r="L6" s="640" t="s">
        <v>323</v>
      </c>
      <c r="M6" s="640" t="s">
        <v>324</v>
      </c>
    </row>
    <row r="7" spans="1:15" s="635" customFormat="1">
      <c r="A7" s="641" t="s">
        <v>325</v>
      </c>
      <c r="B7" s="645">
        <v>3.5000000000000003E-2</v>
      </c>
      <c r="C7" s="646"/>
      <c r="D7" s="647">
        <v>0</v>
      </c>
      <c r="E7" s="647">
        <v>0</v>
      </c>
      <c r="F7" s="642">
        <v>-6818269.0499999998</v>
      </c>
      <c r="G7" s="647">
        <v>-2913519.2274390003</v>
      </c>
      <c r="H7" s="647">
        <v>-491376.17008000147</v>
      </c>
      <c r="I7" s="642">
        <f>ROUND(((F7)*(B7/12))+((SUM(G7:H7)/2)*(B7/12)),2)</f>
        <v>-24852.09</v>
      </c>
      <c r="J7" s="642">
        <f>SUM(F7:I7)</f>
        <v>-10248016.537519</v>
      </c>
      <c r="K7" s="648"/>
      <c r="L7" s="643">
        <f>_xll.Get_Balance(A7,"YTD","USD","Total","A","","001","191010","GD","WA","DL")</f>
        <v>-10248016.539999999</v>
      </c>
      <c r="M7" s="644">
        <f>L7-J7</f>
        <v>-2.4809986352920532E-3</v>
      </c>
    </row>
    <row r="8" spans="1:15" s="635" customFormat="1">
      <c r="A8" s="641" t="s">
        <v>326</v>
      </c>
      <c r="B8" s="645">
        <v>3.5000000000000003E-2</v>
      </c>
      <c r="C8" s="646"/>
      <c r="D8" s="647">
        <v>0</v>
      </c>
      <c r="E8" s="647">
        <v>0</v>
      </c>
      <c r="F8" s="642">
        <f t="shared" ref="F8:F16" si="0">J7+E8</f>
        <v>-10248016.537519</v>
      </c>
      <c r="G8" s="647">
        <v>-1856358.6126210007</v>
      </c>
      <c r="H8" s="647">
        <v>-201411.09328799881</v>
      </c>
      <c r="I8" s="642">
        <f>ROUND(((F8)*(B8/12))+((SUM(G8:H8)/2)*(B8/12)),2)</f>
        <v>-32890.959999999999</v>
      </c>
      <c r="J8" s="642">
        <f t="shared" ref="J8:J21" si="1">SUM(F8:I8)</f>
        <v>-12338677.203428</v>
      </c>
      <c r="K8" s="648"/>
      <c r="L8" s="643">
        <f>_xll.Get_Balance(A8,"YTD","USD","Total","A","","001","191010","GD","WA","DL")</f>
        <v>-12338677.210000001</v>
      </c>
      <c r="M8" s="644">
        <f t="shared" ref="M8:M21" si="2">L8-J8</f>
        <v>-6.5720006823539734E-3</v>
      </c>
    </row>
    <row r="9" spans="1:15" s="635" customFormat="1">
      <c r="A9" s="641" t="s">
        <v>327</v>
      </c>
      <c r="B9" s="645">
        <v>3.5000000000000003E-2</v>
      </c>
      <c r="C9" s="646"/>
      <c r="D9" s="647">
        <v>0</v>
      </c>
      <c r="E9" s="647">
        <v>0</v>
      </c>
      <c r="F9" s="642">
        <f t="shared" si="0"/>
        <v>-12338677.203428</v>
      </c>
      <c r="G9" s="647">
        <v>-916596.2697570005</v>
      </c>
      <c r="H9" s="647">
        <v>-696753.01067200163</v>
      </c>
      <c r="I9" s="642">
        <f t="shared" ref="I9:I15" si="3">ROUND(((F9)*(B9/12))+((SUM(G9:H9)/2)*(B9/12)),2)</f>
        <v>-38340.61</v>
      </c>
      <c r="J9" s="642">
        <f t="shared" si="1"/>
        <v>-13990367.093857002</v>
      </c>
      <c r="K9" s="648"/>
      <c r="L9" s="643">
        <f>_xll.Get_Balance(A9,"YTD","USD","Total","A","","001","191010","GD","WA","DL")</f>
        <v>-13990367.1</v>
      </c>
      <c r="M9" s="644">
        <f t="shared" si="2"/>
        <v>-6.1429981142282486E-3</v>
      </c>
    </row>
    <row r="10" spans="1:15" s="635" customFormat="1">
      <c r="A10" s="641" t="s">
        <v>328</v>
      </c>
      <c r="B10" s="645">
        <v>3.7100000000000001E-2</v>
      </c>
      <c r="C10" s="646"/>
      <c r="D10" s="647">
        <v>0</v>
      </c>
      <c r="E10" s="647">
        <v>0</v>
      </c>
      <c r="F10" s="642">
        <f t="shared" si="0"/>
        <v>-13990367.093857002</v>
      </c>
      <c r="G10" s="647">
        <v>-225142.70389499958</v>
      </c>
      <c r="H10" s="647">
        <v>-912928.80422000168</v>
      </c>
      <c r="I10" s="642">
        <f t="shared" si="3"/>
        <v>-45012.82</v>
      </c>
      <c r="J10" s="642">
        <f t="shared" si="1"/>
        <v>-15173451.421972003</v>
      </c>
      <c r="K10" s="648"/>
      <c r="L10" s="643">
        <f>_xll.Get_Balance(A10,"YTD","USD","Total","A","","001","191010","GD","WA","DL")</f>
        <v>-15173451.43</v>
      </c>
      <c r="M10" s="644">
        <f t="shared" si="2"/>
        <v>-8.0279968678951263E-3</v>
      </c>
    </row>
    <row r="11" spans="1:15" s="635" customFormat="1">
      <c r="A11" s="641" t="s">
        <v>329</v>
      </c>
      <c r="B11" s="645">
        <v>3.7100000000000001E-2</v>
      </c>
      <c r="C11" s="646"/>
      <c r="D11" s="647">
        <v>0</v>
      </c>
      <c r="E11" s="647">
        <v>0</v>
      </c>
      <c r="F11" s="642">
        <f t="shared" si="0"/>
        <v>-15173451.421972003</v>
      </c>
      <c r="G11" s="647">
        <v>604158.21510300005</v>
      </c>
      <c r="H11" s="647">
        <v>-482101.19766700035</v>
      </c>
      <c r="I11" s="642">
        <f t="shared" si="3"/>
        <v>-46722.57</v>
      </c>
      <c r="J11" s="642">
        <f t="shared" si="1"/>
        <v>-15098116.974536004</v>
      </c>
      <c r="K11" s="648"/>
      <c r="L11" s="643">
        <f>_xll.Get_Balance(A11,"YTD","USD","Total","A","","001","191010","GD","WA","DL")</f>
        <v>-15098116.98</v>
      </c>
      <c r="M11" s="644">
        <f t="shared" si="2"/>
        <v>-5.4639969021081924E-3</v>
      </c>
    </row>
    <row r="12" spans="1:15" s="635" customFormat="1">
      <c r="A12" s="641" t="s">
        <v>330</v>
      </c>
      <c r="B12" s="645">
        <v>3.7100000000000001E-2</v>
      </c>
      <c r="C12" s="646"/>
      <c r="D12" s="647">
        <v>0</v>
      </c>
      <c r="E12" s="647">
        <v>0</v>
      </c>
      <c r="F12" s="642">
        <f t="shared" si="0"/>
        <v>-15098116.974536004</v>
      </c>
      <c r="G12" s="647">
        <v>953286.75289800053</v>
      </c>
      <c r="H12" s="647">
        <v>-580245.48787200102</v>
      </c>
      <c r="I12" s="642">
        <f t="shared" si="3"/>
        <v>-46101.69</v>
      </c>
      <c r="J12" s="642">
        <f t="shared" si="1"/>
        <v>-14771177.399510004</v>
      </c>
      <c r="K12" s="648"/>
      <c r="L12" s="643">
        <f>_xll.Get_Balance(A12,"YTD","USD","Total","A","","001","191010","GD","WA","DL")</f>
        <v>-14771177.4</v>
      </c>
      <c r="M12" s="644">
        <f t="shared" si="2"/>
        <v>-4.8999674618244171E-4</v>
      </c>
    </row>
    <row r="13" spans="1:15" s="635" customFormat="1">
      <c r="A13" s="641" t="s">
        <v>331</v>
      </c>
      <c r="B13" s="645">
        <v>3.9600000000000003E-2</v>
      </c>
      <c r="C13" s="646"/>
      <c r="D13" s="647">
        <v>0</v>
      </c>
      <c r="E13" s="647">
        <v>0</v>
      </c>
      <c r="F13" s="642">
        <f t="shared" si="0"/>
        <v>-14771177.399510004</v>
      </c>
      <c r="G13" s="647">
        <v>1129801.1151090004</v>
      </c>
      <c r="H13" s="647">
        <v>-2217856.2503400007</v>
      </c>
      <c r="I13" s="642">
        <f t="shared" si="3"/>
        <v>-50540.18</v>
      </c>
      <c r="J13" s="642">
        <f>SUM(F13:I13)</f>
        <v>-15909772.714741003</v>
      </c>
      <c r="K13" s="648"/>
      <c r="L13" s="643">
        <f>_xll.Get_Balance(A13,"YTD","USD","Total","A","","001","191010","GD","WA","DL")</f>
        <v>-15909772.720000001</v>
      </c>
      <c r="M13" s="644">
        <f t="shared" si="2"/>
        <v>-5.2589979022741318E-3</v>
      </c>
    </row>
    <row r="14" spans="1:15" s="635" customFormat="1">
      <c r="A14" s="641" t="s">
        <v>332</v>
      </c>
      <c r="B14" s="645">
        <v>3.9600000000000003E-2</v>
      </c>
      <c r="C14" s="646"/>
      <c r="D14" s="647">
        <v>0</v>
      </c>
      <c r="E14" s="647">
        <v>0</v>
      </c>
      <c r="F14" s="642">
        <f t="shared" si="0"/>
        <v>-15909772.714741003</v>
      </c>
      <c r="G14" s="647">
        <v>1095472.3340190002</v>
      </c>
      <c r="H14" s="647">
        <v>-2108794.2989039999</v>
      </c>
      <c r="I14" s="642">
        <f t="shared" si="3"/>
        <v>-54174.23</v>
      </c>
      <c r="J14" s="642">
        <f>SUM(F14:I14)</f>
        <v>-16977268.909626003</v>
      </c>
      <c r="K14" s="648"/>
      <c r="L14" s="643">
        <f>_xll.Get_Balance(A14,"YTD","USD","Total","A","","001","191010","GD","WA","DL")</f>
        <v>-16977268.91</v>
      </c>
      <c r="M14" s="644">
        <f t="shared" si="2"/>
        <v>-3.739967942237854E-4</v>
      </c>
    </row>
    <row r="15" spans="1:15" s="635" customFormat="1">
      <c r="A15" s="641" t="s">
        <v>333</v>
      </c>
      <c r="B15" s="645">
        <v>3.9600000000000003E-2</v>
      </c>
      <c r="C15" s="646"/>
      <c r="D15" s="647">
        <v>0</v>
      </c>
      <c r="E15" s="647">
        <v>0</v>
      </c>
      <c r="F15" s="642">
        <f t="shared" si="0"/>
        <v>-16977268.909626003</v>
      </c>
      <c r="G15" s="647">
        <v>853220.47718099994</v>
      </c>
      <c r="H15" s="647">
        <v>-2779163.5886399997</v>
      </c>
      <c r="I15" s="642">
        <f t="shared" si="3"/>
        <v>-59202.79</v>
      </c>
      <c r="J15" s="642">
        <f t="shared" si="1"/>
        <v>-18962414.811085001</v>
      </c>
      <c r="K15" s="648"/>
      <c r="L15" s="643">
        <f>_xll.Get_Balance(A15,"YTD","USD","Total","A","","001","191010","GD","WA","DL")</f>
        <v>-18962414.809999999</v>
      </c>
      <c r="M15" s="644">
        <f t="shared" si="2"/>
        <v>1.0850019752979279E-3</v>
      </c>
    </row>
    <row r="16" spans="1:15" s="635" customFormat="1">
      <c r="A16" s="641" t="s">
        <v>334</v>
      </c>
      <c r="B16" s="645">
        <v>4.2099999999999999E-2</v>
      </c>
      <c r="C16" s="646"/>
      <c r="D16" s="647">
        <v>0</v>
      </c>
      <c r="E16" s="647">
        <v>0</v>
      </c>
      <c r="F16" s="642">
        <f t="shared" si="0"/>
        <v>-18962414.811085001</v>
      </c>
      <c r="G16" s="647">
        <v>15042.059238000307</v>
      </c>
      <c r="H16" s="647">
        <v>-2935887.7038159985</v>
      </c>
      <c r="I16" s="642">
        <f>ROUND(((F16)*(B16/12))+((SUM(G16:H16)/2)*(B16/12)),2)</f>
        <v>-71650.12</v>
      </c>
      <c r="J16" s="642">
        <f t="shared" si="1"/>
        <v>-21954910.575662997</v>
      </c>
      <c r="K16" s="648"/>
      <c r="L16" s="643">
        <f>_xll.Get_Balance(A16,"YTD","USD","Total","A","","001","191010","GD","WA","DL")</f>
        <v>-21954910.57</v>
      </c>
      <c r="M16" s="644">
        <f t="shared" si="2"/>
        <v>5.6629963219165802E-3</v>
      </c>
    </row>
    <row r="17" spans="1:23" s="635" customFormat="1">
      <c r="A17" s="641" t="s">
        <v>335</v>
      </c>
      <c r="B17" s="645">
        <v>4.2099999999999999E-2</v>
      </c>
      <c r="C17" s="646"/>
      <c r="D17" s="647">
        <v>35.15</v>
      </c>
      <c r="E17" s="647">
        <f>-J12</f>
        <v>14771177.399510004</v>
      </c>
      <c r="F17" s="642">
        <f>J16+E17+D17</f>
        <v>-7183698.0261529926</v>
      </c>
      <c r="G17" s="647">
        <v>-592732.92055399995</v>
      </c>
      <c r="H17" s="647">
        <v>-386463.99829400051</v>
      </c>
      <c r="I17" s="642">
        <f>ROUND(((J16+E17)*(B17/12))+((SUM(G17:H17)/2)*(B17/12)),2)</f>
        <v>-26920.61</v>
      </c>
      <c r="J17" s="642">
        <f>SUM(F17:I17)</f>
        <v>-8189815.5550009934</v>
      </c>
      <c r="K17" s="648"/>
      <c r="L17" s="643">
        <f>_xll.Get_Balance(A17,"YTD","USD","Total","A","","001","191010","GD","WA","DL")</f>
        <v>-8189815.5499999998</v>
      </c>
      <c r="M17" s="644">
        <f t="shared" si="2"/>
        <v>5.0009936094284058E-3</v>
      </c>
    </row>
    <row r="18" spans="1:23" s="635" customFormat="1" ht="15.75" thickBot="1">
      <c r="A18" s="649" t="s">
        <v>336</v>
      </c>
      <c r="B18" s="650">
        <v>4.2099999999999999E-2</v>
      </c>
      <c r="C18" s="646"/>
      <c r="D18" s="651">
        <v>0</v>
      </c>
      <c r="E18" s="651">
        <v>0</v>
      </c>
      <c r="F18" s="652">
        <f>J17+E18+D18</f>
        <v>-8189815.5550009934</v>
      </c>
      <c r="G18" s="651">
        <v>-1678391.1285159995</v>
      </c>
      <c r="H18" s="651">
        <v>-1205525.6512180055</v>
      </c>
      <c r="I18" s="652">
        <f t="shared" ref="I18:I24" si="4">ROUND(((F18)*(B18/12))+((SUM(G18:H18)/2)*(B18/12)),2)</f>
        <v>-33791.47</v>
      </c>
      <c r="J18" s="652">
        <f t="shared" si="1"/>
        <v>-11107523.804734999</v>
      </c>
      <c r="K18" s="648"/>
      <c r="L18" s="653">
        <f>_xll.Get_Balance(A18,"YTD","USD","Total","A","","001","191010","GD","WA","DL")</f>
        <v>-11107523.800000001</v>
      </c>
      <c r="M18" s="654">
        <f t="shared" si="2"/>
        <v>4.7349985688924789E-3</v>
      </c>
    </row>
    <row r="19" spans="1:23" s="635" customFormat="1" collapsed="1">
      <c r="A19" s="655" t="s">
        <v>337</v>
      </c>
      <c r="B19" s="656">
        <v>4.2500000000000003E-2</v>
      </c>
      <c r="C19" s="646"/>
      <c r="D19" s="657">
        <v>0</v>
      </c>
      <c r="E19" s="657">
        <v>0</v>
      </c>
      <c r="F19" s="658">
        <f>J18+E19</f>
        <v>-11107523.804734999</v>
      </c>
      <c r="G19" s="657">
        <v>-1348640.4203420002</v>
      </c>
      <c r="H19" s="657">
        <v>-743591.89883300196</v>
      </c>
      <c r="I19" s="642">
        <f t="shared" si="4"/>
        <v>-43044.14</v>
      </c>
      <c r="J19" s="658">
        <f t="shared" si="1"/>
        <v>-13242800.263910003</v>
      </c>
      <c r="K19" s="648"/>
      <c r="L19" s="643">
        <f>_xll.Get_Balance(A19,"YTD","USD","Total","A","","001","191010","GD","WA","DL")</f>
        <v>-13242800.26</v>
      </c>
      <c r="M19" s="644">
        <f t="shared" si="2"/>
        <v>3.9100032299757004E-3</v>
      </c>
    </row>
    <row r="20" spans="1:23" s="635" customFormat="1">
      <c r="A20" s="641" t="s">
        <v>338</v>
      </c>
      <c r="B20" s="656">
        <v>4.2500000000000003E-2</v>
      </c>
      <c r="C20" s="646"/>
      <c r="D20" s="647">
        <v>0</v>
      </c>
      <c r="E20" s="647">
        <v>0</v>
      </c>
      <c r="F20" s="658">
        <f>J19+E20</f>
        <v>-13242800.263910003</v>
      </c>
      <c r="G20" s="657">
        <v>-1492728.8649899999</v>
      </c>
      <c r="H20" s="657">
        <v>1500599.2415440008</v>
      </c>
      <c r="I20" s="642">
        <f t="shared" si="4"/>
        <v>-46887.65</v>
      </c>
      <c r="J20" s="642">
        <f t="shared" si="1"/>
        <v>-13281817.537356002</v>
      </c>
      <c r="K20" s="648"/>
      <c r="L20" s="643">
        <f>_xll.Get_Balance(A20,"YTD","USD","Total","A","","001","191010","GD","WA","DL")</f>
        <v>-13281817.529999999</v>
      </c>
      <c r="M20" s="644">
        <f t="shared" si="2"/>
        <v>7.3560029268264771E-3</v>
      </c>
    </row>
    <row r="21" spans="1:23" s="635" customFormat="1">
      <c r="A21" s="641" t="s">
        <v>339</v>
      </c>
      <c r="B21" s="656">
        <v>4.2500000000000003E-2</v>
      </c>
      <c r="C21" s="646"/>
      <c r="D21" s="647">
        <v>0</v>
      </c>
      <c r="E21" s="647">
        <v>0</v>
      </c>
      <c r="F21" s="658">
        <f>J20+E21</f>
        <v>-13281817.537356002</v>
      </c>
      <c r="G21" s="657">
        <v>-772819.73601999972</v>
      </c>
      <c r="H21" s="657">
        <v>262271.11627200013</v>
      </c>
      <c r="I21" s="642">
        <f t="shared" si="4"/>
        <v>-47943.87</v>
      </c>
      <c r="J21" s="642">
        <f t="shared" si="1"/>
        <v>-13840310.027104001</v>
      </c>
      <c r="K21" s="648"/>
      <c r="L21" s="643">
        <f>_xll.Get_Balance(A21,"YTD","USD","Total","A","","001","191010","GD","WA","DL")</f>
        <v>-13840310.02</v>
      </c>
      <c r="M21" s="644">
        <f t="shared" si="2"/>
        <v>7.1040019392967224E-3</v>
      </c>
    </row>
    <row r="22" spans="1:23" s="635" customFormat="1" collapsed="1">
      <c r="A22" s="641" t="s">
        <v>346</v>
      </c>
      <c r="B22" s="656">
        <v>4.4699999999999997E-2</v>
      </c>
      <c r="C22" s="646"/>
      <c r="D22" s="657">
        <f>125.4+17671.2</f>
        <v>17796.600000000002</v>
      </c>
      <c r="E22" s="657">
        <v>0</v>
      </c>
      <c r="F22" s="658">
        <f>J21+E22+D22</f>
        <v>-13822513.427104002</v>
      </c>
      <c r="G22" s="657">
        <v>-46824.414412000682</v>
      </c>
      <c r="H22" s="657">
        <v>-1287451.4058399997</v>
      </c>
      <c r="I22" s="642">
        <f t="shared" si="4"/>
        <v>-53973.95</v>
      </c>
      <c r="J22" s="658">
        <f>SUM(F22:I22)</f>
        <v>-15210763.197356002</v>
      </c>
      <c r="K22" s="648"/>
      <c r="L22" s="643">
        <f>_xll.Get_Balance(A22,"YTD","USD","Total","A","","001","191010","GD","WA","DL")</f>
        <v>-15210763.189999999</v>
      </c>
      <c r="M22" s="644">
        <f t="shared" ref="M22:M24" si="5">L22-J22</f>
        <v>7.3560029268264771E-3</v>
      </c>
    </row>
    <row r="23" spans="1:23" s="635" customFormat="1">
      <c r="A23" s="641" t="s">
        <v>347</v>
      </c>
      <c r="B23" s="656">
        <v>4.4699999999999997E-2</v>
      </c>
      <c r="C23" s="646"/>
      <c r="D23" s="647">
        <v>0</v>
      </c>
      <c r="E23" s="647">
        <v>0</v>
      </c>
      <c r="F23" s="658">
        <f>J22+E23</f>
        <v>-15210763.197356002</v>
      </c>
      <c r="G23" s="657">
        <v>890572.34156599978</v>
      </c>
      <c r="H23" s="657">
        <v>-1208166.9855549999</v>
      </c>
      <c r="I23" s="642">
        <f t="shared" si="4"/>
        <v>-57251.61</v>
      </c>
      <c r="J23" s="642">
        <f t="shared" ref="J23:J24" si="6">SUM(F23:I23)</f>
        <v>-15585609.451345002</v>
      </c>
      <c r="K23" s="648"/>
      <c r="L23" s="643">
        <f>_xll.Get_Balance(A23,"YTD","USD","Total","A","","001","191010","GD","WA","DL")</f>
        <v>-15585609.439999999</v>
      </c>
      <c r="M23" s="644">
        <f t="shared" si="5"/>
        <v>1.1345002800226212E-2</v>
      </c>
    </row>
    <row r="24" spans="1:23" s="635" customFormat="1">
      <c r="A24" s="641" t="s">
        <v>348</v>
      </c>
      <c r="B24" s="656">
        <v>4.4699999999999997E-2</v>
      </c>
      <c r="C24" s="646"/>
      <c r="D24" s="647">
        <v>0</v>
      </c>
      <c r="E24" s="647">
        <v>0</v>
      </c>
      <c r="F24" s="658">
        <f>J23+E24</f>
        <v>-15585609.451345002</v>
      </c>
      <c r="G24" s="657">
        <v>938461.95200199937</v>
      </c>
      <c r="H24" s="657">
        <v>-914700.39864600007</v>
      </c>
      <c r="I24" s="642">
        <f t="shared" si="4"/>
        <v>-58012.14</v>
      </c>
      <c r="J24" s="642">
        <f t="shared" si="6"/>
        <v>-15619860.037989004</v>
      </c>
      <c r="K24" s="648"/>
      <c r="L24" s="643">
        <f>_xll.Get_Balance(A24,"YTD","USD","Total","A","","001","191010","GD","WA","DL")</f>
        <v>-15619860.029999999</v>
      </c>
      <c r="M24" s="644">
        <f t="shared" si="5"/>
        <v>7.9890042543411255E-3</v>
      </c>
    </row>
    <row r="25" spans="1:23" ht="15.75">
      <c r="Q25" s="661"/>
      <c r="R25" s="660"/>
      <c r="S25" s="660"/>
      <c r="T25" s="659"/>
      <c r="U25" s="633"/>
      <c r="V25" s="633"/>
      <c r="W25" s="633"/>
    </row>
    <row r="26" spans="1:23">
      <c r="Q26" s="633"/>
      <c r="R26" s="633"/>
      <c r="S26" s="633"/>
      <c r="T26" s="633"/>
      <c r="U26" s="633"/>
      <c r="V26" s="633"/>
      <c r="W26" s="633"/>
    </row>
    <row r="27" spans="1:23">
      <c r="Q27" s="633"/>
      <c r="R27" s="633"/>
      <c r="S27" s="633"/>
      <c r="T27" s="633"/>
      <c r="U27" s="633"/>
      <c r="V27" s="633"/>
      <c r="W27" s="633"/>
    </row>
  </sheetData>
  <mergeCells count="1">
    <mergeCell ref="D5:J5"/>
  </mergeCells>
  <pageMargins left="0.7" right="0" top="0.75" bottom="0.75" header="0.3" footer="0.3"/>
  <pageSetup scale="58"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P24"/>
  <sheetViews>
    <sheetView zoomScale="85" zoomScaleNormal="85" workbookViewId="0">
      <selection activeCell="I27" sqref="I27"/>
    </sheetView>
  </sheetViews>
  <sheetFormatPr defaultColWidth="8.85546875" defaultRowHeight="15"/>
  <cols>
    <col min="1" max="1" width="9.140625" style="632" customWidth="1"/>
    <col min="2" max="2" width="8.85546875" style="632"/>
    <col min="3" max="3" width="1.7109375" style="633" customWidth="1"/>
    <col min="4" max="4" width="11.7109375" style="633" customWidth="1"/>
    <col min="5" max="5" width="13.7109375" style="632" customWidth="1"/>
    <col min="6" max="7" width="14.28515625" style="662" customWidth="1"/>
    <col min="8" max="8" width="14.7109375" style="632" bestFit="1" customWidth="1"/>
    <col min="9" max="9" width="13.7109375" style="632" customWidth="1"/>
    <col min="10" max="10" width="1.7109375" style="632" customWidth="1"/>
    <col min="11" max="11" width="15.28515625" style="662" bestFit="1" customWidth="1"/>
    <col min="12" max="12" width="12.7109375" style="633" bestFit="1" customWidth="1"/>
    <col min="13" max="13" width="13.5703125" style="632" customWidth="1"/>
    <col min="14" max="14" width="13.85546875" style="632" bestFit="1" customWidth="1"/>
    <col min="15" max="17" width="8.85546875" style="632"/>
    <col min="18" max="18" width="12.7109375" style="632" customWidth="1"/>
    <col min="19" max="20" width="13.140625" style="632" bestFit="1" customWidth="1"/>
    <col min="21" max="16384" width="8.85546875" style="632"/>
  </cols>
  <sheetData>
    <row r="1" spans="1:16" s="627" customFormat="1" ht="15.75">
      <c r="A1" s="625" t="s">
        <v>13</v>
      </c>
      <c r="B1" s="626"/>
      <c r="C1" s="626"/>
      <c r="D1" s="626"/>
      <c r="E1" s="626"/>
      <c r="F1" s="626"/>
      <c r="G1" s="626"/>
      <c r="H1" s="626"/>
    </row>
    <row r="2" spans="1:16" s="627" customFormat="1" ht="15.75">
      <c r="A2" s="625" t="s">
        <v>0</v>
      </c>
      <c r="B2" s="626"/>
      <c r="C2" s="626"/>
      <c r="D2" s="626"/>
      <c r="E2" s="626"/>
      <c r="F2" s="626"/>
      <c r="G2" s="626"/>
      <c r="H2" s="626"/>
    </row>
    <row r="3" spans="1:16" s="627" customFormat="1" ht="15.75">
      <c r="A3" s="625" t="s">
        <v>342</v>
      </c>
      <c r="B3" s="626"/>
      <c r="C3" s="626"/>
      <c r="D3" s="626"/>
      <c r="E3" s="626"/>
      <c r="F3" s="626"/>
      <c r="G3" s="626"/>
      <c r="H3" s="626"/>
    </row>
    <row r="4" spans="1:16" s="630" customFormat="1" ht="18.75" thickBot="1">
      <c r="A4" s="628"/>
      <c r="B4" s="629"/>
      <c r="C4" s="629"/>
      <c r="D4" s="629"/>
      <c r="E4" s="629"/>
      <c r="F4" s="629"/>
      <c r="G4" s="629"/>
      <c r="H4" s="629"/>
    </row>
    <row r="5" spans="1:16" s="635" customFormat="1" ht="16.5" thickBot="1">
      <c r="A5" s="631"/>
      <c r="B5" s="632"/>
      <c r="C5" s="633"/>
      <c r="D5" s="686" t="s">
        <v>343</v>
      </c>
      <c r="E5" s="687"/>
      <c r="F5" s="687"/>
      <c r="G5" s="687"/>
      <c r="H5" s="687"/>
      <c r="I5" s="688"/>
      <c r="J5" s="665"/>
      <c r="K5" s="666"/>
      <c r="L5" s="667"/>
      <c r="M5" s="632"/>
      <c r="N5" s="632"/>
      <c r="O5" s="632"/>
      <c r="P5" s="632"/>
    </row>
    <row r="6" spans="1:16" s="635" customFormat="1" ht="56.45" customHeight="1">
      <c r="A6" s="636" t="s">
        <v>321</v>
      </c>
      <c r="B6" s="637" t="s">
        <v>253</v>
      </c>
      <c r="C6" s="638"/>
      <c r="D6" s="639" t="s">
        <v>322</v>
      </c>
      <c r="E6" s="639" t="s">
        <v>344</v>
      </c>
      <c r="F6" s="639" t="s">
        <v>250</v>
      </c>
      <c r="G6" s="639" t="s">
        <v>23</v>
      </c>
      <c r="H6" s="639" t="s">
        <v>4</v>
      </c>
      <c r="I6" s="639" t="s">
        <v>56</v>
      </c>
      <c r="J6" s="639"/>
      <c r="K6" s="664" t="s">
        <v>323</v>
      </c>
      <c r="L6" s="664" t="s">
        <v>324</v>
      </c>
    </row>
    <row r="7" spans="1:16" s="635" customFormat="1">
      <c r="A7" s="641" t="s">
        <v>325</v>
      </c>
      <c r="B7" s="645">
        <v>3.5000000000000003E-2</v>
      </c>
      <c r="C7" s="646"/>
      <c r="D7" s="647">
        <v>0</v>
      </c>
      <c r="E7" s="647">
        <v>0</v>
      </c>
      <c r="F7" s="642">
        <v>-9990002.7400000002</v>
      </c>
      <c r="G7" s="647">
        <v>3150615.2519499999</v>
      </c>
      <c r="H7" s="642">
        <f t="shared" ref="H7:H16" si="0">ROUND(((F7)*(B7/12))+((SUM(G7)/2)*(B7/12)),2)</f>
        <v>-24542.86</v>
      </c>
      <c r="I7" s="642">
        <f>SUM(D7:H7)</f>
        <v>-6863930.3480500011</v>
      </c>
      <c r="J7" s="642"/>
      <c r="K7" s="643">
        <f>_xll.Get_Balance(A7,"YTD","USD","Total","A","","001","191000","GD","WA","DL")</f>
        <v>-6863930.1399999997</v>
      </c>
      <c r="L7" s="644">
        <f t="shared" ref="L7:L21" si="1">K7-I7</f>
        <v>0.20805000141263008</v>
      </c>
    </row>
    <row r="8" spans="1:16" s="635" customFormat="1">
      <c r="A8" s="641" t="s">
        <v>326</v>
      </c>
      <c r="B8" s="645">
        <v>3.5000000000000003E-2</v>
      </c>
      <c r="C8" s="646"/>
      <c r="D8" s="647">
        <v>0</v>
      </c>
      <c r="E8" s="647">
        <v>0</v>
      </c>
      <c r="F8" s="642">
        <f t="shared" ref="F8:F16" si="2">I7+E8</f>
        <v>-6863930.3480500011</v>
      </c>
      <c r="G8" s="647">
        <v>2304083.3887400003</v>
      </c>
      <c r="H8" s="642">
        <f t="shared" si="0"/>
        <v>-16659.68</v>
      </c>
      <c r="I8" s="642">
        <f t="shared" ref="I8:I21" si="3">SUM(D8:H8)</f>
        <v>-4576506.6393100005</v>
      </c>
      <c r="J8" s="642"/>
      <c r="K8" s="643">
        <f>_xll.Get_Balance(A8,"YTD","USD","Total","A","","001","191000","GD","WA","DL")</f>
        <v>-4576506.43</v>
      </c>
      <c r="L8" s="644">
        <f t="shared" si="1"/>
        <v>0.20931000076234341</v>
      </c>
    </row>
    <row r="9" spans="1:16" s="635" customFormat="1">
      <c r="A9" s="641" t="s">
        <v>327</v>
      </c>
      <c r="B9" s="645">
        <v>3.5000000000000003E-2</v>
      </c>
      <c r="C9" s="646"/>
      <c r="D9" s="647">
        <v>0</v>
      </c>
      <c r="E9" s="647">
        <v>0</v>
      </c>
      <c r="F9" s="642">
        <f t="shared" si="2"/>
        <v>-4576506.6393100005</v>
      </c>
      <c r="G9" s="647">
        <v>1736541.60424</v>
      </c>
      <c r="H9" s="642">
        <f t="shared" si="0"/>
        <v>-10815.69</v>
      </c>
      <c r="I9" s="642">
        <f t="shared" si="3"/>
        <v>-2850780.7250700002</v>
      </c>
      <c r="J9" s="642"/>
      <c r="K9" s="643">
        <f>_xll.Get_Balance(A9,"YTD","USD","Total","A","","001","191000","GD","WA","DL")</f>
        <v>-2850780.51</v>
      </c>
      <c r="L9" s="644">
        <f t="shared" si="1"/>
        <v>0.21507000038400292</v>
      </c>
    </row>
    <row r="10" spans="1:16" s="635" customFormat="1">
      <c r="A10" s="641" t="s">
        <v>328</v>
      </c>
      <c r="B10" s="645">
        <v>3.7100000000000001E-2</v>
      </c>
      <c r="C10" s="646"/>
      <c r="D10" s="647">
        <v>0</v>
      </c>
      <c r="E10" s="647">
        <v>0</v>
      </c>
      <c r="F10" s="642">
        <f t="shared" si="2"/>
        <v>-2850780.7250700002</v>
      </c>
      <c r="G10" s="647">
        <v>1190246.3468200001</v>
      </c>
      <c r="H10" s="642">
        <f t="shared" si="0"/>
        <v>-6973.74</v>
      </c>
      <c r="I10" s="642">
        <f t="shared" si="3"/>
        <v>-1667508.1182500001</v>
      </c>
      <c r="J10" s="642"/>
      <c r="K10" s="643">
        <f>_xll.Get_Balance(A10,"YTD","USD","Total","A","","001","191000","GD","WA","DL")</f>
        <v>-1667507.9</v>
      </c>
      <c r="L10" s="644">
        <f t="shared" si="1"/>
        <v>0.21825000015087426</v>
      </c>
    </row>
    <row r="11" spans="1:16" s="635" customFormat="1">
      <c r="A11" s="641" t="s">
        <v>329</v>
      </c>
      <c r="B11" s="645">
        <v>3.7100000000000001E-2</v>
      </c>
      <c r="C11" s="646"/>
      <c r="D11" s="647">
        <v>0</v>
      </c>
      <c r="E11" s="647">
        <v>0</v>
      </c>
      <c r="F11" s="642">
        <f t="shared" si="2"/>
        <v>-1667508.1182500001</v>
      </c>
      <c r="G11" s="647">
        <v>643346.16116000002</v>
      </c>
      <c r="H11" s="642">
        <f t="shared" si="0"/>
        <v>-4160.87</v>
      </c>
      <c r="I11" s="642">
        <f t="shared" si="3"/>
        <v>-1028322.82709</v>
      </c>
      <c r="J11" s="642"/>
      <c r="K11" s="643">
        <f>_xll.Get_Balance(A11,"YTD","USD","Total","A","","001","191000","GD","WA","DL")</f>
        <v>-1028322.61</v>
      </c>
      <c r="L11" s="644">
        <f t="shared" si="1"/>
        <v>0.21709000004921108</v>
      </c>
    </row>
    <row r="12" spans="1:16" s="635" customFormat="1">
      <c r="A12" s="641" t="s">
        <v>330</v>
      </c>
      <c r="B12" s="645">
        <v>3.7100000000000001E-2</v>
      </c>
      <c r="C12" s="646"/>
      <c r="D12" s="647">
        <v>0</v>
      </c>
      <c r="E12" s="647">
        <v>0</v>
      </c>
      <c r="F12" s="642">
        <f t="shared" si="2"/>
        <v>-1028322.82709</v>
      </c>
      <c r="G12" s="647">
        <v>382561.98726999998</v>
      </c>
      <c r="H12" s="642">
        <f t="shared" si="0"/>
        <v>-2587.85</v>
      </c>
      <c r="I12" s="642">
        <f t="shared" si="3"/>
        <v>-648348.68982000009</v>
      </c>
      <c r="J12" s="642"/>
      <c r="K12" s="643">
        <f>_xll.Get_Balance(A12,"YTD","USD","Total","A","","001","191000","GD","WA","DL")</f>
        <v>-648348.48</v>
      </c>
      <c r="L12" s="644">
        <f t="shared" si="1"/>
        <v>0.20982000010553747</v>
      </c>
    </row>
    <row r="13" spans="1:16" s="635" customFormat="1">
      <c r="A13" s="641" t="s">
        <v>331</v>
      </c>
      <c r="B13" s="645">
        <v>3.9600000000000003E-2</v>
      </c>
      <c r="C13" s="646"/>
      <c r="D13" s="647">
        <v>0</v>
      </c>
      <c r="E13" s="647">
        <v>0</v>
      </c>
      <c r="F13" s="642">
        <f t="shared" si="2"/>
        <v>-648348.68982000009</v>
      </c>
      <c r="G13" s="647">
        <v>307250.94208999997</v>
      </c>
      <c r="H13" s="642">
        <f t="shared" si="0"/>
        <v>-1632.59</v>
      </c>
      <c r="I13" s="642">
        <f t="shared" si="3"/>
        <v>-342730.33773000014</v>
      </c>
      <c r="J13" s="642"/>
      <c r="K13" s="643">
        <f>_xll.Get_Balance(A13,"YTD","USD","Total","A","","001","191000","GD","WA","DL")</f>
        <v>-342730.12</v>
      </c>
      <c r="L13" s="644">
        <f t="shared" si="1"/>
        <v>0.21773000014945865</v>
      </c>
    </row>
    <row r="14" spans="1:16" s="635" customFormat="1">
      <c r="A14" s="641" t="s">
        <v>332</v>
      </c>
      <c r="B14" s="645">
        <v>3.9600000000000003E-2</v>
      </c>
      <c r="C14" s="646"/>
      <c r="D14" s="647">
        <v>0</v>
      </c>
      <c r="E14" s="647">
        <v>0</v>
      </c>
      <c r="F14" s="642">
        <f t="shared" si="2"/>
        <v>-342730.33773000014</v>
      </c>
      <c r="G14" s="647">
        <v>310200.28219000006</v>
      </c>
      <c r="H14" s="642">
        <f t="shared" si="0"/>
        <v>-619.17999999999995</v>
      </c>
      <c r="I14" s="642">
        <f t="shared" si="3"/>
        <v>-33149.235540000089</v>
      </c>
      <c r="J14" s="642"/>
      <c r="K14" s="643">
        <f>_xll.Get_Balance(A14,"YTD","USD","Total","A","","001","191000","GD","WA","DL")</f>
        <v>-33149.019999999997</v>
      </c>
      <c r="L14" s="644">
        <f t="shared" si="1"/>
        <v>0.21554000009200536</v>
      </c>
    </row>
    <row r="15" spans="1:16" s="635" customFormat="1">
      <c r="A15" s="641" t="s">
        <v>333</v>
      </c>
      <c r="B15" s="645">
        <v>3.9600000000000003E-2</v>
      </c>
      <c r="C15" s="646"/>
      <c r="D15" s="647">
        <v>0</v>
      </c>
      <c r="E15" s="647">
        <v>0</v>
      </c>
      <c r="F15" s="642">
        <f t="shared" si="2"/>
        <v>-33149.235540000089</v>
      </c>
      <c r="G15" s="647">
        <v>461554.45064999996</v>
      </c>
      <c r="H15" s="642">
        <f t="shared" si="0"/>
        <v>652.16999999999996</v>
      </c>
      <c r="I15" s="642">
        <f t="shared" si="3"/>
        <v>429057.38510999986</v>
      </c>
      <c r="J15" s="642"/>
      <c r="K15" s="643">
        <f>_xll.Get_Balance(A15,"YTD","USD","Total","A","","001","191000","GD","WA","DL")</f>
        <v>429057.6</v>
      </c>
      <c r="L15" s="644">
        <f t="shared" si="1"/>
        <v>0.21489000011933967</v>
      </c>
    </row>
    <row r="16" spans="1:16" s="635" customFormat="1">
      <c r="A16" s="641" t="s">
        <v>334</v>
      </c>
      <c r="B16" s="645">
        <v>4.2099999999999999E-2</v>
      </c>
      <c r="C16" s="646"/>
      <c r="D16" s="647">
        <v>0</v>
      </c>
      <c r="E16" s="647">
        <v>0</v>
      </c>
      <c r="F16" s="642">
        <f t="shared" si="2"/>
        <v>429057.38510999986</v>
      </c>
      <c r="G16" s="647">
        <v>1086057.4122600001</v>
      </c>
      <c r="H16" s="642">
        <f t="shared" si="0"/>
        <v>3410.4</v>
      </c>
      <c r="I16" s="642">
        <f t="shared" si="3"/>
        <v>1518525.19737</v>
      </c>
      <c r="J16" s="642"/>
      <c r="K16" s="643">
        <f>_xll.Get_Balance(A16,"YTD","USD","Total","A","","001","191000","GD","WA","DL")</f>
        <v>1518525.41</v>
      </c>
      <c r="L16" s="644">
        <f t="shared" si="1"/>
        <v>0.21262999996542931</v>
      </c>
    </row>
    <row r="17" spans="1:14" s="635" customFormat="1">
      <c r="A17" s="641" t="s">
        <v>335</v>
      </c>
      <c r="B17" s="645">
        <v>4.2099999999999999E-2</v>
      </c>
      <c r="C17" s="646"/>
      <c r="D17" s="647">
        <v>0</v>
      </c>
      <c r="E17" s="647">
        <v>-14771212.550000001</v>
      </c>
      <c r="F17" s="642">
        <f>I16</f>
        <v>1518525.19737</v>
      </c>
      <c r="G17" s="647">
        <v>1765228</v>
      </c>
      <c r="H17" s="642">
        <f>ROUND(((I16+E17)*(B17/12))+((G17/2)*(B17/12)),2)</f>
        <v>-43398.34</v>
      </c>
      <c r="I17" s="642">
        <f t="shared" si="3"/>
        <v>-11530857.69263</v>
      </c>
      <c r="J17" s="642"/>
      <c r="K17" s="643">
        <f>_xll.Get_Balance(A17,"YTD","USD","Total","A","","001","191000","GD","WA","DL")</f>
        <v>-11530628.439999999</v>
      </c>
      <c r="L17" s="644">
        <f t="shared" si="1"/>
        <v>229.252630000934</v>
      </c>
      <c r="M17" s="668"/>
    </row>
    <row r="18" spans="1:14" s="635" customFormat="1" ht="15.75" thickBot="1">
      <c r="A18" s="649" t="s">
        <v>336</v>
      </c>
      <c r="B18" s="650">
        <v>4.2099999999999999E-2</v>
      </c>
      <c r="C18" s="646"/>
      <c r="D18" s="651">
        <v>130571.12</v>
      </c>
      <c r="E18" s="651">
        <v>0</v>
      </c>
      <c r="F18" s="652">
        <f>I17</f>
        <v>-11530857.69263</v>
      </c>
      <c r="G18" s="651">
        <v>2662901</v>
      </c>
      <c r="H18" s="652">
        <f>ROUND(((I17+E18)*(B18/12))+(((G18+D18)/2)*(B18/12)),2)</f>
        <v>-35553.879999999997</v>
      </c>
      <c r="I18" s="652">
        <f>SUM(D18:H18)</f>
        <v>-8772939.4526300021</v>
      </c>
      <c r="J18" s="652"/>
      <c r="K18" s="653">
        <f>_xll.Get_Balance(A18,"YTD","USD","Total","A","","001","191000","GD","WA","DL")</f>
        <v>-8772480.3499999996</v>
      </c>
      <c r="L18" s="654">
        <f t="shared" si="1"/>
        <v>459.10263000242412</v>
      </c>
      <c r="N18" s="663"/>
    </row>
    <row r="19" spans="1:14" s="635" customFormat="1" collapsed="1">
      <c r="A19" s="655" t="s">
        <v>337</v>
      </c>
      <c r="B19" s="656">
        <v>4.2500000000000003E-2</v>
      </c>
      <c r="C19" s="646"/>
      <c r="D19" s="657">
        <v>0</v>
      </c>
      <c r="E19" s="657">
        <v>0</v>
      </c>
      <c r="F19" s="658">
        <f t="shared" ref="F19:F24" si="4">I18+E19</f>
        <v>-8772939.4526300021</v>
      </c>
      <c r="G19" s="657">
        <v>2350032.8516000002</v>
      </c>
      <c r="H19" s="658">
        <f>ROUND(((F19+G19/2)*B19/12),2)</f>
        <v>-26909.31</v>
      </c>
      <c r="I19" s="658">
        <f>SUM(D19:H19)</f>
        <v>-6449815.911030001</v>
      </c>
      <c r="J19" s="658"/>
      <c r="K19" s="643">
        <f>_xll.Get_Balance(A19,"YTD","USD","Total","A","","001","191000","GD","WA","DL")</f>
        <v>-6449815.9100000001</v>
      </c>
      <c r="L19" s="644">
        <f t="shared" si="1"/>
        <v>1.0300008580088615E-3</v>
      </c>
    </row>
    <row r="20" spans="1:14" s="635" customFormat="1">
      <c r="A20" s="641" t="s">
        <v>338</v>
      </c>
      <c r="B20" s="656">
        <v>4.2500000000000003E-2</v>
      </c>
      <c r="C20" s="646"/>
      <c r="D20" s="647">
        <v>-370.51</v>
      </c>
      <c r="E20" s="647">
        <v>0</v>
      </c>
      <c r="F20" s="658">
        <f t="shared" si="4"/>
        <v>-6449815.911030001</v>
      </c>
      <c r="G20" s="657">
        <v>2209994.9905999997</v>
      </c>
      <c r="H20" s="642">
        <f>ROUND(((I19+E20)*(B20/12))+((SUM(G20+D20)/2)*(B20/12)),2)</f>
        <v>-18930.22</v>
      </c>
      <c r="I20" s="642">
        <f t="shared" si="3"/>
        <v>-4259121.6504300004</v>
      </c>
      <c r="J20" s="642"/>
      <c r="K20" s="643">
        <f>_xll.Get_Balance(A20,"YTD","USD","Total","A","","001","191000","GD","WA","DL")</f>
        <v>-4259121.6500000004</v>
      </c>
      <c r="L20" s="644">
        <f t="shared" si="1"/>
        <v>4.3000001460313797E-4</v>
      </c>
    </row>
    <row r="21" spans="1:14" s="635" customFormat="1">
      <c r="A21" s="641" t="s">
        <v>339</v>
      </c>
      <c r="B21" s="656">
        <v>4.2500000000000003E-2</v>
      </c>
      <c r="C21" s="646"/>
      <c r="D21" s="647">
        <v>0</v>
      </c>
      <c r="E21" s="647">
        <v>0</v>
      </c>
      <c r="F21" s="658">
        <f t="shared" si="4"/>
        <v>-4259121.6504300004</v>
      </c>
      <c r="G21" s="657">
        <v>1867178.4966399998</v>
      </c>
      <c r="H21" s="642">
        <f>ROUND(((F21+G21/2)*B21/12),2)</f>
        <v>-11777.93</v>
      </c>
      <c r="I21" s="642">
        <f t="shared" si="3"/>
        <v>-2403721.083790001</v>
      </c>
      <c r="J21" s="642"/>
      <c r="K21" s="643">
        <f>_xll.Get_Balance(A21,"YTD","USD","Total","A","","001","191000","GD","WA","DL")</f>
        <v>-2403721.08</v>
      </c>
      <c r="L21" s="644">
        <f t="shared" si="1"/>
        <v>3.790000919252634E-3</v>
      </c>
      <c r="N21" s="663"/>
    </row>
    <row r="22" spans="1:14" s="635" customFormat="1" collapsed="1">
      <c r="A22" s="641" t="s">
        <v>346</v>
      </c>
      <c r="B22" s="656">
        <v>4.4699999999999997E-2</v>
      </c>
      <c r="C22" s="646"/>
      <c r="D22" s="657">
        <v>0</v>
      </c>
      <c r="E22" s="657">
        <v>0</v>
      </c>
      <c r="F22" s="658">
        <f t="shared" si="4"/>
        <v>-2403721.083790001</v>
      </c>
      <c r="G22" s="657">
        <v>1219451.78287</v>
      </c>
      <c r="H22" s="658">
        <f>ROUND(((F22+G22/2)*B22/12),2)</f>
        <v>-6682.63</v>
      </c>
      <c r="I22" s="658">
        <f>SUM(D22:H22)</f>
        <v>-1190951.9309200009</v>
      </c>
      <c r="J22" s="658"/>
      <c r="K22" s="643">
        <f>_xll.Get_Balance(A22,"YTD","USD","Total","A","","001","191000","GD","WA","DL")</f>
        <v>-1190951.93</v>
      </c>
      <c r="L22" s="644">
        <f t="shared" ref="L22:L24" si="5">K22-I22</f>
        <v>9.2000095173716545E-4</v>
      </c>
    </row>
    <row r="23" spans="1:14" s="635" customFormat="1">
      <c r="A23" s="641" t="s">
        <v>347</v>
      </c>
      <c r="B23" s="656">
        <v>4.4699999999999997E-2</v>
      </c>
      <c r="C23" s="646"/>
      <c r="D23" s="657">
        <v>0</v>
      </c>
      <c r="E23" s="647">
        <v>0</v>
      </c>
      <c r="F23" s="658">
        <f t="shared" si="4"/>
        <v>-1190951.9309200009</v>
      </c>
      <c r="G23" s="657">
        <v>474750.83091000002</v>
      </c>
      <c r="H23" s="642">
        <f>ROUND(((I22+E23)*(B23/12))+((SUM(G23+D23)/2)*(B23/12)),2)</f>
        <v>-3552.07</v>
      </c>
      <c r="I23" s="642">
        <f t="shared" ref="I23:I24" si="6">SUM(D23:H23)</f>
        <v>-719753.17001000082</v>
      </c>
      <c r="J23" s="642"/>
      <c r="K23" s="643">
        <f>_xll.Get_Balance(A23,"YTD","USD","Total","A","","001","191000","GD","WA","DL")</f>
        <v>-719753.17</v>
      </c>
      <c r="L23" s="644">
        <f t="shared" si="5"/>
        <v>1.0000774636864662E-5</v>
      </c>
    </row>
    <row r="24" spans="1:14" s="635" customFormat="1">
      <c r="A24" s="641" t="s">
        <v>348</v>
      </c>
      <c r="B24" s="656">
        <v>4.4699999999999997E-2</v>
      </c>
      <c r="C24" s="646"/>
      <c r="D24" s="647">
        <v>0</v>
      </c>
      <c r="E24" s="647">
        <v>0</v>
      </c>
      <c r="F24" s="658">
        <f t="shared" si="4"/>
        <v>-719753.17001000082</v>
      </c>
      <c r="G24" s="657">
        <v>397631.36375999998</v>
      </c>
      <c r="H24" s="642">
        <f>ROUND(((F24+G24/2)*B24/12),2)</f>
        <v>-1940.49</v>
      </c>
      <c r="I24" s="642">
        <f t="shared" si="6"/>
        <v>-324062.29625000083</v>
      </c>
      <c r="J24" s="642"/>
      <c r="K24" s="643">
        <f>_xll.Get_Balance(A24,"YTD","USD","Total","A","","001","191000","GD","WA","DL")</f>
        <v>-324062.3</v>
      </c>
      <c r="L24" s="644">
        <f t="shared" si="5"/>
        <v>-3.7499991594813764E-3</v>
      </c>
      <c r="N24" s="663"/>
    </row>
  </sheetData>
  <mergeCells count="1">
    <mergeCell ref="D5:I5"/>
  </mergeCells>
  <pageMargins left="0.7" right="0" top="0.75" bottom="0.75" header="0.3" footer="0.3"/>
  <pageSetup scale="5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tabColor rgb="FF00CC66"/>
    <pageSetUpPr fitToPage="1"/>
  </sheetPr>
  <dimension ref="A1:U1485"/>
  <sheetViews>
    <sheetView showGridLines="0" zoomScale="70" zoomScaleNormal="70" workbookViewId="0">
      <selection activeCell="C28" sqref="C28"/>
    </sheetView>
  </sheetViews>
  <sheetFormatPr defaultColWidth="16" defaultRowHeight="15"/>
  <cols>
    <col min="1" max="1" width="46.28515625" style="1" customWidth="1"/>
    <col min="2" max="2" width="25.5703125" style="1" customWidth="1"/>
    <col min="3" max="3" width="25.28515625" style="1" customWidth="1"/>
    <col min="4" max="4" width="2.7109375" style="30" customWidth="1"/>
    <col min="5" max="5" width="4.28515625" style="1" customWidth="1"/>
    <col min="6" max="6" width="26.7109375" style="1" customWidth="1"/>
    <col min="7" max="7" width="19" style="1" customWidth="1"/>
    <col min="8" max="8" width="22" style="1" customWidth="1"/>
    <col min="9" max="9" width="20.42578125" style="1" customWidth="1"/>
    <col min="10" max="10" width="26.28515625" style="1" customWidth="1"/>
    <col min="11" max="11" width="21.85546875" style="1" bestFit="1" customWidth="1"/>
    <col min="12" max="12" width="23.85546875" style="1" customWidth="1"/>
    <col min="13" max="13" width="20.85546875" style="1" bestFit="1" customWidth="1"/>
    <col min="14" max="15" width="16" style="1"/>
    <col min="16" max="16" width="16.28515625" style="1" bestFit="1" customWidth="1"/>
    <col min="17" max="16384" width="16" style="1"/>
  </cols>
  <sheetData>
    <row r="1" spans="1:13" ht="16.5" thickBot="1">
      <c r="A1" s="145" t="s">
        <v>64</v>
      </c>
      <c r="B1" s="29"/>
      <c r="C1" s="526">
        <v>201801</v>
      </c>
      <c r="F1" s="527">
        <f>C1</f>
        <v>201801</v>
      </c>
      <c r="G1" s="38"/>
      <c r="H1" s="162" t="s">
        <v>69</v>
      </c>
      <c r="I1" s="126" t="s">
        <v>3</v>
      </c>
      <c r="J1" s="126" t="s">
        <v>3</v>
      </c>
      <c r="K1" s="126" t="s">
        <v>66</v>
      </c>
      <c r="L1" s="126" t="s">
        <v>66</v>
      </c>
      <c r="M1" s="38"/>
    </row>
    <row r="2" spans="1:13" ht="15.75">
      <c r="C2" s="31"/>
      <c r="F2" s="38"/>
      <c r="G2" s="38"/>
      <c r="H2" s="163" t="s">
        <v>32</v>
      </c>
      <c r="I2" s="164" t="s">
        <v>65</v>
      </c>
      <c r="J2" s="164" t="s">
        <v>65</v>
      </c>
      <c r="K2" s="164" t="s">
        <v>67</v>
      </c>
      <c r="L2" s="164" t="s">
        <v>67</v>
      </c>
      <c r="M2" s="38"/>
    </row>
    <row r="3" spans="1:13" ht="16.5" thickBot="1">
      <c r="A3" s="63" t="s">
        <v>110</v>
      </c>
      <c r="C3" s="32"/>
      <c r="D3" s="33"/>
      <c r="F3" s="50" t="s">
        <v>72</v>
      </c>
      <c r="G3" s="38"/>
      <c r="H3" s="165" t="s">
        <v>68</v>
      </c>
      <c r="I3" s="165" t="s">
        <v>35</v>
      </c>
      <c r="J3" s="165" t="s">
        <v>63</v>
      </c>
      <c r="K3" s="165" t="s">
        <v>35</v>
      </c>
      <c r="L3" s="165" t="s">
        <v>63</v>
      </c>
      <c r="M3" s="38"/>
    </row>
    <row r="4" spans="1:13" ht="15.75">
      <c r="A4" s="38" t="s">
        <v>88</v>
      </c>
      <c r="C4" s="558">
        <v>3655974.78</v>
      </c>
      <c r="D4" s="34"/>
      <c r="F4" s="38"/>
      <c r="G4" s="38"/>
      <c r="H4" s="11"/>
      <c r="I4" s="38"/>
      <c r="J4" s="38"/>
      <c r="L4" s="38"/>
      <c r="M4" s="38"/>
    </row>
    <row r="5" spans="1:13" ht="14.25" customHeight="1">
      <c r="A5" s="38" t="s">
        <v>31</v>
      </c>
      <c r="C5" s="558">
        <f>28431.47-1275.62</f>
        <v>27155.850000000002</v>
      </c>
      <c r="D5" s="34"/>
      <c r="F5" s="38"/>
      <c r="G5" s="38"/>
      <c r="H5" s="11"/>
      <c r="I5" s="589">
        <v>0.69059999999999999</v>
      </c>
      <c r="J5" s="589">
        <v>0.30940000000000001</v>
      </c>
      <c r="K5" s="443">
        <f>ROUND(G45/(G45+K43),4)</f>
        <v>0.70330000000000004</v>
      </c>
      <c r="L5" s="443">
        <f>1-K5</f>
        <v>0.29669999999999996</v>
      </c>
      <c r="M5" s="38"/>
    </row>
    <row r="6" spans="1:13" ht="16.5" thickBot="1">
      <c r="A6" s="49" t="s">
        <v>30</v>
      </c>
      <c r="C6" s="559">
        <f>-1494747.7-426339.9-121811.4-137037.83-78568.35-98131.26</f>
        <v>-2356636.44</v>
      </c>
      <c r="D6" s="34"/>
      <c r="F6" s="38"/>
      <c r="G6" s="38"/>
      <c r="H6" s="38"/>
      <c r="I6" s="38"/>
      <c r="J6" s="38"/>
      <c r="K6" s="38"/>
      <c r="L6" s="38"/>
      <c r="M6" s="38"/>
    </row>
    <row r="7" spans="1:13" ht="16.5" thickBot="1">
      <c r="A7" s="66" t="s">
        <v>140</v>
      </c>
      <c r="C7" s="100">
        <f>SUM(C4:C6)</f>
        <v>1326494.19</v>
      </c>
      <c r="D7" s="35"/>
      <c r="F7" s="166" t="s">
        <v>139</v>
      </c>
      <c r="G7" s="166"/>
      <c r="H7" s="125">
        <f>C34</f>
        <v>2253440.5299999993</v>
      </c>
      <c r="I7" s="167">
        <f>H7*I5</f>
        <v>1556226.0300179995</v>
      </c>
      <c r="J7" s="167">
        <f>H7*J5</f>
        <v>697214.49998199986</v>
      </c>
      <c r="K7" s="167"/>
      <c r="L7" s="167"/>
      <c r="M7" s="38"/>
    </row>
    <row r="8" spans="1:13" ht="15.75">
      <c r="A8" s="1" t="s">
        <v>89</v>
      </c>
      <c r="C8" s="558">
        <v>252729.32</v>
      </c>
      <c r="D8" s="35"/>
      <c r="F8" s="38"/>
      <c r="G8" s="38"/>
      <c r="H8" s="168"/>
      <c r="I8" s="168"/>
      <c r="J8" s="168"/>
      <c r="K8" s="168"/>
      <c r="L8" s="168"/>
      <c r="M8" s="38"/>
    </row>
    <row r="9" spans="1:13" ht="15.75">
      <c r="A9" s="38" t="s">
        <v>90</v>
      </c>
      <c r="C9" s="558">
        <f>8973.45+5.43</f>
        <v>8978.880000000001</v>
      </c>
      <c r="D9" s="36"/>
      <c r="F9" s="166" t="s">
        <v>119</v>
      </c>
      <c r="G9" s="38"/>
      <c r="H9" s="167">
        <f>C56</f>
        <v>7455235.2899999982</v>
      </c>
      <c r="I9" s="167"/>
      <c r="J9" s="167"/>
      <c r="K9" s="167">
        <f>H9*K5</f>
        <v>5243266.9794569993</v>
      </c>
      <c r="L9" s="167">
        <f>H9*L5</f>
        <v>2211968.3105429993</v>
      </c>
      <c r="M9" s="38"/>
    </row>
    <row r="10" spans="1:13" ht="15.75">
      <c r="A10" s="49" t="s">
        <v>91</v>
      </c>
      <c r="C10" s="559">
        <v>-3418.47</v>
      </c>
      <c r="D10" s="36"/>
      <c r="F10" s="169" t="s">
        <v>44</v>
      </c>
      <c r="G10" s="38"/>
      <c r="H10" s="167">
        <f>C57</f>
        <v>5580.95</v>
      </c>
      <c r="I10" s="167"/>
      <c r="J10" s="167"/>
      <c r="K10" s="167">
        <f>H10</f>
        <v>5580.95</v>
      </c>
      <c r="L10" s="167"/>
      <c r="M10" s="38"/>
    </row>
    <row r="11" spans="1:13">
      <c r="A11" s="66" t="s">
        <v>145</v>
      </c>
      <c r="C11" s="100">
        <f>SUM(C8:C10)</f>
        <v>258289.73</v>
      </c>
      <c r="D11" s="36"/>
      <c r="F11" s="169" t="s">
        <v>45</v>
      </c>
      <c r="G11" s="38"/>
      <c r="H11" s="170">
        <f>C58</f>
        <v>4185.79</v>
      </c>
      <c r="I11" s="167"/>
      <c r="J11" s="167"/>
      <c r="K11" s="170"/>
      <c r="L11" s="170">
        <f>H11</f>
        <v>4185.79</v>
      </c>
      <c r="M11" s="38"/>
    </row>
    <row r="12" spans="1:13" ht="15.75">
      <c r="A12" s="1" t="s">
        <v>165</v>
      </c>
      <c r="C12" s="558">
        <f>200789.19+1706.01</f>
        <v>202495.2</v>
      </c>
      <c r="D12" s="36"/>
      <c r="F12" s="169" t="s">
        <v>138</v>
      </c>
      <c r="G12" s="38"/>
      <c r="H12" s="167">
        <f>H9+H10+H11</f>
        <v>7465002.0299999984</v>
      </c>
      <c r="I12" s="167"/>
      <c r="J12" s="167"/>
      <c r="K12" s="167">
        <f>SUM(K9:K11)</f>
        <v>5248847.9294569995</v>
      </c>
      <c r="L12" s="167">
        <f>SUM(L9:L11)</f>
        <v>2216154.1005429993</v>
      </c>
      <c r="M12" s="38"/>
    </row>
    <row r="13" spans="1:13" ht="16.5" thickBot="1">
      <c r="A13" s="49" t="s">
        <v>166</v>
      </c>
      <c r="C13" s="554">
        <v>0</v>
      </c>
      <c r="D13" s="36"/>
      <c r="F13" s="171"/>
      <c r="G13" s="172"/>
      <c r="H13" s="173"/>
      <c r="I13" s="174"/>
      <c r="J13" s="173"/>
      <c r="K13" s="168"/>
      <c r="L13" s="173"/>
      <c r="M13" s="38"/>
    </row>
    <row r="14" spans="1:13" ht="16.5" thickBot="1">
      <c r="A14" s="66" t="s">
        <v>92</v>
      </c>
      <c r="C14" s="100">
        <f>SUM(C12:C13)</f>
        <v>202495.2</v>
      </c>
      <c r="D14" s="37"/>
      <c r="F14" s="50" t="s">
        <v>69</v>
      </c>
      <c r="G14" s="175"/>
      <c r="H14" s="125">
        <f>H12+H7</f>
        <v>9718442.5599999987</v>
      </c>
      <c r="I14" s="176">
        <f>SUM(I7:I13)</f>
        <v>1556226.0300179995</v>
      </c>
      <c r="J14" s="176">
        <f>SUM(J7:J13)</f>
        <v>697214.49998199986</v>
      </c>
      <c r="K14" s="176">
        <f>K12</f>
        <v>5248847.9294569995</v>
      </c>
      <c r="L14" s="176">
        <f>L12</f>
        <v>2216154.1005429993</v>
      </c>
      <c r="M14" s="38"/>
    </row>
    <row r="15" spans="1:13" ht="15.75">
      <c r="A15" s="1" t="s">
        <v>183</v>
      </c>
      <c r="C15" s="558">
        <f>411773.16+3986.07</f>
        <v>415759.23</v>
      </c>
      <c r="D15" s="36"/>
      <c r="F15" s="171"/>
      <c r="G15" s="172" t="s">
        <v>102</v>
      </c>
      <c r="H15" s="173">
        <f>H14-C61</f>
        <v>0</v>
      </c>
      <c r="I15" s="177"/>
      <c r="J15" s="173">
        <f>J7+I7-H7</f>
        <v>0</v>
      </c>
      <c r="K15" s="38"/>
      <c r="L15" s="173">
        <f>H12-K14-L14</f>
        <v>0</v>
      </c>
      <c r="M15" s="38"/>
    </row>
    <row r="16" spans="1:13" ht="15.75">
      <c r="A16" s="49" t="s">
        <v>184</v>
      </c>
      <c r="C16" s="554">
        <v>0</v>
      </c>
      <c r="D16" s="36"/>
      <c r="F16" s="178"/>
      <c r="G16" s="172"/>
      <c r="H16" s="179"/>
      <c r="I16" s="180"/>
      <c r="J16" s="179"/>
      <c r="K16" s="38"/>
      <c r="L16" s="179"/>
      <c r="M16" s="38"/>
    </row>
    <row r="17" spans="1:14" ht="15.75" thickBot="1">
      <c r="A17" s="66" t="s">
        <v>185</v>
      </c>
      <c r="C17" s="100">
        <f>SUM(C15:C16)</f>
        <v>415759.23</v>
      </c>
      <c r="D17" s="37"/>
      <c r="F17" s="171"/>
      <c r="G17" s="172"/>
      <c r="H17" s="179"/>
      <c r="I17" s="180"/>
      <c r="J17" s="183"/>
      <c r="K17" s="38"/>
      <c r="L17" s="179"/>
      <c r="M17" s="38"/>
    </row>
    <row r="18" spans="1:14" ht="16.5" thickBot="1">
      <c r="A18" s="1" t="s">
        <v>163</v>
      </c>
      <c r="C18" s="558">
        <f>83248.66+10571.6-991.71</f>
        <v>92828.55</v>
      </c>
      <c r="D18" s="36"/>
      <c r="F18" s="691" t="s">
        <v>134</v>
      </c>
      <c r="G18" s="692"/>
      <c r="H18" s="692"/>
      <c r="I18" s="693"/>
      <c r="J18" s="691" t="s">
        <v>135</v>
      </c>
      <c r="K18" s="692"/>
      <c r="L18" s="692"/>
      <c r="M18" s="693"/>
    </row>
    <row r="19" spans="1:14" ht="15.75">
      <c r="A19" s="46" t="s">
        <v>164</v>
      </c>
      <c r="C19" s="559">
        <f>908.45</f>
        <v>908.45</v>
      </c>
      <c r="D19" s="36"/>
      <c r="F19" s="201" t="s">
        <v>108</v>
      </c>
      <c r="G19" s="164" t="s">
        <v>33</v>
      </c>
      <c r="H19" s="164" t="s">
        <v>33</v>
      </c>
      <c r="I19" s="164" t="s">
        <v>33</v>
      </c>
      <c r="J19" s="201" t="s">
        <v>108</v>
      </c>
      <c r="K19" s="164" t="s">
        <v>33</v>
      </c>
      <c r="L19" s="164" t="s">
        <v>33</v>
      </c>
      <c r="M19" s="185" t="s">
        <v>33</v>
      </c>
    </row>
    <row r="20" spans="1:14" ht="16.5" thickBot="1">
      <c r="A20" s="67" t="s">
        <v>93</v>
      </c>
      <c r="C20" s="100">
        <f>SUM(C18:C19)</f>
        <v>93737</v>
      </c>
      <c r="D20" s="36"/>
      <c r="F20" s="195" t="s">
        <v>162</v>
      </c>
      <c r="G20" s="165" t="s">
        <v>101</v>
      </c>
      <c r="H20" s="165" t="s">
        <v>36</v>
      </c>
      <c r="I20" s="165" t="s">
        <v>34</v>
      </c>
      <c r="J20" s="195" t="s">
        <v>162</v>
      </c>
      <c r="K20" s="165" t="s">
        <v>101</v>
      </c>
      <c r="L20" s="165" t="s">
        <v>36</v>
      </c>
      <c r="M20" s="165" t="s">
        <v>34</v>
      </c>
    </row>
    <row r="21" spans="1:14" ht="15.75">
      <c r="A21" s="46" t="s">
        <v>149</v>
      </c>
      <c r="B21" s="382"/>
      <c r="C21" s="559">
        <f>1850+820.3</f>
        <v>2670.3</v>
      </c>
      <c r="D21" s="36"/>
      <c r="F21" s="184"/>
      <c r="G21" s="12"/>
      <c r="H21" s="12"/>
      <c r="I21" s="185"/>
      <c r="J21" s="129"/>
      <c r="K21" s="13"/>
      <c r="L21" s="13"/>
      <c r="M21" s="205"/>
    </row>
    <row r="22" spans="1:14" ht="18" customHeight="1">
      <c r="A22" s="65" t="s">
        <v>149</v>
      </c>
      <c r="C22" s="100">
        <f>SUM(C21)</f>
        <v>2670.3</v>
      </c>
      <c r="D22" s="36"/>
      <c r="F22" s="199" t="s">
        <v>126</v>
      </c>
      <c r="G22" s="7"/>
      <c r="H22" s="7"/>
      <c r="I22" s="98"/>
      <c r="J22" s="199" t="s">
        <v>126</v>
      </c>
      <c r="K22" s="7"/>
      <c r="L22" s="7"/>
      <c r="M22" s="98"/>
    </row>
    <row r="23" spans="1:14" ht="15.75">
      <c r="A23" s="208" t="s">
        <v>180</v>
      </c>
      <c r="C23" s="100">
        <v>0</v>
      </c>
      <c r="D23" s="36"/>
      <c r="F23" s="200" t="s">
        <v>37</v>
      </c>
      <c r="G23" s="561">
        <v>20257484</v>
      </c>
      <c r="H23" s="620">
        <v>0.10743999999999999</v>
      </c>
      <c r="I23" s="196">
        <f t="shared" ref="I23:I31" si="0">G23*H23</f>
        <v>2176464.0809599999</v>
      </c>
      <c r="J23" s="200" t="s">
        <v>37</v>
      </c>
      <c r="K23" s="561">
        <v>8822773</v>
      </c>
      <c r="L23" s="620">
        <v>0.10496999999999999</v>
      </c>
      <c r="M23" s="196">
        <f>K23*L23</f>
        <v>926126.48180999991</v>
      </c>
      <c r="N23" s="382"/>
    </row>
    <row r="24" spans="1:14" ht="15.75">
      <c r="A24" s="208" t="s">
        <v>186</v>
      </c>
      <c r="C24" s="311">
        <v>0</v>
      </c>
      <c r="D24" s="36"/>
      <c r="F24" s="200" t="s">
        <v>305</v>
      </c>
      <c r="G24" s="561">
        <v>22671</v>
      </c>
      <c r="H24" s="620">
        <v>0.10743999999999999</v>
      </c>
      <c r="I24" s="196">
        <f t="shared" si="0"/>
        <v>2435.7722399999998</v>
      </c>
      <c r="J24" s="200" t="s">
        <v>38</v>
      </c>
      <c r="K24" s="561">
        <v>2761366</v>
      </c>
      <c r="L24" s="620">
        <v>0.10496999999999999</v>
      </c>
      <c r="M24" s="196">
        <f t="shared" ref="M24:M27" si="1">K24*L24</f>
        <v>289860.58901999996</v>
      </c>
      <c r="N24" s="382"/>
    </row>
    <row r="25" spans="1:14" ht="15.75">
      <c r="A25" s="208" t="s">
        <v>189</v>
      </c>
      <c r="C25" s="312">
        <v>0</v>
      </c>
      <c r="D25" s="36"/>
      <c r="F25" s="200" t="s">
        <v>38</v>
      </c>
      <c r="G25" s="561">
        <v>6608892</v>
      </c>
      <c r="H25" s="620">
        <v>9.8650000000000002E-2</v>
      </c>
      <c r="I25" s="196">
        <f t="shared" si="0"/>
        <v>651967.19579999999</v>
      </c>
      <c r="J25" s="200" t="s">
        <v>39</v>
      </c>
      <c r="K25" s="561">
        <v>3610</v>
      </c>
      <c r="L25" s="620">
        <v>0.10496999999999999</v>
      </c>
      <c r="M25" s="196">
        <f t="shared" si="1"/>
        <v>378.94169999999997</v>
      </c>
      <c r="N25" s="382"/>
    </row>
    <row r="26" spans="1:14" ht="15.75">
      <c r="A26" s="209" t="s">
        <v>313</v>
      </c>
      <c r="C26" s="313">
        <v>0</v>
      </c>
      <c r="D26" s="36"/>
      <c r="F26" s="200" t="s">
        <v>39</v>
      </c>
      <c r="G26" s="561">
        <v>10558</v>
      </c>
      <c r="H26" s="620">
        <v>9.8650000000000002E-2</v>
      </c>
      <c r="I26" s="196">
        <f t="shared" si="0"/>
        <v>1041.5467000000001</v>
      </c>
      <c r="J26" s="200" t="s">
        <v>40</v>
      </c>
      <c r="K26" s="261"/>
      <c r="L26" s="620">
        <v>0.10496999999999999</v>
      </c>
      <c r="M26" s="196">
        <f t="shared" si="1"/>
        <v>0</v>
      </c>
      <c r="N26" s="382"/>
    </row>
    <row r="27" spans="1:14" ht="15.75">
      <c r="A27" s="65" t="s">
        <v>96</v>
      </c>
      <c r="C27" s="100">
        <f>SUM(C23:C26)</f>
        <v>0</v>
      </c>
      <c r="D27" s="36"/>
      <c r="F27" s="200" t="s">
        <v>40</v>
      </c>
      <c r="G27" s="561">
        <v>362835</v>
      </c>
      <c r="H27" s="620">
        <v>0.10433000000000001</v>
      </c>
      <c r="I27" s="196">
        <f t="shared" si="0"/>
        <v>37854.575550000001</v>
      </c>
      <c r="J27" s="200" t="s">
        <v>41</v>
      </c>
      <c r="K27" s="261"/>
      <c r="L27" s="620">
        <v>0.10496999999999999</v>
      </c>
      <c r="M27" s="196">
        <f t="shared" si="1"/>
        <v>0</v>
      </c>
      <c r="N27" s="382"/>
    </row>
    <row r="28" spans="1:14" ht="16.5" thickBot="1">
      <c r="A28" s="210" t="s">
        <v>150</v>
      </c>
      <c r="C28" s="311">
        <v>0</v>
      </c>
      <c r="D28" s="37"/>
      <c r="F28" s="200" t="s">
        <v>41</v>
      </c>
      <c r="G28" s="561">
        <v>65295</v>
      </c>
      <c r="H28" s="620">
        <v>0.10433000000000001</v>
      </c>
      <c r="I28" s="196">
        <f t="shared" si="0"/>
        <v>6812.2273500000001</v>
      </c>
      <c r="J28" s="199" t="s">
        <v>127</v>
      </c>
      <c r="K28" s="181">
        <f>SUM(K23:K27)</f>
        <v>11587749</v>
      </c>
      <c r="L28" s="182"/>
      <c r="M28" s="197">
        <f>SUM(M23:M27)</f>
        <v>1216366.0125299999</v>
      </c>
      <c r="N28" s="382"/>
    </row>
    <row r="29" spans="1:14" ht="17.25" thickTop="1" thickBot="1">
      <c r="A29" s="210" t="s">
        <v>167</v>
      </c>
      <c r="B29" s="38"/>
      <c r="C29" s="311">
        <v>0</v>
      </c>
      <c r="D29" s="36"/>
      <c r="F29" s="200" t="s">
        <v>42</v>
      </c>
      <c r="G29" s="561">
        <v>0</v>
      </c>
      <c r="H29" s="620">
        <v>6.2480000000000001E-2</v>
      </c>
      <c r="I29" s="196">
        <f t="shared" si="0"/>
        <v>0</v>
      </c>
      <c r="J29" s="199"/>
      <c r="K29" s="231">
        <v>11587749</v>
      </c>
      <c r="L29" s="187" t="s">
        <v>102</v>
      </c>
      <c r="M29" s="463">
        <f>M28/K28</f>
        <v>0.10496999999999999</v>
      </c>
      <c r="N29" s="382"/>
    </row>
    <row r="30" spans="1:14" ht="16.5" thickBot="1">
      <c r="A30" s="2" t="s">
        <v>111</v>
      </c>
      <c r="C30" s="125">
        <f>C7+C11+C14+C17+C20+C22+C27+C28+C29</f>
        <v>2299445.6499999994</v>
      </c>
      <c r="D30" s="37"/>
      <c r="F30" s="200" t="s">
        <v>43</v>
      </c>
      <c r="G30" s="561">
        <v>139102</v>
      </c>
      <c r="H30" s="620">
        <v>6.2480000000000001E-2</v>
      </c>
      <c r="I30" s="196">
        <f t="shared" si="0"/>
        <v>8691.0929599999999</v>
      </c>
      <c r="J30" s="200"/>
      <c r="K30" s="230">
        <f>K28-K29</f>
        <v>0</v>
      </c>
      <c r="L30" s="182"/>
      <c r="M30" s="198"/>
    </row>
    <row r="31" spans="1:14" ht="15.75">
      <c r="A31" s="1" t="s">
        <v>112</v>
      </c>
      <c r="C31" s="558">
        <v>-8961.94</v>
      </c>
      <c r="D31" s="39"/>
      <c r="F31" s="200" t="s">
        <v>74</v>
      </c>
      <c r="G31" s="561">
        <v>3629622</v>
      </c>
      <c r="H31" s="669">
        <v>5.4000000000000001E-4</v>
      </c>
      <c r="I31" s="196">
        <f t="shared" si="0"/>
        <v>1959.9958799999999</v>
      </c>
      <c r="J31" s="153"/>
      <c r="K31" s="7"/>
      <c r="L31" s="182"/>
      <c r="M31" s="198"/>
    </row>
    <row r="32" spans="1:14" ht="16.5" thickBot="1">
      <c r="A32" s="2" t="s">
        <v>116</v>
      </c>
      <c r="B32" s="2" t="s">
        <v>117</v>
      </c>
      <c r="C32" s="576">
        <f>C30+C31</f>
        <v>2290483.7099999995</v>
      </c>
      <c r="D32" s="40"/>
      <c r="F32" s="199" t="s">
        <v>127</v>
      </c>
      <c r="G32" s="181">
        <f>SUM(G23:G31)</f>
        <v>31096459</v>
      </c>
      <c r="H32" s="7"/>
      <c r="I32" s="197">
        <f>SUM(I23:I31)</f>
        <v>2887226.4874399994</v>
      </c>
      <c r="J32" s="192"/>
      <c r="K32" s="193"/>
      <c r="L32" s="7"/>
      <c r="M32" s="190"/>
    </row>
    <row r="33" spans="1:17" ht="17.25" thickTop="1" thickBot="1">
      <c r="A33" s="1" t="s">
        <v>113</v>
      </c>
      <c r="C33" s="576">
        <f>-C5-C9-C13-C16-C19</f>
        <v>-37043.18</v>
      </c>
      <c r="D33" s="36"/>
      <c r="F33" s="186"/>
      <c r="G33" s="231">
        <v>31096459</v>
      </c>
      <c r="H33" s="187" t="s">
        <v>102</v>
      </c>
      <c r="I33" s="216">
        <f>I32/G32</f>
        <v>9.2847436019644528E-2</v>
      </c>
      <c r="J33" s="192"/>
      <c r="K33" s="193"/>
      <c r="L33" s="7"/>
      <c r="M33" s="98"/>
    </row>
    <row r="34" spans="1:17" ht="16.5" thickBot="1">
      <c r="A34" s="2" t="s">
        <v>114</v>
      </c>
      <c r="C34" s="125">
        <f>SUM(C32:C33)</f>
        <v>2253440.5299999993</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602">
        <v>8822773</v>
      </c>
      <c r="L36" s="620">
        <v>0.21725</v>
      </c>
      <c r="M36" s="196">
        <f t="shared" ref="M36:M42" si="2">K36*L36</f>
        <v>1916747.4342499999</v>
      </c>
      <c r="N36" s="382"/>
      <c r="P36" s="272"/>
      <c r="Q36" s="272"/>
    </row>
    <row r="37" spans="1:17" ht="15.75">
      <c r="A37" s="7" t="s">
        <v>129</v>
      </c>
      <c r="B37" s="86" t="s">
        <v>115</v>
      </c>
      <c r="C37" s="558">
        <v>9310111.5999999996</v>
      </c>
      <c r="D37" s="36"/>
      <c r="F37" s="200" t="s">
        <v>37</v>
      </c>
      <c r="G37" s="602">
        <v>20257484</v>
      </c>
      <c r="H37" s="620">
        <v>0.21817</v>
      </c>
      <c r="I37" s="196">
        <f t="shared" ref="I37:I44" si="3">G37*H37</f>
        <v>4419575.2842800003</v>
      </c>
      <c r="J37" s="200" t="s">
        <v>38</v>
      </c>
      <c r="K37" s="602">
        <v>2761366</v>
      </c>
      <c r="L37" s="620">
        <v>0.21725</v>
      </c>
      <c r="M37" s="196">
        <f t="shared" si="2"/>
        <v>599906.7635</v>
      </c>
      <c r="N37" s="382"/>
      <c r="P37" s="272"/>
      <c r="Q37" s="272"/>
    </row>
    <row r="38" spans="1:17" ht="15.75">
      <c r="A38" s="144" t="s">
        <v>14</v>
      </c>
      <c r="B38" s="86" t="s">
        <v>115</v>
      </c>
      <c r="C38" s="558">
        <v>0</v>
      </c>
      <c r="D38" s="36"/>
      <c r="F38" s="200" t="s">
        <v>305</v>
      </c>
      <c r="G38" s="602">
        <v>22671</v>
      </c>
      <c r="H38" s="620">
        <v>0.21817</v>
      </c>
      <c r="I38" s="196">
        <f t="shared" si="3"/>
        <v>4946.1320699999997</v>
      </c>
      <c r="J38" s="200" t="s">
        <v>39</v>
      </c>
      <c r="K38" s="602">
        <v>3610</v>
      </c>
      <c r="L38" s="620">
        <v>0.21725</v>
      </c>
      <c r="M38" s="196">
        <f t="shared" si="2"/>
        <v>784.27250000000004</v>
      </c>
      <c r="N38" s="382"/>
      <c r="P38" s="272"/>
      <c r="Q38" s="272"/>
    </row>
    <row r="39" spans="1:17" ht="15.75">
      <c r="A39" s="7" t="s">
        <v>146</v>
      </c>
      <c r="B39" s="86" t="s">
        <v>147</v>
      </c>
      <c r="C39" s="558">
        <v>-92480.2</v>
      </c>
      <c r="D39" s="36"/>
      <c r="F39" s="200" t="s">
        <v>38</v>
      </c>
      <c r="G39" s="602">
        <v>6608892</v>
      </c>
      <c r="H39" s="620">
        <v>0.21817</v>
      </c>
      <c r="I39" s="196">
        <f t="shared" si="3"/>
        <v>1441861.9676399999</v>
      </c>
      <c r="J39" s="200" t="s">
        <v>40</v>
      </c>
      <c r="K39" s="262">
        <f>K26</f>
        <v>0</v>
      </c>
      <c r="L39" s="620">
        <v>0.21725</v>
      </c>
      <c r="M39" s="196">
        <f t="shared" si="2"/>
        <v>0</v>
      </c>
      <c r="N39" s="382"/>
      <c r="P39" s="272"/>
      <c r="Q39" s="272"/>
    </row>
    <row r="40" spans="1:17" ht="15.75">
      <c r="A40" s="7" t="s">
        <v>131</v>
      </c>
      <c r="B40" s="86" t="s">
        <v>132</v>
      </c>
      <c r="C40" s="558">
        <v>2270713.2799999998</v>
      </c>
      <c r="D40" s="36"/>
      <c r="F40" s="200" t="s">
        <v>39</v>
      </c>
      <c r="G40" s="602">
        <v>10558</v>
      </c>
      <c r="H40" s="620">
        <v>0.21817</v>
      </c>
      <c r="I40" s="196">
        <f t="shared" si="3"/>
        <v>2303.4388600000002</v>
      </c>
      <c r="J40" s="200" t="s">
        <v>41</v>
      </c>
      <c r="K40" s="262">
        <f>K27</f>
        <v>0</v>
      </c>
      <c r="L40" s="620">
        <v>0.21725</v>
      </c>
      <c r="M40" s="196">
        <f t="shared" si="2"/>
        <v>0</v>
      </c>
      <c r="N40" s="382"/>
      <c r="P40" s="272"/>
      <c r="Q40" s="272"/>
    </row>
    <row r="41" spans="1:17" ht="15.75">
      <c r="A41" s="7" t="s">
        <v>153</v>
      </c>
      <c r="B41" s="6" t="s">
        <v>155</v>
      </c>
      <c r="C41" s="558">
        <v>1919.57</v>
      </c>
      <c r="D41" s="36"/>
      <c r="F41" s="200" t="s">
        <v>40</v>
      </c>
      <c r="G41" s="602">
        <v>362835</v>
      </c>
      <c r="H41" s="620">
        <v>0.21817</v>
      </c>
      <c r="I41" s="196">
        <f t="shared" si="3"/>
        <v>79159.711949999997</v>
      </c>
      <c r="J41" s="200" t="s">
        <v>42</v>
      </c>
      <c r="K41" s="261">
        <v>0</v>
      </c>
      <c r="L41" s="620">
        <v>0.21725</v>
      </c>
      <c r="M41" s="196">
        <f t="shared" si="2"/>
        <v>0</v>
      </c>
      <c r="N41" s="382"/>
      <c r="P41" s="272"/>
      <c r="Q41" s="272"/>
    </row>
    <row r="42" spans="1:17" ht="16.5" thickBot="1">
      <c r="A42" s="7" t="s">
        <v>178</v>
      </c>
      <c r="B42" s="229" t="s">
        <v>179</v>
      </c>
      <c r="C42" s="558">
        <v>895916.94</v>
      </c>
      <c r="D42" s="37"/>
      <c r="F42" s="200" t="s">
        <v>41</v>
      </c>
      <c r="G42" s="602">
        <v>65295</v>
      </c>
      <c r="H42" s="620">
        <v>0.21817</v>
      </c>
      <c r="I42" s="196">
        <f t="shared" si="3"/>
        <v>14245.41015</v>
      </c>
      <c r="J42" s="200" t="s">
        <v>43</v>
      </c>
      <c r="K42" s="263">
        <v>0</v>
      </c>
      <c r="L42" s="620">
        <v>0.21725</v>
      </c>
      <c r="M42" s="196">
        <f t="shared" si="2"/>
        <v>0</v>
      </c>
      <c r="N42" s="382"/>
      <c r="P42" s="272"/>
      <c r="Q42" s="272"/>
    </row>
    <row r="43" spans="1:17" ht="16.5" thickBot="1">
      <c r="A43" s="85" t="s">
        <v>123</v>
      </c>
      <c r="B43" s="12"/>
      <c r="C43" s="125">
        <f>SUM(C37:C42)</f>
        <v>12386181.189999999</v>
      </c>
      <c r="D43" s="36"/>
      <c r="F43" s="200" t="s">
        <v>42</v>
      </c>
      <c r="G43" s="602">
        <v>0</v>
      </c>
      <c r="H43" s="620">
        <v>0.21817</v>
      </c>
      <c r="I43" s="196">
        <f t="shared" si="3"/>
        <v>0</v>
      </c>
      <c r="J43" s="199" t="s">
        <v>133</v>
      </c>
      <c r="K43" s="181">
        <f>SUM(K36:K42)</f>
        <v>11587749</v>
      </c>
      <c r="L43" s="182"/>
      <c r="M43" s="197">
        <f>SUM(M36:M42)</f>
        <v>2517438.4702499998</v>
      </c>
    </row>
    <row r="44" spans="1:17" ht="16.5" thickBot="1">
      <c r="A44" s="83" t="s">
        <v>177</v>
      </c>
      <c r="B44" s="84" t="s">
        <v>120</v>
      </c>
      <c r="C44" s="558">
        <f>-447647.7+3873607.53-24735.54+1377.31</f>
        <v>3402601.5999999996</v>
      </c>
      <c r="D44" s="37"/>
      <c r="F44" s="200" t="s">
        <v>43</v>
      </c>
      <c r="G44" s="602">
        <v>139102</v>
      </c>
      <c r="H44" s="620">
        <v>0.21817</v>
      </c>
      <c r="I44" s="196">
        <f t="shared" si="3"/>
        <v>30347.88334</v>
      </c>
      <c r="J44" s="194"/>
      <c r="K44" s="232">
        <v>11587749</v>
      </c>
      <c r="L44" s="189" t="s">
        <v>102</v>
      </c>
      <c r="M44" s="217">
        <f>M43/K43</f>
        <v>0.21724999999999997</v>
      </c>
    </row>
    <row r="45" spans="1:17" ht="16.5" thickBot="1">
      <c r="A45" s="211" t="s">
        <v>168</v>
      </c>
      <c r="B45" s="6" t="s">
        <v>115</v>
      </c>
      <c r="C45" s="122">
        <v>0</v>
      </c>
      <c r="D45" s="39"/>
      <c r="F45" s="199" t="s">
        <v>133</v>
      </c>
      <c r="G45" s="181">
        <f>SUM(G37:G44)</f>
        <v>27466837</v>
      </c>
      <c r="H45" s="182"/>
      <c r="I45" s="197">
        <f>SUM(I37:I44)</f>
        <v>5992439.8282900015</v>
      </c>
      <c r="J45" s="124"/>
      <c r="K45" s="230">
        <f>K43-K44</f>
        <v>0</v>
      </c>
      <c r="L45" s="38"/>
      <c r="M45" s="124"/>
    </row>
    <row r="46" spans="1:17" ht="19.5" customHeight="1" thickTop="1" thickBot="1">
      <c r="A46" s="144" t="s">
        <v>169</v>
      </c>
      <c r="B46" s="6" t="s">
        <v>115</v>
      </c>
      <c r="C46" s="122">
        <v>0</v>
      </c>
      <c r="D46" s="40"/>
      <c r="F46" s="188"/>
      <c r="G46" s="232">
        <v>27466837</v>
      </c>
      <c r="H46" s="189" t="s">
        <v>102</v>
      </c>
      <c r="I46" s="215">
        <f>I45/G45</f>
        <v>0.21817000000000006</v>
      </c>
      <c r="J46" s="124"/>
      <c r="K46" s="230"/>
      <c r="L46" s="383"/>
      <c r="M46" s="124"/>
    </row>
    <row r="47" spans="1:17" ht="19.5" customHeight="1">
      <c r="A47" s="1" t="s">
        <v>137</v>
      </c>
      <c r="B47" s="6" t="s">
        <v>115</v>
      </c>
      <c r="C47" s="122">
        <v>0</v>
      </c>
      <c r="D47" s="36"/>
      <c r="F47" s="38"/>
      <c r="G47" s="230">
        <f>G45-G46</f>
        <v>0</v>
      </c>
      <c r="H47" s="38"/>
      <c r="I47" s="38"/>
      <c r="J47" s="124"/>
      <c r="K47" s="230"/>
      <c r="L47" s="383"/>
      <c r="M47" s="124"/>
    </row>
    <row r="48" spans="1:17" ht="16.5" thickBot="1">
      <c r="A48" s="144" t="s">
        <v>304</v>
      </c>
      <c r="B48" s="6" t="s">
        <v>115</v>
      </c>
      <c r="C48" s="558">
        <v>7000</v>
      </c>
      <c r="D48" s="36"/>
      <c r="F48" s="38"/>
      <c r="G48" s="38"/>
      <c r="H48" s="38"/>
      <c r="I48" s="38"/>
      <c r="J48" s="124"/>
      <c r="K48" s="114"/>
      <c r="L48" s="38"/>
      <c r="M48" s="68"/>
    </row>
    <row r="49" spans="1:21" ht="15.75">
      <c r="A49" s="7" t="s">
        <v>130</v>
      </c>
      <c r="B49" s="86" t="s">
        <v>152</v>
      </c>
      <c r="C49" s="558">
        <v>19453.97</v>
      </c>
      <c r="D49" s="36"/>
      <c r="F49" s="38"/>
      <c r="G49" s="114"/>
      <c r="H49" s="129" t="s">
        <v>35</v>
      </c>
      <c r="I49" s="13" t="s">
        <v>35</v>
      </c>
      <c r="J49" s="13" t="s">
        <v>63</v>
      </c>
      <c r="K49" s="127" t="s">
        <v>70</v>
      </c>
      <c r="L49" s="124"/>
      <c r="M49" s="38"/>
    </row>
    <row r="50" spans="1:21" ht="16.5" thickBot="1">
      <c r="A50" s="7" t="s">
        <v>222</v>
      </c>
      <c r="B50" s="218" t="s">
        <v>152</v>
      </c>
      <c r="C50" s="558">
        <v>3069.37</v>
      </c>
      <c r="D50" s="37"/>
      <c r="F50" s="50" t="s">
        <v>73</v>
      </c>
      <c r="G50" s="38"/>
      <c r="H50" s="130" t="s">
        <v>2</v>
      </c>
      <c r="I50" s="131" t="s">
        <v>3</v>
      </c>
      <c r="J50" s="131" t="s">
        <v>2</v>
      </c>
      <c r="K50" s="128" t="s">
        <v>3</v>
      </c>
      <c r="L50" s="38"/>
      <c r="M50" s="38"/>
    </row>
    <row r="51" spans="1:21" ht="15.75">
      <c r="A51" s="7" t="s">
        <v>308</v>
      </c>
      <c r="B51" s="450" t="s">
        <v>152</v>
      </c>
      <c r="C51" s="558">
        <v>5858.93</v>
      </c>
      <c r="D51" s="36"/>
      <c r="F51" s="38"/>
      <c r="G51" s="38"/>
      <c r="H51" s="151"/>
      <c r="I51" s="152"/>
      <c r="J51" s="152"/>
      <c r="K51" s="152"/>
      <c r="L51" s="126" t="s">
        <v>103</v>
      </c>
      <c r="M51" s="38"/>
    </row>
    <row r="52" spans="1:21" ht="15.75">
      <c r="A52" s="22" t="s">
        <v>118</v>
      </c>
      <c r="B52" s="6"/>
      <c r="C52" s="577">
        <f>-C33</f>
        <v>37043.18</v>
      </c>
      <c r="D52" s="33"/>
      <c r="F52" s="38" t="s">
        <v>136</v>
      </c>
      <c r="G52" s="38"/>
      <c r="H52" s="212">
        <f>K12</f>
        <v>5248847.9294569995</v>
      </c>
      <c r="I52" s="115">
        <f>I14</f>
        <v>1556226.0300179995</v>
      </c>
      <c r="J52" s="115">
        <f>L12</f>
        <v>2216154.1005429993</v>
      </c>
      <c r="K52" s="115">
        <f>J14</f>
        <v>697214.49998199986</v>
      </c>
      <c r="L52" s="132">
        <f>SUM(H52:K52)</f>
        <v>9718442.5599999987</v>
      </c>
      <c r="M52" s="38"/>
    </row>
    <row r="53" spans="1:21" ht="16.5" thickBot="1">
      <c r="A53" s="383" t="s">
        <v>315</v>
      </c>
      <c r="B53" s="619" t="s">
        <v>316</v>
      </c>
      <c r="C53" s="558">
        <f>7821.52+0.01</f>
        <v>7821.5300000000007</v>
      </c>
      <c r="D53" s="36"/>
      <c r="F53" s="1" t="s">
        <v>109</v>
      </c>
      <c r="H53" s="212">
        <f>-I45</f>
        <v>-5992439.8282900015</v>
      </c>
      <c r="I53" s="115">
        <f>-I32</f>
        <v>-2887226.4874399994</v>
      </c>
      <c r="J53" s="115">
        <f>-M43</f>
        <v>-2517438.4702499998</v>
      </c>
      <c r="K53" s="115">
        <f>-M28</f>
        <v>-1216366.0125299999</v>
      </c>
      <c r="L53" s="260">
        <f>SUM(H53:K53)</f>
        <v>-12613470.79851</v>
      </c>
    </row>
    <row r="54" spans="1:21" ht="16.5" thickBot="1">
      <c r="A54" s="380" t="s">
        <v>124</v>
      </c>
      <c r="B54" s="471" t="s">
        <v>296</v>
      </c>
      <c r="C54" s="558">
        <f>-538419.62-4072845.36-3427529.5</f>
        <v>-8038794.4799999995</v>
      </c>
      <c r="D54" s="36"/>
      <c r="F54" s="1" t="s">
        <v>86</v>
      </c>
      <c r="H54" s="234">
        <v>0</v>
      </c>
      <c r="I54" s="235">
        <v>0</v>
      </c>
      <c r="J54" s="235">
        <v>0</v>
      </c>
      <c r="K54" s="236">
        <v>0</v>
      </c>
      <c r="L54" s="214">
        <f>SUM(L52:L53)</f>
        <v>-2895028.2385100015</v>
      </c>
    </row>
    <row r="55" spans="1:21" ht="16.5" thickBot="1">
      <c r="A55" s="1" t="s">
        <v>312</v>
      </c>
      <c r="B55" s="6" t="s">
        <v>190</v>
      </c>
      <c r="C55" s="558">
        <v>-375000</v>
      </c>
      <c r="D55" s="36"/>
      <c r="F55" s="1" t="s">
        <v>71</v>
      </c>
      <c r="H55" s="125">
        <f>H52+H53+H54</f>
        <v>-743591.89883300196</v>
      </c>
      <c r="I55" s="125">
        <f>I52+I53+I54</f>
        <v>-1331000.4574219999</v>
      </c>
      <c r="J55" s="125">
        <f>J52+J53+J54</f>
        <v>-301284.36970700044</v>
      </c>
      <c r="K55" s="125">
        <f>K52+K53+K54</f>
        <v>-519151.51254800009</v>
      </c>
      <c r="L55" s="47">
        <f>SUM(H55:K55)</f>
        <v>-2895028.2385100024</v>
      </c>
    </row>
    <row r="56" spans="1:21" ht="16.5" thickBot="1">
      <c r="A56" s="82" t="s">
        <v>119</v>
      </c>
      <c r="B56" s="84"/>
      <c r="C56" s="160">
        <f>SUM(C43:C55)</f>
        <v>7455235.2899999982</v>
      </c>
      <c r="D56" s="36"/>
      <c r="F56" s="239" t="s">
        <v>181</v>
      </c>
      <c r="H56" s="1" t="s">
        <v>173</v>
      </c>
      <c r="I56" s="5">
        <f>SUM(H55:I55)</f>
        <v>-2074592.3562550019</v>
      </c>
      <c r="J56" s="15" t="s">
        <v>174</v>
      </c>
      <c r="K56" s="1">
        <f>SUM(J55:K55)</f>
        <v>-820435.88225500053</v>
      </c>
      <c r="L56" s="213">
        <f>ROUND(L54-L55,3)</f>
        <v>0</v>
      </c>
      <c r="T56" s="42"/>
    </row>
    <row r="57" spans="1:21" ht="16.5" thickTop="1">
      <c r="A57" s="1" t="s">
        <v>121</v>
      </c>
      <c r="B57" s="6" t="s">
        <v>115</v>
      </c>
      <c r="C57" s="558">
        <v>5580.95</v>
      </c>
      <c r="D57" s="36"/>
      <c r="F57" s="395" t="s">
        <v>181</v>
      </c>
      <c r="H57" s="96"/>
    </row>
    <row r="58" spans="1:21" ht="16.5" thickBot="1">
      <c r="A58" s="1" t="s">
        <v>122</v>
      </c>
      <c r="B58" s="6" t="s">
        <v>115</v>
      </c>
      <c r="C58" s="558">
        <v>4185.79</v>
      </c>
      <c r="D58" s="36"/>
      <c r="F58" s="395" t="s">
        <v>182</v>
      </c>
      <c r="H58" s="157"/>
      <c r="I58" s="120"/>
      <c r="J58" s="120"/>
      <c r="K58" s="204"/>
      <c r="L58" s="120"/>
    </row>
    <row r="59" spans="1:21" ht="16.5" thickBot="1">
      <c r="A59" s="2" t="s">
        <v>125</v>
      </c>
      <c r="B59" s="2"/>
      <c r="C59" s="160">
        <f>SUM(C56:C58)</f>
        <v>7465002.0299999984</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9718442.5599999987</v>
      </c>
      <c r="D61" s="37"/>
      <c r="H61" s="347" t="e">
        <f>SUM('WA - Def-Amtz (current)'!AS5:AS10,'WA - Def-Amtz (current)'!AS35:AS40,'WA - Def-Amtz (current)'!AS70:AS73,#REF!,#REF!,#REF!)+'WA - Def-Amtz (current)'!AS43+#REF!</f>
        <v>#REF!</v>
      </c>
      <c r="I61" s="447" t="e">
        <f>SUM('WA - Def-Amtz (current)'!AT5:AT10,'WA - Def-Amtz (current)'!AT35:AT40,'WA - Def-Amtz (current)'!AT70:AT73,#REF!,#REF!,#REF!)+'WA - Def-Amtz (current)'!AT44+#REF!</f>
        <v>#REF!</v>
      </c>
      <c r="J61" s="1">
        <f>H53+I53+J53+K53</f>
        <v>-12613470.79851</v>
      </c>
    </row>
    <row r="62" spans="1:21" ht="15.75">
      <c r="A62" s="2"/>
      <c r="B62" s="9" t="s">
        <v>160</v>
      </c>
      <c r="C62" s="348">
        <v>9718442.5600000005</v>
      </c>
      <c r="G62" s="5"/>
      <c r="I62" s="135" t="e">
        <f>H61-I61</f>
        <v>#REF!</v>
      </c>
      <c r="N62" s="5"/>
      <c r="O62" s="5"/>
      <c r="P62" s="21"/>
    </row>
    <row r="63" spans="1:21" ht="15.75">
      <c r="A63" s="9"/>
      <c r="B63" s="9" t="s">
        <v>159</v>
      </c>
      <c r="C63" s="256">
        <f>ROUND(C61-C62,2)</f>
        <v>0</v>
      </c>
      <c r="D63" s="36"/>
      <c r="G63" s="382"/>
      <c r="H63" s="382"/>
      <c r="I63" s="382"/>
      <c r="J63" s="382"/>
      <c r="S63" s="6"/>
    </row>
    <row r="64" spans="1:21" ht="15.75">
      <c r="A64" s="44"/>
      <c r="C64" s="349"/>
      <c r="D64" s="43"/>
      <c r="G64" s="382"/>
      <c r="H64" s="382"/>
      <c r="I64" s="382"/>
      <c r="J64" s="382"/>
      <c r="N64" s="22"/>
      <c r="U64" s="2"/>
    </row>
    <row r="65" spans="1:21" ht="15.75">
      <c r="A65" s="44"/>
      <c r="C65" s="8"/>
      <c r="D65" s="36"/>
      <c r="G65" s="382"/>
      <c r="H65" s="382"/>
      <c r="I65" s="382"/>
      <c r="J65" s="382"/>
      <c r="N65" s="22"/>
      <c r="S65" s="23"/>
    </row>
    <row r="66" spans="1:21" ht="15.75">
      <c r="A66" s="2"/>
      <c r="C66" s="8"/>
      <c r="D66" s="36"/>
      <c r="G66" s="382"/>
      <c r="H66" s="96"/>
      <c r="I66" s="382"/>
      <c r="J66" s="382"/>
      <c r="N66" s="22"/>
      <c r="S66" s="24"/>
    </row>
    <row r="67" spans="1:21">
      <c r="C67" s="100"/>
      <c r="D67" s="36"/>
      <c r="G67" s="382"/>
      <c r="H67" s="382"/>
      <c r="I67" s="382"/>
      <c r="J67" s="382"/>
      <c r="N67" s="22"/>
      <c r="S67" s="25"/>
    </row>
    <row r="68" spans="1:21">
      <c r="D68" s="36"/>
      <c r="G68" s="382"/>
      <c r="H68" s="382"/>
      <c r="I68" s="382"/>
      <c r="J68" s="382"/>
      <c r="N68" s="22"/>
      <c r="S68" s="24"/>
    </row>
    <row r="69" spans="1:21">
      <c r="D69" s="37"/>
      <c r="G69" s="382"/>
      <c r="H69" s="382"/>
      <c r="I69" s="382"/>
      <c r="J69" s="382"/>
      <c r="N69" s="22"/>
    </row>
    <row r="70" spans="1:21">
      <c r="D70" s="36"/>
      <c r="G70" s="382"/>
      <c r="H70" s="382"/>
      <c r="I70" s="382"/>
      <c r="J70" s="382"/>
      <c r="N70" s="22"/>
      <c r="S70" s="26"/>
    </row>
    <row r="71" spans="1:21">
      <c r="D71" s="36"/>
      <c r="G71" s="382"/>
      <c r="H71" s="382"/>
      <c r="I71" s="382"/>
      <c r="J71" s="382"/>
    </row>
    <row r="72" spans="1:21">
      <c r="D72" s="36"/>
      <c r="G72" s="382"/>
      <c r="H72" s="382"/>
      <c r="I72" s="382"/>
      <c r="J72" s="382"/>
    </row>
    <row r="73" spans="1:21">
      <c r="D73" s="45"/>
      <c r="S73" s="27"/>
    </row>
    <row r="74" spans="1:21">
      <c r="R74" s="6"/>
      <c r="S74" s="6"/>
      <c r="T74" s="6"/>
    </row>
    <row r="76" spans="1:21">
      <c r="U76" s="28"/>
    </row>
    <row r="1477" spans="3:3">
      <c r="C1477" s="1">
        <v>-2130</v>
      </c>
    </row>
    <row r="1485" spans="3:3">
      <c r="C1485" s="1">
        <f>7004298-2130</f>
        <v>7002168</v>
      </c>
    </row>
  </sheetData>
  <mergeCells count="3">
    <mergeCell ref="K35:M35"/>
    <mergeCell ref="J18:M18"/>
    <mergeCell ref="F18:I18"/>
  </mergeCells>
  <phoneticPr fontId="0" type="noConversion"/>
  <conditionalFormatting sqref="C63 L56 I62">
    <cfRule type="cellIs" dxfId="294" priority="27" stopIfTrue="1" operator="equal">
      <formula>0</formula>
    </cfRule>
    <cfRule type="cellIs" dxfId="293" priority="28" stopIfTrue="1" operator="notEqual">
      <formula>0</formula>
    </cfRule>
  </conditionalFormatting>
  <conditionalFormatting sqref="G34 G47 K30 K45:K47">
    <cfRule type="cellIs" dxfId="292" priority="20" operator="notEqual">
      <formula>0</formula>
    </cfRule>
  </conditionalFormatting>
  <conditionalFormatting sqref="C63">
    <cfRule type="cellIs" dxfId="291" priority="14" stopIfTrue="1" operator="equal">
      <formula>0</formula>
    </cfRule>
    <cfRule type="cellIs" dxfId="290" priority="15" stopIfTrue="1" operator="notEqual">
      <formula>0</formula>
    </cfRule>
  </conditionalFormatting>
  <conditionalFormatting sqref="K30">
    <cfRule type="cellIs" dxfId="289" priority="13" operator="notEqual">
      <formula>0</formula>
    </cfRule>
  </conditionalFormatting>
  <conditionalFormatting sqref="G59">
    <cfRule type="cellIs" dxfId="288" priority="2" operator="equal">
      <formula>"ERROR"</formula>
    </cfRule>
  </conditionalFormatting>
  <conditionalFormatting sqref="G59">
    <cfRule type="cellIs" dxfId="287"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
    <tabColor rgb="FF00CC66"/>
    <pageSetUpPr fitToPage="1"/>
  </sheetPr>
  <dimension ref="A1:U1485"/>
  <sheetViews>
    <sheetView showGridLines="0" zoomScale="70" zoomScaleNormal="70" workbookViewId="0">
      <selection activeCell="C21" activeCellId="5" sqref="C4 C8 C12 C15 C18 C21"/>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4" width="16" style="382"/>
    <col min="15" max="16" width="16.28515625" style="382" bestFit="1" customWidth="1"/>
    <col min="17" max="16384" width="16" style="382"/>
  </cols>
  <sheetData>
    <row r="1" spans="1:13" ht="16.5" thickBot="1">
      <c r="A1" s="145" t="s">
        <v>64</v>
      </c>
      <c r="B1" s="29"/>
      <c r="C1" s="527">
        <f>Jan!C1+1</f>
        <v>201802</v>
      </c>
      <c r="F1" s="527">
        <f>C1</f>
        <v>201802</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58">
        <v>3302170.75</v>
      </c>
      <c r="D4" s="34"/>
      <c r="F4" s="383"/>
      <c r="G4" s="383"/>
      <c r="H4" s="11"/>
      <c r="I4" s="383"/>
      <c r="J4" s="383"/>
      <c r="L4" s="383"/>
      <c r="M4" s="383"/>
    </row>
    <row r="5" spans="1:13" ht="14.25" customHeight="1">
      <c r="A5" s="383" t="s">
        <v>31</v>
      </c>
      <c r="C5" s="558">
        <f>31936.15-1356.32</f>
        <v>30579.83</v>
      </c>
      <c r="D5" s="34"/>
      <c r="F5" s="383"/>
      <c r="G5" s="383"/>
      <c r="H5" s="11"/>
      <c r="I5" s="589">
        <v>0.69059999999999999</v>
      </c>
      <c r="J5" s="589">
        <v>0.30940000000000001</v>
      </c>
      <c r="K5" s="443">
        <f>ROUND(G45/(G45+K43),4)</f>
        <v>0.67810000000000004</v>
      </c>
      <c r="L5" s="443">
        <f>1-K5</f>
        <v>0.32189999999999996</v>
      </c>
      <c r="M5" s="383"/>
    </row>
    <row r="6" spans="1:13" ht="16.5" thickBot="1">
      <c r="A6" s="49" t="s">
        <v>30</v>
      </c>
      <c r="C6" s="559">
        <f>-1350094.69-385081.19-110023.2-123776.1-70964.96-88634.69</f>
        <v>-2128574.83</v>
      </c>
      <c r="D6" s="34"/>
      <c r="F6" s="383"/>
      <c r="G6" s="383"/>
      <c r="H6" s="383"/>
      <c r="I6" s="383"/>
      <c r="J6" s="383"/>
      <c r="K6" s="383"/>
      <c r="L6" s="383"/>
      <c r="M6" s="383"/>
    </row>
    <row r="7" spans="1:13" ht="16.5" thickBot="1">
      <c r="A7" s="66" t="s">
        <v>140</v>
      </c>
      <c r="C7" s="100">
        <f>SUM(C4:C6)</f>
        <v>1204175.75</v>
      </c>
      <c r="D7" s="35"/>
      <c r="F7" s="166" t="s">
        <v>139</v>
      </c>
      <c r="G7" s="166"/>
      <c r="H7" s="125">
        <f>C34</f>
        <v>2050580.85</v>
      </c>
      <c r="I7" s="167">
        <f>H7*I5</f>
        <v>1416131.1350100001</v>
      </c>
      <c r="J7" s="167">
        <f>H7*J5</f>
        <v>634449.71499000001</v>
      </c>
      <c r="K7" s="167"/>
      <c r="L7" s="167"/>
      <c r="M7" s="383"/>
    </row>
    <row r="8" spans="1:13" ht="15.75">
      <c r="A8" s="382" t="s">
        <v>89</v>
      </c>
      <c r="C8" s="558">
        <v>228271.63</v>
      </c>
      <c r="D8" s="35"/>
      <c r="F8" s="383"/>
      <c r="G8" s="383"/>
      <c r="H8" s="168"/>
      <c r="I8" s="168"/>
      <c r="J8" s="168"/>
      <c r="K8" s="168"/>
      <c r="L8" s="168"/>
      <c r="M8" s="383"/>
    </row>
    <row r="9" spans="1:13" ht="15.75">
      <c r="A9" s="383" t="s">
        <v>90</v>
      </c>
      <c r="C9" s="558">
        <f>8020.76+20438.86+25218.45</f>
        <v>53678.070000000007</v>
      </c>
      <c r="D9" s="36"/>
      <c r="F9" s="166" t="s">
        <v>119</v>
      </c>
      <c r="G9" s="383"/>
      <c r="H9" s="167">
        <f>C56</f>
        <v>7856148.2400000002</v>
      </c>
      <c r="I9" s="167"/>
      <c r="J9" s="167"/>
      <c r="K9" s="167">
        <f>H9*K5</f>
        <v>5327254.1215440007</v>
      </c>
      <c r="L9" s="167">
        <f>H9*L5</f>
        <v>2528894.118456</v>
      </c>
      <c r="M9" s="383"/>
    </row>
    <row r="10" spans="1:13" ht="15.75">
      <c r="A10" s="49" t="s">
        <v>91</v>
      </c>
      <c r="C10" s="559">
        <f>-3087.64</f>
        <v>-3087.64</v>
      </c>
      <c r="D10" s="36"/>
      <c r="F10" s="169" t="s">
        <v>44</v>
      </c>
      <c r="G10" s="383"/>
      <c r="H10" s="167">
        <f>C57</f>
        <v>39031.120000000003</v>
      </c>
      <c r="I10" s="167"/>
      <c r="J10" s="167"/>
      <c r="K10" s="167">
        <f>H10</f>
        <v>39031.120000000003</v>
      </c>
      <c r="L10" s="167"/>
      <c r="M10" s="383"/>
    </row>
    <row r="11" spans="1:13">
      <c r="A11" s="66" t="s">
        <v>145</v>
      </c>
      <c r="C11" s="100">
        <f>SUM(C8:C10)</f>
        <v>278862.06</v>
      </c>
      <c r="D11" s="36"/>
      <c r="F11" s="169" t="s">
        <v>45</v>
      </c>
      <c r="G11" s="383"/>
      <c r="H11" s="170">
        <f>C58</f>
        <v>16847.12</v>
      </c>
      <c r="I11" s="167"/>
      <c r="J11" s="167"/>
      <c r="K11" s="170"/>
      <c r="L11" s="170">
        <f>H11</f>
        <v>16847.12</v>
      </c>
      <c r="M11" s="383"/>
    </row>
    <row r="12" spans="1:13" ht="15.75">
      <c r="A12" s="382" t="s">
        <v>165</v>
      </c>
      <c r="C12" s="558">
        <f>192542.32-5898</f>
        <v>186644.32</v>
      </c>
      <c r="D12" s="36"/>
      <c r="F12" s="169" t="s">
        <v>138</v>
      </c>
      <c r="G12" s="383"/>
      <c r="H12" s="167">
        <f>H9+H10+H11</f>
        <v>7912026.4800000004</v>
      </c>
      <c r="I12" s="167"/>
      <c r="J12" s="167"/>
      <c r="K12" s="167">
        <f>SUM(K9:K11)</f>
        <v>5366285.2415440008</v>
      </c>
      <c r="L12" s="167">
        <f>SUM(L9:L11)</f>
        <v>2545741.2384560001</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186644.32</v>
      </c>
      <c r="D14" s="37"/>
      <c r="F14" s="50" t="s">
        <v>69</v>
      </c>
      <c r="G14" s="175"/>
      <c r="H14" s="125">
        <f>H12+H7</f>
        <v>9962607.3300000001</v>
      </c>
      <c r="I14" s="176">
        <f>SUM(I7:I13)</f>
        <v>1416131.1350100001</v>
      </c>
      <c r="J14" s="176">
        <f>SUM(J7:J13)</f>
        <v>634449.71499000001</v>
      </c>
      <c r="K14" s="176">
        <f>K12</f>
        <v>5366285.2415440008</v>
      </c>
      <c r="L14" s="176">
        <f>L12</f>
        <v>2545741.2384560001</v>
      </c>
      <c r="M14" s="383"/>
    </row>
    <row r="15" spans="1:13" ht="15.75">
      <c r="A15" s="382" t="s">
        <v>183</v>
      </c>
      <c r="C15" s="558">
        <f>394860.7-12095.45</f>
        <v>382765.25</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382765.25</v>
      </c>
      <c r="D17" s="37"/>
      <c r="F17" s="171"/>
      <c r="G17" s="172"/>
      <c r="H17" s="179"/>
      <c r="I17" s="180"/>
      <c r="J17" s="183"/>
      <c r="K17" s="383"/>
      <c r="L17" s="179"/>
      <c r="M17" s="383"/>
    </row>
    <row r="18" spans="1:13" ht="16.5" thickBot="1">
      <c r="A18" s="382" t="s">
        <v>163</v>
      </c>
      <c r="C18" s="558">
        <f>79829.44+10137.4-2766.73</f>
        <v>87200.11</v>
      </c>
      <c r="D18" s="36"/>
      <c r="F18" s="691" t="s">
        <v>134</v>
      </c>
      <c r="G18" s="692"/>
      <c r="H18" s="692"/>
      <c r="I18" s="693"/>
      <c r="J18" s="691" t="s">
        <v>135</v>
      </c>
      <c r="K18" s="692"/>
      <c r="L18" s="692"/>
      <c r="M18" s="693"/>
    </row>
    <row r="19" spans="1:13" ht="15.75">
      <c r="A19" s="46" t="s">
        <v>164</v>
      </c>
      <c r="C19" s="559">
        <f>2240.22</f>
        <v>2240.2199999999998</v>
      </c>
      <c r="D19" s="36"/>
      <c r="F19" s="201" t="s">
        <v>108</v>
      </c>
      <c r="G19" s="164" t="s">
        <v>33</v>
      </c>
      <c r="H19" s="164" t="s">
        <v>33</v>
      </c>
      <c r="I19" s="164" t="s">
        <v>33</v>
      </c>
      <c r="J19" s="201" t="s">
        <v>108</v>
      </c>
      <c r="K19" s="164" t="s">
        <v>33</v>
      </c>
      <c r="L19" s="164" t="s">
        <v>33</v>
      </c>
      <c r="M19" s="185" t="s">
        <v>33</v>
      </c>
    </row>
    <row r="20" spans="1:13" ht="16.5" thickBot="1">
      <c r="A20" s="67" t="s">
        <v>93</v>
      </c>
      <c r="C20" s="100">
        <f>SUM(C18:C19)</f>
        <v>89440.33</v>
      </c>
      <c r="D20" s="36"/>
      <c r="F20" s="195" t="s">
        <v>162</v>
      </c>
      <c r="G20" s="165" t="s">
        <v>101</v>
      </c>
      <c r="H20" s="165" t="s">
        <v>36</v>
      </c>
      <c r="I20" s="165" t="s">
        <v>34</v>
      </c>
      <c r="J20" s="195" t="s">
        <v>162</v>
      </c>
      <c r="K20" s="165" t="s">
        <v>101</v>
      </c>
      <c r="L20" s="165" t="s">
        <v>36</v>
      </c>
      <c r="M20" s="165" t="s">
        <v>34</v>
      </c>
    </row>
    <row r="21" spans="1:13" ht="15.75">
      <c r="A21" s="46" t="s">
        <v>149</v>
      </c>
      <c r="C21" s="559">
        <f>1884.24+1850</f>
        <v>3734.24</v>
      </c>
      <c r="D21" s="36"/>
      <c r="F21" s="184"/>
      <c r="G21" s="12"/>
      <c r="H21" s="12"/>
      <c r="I21" s="185"/>
      <c r="J21" s="129"/>
      <c r="K21" s="13"/>
      <c r="L21" s="13"/>
      <c r="M21" s="205"/>
    </row>
    <row r="22" spans="1:13" ht="18" customHeight="1">
      <c r="A22" s="65" t="s">
        <v>149</v>
      </c>
      <c r="C22" s="100">
        <f>SUM(C21)</f>
        <v>3734.24</v>
      </c>
      <c r="D22" s="36"/>
      <c r="F22" s="199" t="s">
        <v>126</v>
      </c>
      <c r="G22" s="7"/>
      <c r="H22" s="7"/>
      <c r="I22" s="98"/>
      <c r="J22" s="199" t="s">
        <v>126</v>
      </c>
      <c r="K22" s="7"/>
      <c r="L22" s="7"/>
      <c r="M22" s="98"/>
    </row>
    <row r="23" spans="1:13" ht="15.75">
      <c r="A23" s="208" t="s">
        <v>180</v>
      </c>
      <c r="C23" s="100">
        <v>0</v>
      </c>
      <c r="D23" s="36"/>
      <c r="F23" s="200" t="s">
        <v>37</v>
      </c>
      <c r="G23" s="560">
        <v>18179866</v>
      </c>
      <c r="H23" s="387" t="s">
        <v>306</v>
      </c>
      <c r="I23" s="580">
        <v>2081351</v>
      </c>
      <c r="J23" s="200" t="s">
        <v>37</v>
      </c>
      <c r="K23" s="560">
        <v>9222783</v>
      </c>
      <c r="L23" s="387" t="s">
        <v>306</v>
      </c>
      <c r="M23" s="580">
        <v>1027603</v>
      </c>
    </row>
    <row r="24" spans="1:13" ht="15.75">
      <c r="A24" s="208" t="s">
        <v>186</v>
      </c>
      <c r="C24" s="311">
        <v>0</v>
      </c>
      <c r="D24" s="36"/>
      <c r="F24" s="200" t="s">
        <v>305</v>
      </c>
      <c r="G24" s="560">
        <v>21014</v>
      </c>
      <c r="H24" s="387" t="s">
        <v>306</v>
      </c>
      <c r="I24" s="580">
        <v>2402</v>
      </c>
      <c r="J24" s="200" t="s">
        <v>38</v>
      </c>
      <c r="K24" s="560">
        <v>3135975</v>
      </c>
      <c r="L24" s="387" t="s">
        <v>306</v>
      </c>
      <c r="M24" s="580">
        <v>351342</v>
      </c>
    </row>
    <row r="25" spans="1:13" ht="15.75">
      <c r="A25" s="208" t="s">
        <v>189</v>
      </c>
      <c r="C25" s="312">
        <v>0</v>
      </c>
      <c r="D25" s="36"/>
      <c r="F25" s="200" t="s">
        <v>38</v>
      </c>
      <c r="G25" s="560">
        <v>7202971</v>
      </c>
      <c r="H25" s="387" t="s">
        <v>306</v>
      </c>
      <c r="I25" s="580">
        <v>759003</v>
      </c>
      <c r="J25" s="200" t="s">
        <v>39</v>
      </c>
      <c r="K25" s="560">
        <v>3435</v>
      </c>
      <c r="L25" s="387" t="s">
        <v>306</v>
      </c>
      <c r="M25" s="580">
        <v>384</v>
      </c>
    </row>
    <row r="26" spans="1:13" ht="15.75">
      <c r="A26" s="209" t="s">
        <v>188</v>
      </c>
      <c r="C26" s="313">
        <v>0</v>
      </c>
      <c r="D26" s="36"/>
      <c r="F26" s="200" t="s">
        <v>39</v>
      </c>
      <c r="G26" s="560">
        <v>21563</v>
      </c>
      <c r="H26" s="387" t="s">
        <v>306</v>
      </c>
      <c r="I26" s="580">
        <v>2123</v>
      </c>
      <c r="J26" s="200" t="s">
        <v>40</v>
      </c>
      <c r="K26" s="560">
        <v>0</v>
      </c>
      <c r="L26" s="387" t="s">
        <v>306</v>
      </c>
      <c r="M26" s="580">
        <f t="shared" ref="M26:M27" si="0">K26*L26</f>
        <v>0</v>
      </c>
    </row>
    <row r="27" spans="1:13" ht="15.75">
      <c r="A27" s="65" t="s">
        <v>96</v>
      </c>
      <c r="C27" s="100">
        <f>SUM(C23:C26)</f>
        <v>0</v>
      </c>
      <c r="D27" s="36"/>
      <c r="F27" s="200" t="s">
        <v>40</v>
      </c>
      <c r="G27" s="560">
        <v>448875</v>
      </c>
      <c r="H27" s="387" t="s">
        <v>306</v>
      </c>
      <c r="I27" s="580">
        <v>48583</v>
      </c>
      <c r="J27" s="200" t="s">
        <v>41</v>
      </c>
      <c r="K27" s="560">
        <v>0</v>
      </c>
      <c r="L27" s="387" t="s">
        <v>306</v>
      </c>
      <c r="M27" s="580">
        <f t="shared" si="0"/>
        <v>0</v>
      </c>
    </row>
    <row r="28" spans="1:13" ht="16.5" thickBot="1">
      <c r="A28" s="210" t="s">
        <v>150</v>
      </c>
      <c r="C28" s="311">
        <v>0</v>
      </c>
      <c r="D28" s="37"/>
      <c r="F28" s="200" t="s">
        <v>41</v>
      </c>
      <c r="G28" s="560">
        <v>48826</v>
      </c>
      <c r="H28" s="387" t="s">
        <v>306</v>
      </c>
      <c r="I28" s="580">
        <v>5622</v>
      </c>
      <c r="J28" s="199" t="s">
        <v>127</v>
      </c>
      <c r="K28" s="181">
        <f>SUM(K23:K27)</f>
        <v>12362193</v>
      </c>
      <c r="L28" s="182"/>
      <c r="M28" s="197">
        <f>SUM(M23:M27)</f>
        <v>1379329</v>
      </c>
    </row>
    <row r="29" spans="1:13" ht="17.25" thickTop="1" thickBot="1">
      <c r="A29" s="210" t="s">
        <v>167</v>
      </c>
      <c r="B29" s="383"/>
      <c r="C29" s="311">
        <v>0</v>
      </c>
      <c r="D29" s="36"/>
      <c r="F29" s="200" t="s">
        <v>42</v>
      </c>
      <c r="G29" s="560">
        <v>0</v>
      </c>
      <c r="H29" s="387" t="s">
        <v>306</v>
      </c>
      <c r="I29" s="580">
        <v>0</v>
      </c>
      <c r="J29" s="199"/>
      <c r="K29" s="231">
        <v>12362193</v>
      </c>
      <c r="L29" s="187" t="s">
        <v>102</v>
      </c>
      <c r="M29" s="463">
        <f>M28/K28</f>
        <v>0.11157640072436986</v>
      </c>
    </row>
    <row r="30" spans="1:13" ht="16.5" thickBot="1">
      <c r="A30" s="2" t="s">
        <v>111</v>
      </c>
      <c r="C30" s="125">
        <f>C7+C11+C14+C17+C20+C22+C27+C28+C29</f>
        <v>2145621.9500000002</v>
      </c>
      <c r="D30" s="37"/>
      <c r="F30" s="200" t="s">
        <v>43</v>
      </c>
      <c r="G30" s="560">
        <v>117328</v>
      </c>
      <c r="H30" s="387" t="s">
        <v>306</v>
      </c>
      <c r="I30" s="580">
        <v>7875</v>
      </c>
      <c r="J30" s="200"/>
      <c r="K30" s="230">
        <f>K28-K29</f>
        <v>0</v>
      </c>
      <c r="L30" s="182"/>
      <c r="M30" s="198"/>
    </row>
    <row r="31" spans="1:13" ht="15.75">
      <c r="A31" s="382" t="s">
        <v>112</v>
      </c>
      <c r="C31" s="558">
        <v>-8542.98</v>
      </c>
      <c r="D31" s="39"/>
      <c r="F31" s="200" t="s">
        <v>74</v>
      </c>
      <c r="G31" s="560">
        <v>3567188</v>
      </c>
      <c r="H31" s="387" t="s">
        <v>306</v>
      </c>
      <c r="I31" s="580">
        <v>1901</v>
      </c>
      <c r="J31" s="153"/>
      <c r="K31" s="7"/>
      <c r="L31" s="182"/>
      <c r="M31" s="198"/>
    </row>
    <row r="32" spans="1:13" ht="16.5" thickBot="1">
      <c r="A32" s="2" t="s">
        <v>116</v>
      </c>
      <c r="B32" s="2" t="s">
        <v>117</v>
      </c>
      <c r="C32" s="564">
        <f>C30+C31</f>
        <v>2137078.9700000002</v>
      </c>
      <c r="D32" s="40"/>
      <c r="F32" s="199" t="s">
        <v>127</v>
      </c>
      <c r="G32" s="181">
        <f>SUM(G23:G31)</f>
        <v>29607631</v>
      </c>
      <c r="H32" s="7"/>
      <c r="I32" s="197">
        <f>SUM(I23:I31)</f>
        <v>2908860</v>
      </c>
      <c r="J32" s="192"/>
      <c r="K32" s="193"/>
      <c r="L32" s="7"/>
      <c r="M32" s="190"/>
    </row>
    <row r="33" spans="1:17" ht="17.25" thickTop="1" thickBot="1">
      <c r="A33" s="382" t="s">
        <v>113</v>
      </c>
      <c r="C33" s="310">
        <f>-C5-C9-C13-C16-C19</f>
        <v>-86498.12000000001</v>
      </c>
      <c r="D33" s="36"/>
      <c r="F33" s="186"/>
      <c r="G33" s="231">
        <v>29607631</v>
      </c>
      <c r="H33" s="187" t="s">
        <v>102</v>
      </c>
      <c r="I33" s="216">
        <f>I32/G32</f>
        <v>9.8246968830434295E-2</v>
      </c>
      <c r="J33" s="192"/>
      <c r="K33" s="193"/>
      <c r="L33" s="7"/>
      <c r="M33" s="98"/>
    </row>
    <row r="34" spans="1:17" ht="16.5" thickBot="1">
      <c r="A34" s="2" t="s">
        <v>114</v>
      </c>
      <c r="C34" s="125">
        <f>SUM(C32:C33)</f>
        <v>2050580.85</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578">
        <f>K23</f>
        <v>9222783</v>
      </c>
      <c r="L36" s="387" t="s">
        <v>306</v>
      </c>
      <c r="M36" s="580">
        <v>1347216</v>
      </c>
      <c r="P36" s="272"/>
      <c r="Q36" s="272"/>
    </row>
    <row r="37" spans="1:17" ht="15.75">
      <c r="A37" s="7" t="s">
        <v>129</v>
      </c>
      <c r="B37" s="530" t="s">
        <v>115</v>
      </c>
      <c r="C37" s="558">
        <v>9543034.9000000004</v>
      </c>
      <c r="D37" s="36"/>
      <c r="F37" s="200" t="s">
        <v>37</v>
      </c>
      <c r="G37" s="578">
        <v>18179866</v>
      </c>
      <c r="H37" s="387" t="s">
        <v>306</v>
      </c>
      <c r="I37" s="580">
        <v>2666323</v>
      </c>
      <c r="J37" s="200" t="s">
        <v>38</v>
      </c>
      <c r="K37" s="578">
        <f>K24</f>
        <v>3135975</v>
      </c>
      <c r="L37" s="387" t="s">
        <v>306</v>
      </c>
      <c r="M37" s="580">
        <v>472170</v>
      </c>
      <c r="P37" s="272"/>
      <c r="Q37" s="272"/>
    </row>
    <row r="38" spans="1:17" ht="15.75">
      <c r="A38" s="144" t="s">
        <v>14</v>
      </c>
      <c r="B38" s="530" t="s">
        <v>115</v>
      </c>
      <c r="C38" s="558">
        <v>0</v>
      </c>
      <c r="D38" s="36"/>
      <c r="F38" s="200" t="s">
        <v>305</v>
      </c>
      <c r="G38" s="578">
        <v>21014</v>
      </c>
      <c r="H38" s="387" t="s">
        <v>306</v>
      </c>
      <c r="I38" s="580">
        <v>3079</v>
      </c>
      <c r="J38" s="200" t="s">
        <v>39</v>
      </c>
      <c r="K38" s="578">
        <f>K25</f>
        <v>3435</v>
      </c>
      <c r="L38" s="387" t="s">
        <v>306</v>
      </c>
      <c r="M38" s="580">
        <v>594</v>
      </c>
      <c r="P38" s="272"/>
      <c r="Q38" s="272"/>
    </row>
    <row r="39" spans="1:17" ht="15.75">
      <c r="A39" s="7" t="s">
        <v>146</v>
      </c>
      <c r="B39" s="530" t="s">
        <v>147</v>
      </c>
      <c r="C39" s="558">
        <v>-78881.08</v>
      </c>
      <c r="D39" s="36"/>
      <c r="F39" s="200" t="s">
        <v>38</v>
      </c>
      <c r="G39" s="578">
        <v>7202971</v>
      </c>
      <c r="H39" s="387" t="s">
        <v>306</v>
      </c>
      <c r="I39" s="580">
        <v>1097244</v>
      </c>
      <c r="J39" s="200" t="s">
        <v>40</v>
      </c>
      <c r="K39" s="578">
        <f>K26</f>
        <v>0</v>
      </c>
      <c r="L39" s="387" t="s">
        <v>306</v>
      </c>
      <c r="M39" s="580">
        <f t="shared" ref="M39:M42" si="1">K39*L39</f>
        <v>0</v>
      </c>
      <c r="P39" s="272"/>
      <c r="Q39" s="272"/>
    </row>
    <row r="40" spans="1:17" ht="15.75">
      <c r="A40" s="7" t="s">
        <v>131</v>
      </c>
      <c r="B40" s="530" t="s">
        <v>132</v>
      </c>
      <c r="C40" s="558">
        <v>1620475.5</v>
      </c>
      <c r="D40" s="36"/>
      <c r="F40" s="200" t="s">
        <v>39</v>
      </c>
      <c r="G40" s="578">
        <v>21563</v>
      </c>
      <c r="H40" s="387" t="s">
        <v>306</v>
      </c>
      <c r="I40" s="580">
        <v>3152</v>
      </c>
      <c r="J40" s="200" t="s">
        <v>41</v>
      </c>
      <c r="K40" s="578">
        <f>K27</f>
        <v>0</v>
      </c>
      <c r="L40" s="387" t="s">
        <v>306</v>
      </c>
      <c r="M40" s="580">
        <f t="shared" si="1"/>
        <v>0</v>
      </c>
      <c r="P40" s="272"/>
      <c r="Q40" s="272"/>
    </row>
    <row r="41" spans="1:17" ht="15.75">
      <c r="A41" s="7" t="s">
        <v>153</v>
      </c>
      <c r="B41" s="6" t="s">
        <v>155</v>
      </c>
      <c r="C41" s="558">
        <v>87624.95</v>
      </c>
      <c r="D41" s="36"/>
      <c r="F41" s="200" t="s">
        <v>40</v>
      </c>
      <c r="G41" s="578">
        <v>448875</v>
      </c>
      <c r="H41" s="387" t="s">
        <v>306</v>
      </c>
      <c r="I41" s="580">
        <v>65803</v>
      </c>
      <c r="J41" s="200" t="s">
        <v>42</v>
      </c>
      <c r="K41" s="578">
        <v>0</v>
      </c>
      <c r="L41" s="387" t="s">
        <v>306</v>
      </c>
      <c r="M41" s="580">
        <f t="shared" si="1"/>
        <v>0</v>
      </c>
      <c r="P41" s="272"/>
      <c r="Q41" s="272"/>
    </row>
    <row r="42" spans="1:17" ht="16.5" thickBot="1">
      <c r="A42" s="7" t="s">
        <v>178</v>
      </c>
      <c r="B42" s="530" t="s">
        <v>179</v>
      </c>
      <c r="C42" s="558">
        <v>827715.23</v>
      </c>
      <c r="D42" s="37"/>
      <c r="F42" s="200" t="s">
        <v>41</v>
      </c>
      <c r="G42" s="578">
        <v>48826</v>
      </c>
      <c r="H42" s="387" t="s">
        <v>306</v>
      </c>
      <c r="I42" s="580">
        <v>9365</v>
      </c>
      <c r="J42" s="200" t="s">
        <v>43</v>
      </c>
      <c r="K42" s="578">
        <v>0</v>
      </c>
      <c r="L42" s="387" t="s">
        <v>306</v>
      </c>
      <c r="M42" s="580">
        <f t="shared" si="1"/>
        <v>0</v>
      </c>
      <c r="P42" s="272"/>
      <c r="Q42" s="272"/>
    </row>
    <row r="43" spans="1:17" ht="16.5" thickBot="1">
      <c r="A43" s="85" t="s">
        <v>123</v>
      </c>
      <c r="B43" s="12"/>
      <c r="C43" s="125">
        <f>SUM(C37:C42)</f>
        <v>11999969.5</v>
      </c>
      <c r="D43" s="36"/>
      <c r="F43" s="200" t="s">
        <v>42</v>
      </c>
      <c r="G43" s="578">
        <v>0</v>
      </c>
      <c r="H43" s="387" t="s">
        <v>306</v>
      </c>
      <c r="I43" s="580">
        <v>0</v>
      </c>
      <c r="J43" s="199" t="s">
        <v>133</v>
      </c>
      <c r="K43" s="181">
        <f>SUM(K36:K42)</f>
        <v>12362193</v>
      </c>
      <c r="L43" s="182"/>
      <c r="M43" s="197">
        <f>SUM(M36:M42)</f>
        <v>1819980</v>
      </c>
    </row>
    <row r="44" spans="1:17" ht="16.5" thickBot="1">
      <c r="A44" s="83" t="s">
        <v>177</v>
      </c>
      <c r="B44" s="84" t="s">
        <v>120</v>
      </c>
      <c r="C44" s="558">
        <f>-466167.08+4763434.38-34955.1+6300.92</f>
        <v>4268613.12</v>
      </c>
      <c r="D44" s="37"/>
      <c r="F44" s="200" t="s">
        <v>43</v>
      </c>
      <c r="G44" s="578">
        <v>117328</v>
      </c>
      <c r="H44" s="387" t="s">
        <v>306</v>
      </c>
      <c r="I44" s="580">
        <v>20720</v>
      </c>
      <c r="J44" s="194"/>
      <c r="K44" s="232">
        <v>12362193</v>
      </c>
      <c r="L44" s="189" t="s">
        <v>102</v>
      </c>
      <c r="M44" s="217">
        <f>M43/K43</f>
        <v>0.14722145172786091</v>
      </c>
    </row>
    <row r="45" spans="1:17" ht="16.5" thickBot="1">
      <c r="A45" s="211" t="s">
        <v>168</v>
      </c>
      <c r="B45" s="6" t="s">
        <v>115</v>
      </c>
      <c r="C45" s="122">
        <v>0</v>
      </c>
      <c r="D45" s="39"/>
      <c r="F45" s="199" t="s">
        <v>133</v>
      </c>
      <c r="G45" s="181">
        <f>SUM(G37:G44)</f>
        <v>26040443</v>
      </c>
      <c r="H45" s="182"/>
      <c r="I45" s="197">
        <f>SUM(I37:I44)</f>
        <v>3865686</v>
      </c>
      <c r="J45" s="85"/>
      <c r="K45" s="230">
        <f>K43-K44</f>
        <v>0</v>
      </c>
      <c r="L45" s="187"/>
      <c r="M45" s="555"/>
    </row>
    <row r="46" spans="1:17" ht="19.5" customHeight="1" thickTop="1" thickBot="1">
      <c r="A46" s="144" t="s">
        <v>169</v>
      </c>
      <c r="B46" s="6" t="s">
        <v>115</v>
      </c>
      <c r="C46" s="122">
        <v>0</v>
      </c>
      <c r="D46" s="40"/>
      <c r="F46" s="188"/>
      <c r="G46" s="232">
        <v>26040443</v>
      </c>
      <c r="H46" s="189" t="s">
        <v>102</v>
      </c>
      <c r="I46" s="215">
        <f>I45/G45</f>
        <v>0.14844931785530685</v>
      </c>
      <c r="J46" s="85"/>
      <c r="K46" s="231"/>
      <c r="L46" s="187"/>
      <c r="M46" s="555"/>
    </row>
    <row r="47" spans="1:17" ht="15.75">
      <c r="A47" s="382" t="s">
        <v>137</v>
      </c>
      <c r="B47" s="6" t="s">
        <v>115</v>
      </c>
      <c r="C47" s="122">
        <v>0</v>
      </c>
      <c r="D47" s="36"/>
      <c r="F47" s="383"/>
      <c r="G47" s="230">
        <f>G45-G46</f>
        <v>0</v>
      </c>
      <c r="H47" s="383"/>
      <c r="I47" s="383"/>
      <c r="J47" s="124"/>
      <c r="K47" s="230"/>
      <c r="L47" s="383"/>
      <c r="M47" s="124"/>
    </row>
    <row r="48" spans="1:17" ht="16.5" thickBot="1">
      <c r="A48" s="144" t="s">
        <v>304</v>
      </c>
      <c r="B48" s="6" t="s">
        <v>115</v>
      </c>
      <c r="C48" s="558">
        <v>7000</v>
      </c>
      <c r="D48" s="36"/>
      <c r="F48" s="383"/>
      <c r="G48" s="383"/>
      <c r="H48" s="383"/>
      <c r="I48" s="383"/>
      <c r="J48" s="124"/>
      <c r="K48" s="114"/>
      <c r="L48" s="383"/>
      <c r="M48" s="68"/>
    </row>
    <row r="49" spans="1:21" ht="15.75">
      <c r="A49" s="7" t="s">
        <v>130</v>
      </c>
      <c r="B49" s="530" t="s">
        <v>152</v>
      </c>
      <c r="C49" s="558">
        <v>15979.98</v>
      </c>
      <c r="D49" s="36"/>
      <c r="F49" s="383"/>
      <c r="G49" s="114"/>
      <c r="H49" s="129" t="s">
        <v>35</v>
      </c>
      <c r="I49" s="13" t="s">
        <v>35</v>
      </c>
      <c r="J49" s="13" t="s">
        <v>63</v>
      </c>
      <c r="K49" s="127" t="s">
        <v>70</v>
      </c>
      <c r="L49" s="124"/>
      <c r="M49" s="383"/>
    </row>
    <row r="50" spans="1:21" ht="16.5" thickBot="1">
      <c r="A50" s="7" t="s">
        <v>222</v>
      </c>
      <c r="B50" s="530" t="s">
        <v>152</v>
      </c>
      <c r="C50" s="558">
        <v>2533.2199999999998</v>
      </c>
      <c r="D50" s="37"/>
      <c r="F50" s="50" t="s">
        <v>73</v>
      </c>
      <c r="G50" s="383"/>
      <c r="H50" s="130" t="s">
        <v>2</v>
      </c>
      <c r="I50" s="131" t="s">
        <v>3</v>
      </c>
      <c r="J50" s="131" t="s">
        <v>2</v>
      </c>
      <c r="K50" s="128" t="s">
        <v>3</v>
      </c>
      <c r="L50" s="383"/>
      <c r="M50" s="383"/>
    </row>
    <row r="51" spans="1:21" ht="15.75">
      <c r="A51" s="7" t="s">
        <v>308</v>
      </c>
      <c r="B51" s="530" t="s">
        <v>152</v>
      </c>
      <c r="C51" s="558">
        <v>2513.29</v>
      </c>
      <c r="D51" s="36"/>
      <c r="F51" s="383"/>
      <c r="G51" s="383"/>
      <c r="H51" s="151"/>
      <c r="I51" s="152"/>
      <c r="J51" s="152"/>
      <c r="K51" s="152"/>
      <c r="L51" s="126" t="s">
        <v>103</v>
      </c>
      <c r="M51" s="383"/>
    </row>
    <row r="52" spans="1:21" ht="15.75">
      <c r="A52" s="22" t="s">
        <v>118</v>
      </c>
      <c r="B52" s="6"/>
      <c r="C52" s="100">
        <f>-C33</f>
        <v>86498.12000000001</v>
      </c>
      <c r="D52" s="33"/>
      <c r="F52" s="383" t="s">
        <v>136</v>
      </c>
      <c r="G52" s="383"/>
      <c r="H52" s="212">
        <f>K12</f>
        <v>5366285.2415440008</v>
      </c>
      <c r="I52" s="115">
        <f>I14</f>
        <v>1416131.1350100001</v>
      </c>
      <c r="J52" s="115">
        <f>L12</f>
        <v>2545741.2384560001</v>
      </c>
      <c r="K52" s="115">
        <f>J14</f>
        <v>634449.71499000001</v>
      </c>
      <c r="L52" s="132">
        <f>SUM(H52:K52)</f>
        <v>9962607.3300000001</v>
      </c>
      <c r="M52" s="383"/>
    </row>
    <row r="53" spans="1:21" ht="16.5" thickBot="1">
      <c r="A53" s="383" t="s">
        <v>315</v>
      </c>
      <c r="B53" s="623" t="s">
        <v>316</v>
      </c>
      <c r="C53" s="558">
        <v>6015.52</v>
      </c>
      <c r="D53" s="36"/>
      <c r="F53" s="382" t="s">
        <v>109</v>
      </c>
      <c r="H53" s="212">
        <f>-I45</f>
        <v>-3865686</v>
      </c>
      <c r="I53" s="115">
        <f>-I32</f>
        <v>-2908860</v>
      </c>
      <c r="J53" s="115">
        <f>-M43</f>
        <v>-1819980</v>
      </c>
      <c r="K53" s="115">
        <f>-M28</f>
        <v>-1379329</v>
      </c>
      <c r="L53" s="260">
        <f>SUM(H53:K53)</f>
        <v>-9973855</v>
      </c>
    </row>
    <row r="54" spans="1:21" ht="16.5" thickBot="1">
      <c r="A54" s="380" t="s">
        <v>124</v>
      </c>
      <c r="B54" s="471" t="s">
        <v>296</v>
      </c>
      <c r="C54" s="558">
        <f>-565084.1-5558647.79-2034242.62</f>
        <v>-8157974.5099999998</v>
      </c>
      <c r="D54" s="36"/>
      <c r="F54" s="382" t="s">
        <v>86</v>
      </c>
      <c r="H54" s="234">
        <v>0</v>
      </c>
      <c r="I54" s="235">
        <v>0</v>
      </c>
      <c r="J54" s="235">
        <v>0</v>
      </c>
      <c r="K54" s="236">
        <v>0</v>
      </c>
      <c r="L54" s="214">
        <f>SUM(L52:L53)</f>
        <v>-11247.669999999925</v>
      </c>
    </row>
    <row r="55" spans="1:21" ht="16.5" thickBot="1">
      <c r="A55" s="382" t="s">
        <v>312</v>
      </c>
      <c r="B55" s="6" t="s">
        <v>190</v>
      </c>
      <c r="C55" s="558">
        <v>-375000</v>
      </c>
      <c r="D55" s="36"/>
      <c r="F55" s="382" t="s">
        <v>71</v>
      </c>
      <c r="H55" s="125">
        <f>IFERROR(H52+H53+H54,0)</f>
        <v>1500599.2415440008</v>
      </c>
      <c r="I55" s="125">
        <f>I52+I53+I54</f>
        <v>-1492728.8649899999</v>
      </c>
      <c r="J55" s="125">
        <f>IFERROR(J52+J53+J54,0)</f>
        <v>725761.23845600011</v>
      </c>
      <c r="K55" s="125">
        <f>K52+K53+K54</f>
        <v>-744879.28500999999</v>
      </c>
      <c r="L55" s="47">
        <f>SUM(H55:K55)</f>
        <v>-11247.669999998994</v>
      </c>
    </row>
    <row r="56" spans="1:21" ht="16.5" thickBot="1">
      <c r="A56" s="82" t="s">
        <v>119</v>
      </c>
      <c r="B56" s="84"/>
      <c r="C56" s="160">
        <f>SUM(C43:C55)</f>
        <v>7856148.2400000002</v>
      </c>
      <c r="D56" s="36"/>
      <c r="F56" s="239" t="s">
        <v>181</v>
      </c>
      <c r="H56" s="382" t="s">
        <v>173</v>
      </c>
      <c r="I56" s="5">
        <f>SUM(H55:I55)</f>
        <v>7870.3765540008899</v>
      </c>
      <c r="J56" s="15" t="s">
        <v>174</v>
      </c>
      <c r="K56" s="382">
        <f>SUM(J55:K55)</f>
        <v>-19118.046553999884</v>
      </c>
      <c r="L56" s="213">
        <f>ROUND(L54-L55,3)</f>
        <v>0</v>
      </c>
      <c r="T56" s="42"/>
    </row>
    <row r="57" spans="1:21" ht="16.5" thickTop="1">
      <c r="A57" s="382" t="s">
        <v>121</v>
      </c>
      <c r="B57" s="6" t="s">
        <v>115</v>
      </c>
      <c r="C57" s="558">
        <v>39031.120000000003</v>
      </c>
      <c r="D57" s="36"/>
      <c r="F57" s="395" t="s">
        <v>181</v>
      </c>
      <c r="H57" s="96"/>
    </row>
    <row r="58" spans="1:21" ht="16.5" thickBot="1">
      <c r="A58" s="382" t="s">
        <v>122</v>
      </c>
      <c r="B58" s="6" t="s">
        <v>115</v>
      </c>
      <c r="C58" s="558">
        <v>16847.12</v>
      </c>
      <c r="D58" s="36"/>
      <c r="F58" s="395" t="s">
        <v>182</v>
      </c>
      <c r="H58" s="157"/>
      <c r="I58" s="120"/>
      <c r="J58" s="120"/>
      <c r="K58" s="204"/>
      <c r="L58" s="120"/>
    </row>
    <row r="59" spans="1:21" ht="16.5" thickBot="1">
      <c r="A59" s="2" t="s">
        <v>125</v>
      </c>
      <c r="B59" s="2"/>
      <c r="C59" s="160">
        <f>SUM(C56:C58)</f>
        <v>7912026.4800000004</v>
      </c>
      <c r="D59" s="36"/>
      <c r="F59" s="541" t="s">
        <v>303</v>
      </c>
      <c r="G59" s="542" t="str">
        <f>IF(OR(AND(I56&gt;0,K56&gt;0),AND(I56&lt;0,K56&lt;0)),"OK","ERROR")</f>
        <v>ERROR</v>
      </c>
      <c r="H59" s="384" t="s">
        <v>294</v>
      </c>
      <c r="I59" s="385"/>
    </row>
    <row r="60" spans="1:21" ht="17.25" thickTop="1" thickBot="1">
      <c r="A60" s="2"/>
      <c r="C60" s="101"/>
      <c r="D60" s="36"/>
      <c r="H60" s="316" t="s">
        <v>175</v>
      </c>
      <c r="I60" s="317" t="s">
        <v>176</v>
      </c>
      <c r="J60" s="5"/>
    </row>
    <row r="61" spans="1:21" ht="16.5" thickBot="1">
      <c r="A61" s="9"/>
      <c r="B61" s="9" t="s">
        <v>95</v>
      </c>
      <c r="C61" s="125">
        <f>C59+C34</f>
        <v>9962607.3300000001</v>
      </c>
      <c r="D61" s="37"/>
      <c r="H61" s="347" t="e">
        <f>SUM('WA - Def-Amtz (current)'!AS5:AS10,'WA - Def-Amtz (current)'!AS35:AS40,'WA - Def-Amtz (current)'!AS70:AS73,#REF!,#REF!,#REF!)+'WA - Def-Amtz (current)'!AS43+#REF!</f>
        <v>#REF!</v>
      </c>
      <c r="I61" s="447" t="e">
        <f>SUM('WA - Def-Amtz (current)'!AT5:AT10,'WA - Def-Amtz (current)'!AT35:AT40,'WA - Def-Amtz (current)'!AT70:AT73,#REF!,#REF!,#REF!)+'WA - Def-Amtz (current)'!AT44+#REF!</f>
        <v>#REF!</v>
      </c>
      <c r="J61" s="382">
        <f>H53+I53+J53+K53</f>
        <v>-9973855</v>
      </c>
    </row>
    <row r="62" spans="1:21" ht="15.75">
      <c r="A62" s="2"/>
      <c r="B62" s="9" t="s">
        <v>160</v>
      </c>
      <c r="C62" s="604">
        <v>9962607.3300000001</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H66" s="9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86" priority="9" stopIfTrue="1" operator="equal">
      <formula>0</formula>
    </cfRule>
    <cfRule type="cellIs" dxfId="285" priority="10" stopIfTrue="1" operator="notEqual">
      <formula>0</formula>
    </cfRule>
  </conditionalFormatting>
  <conditionalFormatting sqref="G34 G47 K30 K47">
    <cfRule type="cellIs" dxfId="284" priority="8" operator="notEqual">
      <formula>0</formula>
    </cfRule>
  </conditionalFormatting>
  <conditionalFormatting sqref="C63">
    <cfRule type="cellIs" dxfId="283" priority="6" stopIfTrue="1" operator="equal">
      <formula>0</formula>
    </cfRule>
    <cfRule type="cellIs" dxfId="282" priority="7" stopIfTrue="1" operator="notEqual">
      <formula>0</formula>
    </cfRule>
  </conditionalFormatting>
  <conditionalFormatting sqref="K30">
    <cfRule type="cellIs" dxfId="281" priority="5" operator="notEqual">
      <formula>0</formula>
    </cfRule>
  </conditionalFormatting>
  <conditionalFormatting sqref="G59">
    <cfRule type="cellIs" dxfId="280" priority="4" operator="equal">
      <formula>"""ERROR"""</formula>
    </cfRule>
  </conditionalFormatting>
  <conditionalFormatting sqref="G59">
    <cfRule type="cellIs" dxfId="279" priority="3" operator="equal">
      <formula>"ERROR"</formula>
    </cfRule>
  </conditionalFormatting>
  <conditionalFormatting sqref="G59">
    <cfRule type="cellIs" dxfId="278" priority="2" operator="equal">
      <formula>"ERROR"</formula>
    </cfRule>
  </conditionalFormatting>
  <conditionalFormatting sqref="K45">
    <cfRule type="cellIs" dxfId="277"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
    <tabColor rgb="FF00CC66"/>
    <pageSetUpPr fitToPage="1"/>
  </sheetPr>
  <dimension ref="A1:U1485"/>
  <sheetViews>
    <sheetView showGridLines="0" zoomScale="70" zoomScaleNormal="70" workbookViewId="0">
      <selection activeCell="C21" activeCellId="5" sqref="C4 C8 C12 C15 C18 C21"/>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Feb!C1+1</f>
        <v>201803</v>
      </c>
      <c r="F1" s="527">
        <f>C1</f>
        <v>201803</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3655974.78</f>
        <v>3655974.78</v>
      </c>
      <c r="D4" s="34"/>
      <c r="F4" s="383"/>
      <c r="G4" s="383"/>
      <c r="H4" s="11"/>
      <c r="I4" s="383"/>
      <c r="J4" s="383"/>
      <c r="L4" s="383"/>
      <c r="M4" s="383"/>
    </row>
    <row r="5" spans="1:13" ht="14.25" customHeight="1">
      <c r="A5" s="383" t="s">
        <v>31</v>
      </c>
      <c r="C5" s="566">
        <f>19618.65</f>
        <v>19618.650000000001</v>
      </c>
      <c r="D5" s="34"/>
      <c r="F5" s="383"/>
      <c r="G5" s="383"/>
      <c r="H5" s="11"/>
      <c r="I5" s="589">
        <v>0.69059999999999999</v>
      </c>
      <c r="J5" s="589">
        <v>0.30940000000000001</v>
      </c>
      <c r="K5" s="443">
        <f>ROUND(G45/(G45+K43),4)</f>
        <v>0.68479999999999996</v>
      </c>
      <c r="L5" s="443">
        <f>1-K5</f>
        <v>0.31520000000000004</v>
      </c>
      <c r="M5" s="383"/>
    </row>
    <row r="6" spans="1:13" ht="16.5" thickBot="1">
      <c r="A6" s="49" t="s">
        <v>30</v>
      </c>
      <c r="C6" s="567">
        <f>-78568.35-98131.26-1494747.7-426339.9-121811.4-137037.83</f>
        <v>-2356636.44</v>
      </c>
      <c r="D6" s="34"/>
      <c r="F6" s="383"/>
      <c r="G6" s="383"/>
      <c r="H6" s="383"/>
      <c r="I6" s="383"/>
      <c r="J6" s="383"/>
      <c r="K6" s="383"/>
      <c r="L6" s="383"/>
      <c r="M6" s="383"/>
    </row>
    <row r="7" spans="1:13" ht="16.5" thickBot="1">
      <c r="A7" s="66" t="s">
        <v>140</v>
      </c>
      <c r="C7" s="100">
        <f>SUM(C4:C6)</f>
        <v>1318956.9899999998</v>
      </c>
      <c r="D7" s="35"/>
      <c r="F7" s="166" t="s">
        <v>139</v>
      </c>
      <c r="G7" s="166"/>
      <c r="H7" s="125">
        <f>C34</f>
        <v>2206228.3000000003</v>
      </c>
      <c r="I7" s="167">
        <f>H7*I5</f>
        <v>1523621.2639800003</v>
      </c>
      <c r="J7" s="167">
        <f>H7*J5</f>
        <v>682607.03602000012</v>
      </c>
      <c r="K7" s="167"/>
      <c r="L7" s="167"/>
      <c r="M7" s="383"/>
    </row>
    <row r="8" spans="1:13" ht="15.75">
      <c r="A8" s="382" t="s">
        <v>89</v>
      </c>
      <c r="C8" s="566">
        <f>252729.32</f>
        <v>252729.32</v>
      </c>
      <c r="D8" s="35"/>
      <c r="F8" s="383"/>
      <c r="G8" s="383"/>
      <c r="H8" s="168"/>
      <c r="I8" s="168"/>
      <c r="J8" s="168"/>
      <c r="K8" s="168"/>
      <c r="L8" s="168"/>
      <c r="M8" s="383"/>
    </row>
    <row r="9" spans="1:13" ht="15.75">
      <c r="A9" s="383" t="s">
        <v>90</v>
      </c>
      <c r="C9" s="566">
        <f>8961.92</f>
        <v>8961.92</v>
      </c>
      <c r="D9" s="36"/>
      <c r="F9" s="166" t="s">
        <v>119</v>
      </c>
      <c r="G9" s="383"/>
      <c r="H9" s="167">
        <f>C56</f>
        <v>5743116.8900000006</v>
      </c>
      <c r="I9" s="167"/>
      <c r="J9" s="167"/>
      <c r="K9" s="167">
        <f>H9*K5</f>
        <v>3932886.4462720002</v>
      </c>
      <c r="L9" s="167">
        <f>H9*L5</f>
        <v>1810230.4437280004</v>
      </c>
      <c r="M9" s="383"/>
    </row>
    <row r="10" spans="1:13" ht="15.75">
      <c r="A10" s="49" t="s">
        <v>91</v>
      </c>
      <c r="C10" s="567">
        <v>-3418.47</v>
      </c>
      <c r="D10" s="36"/>
      <c r="F10" s="169" t="s">
        <v>44</v>
      </c>
      <c r="G10" s="383"/>
      <c r="H10" s="167">
        <f>C57</f>
        <v>-74701.33</v>
      </c>
      <c r="I10" s="167"/>
      <c r="J10" s="167"/>
      <c r="K10" s="167">
        <f>H10</f>
        <v>-74701.33</v>
      </c>
      <c r="L10" s="167"/>
      <c r="M10" s="383"/>
    </row>
    <row r="11" spans="1:13">
      <c r="A11" s="66" t="s">
        <v>145</v>
      </c>
      <c r="C11" s="100">
        <f>SUM(C8:C10)</f>
        <v>258272.77000000002</v>
      </c>
      <c r="D11" s="36"/>
      <c r="F11" s="169" t="s">
        <v>45</v>
      </c>
      <c r="G11" s="383"/>
      <c r="H11" s="170">
        <f>C58</f>
        <v>-34446.04</v>
      </c>
      <c r="I11" s="167"/>
      <c r="J11" s="167"/>
      <c r="K11" s="170"/>
      <c r="L11" s="170">
        <f>H11</f>
        <v>-34446.04</v>
      </c>
      <c r="M11" s="383"/>
    </row>
    <row r="12" spans="1:13" ht="15.75">
      <c r="A12" s="382" t="s">
        <v>165</v>
      </c>
      <c r="C12" s="566">
        <f>191628.73-1256.28</f>
        <v>190372.45</v>
      </c>
      <c r="D12" s="36"/>
      <c r="F12" s="169" t="s">
        <v>138</v>
      </c>
      <c r="G12" s="383"/>
      <c r="H12" s="167">
        <f>H9+H10+H11</f>
        <v>5633969.5200000005</v>
      </c>
      <c r="I12" s="167"/>
      <c r="J12" s="167"/>
      <c r="K12" s="167">
        <f>SUM(K9:K11)</f>
        <v>3858185.1162720001</v>
      </c>
      <c r="L12" s="167">
        <f>SUM(L9:L11)</f>
        <v>1775784.4037280004</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190372.45</v>
      </c>
      <c r="D14" s="37"/>
      <c r="F14" s="50" t="s">
        <v>69</v>
      </c>
      <c r="G14" s="175"/>
      <c r="H14" s="125">
        <f>H12+H7</f>
        <v>7840197.8200000003</v>
      </c>
      <c r="I14" s="176">
        <f>SUM(I7:I13)</f>
        <v>1523621.2639800003</v>
      </c>
      <c r="J14" s="176">
        <f>SUM(J7:J13)</f>
        <v>682607.03602000012</v>
      </c>
      <c r="K14" s="176">
        <f>K12</f>
        <v>3858185.1162720001</v>
      </c>
      <c r="L14" s="176">
        <f>L12</f>
        <v>1775784.4037280004</v>
      </c>
      <c r="M14" s="383"/>
    </row>
    <row r="15" spans="1:13" ht="15.75">
      <c r="A15" s="382" t="s">
        <v>183</v>
      </c>
      <c r="C15" s="566">
        <f>392987.14-2576.2</f>
        <v>390410.94</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390410.94</v>
      </c>
      <c r="D17" s="37"/>
      <c r="F17" s="171"/>
      <c r="G17" s="172"/>
      <c r="H17" s="179"/>
      <c r="I17" s="180"/>
      <c r="J17" s="183"/>
      <c r="K17" s="383"/>
      <c r="L17" s="179"/>
      <c r="M17" s="383"/>
    </row>
    <row r="18" spans="1:13" ht="16.5" thickBot="1">
      <c r="A18" s="382" t="s">
        <v>163</v>
      </c>
      <c r="C18" s="566">
        <f>79450.67+10089.3-460.96</f>
        <v>89079.01</v>
      </c>
      <c r="D18" s="36"/>
      <c r="F18" s="691" t="s">
        <v>134</v>
      </c>
      <c r="G18" s="692"/>
      <c r="H18" s="692"/>
      <c r="I18" s="693"/>
      <c r="J18" s="691" t="s">
        <v>135</v>
      </c>
      <c r="K18" s="692"/>
      <c r="L18" s="692"/>
      <c r="M18" s="693"/>
    </row>
    <row r="19" spans="1:13" ht="15.75">
      <c r="A19" s="46" t="s">
        <v>164</v>
      </c>
      <c r="C19" s="554">
        <v>0</v>
      </c>
      <c r="D19" s="36"/>
      <c r="F19" s="201" t="s">
        <v>108</v>
      </c>
      <c r="G19" s="164" t="s">
        <v>33</v>
      </c>
      <c r="H19" s="164" t="s">
        <v>33</v>
      </c>
      <c r="I19" s="164" t="s">
        <v>33</v>
      </c>
      <c r="J19" s="201" t="s">
        <v>108</v>
      </c>
      <c r="K19" s="164" t="s">
        <v>33</v>
      </c>
      <c r="L19" s="164" t="s">
        <v>33</v>
      </c>
      <c r="M19" s="185" t="s">
        <v>33</v>
      </c>
    </row>
    <row r="20" spans="1:13" ht="16.5" thickBot="1">
      <c r="A20" s="67" t="s">
        <v>93</v>
      </c>
      <c r="C20" s="100">
        <f>SUM(C18:C19)</f>
        <v>89079.01</v>
      </c>
      <c r="D20" s="36"/>
      <c r="F20" s="195" t="s">
        <v>162</v>
      </c>
      <c r="G20" s="165" t="s">
        <v>101</v>
      </c>
      <c r="H20" s="165" t="s">
        <v>36</v>
      </c>
      <c r="I20" s="165" t="s">
        <v>34</v>
      </c>
      <c r="J20" s="195" t="s">
        <v>162</v>
      </c>
      <c r="K20" s="165" t="s">
        <v>101</v>
      </c>
      <c r="L20" s="165" t="s">
        <v>36</v>
      </c>
      <c r="M20" s="165" t="s">
        <v>34</v>
      </c>
    </row>
    <row r="21" spans="1:13" ht="15.75">
      <c r="A21" s="46" t="s">
        <v>149</v>
      </c>
      <c r="C21" s="566">
        <f>1850+2129.49</f>
        <v>3979.49</v>
      </c>
      <c r="D21" s="36"/>
      <c r="F21" s="184"/>
      <c r="G21" s="12"/>
      <c r="H21" s="12"/>
      <c r="I21" s="185"/>
      <c r="J21" s="129"/>
      <c r="K21" s="13"/>
      <c r="L21" s="13"/>
      <c r="M21" s="205"/>
    </row>
    <row r="22" spans="1:13" ht="18" customHeight="1">
      <c r="A22" s="65" t="s">
        <v>149</v>
      </c>
      <c r="C22" s="100">
        <f>SUM(C21)</f>
        <v>3979.49</v>
      </c>
      <c r="D22" s="36"/>
      <c r="F22" s="199" t="s">
        <v>126</v>
      </c>
      <c r="G22" s="7"/>
      <c r="H22" s="7"/>
      <c r="I22" s="98"/>
      <c r="J22" s="199" t="s">
        <v>126</v>
      </c>
      <c r="K22" s="7"/>
      <c r="L22" s="7"/>
      <c r="M22" s="98"/>
    </row>
    <row r="23" spans="1:13" ht="15.75">
      <c r="A23" s="208" t="s">
        <v>180</v>
      </c>
      <c r="C23" s="100">
        <v>0</v>
      </c>
      <c r="D23" s="36"/>
      <c r="F23" s="200" t="s">
        <v>37</v>
      </c>
      <c r="G23" s="560">
        <v>15771469</v>
      </c>
      <c r="H23" s="387" t="s">
        <v>306</v>
      </c>
      <c r="I23" s="580">
        <v>1689163</v>
      </c>
      <c r="J23" s="200" t="s">
        <v>37</v>
      </c>
      <c r="K23" s="560">
        <v>7413396</v>
      </c>
      <c r="L23" s="387" t="s">
        <v>306</v>
      </c>
      <c r="M23" s="580">
        <v>779254</v>
      </c>
    </row>
    <row r="24" spans="1:13" ht="15.75">
      <c r="A24" s="208" t="s">
        <v>186</v>
      </c>
      <c r="C24" s="122">
        <v>0</v>
      </c>
      <c r="D24" s="36"/>
      <c r="F24" s="200" t="s">
        <v>305</v>
      </c>
      <c r="G24" s="560">
        <v>19043</v>
      </c>
      <c r="H24" s="387" t="s">
        <v>306</v>
      </c>
      <c r="I24" s="580">
        <v>2041</v>
      </c>
      <c r="J24" s="200" t="s">
        <v>38</v>
      </c>
      <c r="K24" s="560">
        <v>2669250</v>
      </c>
      <c r="L24" s="387" t="s">
        <v>306</v>
      </c>
      <c r="M24" s="580">
        <v>281330</v>
      </c>
    </row>
    <row r="25" spans="1:13" ht="15.75">
      <c r="A25" s="208" t="s">
        <v>189</v>
      </c>
      <c r="C25" s="556">
        <v>0</v>
      </c>
      <c r="D25" s="36"/>
      <c r="F25" s="200" t="s">
        <v>38</v>
      </c>
      <c r="G25" s="560">
        <v>5606266</v>
      </c>
      <c r="H25" s="387" t="s">
        <v>306</v>
      </c>
      <c r="I25" s="580">
        <v>554510</v>
      </c>
      <c r="J25" s="200" t="s">
        <v>39</v>
      </c>
      <c r="K25" s="560">
        <v>3652</v>
      </c>
      <c r="L25" s="387" t="s">
        <v>306</v>
      </c>
      <c r="M25" s="580">
        <v>384</v>
      </c>
    </row>
    <row r="26" spans="1:13" ht="15.75">
      <c r="A26" s="209" t="s">
        <v>188</v>
      </c>
      <c r="C26" s="557">
        <v>0</v>
      </c>
      <c r="D26" s="36"/>
      <c r="F26" s="200" t="s">
        <v>39</v>
      </c>
      <c r="G26" s="560">
        <v>7893</v>
      </c>
      <c r="H26" s="387" t="s">
        <v>306</v>
      </c>
      <c r="I26" s="580">
        <v>775</v>
      </c>
      <c r="J26" s="200" t="s">
        <v>40</v>
      </c>
      <c r="K26" s="261"/>
      <c r="L26" s="387" t="s">
        <v>306</v>
      </c>
      <c r="M26" s="196">
        <v>0</v>
      </c>
    </row>
    <row r="27" spans="1:13" ht="15.75">
      <c r="A27" s="65" t="s">
        <v>96</v>
      </c>
      <c r="C27" s="100">
        <f>SUM(C23:C26)</f>
        <v>0</v>
      </c>
      <c r="D27" s="36"/>
      <c r="F27" s="200" t="s">
        <v>40</v>
      </c>
      <c r="G27" s="560">
        <v>345298</v>
      </c>
      <c r="H27" s="387" t="s">
        <v>306</v>
      </c>
      <c r="I27" s="580">
        <v>35924</v>
      </c>
      <c r="J27" s="200" t="s">
        <v>41</v>
      </c>
      <c r="K27" s="261"/>
      <c r="L27" s="387" t="s">
        <v>306</v>
      </c>
      <c r="M27" s="196">
        <v>0</v>
      </c>
    </row>
    <row r="28" spans="1:13" ht="16.5" thickBot="1">
      <c r="A28" s="210" t="s">
        <v>150</v>
      </c>
      <c r="C28" s="311">
        <v>0</v>
      </c>
      <c r="D28" s="37"/>
      <c r="F28" s="200" t="s">
        <v>41</v>
      </c>
      <c r="G28" s="560">
        <v>51647</v>
      </c>
      <c r="H28" s="387" t="s">
        <v>306</v>
      </c>
      <c r="I28" s="580">
        <v>5193</v>
      </c>
      <c r="J28" s="199" t="s">
        <v>127</v>
      </c>
      <c r="K28" s="181">
        <f>SUM(K23:K27)</f>
        <v>10086298</v>
      </c>
      <c r="L28" s="182"/>
      <c r="M28" s="197">
        <f>SUM(M23:M27)</f>
        <v>1060968</v>
      </c>
    </row>
    <row r="29" spans="1:13" ht="17.25" thickTop="1" thickBot="1">
      <c r="A29" s="210" t="s">
        <v>167</v>
      </c>
      <c r="B29" s="383"/>
      <c r="C29" s="311">
        <v>0</v>
      </c>
      <c r="D29" s="36"/>
      <c r="F29" s="200" t="s">
        <v>42</v>
      </c>
      <c r="G29" s="560">
        <v>0</v>
      </c>
      <c r="H29" s="387" t="s">
        <v>306</v>
      </c>
      <c r="I29" s="580">
        <v>0</v>
      </c>
      <c r="J29" s="199"/>
      <c r="K29" s="231">
        <v>10086298</v>
      </c>
      <c r="L29" s="187" t="s">
        <v>102</v>
      </c>
      <c r="M29" s="463">
        <f>M28/K28</f>
        <v>0.10518903962583695</v>
      </c>
    </row>
    <row r="30" spans="1:13" ht="16.5" thickBot="1">
      <c r="A30" s="2" t="s">
        <v>111</v>
      </c>
      <c r="C30" s="125">
        <f>C7+C11+C14+C17+C20+C22+C27+C28+C29</f>
        <v>2251071.65</v>
      </c>
      <c r="D30" s="37"/>
      <c r="F30" s="200" t="s">
        <v>43</v>
      </c>
      <c r="G30" s="560">
        <v>113117</v>
      </c>
      <c r="H30" s="387" t="s">
        <v>306</v>
      </c>
      <c r="I30" s="580">
        <v>7050</v>
      </c>
      <c r="J30" s="200"/>
      <c r="K30" s="230">
        <f>K28-K29</f>
        <v>0</v>
      </c>
      <c r="L30" s="182"/>
      <c r="M30" s="198"/>
    </row>
    <row r="31" spans="1:13" ht="15.75">
      <c r="A31" s="382" t="s">
        <v>112</v>
      </c>
      <c r="C31" s="558">
        <v>-16262.78</v>
      </c>
      <c r="D31" s="39"/>
      <c r="F31" s="200" t="s">
        <v>74</v>
      </c>
      <c r="G31" s="560">
        <v>3349134</v>
      </c>
      <c r="H31" s="387" t="s">
        <v>306</v>
      </c>
      <c r="I31" s="580">
        <v>1785</v>
      </c>
      <c r="J31" s="153"/>
      <c r="K31" s="7"/>
      <c r="L31" s="182"/>
      <c r="M31" s="198"/>
    </row>
    <row r="32" spans="1:13" ht="16.5" thickBot="1">
      <c r="A32" s="2" t="s">
        <v>116</v>
      </c>
      <c r="B32" s="2" t="s">
        <v>117</v>
      </c>
      <c r="C32" s="576">
        <f>C30+C31</f>
        <v>2234808.87</v>
      </c>
      <c r="D32" s="40"/>
      <c r="F32" s="199" t="s">
        <v>127</v>
      </c>
      <c r="G32" s="181">
        <f>SUM(G23:G31)</f>
        <v>25263867</v>
      </c>
      <c r="H32" s="7"/>
      <c r="I32" s="197">
        <f>SUM(I23:I31)</f>
        <v>2296441</v>
      </c>
      <c r="J32" s="192"/>
      <c r="K32" s="193"/>
      <c r="L32" s="7"/>
      <c r="M32" s="190"/>
    </row>
    <row r="33" spans="1:17" ht="17.25" thickTop="1" thickBot="1">
      <c r="A33" s="382" t="s">
        <v>113</v>
      </c>
      <c r="C33" s="576">
        <f>-C5-C9-C13-C16-C19</f>
        <v>-28580.57</v>
      </c>
      <c r="D33" s="36"/>
      <c r="F33" s="186"/>
      <c r="G33" s="231">
        <v>25263867</v>
      </c>
      <c r="H33" s="187" t="s">
        <v>102</v>
      </c>
      <c r="I33" s="216">
        <f>I32/G32</f>
        <v>9.0898238183410321E-2</v>
      </c>
      <c r="J33" s="192"/>
      <c r="K33" s="193"/>
      <c r="L33" s="7"/>
      <c r="M33" s="98"/>
    </row>
    <row r="34" spans="1:17" ht="16.5" thickBot="1">
      <c r="A34" s="2" t="s">
        <v>114</v>
      </c>
      <c r="C34" s="125">
        <f>SUM(C32:C33)</f>
        <v>2206228.3000000003</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578">
        <f>K23</f>
        <v>7413396</v>
      </c>
      <c r="L36" s="387" t="s">
        <v>306</v>
      </c>
      <c r="M36" s="580">
        <v>1205053</v>
      </c>
      <c r="P36" s="272"/>
      <c r="Q36" s="272"/>
    </row>
    <row r="37" spans="1:17" ht="15.75">
      <c r="A37" s="7" t="s">
        <v>129</v>
      </c>
      <c r="B37" s="530" t="s">
        <v>115</v>
      </c>
      <c r="C37" s="558">
        <v>5776255.3700000001</v>
      </c>
      <c r="D37" s="36"/>
      <c r="F37" s="200" t="s">
        <v>37</v>
      </c>
      <c r="G37" s="578">
        <f>G23</f>
        <v>15771469</v>
      </c>
      <c r="H37" s="387" t="s">
        <v>306</v>
      </c>
      <c r="I37" s="580">
        <v>2583934</v>
      </c>
      <c r="J37" s="200" t="s">
        <v>38</v>
      </c>
      <c r="K37" s="578">
        <f>K24</f>
        <v>2669250</v>
      </c>
      <c r="L37" s="387" t="s">
        <v>306</v>
      </c>
      <c r="M37" s="580">
        <v>435058</v>
      </c>
      <c r="P37" s="272"/>
      <c r="Q37" s="272"/>
    </row>
    <row r="38" spans="1:17" ht="15.75">
      <c r="A38" s="144" t="s">
        <v>14</v>
      </c>
      <c r="B38" s="530" t="s">
        <v>115</v>
      </c>
      <c r="C38" s="558">
        <v>0</v>
      </c>
      <c r="D38" s="36"/>
      <c r="F38" s="200" t="s">
        <v>305</v>
      </c>
      <c r="G38" s="578">
        <f>G24</f>
        <v>19043</v>
      </c>
      <c r="H38" s="387" t="s">
        <v>306</v>
      </c>
      <c r="I38" s="580">
        <v>3121</v>
      </c>
      <c r="J38" s="200" t="s">
        <v>39</v>
      </c>
      <c r="K38" s="578">
        <f>K25</f>
        <v>3652</v>
      </c>
      <c r="L38" s="387" t="s">
        <v>306</v>
      </c>
      <c r="M38" s="580">
        <v>593</v>
      </c>
      <c r="P38" s="272"/>
      <c r="Q38" s="272"/>
    </row>
    <row r="39" spans="1:17" ht="15.75">
      <c r="A39" s="7" t="s">
        <v>146</v>
      </c>
      <c r="B39" s="530" t="s">
        <v>147</v>
      </c>
      <c r="C39" s="558">
        <v>-62803.33</v>
      </c>
      <c r="D39" s="36"/>
      <c r="F39" s="200" t="s">
        <v>38</v>
      </c>
      <c r="G39" s="578">
        <f t="shared" ref="G39:G44" si="0">G25</f>
        <v>5606266</v>
      </c>
      <c r="H39" s="387" t="s">
        <v>306</v>
      </c>
      <c r="I39" s="580">
        <v>923773</v>
      </c>
      <c r="J39" s="200" t="s">
        <v>40</v>
      </c>
      <c r="K39" s="578">
        <f>K26</f>
        <v>0</v>
      </c>
      <c r="L39" s="387" t="s">
        <v>306</v>
      </c>
      <c r="M39" s="580">
        <v>0</v>
      </c>
      <c r="P39" s="272"/>
      <c r="Q39" s="272"/>
    </row>
    <row r="40" spans="1:17" ht="15.75">
      <c r="A40" s="7" t="s">
        <v>131</v>
      </c>
      <c r="B40" s="530" t="s">
        <v>132</v>
      </c>
      <c r="C40" s="558">
        <v>2411896.9</v>
      </c>
      <c r="D40" s="36"/>
      <c r="F40" s="200" t="s">
        <v>39</v>
      </c>
      <c r="G40" s="578">
        <f t="shared" si="0"/>
        <v>7893</v>
      </c>
      <c r="H40" s="387" t="s">
        <v>306</v>
      </c>
      <c r="I40" s="580">
        <v>1293</v>
      </c>
      <c r="J40" s="200" t="s">
        <v>41</v>
      </c>
      <c r="K40" s="578">
        <f>K27</f>
        <v>0</v>
      </c>
      <c r="L40" s="387" t="s">
        <v>306</v>
      </c>
      <c r="M40" s="580">
        <f t="shared" ref="M40:M42" si="1">K40*L40</f>
        <v>0</v>
      </c>
      <c r="P40" s="272"/>
      <c r="Q40" s="272"/>
    </row>
    <row r="41" spans="1:17" ht="15.75">
      <c r="A41" s="7" t="s">
        <v>153</v>
      </c>
      <c r="B41" s="6" t="s">
        <v>155</v>
      </c>
      <c r="C41" s="558">
        <v>-72303.67</v>
      </c>
      <c r="D41" s="36"/>
      <c r="F41" s="200" t="s">
        <v>40</v>
      </c>
      <c r="G41" s="578">
        <f t="shared" si="0"/>
        <v>345298</v>
      </c>
      <c r="H41" s="387" t="s">
        <v>306</v>
      </c>
      <c r="I41" s="580">
        <v>56592</v>
      </c>
      <c r="J41" s="200" t="s">
        <v>42</v>
      </c>
      <c r="K41" s="560">
        <v>0</v>
      </c>
      <c r="L41" s="387" t="s">
        <v>306</v>
      </c>
      <c r="M41" s="580">
        <f t="shared" si="1"/>
        <v>0</v>
      </c>
      <c r="P41" s="272"/>
      <c r="Q41" s="272"/>
    </row>
    <row r="42" spans="1:17" ht="16.5" thickBot="1">
      <c r="A42" s="7" t="s">
        <v>178</v>
      </c>
      <c r="B42" s="530" t="s">
        <v>179</v>
      </c>
      <c r="C42" s="558">
        <v>602629.88</v>
      </c>
      <c r="D42" s="37"/>
      <c r="F42" s="200" t="s">
        <v>41</v>
      </c>
      <c r="G42" s="578">
        <f t="shared" si="0"/>
        <v>51647</v>
      </c>
      <c r="H42" s="387" t="s">
        <v>306</v>
      </c>
      <c r="I42" s="580">
        <v>8652</v>
      </c>
      <c r="J42" s="200" t="s">
        <v>43</v>
      </c>
      <c r="K42" s="579">
        <v>0</v>
      </c>
      <c r="L42" s="387" t="s">
        <v>306</v>
      </c>
      <c r="M42" s="580">
        <f t="shared" si="1"/>
        <v>0</v>
      </c>
      <c r="P42" s="272"/>
      <c r="Q42" s="272"/>
    </row>
    <row r="43" spans="1:17" ht="16.5" thickBot="1">
      <c r="A43" s="85" t="s">
        <v>123</v>
      </c>
      <c r="B43" s="12"/>
      <c r="C43" s="125">
        <f>SUM(C37:C42)</f>
        <v>8655675.1500000004</v>
      </c>
      <c r="D43" s="36"/>
      <c r="F43" s="200" t="s">
        <v>42</v>
      </c>
      <c r="G43" s="578">
        <f t="shared" si="0"/>
        <v>0</v>
      </c>
      <c r="H43" s="387" t="s">
        <v>306</v>
      </c>
      <c r="I43" s="580">
        <v>0</v>
      </c>
      <c r="J43" s="199" t="s">
        <v>133</v>
      </c>
      <c r="K43" s="181">
        <f>SUM(K36:K42)</f>
        <v>10086298</v>
      </c>
      <c r="L43" s="182"/>
      <c r="M43" s="197">
        <f>SUM(M36:M42)</f>
        <v>1640704</v>
      </c>
    </row>
    <row r="44" spans="1:17" ht="16.5" thickBot="1">
      <c r="A44" s="83" t="s">
        <v>177</v>
      </c>
      <c r="B44" s="84" t="s">
        <v>120</v>
      </c>
      <c r="C44" s="558">
        <f>0+1627939.45+159.14</f>
        <v>1628098.5899999999</v>
      </c>
      <c r="D44" s="37"/>
      <c r="F44" s="200" t="s">
        <v>43</v>
      </c>
      <c r="G44" s="578">
        <f t="shared" si="0"/>
        <v>113117</v>
      </c>
      <c r="H44" s="387" t="s">
        <v>306</v>
      </c>
      <c r="I44" s="580">
        <v>18549</v>
      </c>
      <c r="J44" s="194"/>
      <c r="K44" s="232">
        <v>10086298</v>
      </c>
      <c r="L44" s="189" t="s">
        <v>102</v>
      </c>
      <c r="M44" s="217">
        <f>M43/K43</f>
        <v>0.16266661960612308</v>
      </c>
    </row>
    <row r="45" spans="1:17" ht="16.5" thickBot="1">
      <c r="A45" s="211" t="s">
        <v>168</v>
      </c>
      <c r="B45" s="6" t="s">
        <v>115</v>
      </c>
      <c r="C45" s="122">
        <v>0</v>
      </c>
      <c r="D45" s="39"/>
      <c r="F45" s="199" t="s">
        <v>133</v>
      </c>
      <c r="G45" s="181">
        <f>SUM(G37:G44)</f>
        <v>21914733</v>
      </c>
      <c r="H45" s="182"/>
      <c r="I45" s="197">
        <f>SUM(I37:I44)</f>
        <v>3595914</v>
      </c>
      <c r="J45" s="85"/>
      <c r="K45" s="231"/>
      <c r="L45" s="187"/>
      <c r="M45" s="555"/>
    </row>
    <row r="46" spans="1:17" ht="19.5" customHeight="1" thickTop="1" thickBot="1">
      <c r="A46" s="144" t="s">
        <v>169</v>
      </c>
      <c r="B46" s="6" t="s">
        <v>115</v>
      </c>
      <c r="C46" s="122">
        <v>0</v>
      </c>
      <c r="D46" s="40"/>
      <c r="F46" s="188"/>
      <c r="G46" s="232">
        <v>21914733</v>
      </c>
      <c r="H46" s="189" t="s">
        <v>102</v>
      </c>
      <c r="I46" s="215">
        <f>I45/G45</f>
        <v>0.16408659872789688</v>
      </c>
      <c r="J46" s="85"/>
      <c r="K46" s="231"/>
      <c r="L46" s="187"/>
      <c r="M46" s="555"/>
    </row>
    <row r="47" spans="1:17" ht="19.5" customHeight="1">
      <c r="A47" s="382" t="s">
        <v>137</v>
      </c>
      <c r="B47" s="6" t="s">
        <v>115</v>
      </c>
      <c r="C47" s="558">
        <v>-9987.66</v>
      </c>
      <c r="D47" s="36"/>
      <c r="F47" s="383"/>
      <c r="G47" s="230">
        <f>G45-G46</f>
        <v>0</v>
      </c>
      <c r="H47" s="383"/>
      <c r="I47" s="383"/>
      <c r="J47" s="124"/>
      <c r="K47" s="230">
        <f>K43-K44</f>
        <v>0</v>
      </c>
      <c r="L47" s="383"/>
      <c r="M47" s="124"/>
    </row>
    <row r="48" spans="1:17" ht="16.5" thickBot="1">
      <c r="A48" s="144" t="s">
        <v>220</v>
      </c>
      <c r="B48" s="6" t="s">
        <v>115</v>
      </c>
      <c r="C48" s="558">
        <v>7000</v>
      </c>
      <c r="D48" s="36"/>
      <c r="F48" s="383"/>
      <c r="G48" s="383"/>
      <c r="H48" s="383"/>
      <c r="I48" s="383"/>
      <c r="J48" s="124"/>
      <c r="K48" s="114"/>
      <c r="L48" s="383"/>
      <c r="M48" s="68"/>
    </row>
    <row r="49" spans="1:21" ht="15.75">
      <c r="A49" s="7" t="s">
        <v>130</v>
      </c>
      <c r="B49" s="530" t="s">
        <v>152</v>
      </c>
      <c r="C49" s="558">
        <v>16410.12</v>
      </c>
      <c r="D49" s="36"/>
      <c r="F49" s="383"/>
      <c r="G49" s="114"/>
      <c r="H49" s="129" t="s">
        <v>35</v>
      </c>
      <c r="I49" s="13" t="s">
        <v>35</v>
      </c>
      <c r="J49" s="13" t="s">
        <v>63</v>
      </c>
      <c r="K49" s="127" t="s">
        <v>70</v>
      </c>
      <c r="L49" s="124"/>
      <c r="M49" s="383"/>
    </row>
    <row r="50" spans="1:21" ht="16.5" thickBot="1">
      <c r="A50" s="7" t="s">
        <v>222</v>
      </c>
      <c r="B50" s="530" t="s">
        <v>152</v>
      </c>
      <c r="C50" s="558">
        <v>5860.22</v>
      </c>
      <c r="D50" s="37"/>
      <c r="F50" s="50" t="s">
        <v>73</v>
      </c>
      <c r="G50" s="383"/>
      <c r="H50" s="130" t="s">
        <v>2</v>
      </c>
      <c r="I50" s="131" t="s">
        <v>3</v>
      </c>
      <c r="J50" s="131" t="s">
        <v>2</v>
      </c>
      <c r="K50" s="128" t="s">
        <v>3</v>
      </c>
      <c r="L50" s="383"/>
      <c r="M50" s="383"/>
    </row>
    <row r="51" spans="1:21" ht="15.75">
      <c r="A51" s="7" t="s">
        <v>308</v>
      </c>
      <c r="B51" s="530" t="s">
        <v>152</v>
      </c>
      <c r="C51" s="558">
        <v>5039.74</v>
      </c>
      <c r="D51" s="36"/>
      <c r="F51" s="383"/>
      <c r="G51" s="383"/>
      <c r="H51" s="151"/>
      <c r="I51" s="152"/>
      <c r="J51" s="152"/>
      <c r="K51" s="152"/>
      <c r="L51" s="126" t="s">
        <v>103</v>
      </c>
      <c r="M51" s="383"/>
    </row>
    <row r="52" spans="1:21" ht="15.75">
      <c r="A52" s="22" t="s">
        <v>118</v>
      </c>
      <c r="B52" s="6"/>
      <c r="C52" s="577">
        <f>-C33</f>
        <v>28580.57</v>
      </c>
      <c r="D52" s="33"/>
      <c r="F52" s="383" t="s">
        <v>136</v>
      </c>
      <c r="G52" s="383"/>
      <c r="H52" s="212">
        <f>K12</f>
        <v>3858185.1162720001</v>
      </c>
      <c r="I52" s="115">
        <f>I14</f>
        <v>1523621.2639800003</v>
      </c>
      <c r="J52" s="115">
        <f>L12</f>
        <v>1775784.4037280004</v>
      </c>
      <c r="K52" s="115">
        <f>J14</f>
        <v>682607.03602000012</v>
      </c>
      <c r="L52" s="132">
        <f>SUM(H52:K52)</f>
        <v>7840197.8200000012</v>
      </c>
      <c r="M52" s="383"/>
    </row>
    <row r="53" spans="1:21" ht="16.5" thickBot="1">
      <c r="A53" s="383" t="s">
        <v>315</v>
      </c>
      <c r="B53" s="624" t="s">
        <v>316</v>
      </c>
      <c r="C53" s="558">
        <f>6346.37+0.02</f>
        <v>6346.39</v>
      </c>
      <c r="D53" s="36"/>
      <c r="F53" s="382" t="s">
        <v>109</v>
      </c>
      <c r="H53" s="212">
        <f>-I45</f>
        <v>-3595914</v>
      </c>
      <c r="I53" s="115">
        <f>-I32</f>
        <v>-2296441</v>
      </c>
      <c r="J53" s="115">
        <f>-M43</f>
        <v>-1640704</v>
      </c>
      <c r="K53" s="115">
        <f>-M28</f>
        <v>-1060968</v>
      </c>
      <c r="L53" s="260">
        <f>SUM(H53:K53)</f>
        <v>-8594027</v>
      </c>
    </row>
    <row r="54" spans="1:21" ht="16.5" thickBot="1">
      <c r="A54" s="380" t="s">
        <v>124</v>
      </c>
      <c r="B54" s="471" t="s">
        <v>296</v>
      </c>
      <c r="C54" s="558">
        <f>-1087890.77-1589166.12-1547849.34</f>
        <v>-4224906.2300000004</v>
      </c>
      <c r="D54" s="36"/>
      <c r="F54" s="382" t="s">
        <v>86</v>
      </c>
      <c r="H54" s="234">
        <v>0</v>
      </c>
      <c r="I54" s="235">
        <v>0</v>
      </c>
      <c r="J54" s="235">
        <v>0</v>
      </c>
      <c r="K54" s="236">
        <v>0</v>
      </c>
      <c r="L54" s="214">
        <f>SUM(L52:L53)</f>
        <v>-753829.17999999877</v>
      </c>
    </row>
    <row r="55" spans="1:21" ht="16.5" thickBot="1">
      <c r="A55" s="382" t="s">
        <v>312</v>
      </c>
      <c r="B55" s="6" t="s">
        <v>190</v>
      </c>
      <c r="C55" s="558">
        <v>-375000</v>
      </c>
      <c r="D55" s="36"/>
      <c r="F55" s="382" t="s">
        <v>71</v>
      </c>
      <c r="H55" s="125">
        <f>IFERROR(H52+H53+H54,0)</f>
        <v>262271.11627200013</v>
      </c>
      <c r="I55" s="125">
        <f>I52+I53+I54</f>
        <v>-772819.73601999972</v>
      </c>
      <c r="J55" s="125">
        <f>IFERROR(J52+J53+J54,0)</f>
        <v>135080.40372800035</v>
      </c>
      <c r="K55" s="125">
        <f>K52+K53+K54</f>
        <v>-378360.96397999988</v>
      </c>
      <c r="L55" s="47">
        <f>SUM(H55:K55)</f>
        <v>-753829.17999999912</v>
      </c>
    </row>
    <row r="56" spans="1:21" ht="16.5" thickBot="1">
      <c r="A56" s="82" t="s">
        <v>119</v>
      </c>
      <c r="B56" s="84"/>
      <c r="C56" s="160">
        <f>SUM(C43:C55)</f>
        <v>5743116.8900000006</v>
      </c>
      <c r="D56" s="36"/>
      <c r="F56" s="239" t="s">
        <v>181</v>
      </c>
      <c r="H56" s="382" t="s">
        <v>173</v>
      </c>
      <c r="I56" s="5">
        <f>SUM(H55:I55)</f>
        <v>-510548.61974799959</v>
      </c>
      <c r="J56" s="15" t="s">
        <v>174</v>
      </c>
      <c r="K56" s="382">
        <f>SUM(J55:K55)</f>
        <v>-243280.56025199953</v>
      </c>
      <c r="L56" s="213">
        <f>ROUND(L54-L55,3)</f>
        <v>0</v>
      </c>
      <c r="T56" s="42"/>
    </row>
    <row r="57" spans="1:21" ht="16.5" thickTop="1">
      <c r="A57" s="382" t="s">
        <v>121</v>
      </c>
      <c r="B57" s="6" t="s">
        <v>115</v>
      </c>
      <c r="C57" s="558">
        <v>-74701.33</v>
      </c>
      <c r="D57" s="36"/>
      <c r="F57" s="395" t="s">
        <v>181</v>
      </c>
      <c r="H57" s="96"/>
    </row>
    <row r="58" spans="1:21" ht="16.5" thickBot="1">
      <c r="A58" s="382" t="s">
        <v>122</v>
      </c>
      <c r="B58" s="6" t="s">
        <v>115</v>
      </c>
      <c r="C58" s="558">
        <v>-34446.04</v>
      </c>
      <c r="D58" s="36"/>
      <c r="F58" s="395" t="s">
        <v>182</v>
      </c>
      <c r="H58" s="157"/>
      <c r="I58" s="120"/>
      <c r="J58" s="120"/>
      <c r="K58" s="204"/>
      <c r="L58" s="120"/>
    </row>
    <row r="59" spans="1:21" ht="16.5" thickBot="1">
      <c r="A59" s="2" t="s">
        <v>125</v>
      </c>
      <c r="B59" s="2"/>
      <c r="C59" s="160">
        <f>SUM(C56:C58)</f>
        <v>5633969.5200000005</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7840197.8200000003</v>
      </c>
      <c r="D61" s="37"/>
      <c r="H61" s="347" t="e">
        <f>SUM('WA - Def-Amtz (current)'!AS5:AS41)+SUM(#REF!)</f>
        <v>#REF!</v>
      </c>
      <c r="I61" s="447" t="e">
        <f>SUM('WA - Def-Amtz (current)'!AT5:AT41)+SUM(#REF!)</f>
        <v>#REF!</v>
      </c>
      <c r="J61" s="382">
        <f>H53+I53+J53+K53</f>
        <v>-8594027</v>
      </c>
    </row>
    <row r="62" spans="1:21" ht="15.75">
      <c r="A62" s="2"/>
      <c r="B62" s="9" t="s">
        <v>160</v>
      </c>
      <c r="C62" s="348">
        <v>7840197.8200000003</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H66" s="9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76" priority="8" stopIfTrue="1" operator="equal">
      <formula>0</formula>
    </cfRule>
    <cfRule type="cellIs" dxfId="275" priority="9" stopIfTrue="1" operator="notEqual">
      <formula>0</formula>
    </cfRule>
  </conditionalFormatting>
  <conditionalFormatting sqref="G34 G47 K30 K47">
    <cfRule type="cellIs" dxfId="274" priority="7" operator="notEqual">
      <formula>0</formula>
    </cfRule>
  </conditionalFormatting>
  <conditionalFormatting sqref="C63">
    <cfRule type="cellIs" dxfId="273" priority="5" stopIfTrue="1" operator="equal">
      <formula>0</formula>
    </cfRule>
    <cfRule type="cellIs" dxfId="272" priority="6" stopIfTrue="1" operator="notEqual">
      <formula>0</formula>
    </cfRule>
  </conditionalFormatting>
  <conditionalFormatting sqref="K30">
    <cfRule type="cellIs" dxfId="271" priority="4" operator="notEqual">
      <formula>0</formula>
    </cfRule>
  </conditionalFormatting>
  <conditionalFormatting sqref="G59">
    <cfRule type="cellIs" dxfId="270" priority="3" operator="equal">
      <formula>"""ERROR"""</formula>
    </cfRule>
  </conditionalFormatting>
  <conditionalFormatting sqref="G59">
    <cfRule type="cellIs" dxfId="269" priority="2" operator="equal">
      <formula>"ERROR"</formula>
    </cfRule>
  </conditionalFormatting>
  <conditionalFormatting sqref="G59">
    <cfRule type="cellIs" dxfId="268"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
    <tabColor rgb="FF00CC66"/>
    <pageSetUpPr fitToPage="1"/>
  </sheetPr>
  <dimension ref="A1:U1485"/>
  <sheetViews>
    <sheetView showGridLines="0" zoomScale="70" zoomScaleNormal="70" workbookViewId="0">
      <selection activeCell="C34" sqref="C34"/>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Mar!C1+1</f>
        <v>201804</v>
      </c>
      <c r="F1" s="527">
        <f>C1</f>
        <v>201804</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3538040.09+1470.91</f>
        <v>3539511</v>
      </c>
      <c r="D4" s="34"/>
      <c r="F4" s="383"/>
      <c r="G4" s="383"/>
      <c r="H4" s="11"/>
      <c r="I4" s="383"/>
      <c r="J4" s="383"/>
      <c r="L4" s="383"/>
      <c r="M4" s="383"/>
    </row>
    <row r="5" spans="1:13" ht="14.25" customHeight="1">
      <c r="A5" s="383" t="s">
        <v>31</v>
      </c>
      <c r="C5" s="566">
        <f>16061.06</f>
        <v>16061.06</v>
      </c>
      <c r="D5" s="34"/>
      <c r="F5" s="383"/>
      <c r="G5" s="383"/>
      <c r="H5" s="11"/>
      <c r="I5" s="589">
        <v>0.69059999999999999</v>
      </c>
      <c r="J5" s="589">
        <v>0.30940000000000001</v>
      </c>
      <c r="K5" s="443">
        <f>ROUND(G45/(G45+K43),4)</f>
        <v>0.67259999999999998</v>
      </c>
      <c r="L5" s="443">
        <f>1-K5</f>
        <v>0.32740000000000002</v>
      </c>
      <c r="M5" s="383"/>
    </row>
    <row r="6" spans="1:13" ht="16.5" thickBot="1">
      <c r="A6" s="49" t="s">
        <v>30</v>
      </c>
      <c r="C6" s="567">
        <f>-1446530.02-412587-117882-132617.25-76033.89-94965.74</f>
        <v>-2280615.9000000004</v>
      </c>
      <c r="D6" s="34"/>
      <c r="F6" s="383"/>
      <c r="G6" s="383"/>
      <c r="H6" s="383"/>
      <c r="I6" s="383"/>
      <c r="J6" s="383"/>
      <c r="K6" s="383"/>
      <c r="L6" s="383"/>
      <c r="M6" s="383"/>
    </row>
    <row r="7" spans="1:13" ht="16.5" thickBot="1">
      <c r="A7" s="66" t="s">
        <v>140</v>
      </c>
      <c r="C7" s="100">
        <f>SUM(C4:C6)</f>
        <v>1274956.1599999997</v>
      </c>
      <c r="D7" s="35"/>
      <c r="F7" s="166" t="s">
        <v>139</v>
      </c>
      <c r="G7" s="166"/>
      <c r="H7" s="125">
        <f>C34</f>
        <v>2127344.9299999997</v>
      </c>
      <c r="I7" s="167">
        <f>H7*I5</f>
        <v>1469144.4086579997</v>
      </c>
      <c r="J7" s="167">
        <f>H7*J5</f>
        <v>658200.52134199988</v>
      </c>
      <c r="K7" s="167"/>
      <c r="L7" s="167"/>
      <c r="M7" s="383"/>
    </row>
    <row r="8" spans="1:13" ht="15.75">
      <c r="A8" s="382" t="s">
        <v>89</v>
      </c>
      <c r="C8" s="566">
        <f>185334.94</f>
        <v>185334.94</v>
      </c>
      <c r="D8" s="35"/>
      <c r="F8" s="383"/>
      <c r="G8" s="383"/>
      <c r="H8" s="168"/>
      <c r="I8" s="168"/>
      <c r="J8" s="168"/>
      <c r="K8" s="168"/>
      <c r="L8" s="168"/>
      <c r="M8" s="383"/>
    </row>
    <row r="9" spans="1:13" ht="15.75">
      <c r="A9" s="383" t="s">
        <v>90</v>
      </c>
      <c r="C9" s="566">
        <f>6414.09+8938.67</f>
        <v>15352.76</v>
      </c>
      <c r="D9" s="36"/>
      <c r="F9" s="166" t="s">
        <v>119</v>
      </c>
      <c r="G9" s="383"/>
      <c r="H9" s="167">
        <f>C56</f>
        <v>1557712.2000000011</v>
      </c>
      <c r="I9" s="167"/>
      <c r="J9" s="167"/>
      <c r="K9" s="167">
        <f>H9*K5</f>
        <v>1047717.2257200007</v>
      </c>
      <c r="L9" s="167">
        <f>H9*L5</f>
        <v>509994.97428000043</v>
      </c>
      <c r="M9" s="383"/>
    </row>
    <row r="10" spans="1:13" ht="15.75">
      <c r="A10" s="49" t="s">
        <v>91</v>
      </c>
      <c r="C10" s="567">
        <v>-3308.2</v>
      </c>
      <c r="D10" s="36"/>
      <c r="F10" s="169" t="s">
        <v>44</v>
      </c>
      <c r="G10" s="383"/>
      <c r="H10" s="167">
        <f>C57</f>
        <v>47027.57</v>
      </c>
      <c r="I10" s="167"/>
      <c r="J10" s="167"/>
      <c r="K10" s="167">
        <f>H10</f>
        <v>47027.57</v>
      </c>
      <c r="L10" s="167"/>
      <c r="M10" s="383"/>
    </row>
    <row r="11" spans="1:13">
      <c r="A11" s="66" t="s">
        <v>145</v>
      </c>
      <c r="C11" s="100">
        <f>SUM(C8:C10)</f>
        <v>197379.5</v>
      </c>
      <c r="D11" s="36"/>
      <c r="F11" s="169" t="s">
        <v>45</v>
      </c>
      <c r="G11" s="383"/>
      <c r="H11" s="170">
        <f>C58</f>
        <v>21059.439999999999</v>
      </c>
      <c r="I11" s="167"/>
      <c r="J11" s="167"/>
      <c r="K11" s="170"/>
      <c r="L11" s="170">
        <f>H11</f>
        <v>21059.439999999999</v>
      </c>
      <c r="M11" s="383"/>
    </row>
    <row r="12" spans="1:13" ht="15.75">
      <c r="A12" s="382" t="s">
        <v>165</v>
      </c>
      <c r="C12" s="566">
        <f>585.95+192443.54</f>
        <v>193029.49000000002</v>
      </c>
      <c r="D12" s="36"/>
      <c r="F12" s="169" t="s">
        <v>138</v>
      </c>
      <c r="G12" s="383"/>
      <c r="H12" s="167">
        <f>H9+H10+H11</f>
        <v>1625799.2100000011</v>
      </c>
      <c r="I12" s="167"/>
      <c r="J12" s="167"/>
      <c r="K12" s="167">
        <f>SUM(K9:K11)</f>
        <v>1094744.7957200008</v>
      </c>
      <c r="L12" s="167">
        <f>SUM(L9:L11)</f>
        <v>531054.41428000038</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193029.49000000002</v>
      </c>
      <c r="D14" s="37"/>
      <c r="F14" s="50" t="s">
        <v>69</v>
      </c>
      <c r="G14" s="175"/>
      <c r="H14" s="125">
        <f>H12+H7</f>
        <v>3753144.1400000006</v>
      </c>
      <c r="I14" s="176">
        <f>SUM(I7:I13)</f>
        <v>1469144.4086579997</v>
      </c>
      <c r="J14" s="176">
        <f>SUM(J7:J13)</f>
        <v>658200.52134199988</v>
      </c>
      <c r="K14" s="176">
        <f>K12</f>
        <v>1094744.7957200008</v>
      </c>
      <c r="L14" s="176">
        <f>L12</f>
        <v>531054.41428000038</v>
      </c>
      <c r="M14" s="383"/>
    </row>
    <row r="15" spans="1:13" ht="15.75">
      <c r="A15" s="382" t="s">
        <v>183</v>
      </c>
      <c r="C15" s="566">
        <f>1201.68+394658.14</f>
        <v>395859.82</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395859.82</v>
      </c>
      <c r="D17" s="37"/>
      <c r="F17" s="171"/>
      <c r="G17" s="172"/>
      <c r="H17" s="179"/>
      <c r="I17" s="180"/>
      <c r="J17" s="183"/>
      <c r="K17" s="383"/>
      <c r="L17" s="179"/>
      <c r="M17" s="383"/>
    </row>
    <row r="18" spans="1:13" ht="16.5" thickBot="1">
      <c r="A18" s="382" t="s">
        <v>163</v>
      </c>
      <c r="C18" s="566">
        <f>259.47+10132.2+82836.48</f>
        <v>93228.15</v>
      </c>
      <c r="D18" s="36"/>
      <c r="F18" s="691" t="s">
        <v>134</v>
      </c>
      <c r="G18" s="692"/>
      <c r="H18" s="692"/>
      <c r="I18" s="693"/>
      <c r="J18" s="691" t="s">
        <v>135</v>
      </c>
      <c r="K18" s="692"/>
      <c r="L18" s="692"/>
      <c r="M18" s="693"/>
    </row>
    <row r="19" spans="1:13" ht="15.75">
      <c r="A19" s="46" t="s">
        <v>164</v>
      </c>
      <c r="C19" s="567">
        <f>713.84</f>
        <v>713.84</v>
      </c>
      <c r="D19" s="36"/>
      <c r="F19" s="201" t="s">
        <v>108</v>
      </c>
      <c r="G19" s="164" t="s">
        <v>33</v>
      </c>
      <c r="H19" s="164" t="s">
        <v>33</v>
      </c>
      <c r="I19" s="164" t="s">
        <v>33</v>
      </c>
      <c r="J19" s="201" t="s">
        <v>108</v>
      </c>
      <c r="K19" s="164" t="s">
        <v>33</v>
      </c>
      <c r="L19" s="164" t="s">
        <v>33</v>
      </c>
      <c r="M19" s="185" t="s">
        <v>33</v>
      </c>
    </row>
    <row r="20" spans="1:13" ht="16.5" thickBot="1">
      <c r="A20" s="67" t="s">
        <v>93</v>
      </c>
      <c r="C20" s="100">
        <f>SUM(C18:C19)</f>
        <v>93941.989999999991</v>
      </c>
      <c r="D20" s="36"/>
      <c r="F20" s="195" t="s">
        <v>162</v>
      </c>
      <c r="G20" s="165" t="s">
        <v>101</v>
      </c>
      <c r="H20" s="165" t="s">
        <v>36</v>
      </c>
      <c r="I20" s="165" t="s">
        <v>34</v>
      </c>
      <c r="J20" s="195" t="s">
        <v>162</v>
      </c>
      <c r="K20" s="165" t="s">
        <v>101</v>
      </c>
      <c r="L20" s="165" t="s">
        <v>36</v>
      </c>
      <c r="M20" s="165" t="s">
        <v>34</v>
      </c>
    </row>
    <row r="21" spans="1:13" ht="15.75">
      <c r="A21" s="46" t="s">
        <v>149</v>
      </c>
      <c r="C21" s="567">
        <f>1850+2455.63</f>
        <v>4305.63</v>
      </c>
      <c r="D21" s="36"/>
      <c r="F21" s="184"/>
      <c r="G21" s="12"/>
      <c r="H21" s="12"/>
      <c r="I21" s="185"/>
      <c r="J21" s="129"/>
      <c r="K21" s="13"/>
      <c r="L21" s="13"/>
      <c r="M21" s="205"/>
    </row>
    <row r="22" spans="1:13" ht="18" customHeight="1">
      <c r="A22" s="65" t="s">
        <v>149</v>
      </c>
      <c r="C22" s="100">
        <f>SUM(C21)</f>
        <v>4305.63</v>
      </c>
      <c r="D22" s="36"/>
      <c r="F22" s="199" t="s">
        <v>126</v>
      </c>
      <c r="G22" s="7"/>
      <c r="H22" s="7"/>
      <c r="I22" s="98"/>
      <c r="J22" s="199" t="s">
        <v>126</v>
      </c>
      <c r="K22" s="7"/>
      <c r="L22" s="7"/>
      <c r="M22" s="98"/>
    </row>
    <row r="23" spans="1:13" ht="15.75">
      <c r="A23" s="208" t="s">
        <v>180</v>
      </c>
      <c r="C23" s="100">
        <v>0</v>
      </c>
      <c r="D23" s="36"/>
      <c r="F23" s="200" t="s">
        <v>37</v>
      </c>
      <c r="G23" s="561">
        <v>9759881</v>
      </c>
      <c r="H23" s="620">
        <v>0.10743999999999999</v>
      </c>
      <c r="I23" s="196">
        <f t="shared" ref="I23:I31" si="0">G23*H23</f>
        <v>1048601.61464</v>
      </c>
      <c r="J23" s="200" t="s">
        <v>37</v>
      </c>
      <c r="K23" s="561">
        <v>5025669</v>
      </c>
      <c r="L23" s="620">
        <v>0.10496999999999999</v>
      </c>
      <c r="M23" s="196">
        <f>K23*L23</f>
        <v>527544.47493000003</v>
      </c>
    </row>
    <row r="24" spans="1:13" ht="15.75">
      <c r="A24" s="208" t="s">
        <v>186</v>
      </c>
      <c r="C24" s="122">
        <v>0</v>
      </c>
      <c r="D24" s="36"/>
      <c r="F24" s="200" t="s">
        <v>305</v>
      </c>
      <c r="G24" s="561">
        <v>11770</v>
      </c>
      <c r="H24" s="620">
        <v>0.10743999999999999</v>
      </c>
      <c r="I24" s="196">
        <f t="shared" si="0"/>
        <v>1264.5688</v>
      </c>
      <c r="J24" s="200" t="s">
        <v>38</v>
      </c>
      <c r="K24" s="561">
        <v>1996498</v>
      </c>
      <c r="L24" s="620">
        <v>0.10496999999999999</v>
      </c>
      <c r="M24" s="196">
        <f t="shared" ref="M24:M27" si="1">K24*L24</f>
        <v>209572.39505999998</v>
      </c>
    </row>
    <row r="25" spans="1:13" ht="15.75">
      <c r="A25" s="208" t="s">
        <v>189</v>
      </c>
      <c r="C25" s="556">
        <v>0</v>
      </c>
      <c r="D25" s="36"/>
      <c r="F25" s="200" t="s">
        <v>38</v>
      </c>
      <c r="G25" s="561">
        <v>4266905</v>
      </c>
      <c r="H25" s="620">
        <v>9.8650000000000002E-2</v>
      </c>
      <c r="I25" s="196">
        <f t="shared" si="0"/>
        <v>420930.17825</v>
      </c>
      <c r="J25" s="200" t="s">
        <v>39</v>
      </c>
      <c r="K25" s="561">
        <v>34433</v>
      </c>
      <c r="L25" s="620">
        <v>0.10496999999999999</v>
      </c>
      <c r="M25" s="196">
        <f t="shared" si="1"/>
        <v>3614.43201</v>
      </c>
    </row>
    <row r="26" spans="1:13" ht="15.75">
      <c r="A26" s="209" t="s">
        <v>188</v>
      </c>
      <c r="C26" s="557">
        <v>0</v>
      </c>
      <c r="D26" s="36"/>
      <c r="F26" s="200" t="s">
        <v>39</v>
      </c>
      <c r="G26" s="561">
        <v>9867</v>
      </c>
      <c r="H26" s="620">
        <v>9.8650000000000002E-2</v>
      </c>
      <c r="I26" s="196">
        <f t="shared" si="0"/>
        <v>973.37954999999999</v>
      </c>
      <c r="J26" s="200" t="s">
        <v>40</v>
      </c>
      <c r="K26" s="561">
        <v>0</v>
      </c>
      <c r="L26" s="620">
        <v>0.10496999999999999</v>
      </c>
      <c r="M26" s="196">
        <f t="shared" si="1"/>
        <v>0</v>
      </c>
    </row>
    <row r="27" spans="1:13" ht="15.75">
      <c r="A27" s="65" t="s">
        <v>96</v>
      </c>
      <c r="C27" s="100">
        <f>SUM(C23:C26)</f>
        <v>0</v>
      </c>
      <c r="D27" s="36"/>
      <c r="F27" s="200" t="s">
        <v>40</v>
      </c>
      <c r="G27" s="561">
        <v>305691</v>
      </c>
      <c r="H27" s="620">
        <v>0.10433000000000001</v>
      </c>
      <c r="I27" s="196">
        <f t="shared" si="0"/>
        <v>31892.742030000001</v>
      </c>
      <c r="J27" s="200" t="s">
        <v>41</v>
      </c>
      <c r="K27" s="561">
        <v>0</v>
      </c>
      <c r="L27" s="620">
        <v>0.10496999999999999</v>
      </c>
      <c r="M27" s="196">
        <f t="shared" si="1"/>
        <v>0</v>
      </c>
    </row>
    <row r="28" spans="1:13" ht="16.5" thickBot="1">
      <c r="A28" s="210" t="s">
        <v>150</v>
      </c>
      <c r="C28" s="311">
        <v>0</v>
      </c>
      <c r="D28" s="37"/>
      <c r="F28" s="200" t="s">
        <v>41</v>
      </c>
      <c r="G28" s="561">
        <v>46438</v>
      </c>
      <c r="H28" s="620">
        <v>0.10433000000000001</v>
      </c>
      <c r="I28" s="196">
        <f t="shared" si="0"/>
        <v>4844.8765400000002</v>
      </c>
      <c r="J28" s="199" t="s">
        <v>127</v>
      </c>
      <c r="K28" s="181">
        <f>SUM(K23:K27)</f>
        <v>7056600</v>
      </c>
      <c r="L28" s="182"/>
      <c r="M28" s="197">
        <f>SUM(M23:M27)</f>
        <v>740731.30200000003</v>
      </c>
    </row>
    <row r="29" spans="1:13" ht="17.25" thickTop="1" thickBot="1">
      <c r="A29" s="210" t="s">
        <v>167</v>
      </c>
      <c r="B29" s="383"/>
      <c r="C29" s="311">
        <v>0</v>
      </c>
      <c r="D29" s="36"/>
      <c r="F29" s="200" t="s">
        <v>42</v>
      </c>
      <c r="G29" s="561">
        <v>0</v>
      </c>
      <c r="H29" s="620">
        <v>6.2480000000000001E-2</v>
      </c>
      <c r="I29" s="196">
        <f t="shared" si="0"/>
        <v>0</v>
      </c>
      <c r="J29" s="199"/>
      <c r="K29" s="231">
        <v>7056600</v>
      </c>
      <c r="L29" s="187" t="s">
        <v>102</v>
      </c>
      <c r="M29" s="463">
        <f>M28/K28</f>
        <v>0.10497000000000001</v>
      </c>
    </row>
    <row r="30" spans="1:13" ht="16.5" thickBot="1">
      <c r="A30" s="2" t="s">
        <v>111</v>
      </c>
      <c r="C30" s="125">
        <f>C7+C11+C14+C17+C20+C22+C27+C28+C29</f>
        <v>2159472.59</v>
      </c>
      <c r="D30" s="37"/>
      <c r="F30" s="200" t="s">
        <v>43</v>
      </c>
      <c r="G30" s="561">
        <v>93219</v>
      </c>
      <c r="H30" s="620">
        <v>6.2480000000000001E-2</v>
      </c>
      <c r="I30" s="196">
        <f t="shared" si="0"/>
        <v>5824.32312</v>
      </c>
      <c r="J30" s="200"/>
      <c r="K30" s="230">
        <f>K28-K29</f>
        <v>0</v>
      </c>
      <c r="L30" s="182"/>
      <c r="M30" s="198"/>
    </row>
    <row r="31" spans="1:13" ht="15.75">
      <c r="A31" s="382" t="s">
        <v>112</v>
      </c>
      <c r="C31" s="122">
        <v>0</v>
      </c>
      <c r="D31" s="39"/>
      <c r="F31" s="200" t="s">
        <v>74</v>
      </c>
      <c r="G31" s="561">
        <v>3031741</v>
      </c>
      <c r="H31" s="620">
        <v>5.4000000000000001E-4</v>
      </c>
      <c r="I31" s="196">
        <f t="shared" si="0"/>
        <v>1637.14014</v>
      </c>
      <c r="J31" s="153"/>
      <c r="K31" s="7"/>
      <c r="L31" s="182"/>
      <c r="M31" s="198"/>
    </row>
    <row r="32" spans="1:13" ht="16.5" thickBot="1">
      <c r="A32" s="2" t="s">
        <v>116</v>
      </c>
      <c r="B32" s="2" t="s">
        <v>117</v>
      </c>
      <c r="C32" s="564">
        <f>C30+C31</f>
        <v>2159472.59</v>
      </c>
      <c r="D32" s="40"/>
      <c r="F32" s="199" t="s">
        <v>127</v>
      </c>
      <c r="G32" s="181">
        <f>SUM(G23:G31)</f>
        <v>17525512</v>
      </c>
      <c r="H32" s="7"/>
      <c r="I32" s="197">
        <f>SUM(I23:I31)</f>
        <v>1515968.8230700004</v>
      </c>
      <c r="J32" s="192"/>
      <c r="K32" s="193"/>
      <c r="L32" s="7"/>
      <c r="M32" s="190"/>
    </row>
    <row r="33" spans="1:17" ht="17.25" thickTop="1" thickBot="1">
      <c r="A33" s="382" t="s">
        <v>113</v>
      </c>
      <c r="C33" s="310">
        <f>-C5-C9-C13-C16-C19</f>
        <v>-32127.66</v>
      </c>
      <c r="D33" s="36"/>
      <c r="F33" s="186"/>
      <c r="G33" s="231">
        <v>17525512</v>
      </c>
      <c r="H33" s="187" t="s">
        <v>102</v>
      </c>
      <c r="I33" s="216">
        <f>I32/G32</f>
        <v>8.6500686717169831E-2</v>
      </c>
      <c r="J33" s="192"/>
      <c r="K33" s="193"/>
      <c r="L33" s="7"/>
      <c r="M33" s="98"/>
    </row>
    <row r="34" spans="1:17" ht="16.5" thickBot="1">
      <c r="A34" s="2" t="s">
        <v>114</v>
      </c>
      <c r="C34" s="125">
        <f>SUM(C32:C33)</f>
        <v>2127344.9299999997</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602">
        <f>K23</f>
        <v>5025669</v>
      </c>
      <c r="L36" s="620">
        <v>0.16236</v>
      </c>
      <c r="M36" s="196">
        <f t="shared" ref="M36:M42" si="2">K36*L36</f>
        <v>815967.61884000001</v>
      </c>
      <c r="P36" s="272"/>
      <c r="Q36" s="272"/>
    </row>
    <row r="37" spans="1:17" ht="15.75">
      <c r="A37" s="7" t="s">
        <v>129</v>
      </c>
      <c r="B37" s="530" t="s">
        <v>115</v>
      </c>
      <c r="C37" s="558">
        <v>4780218.71</v>
      </c>
      <c r="D37" s="36"/>
      <c r="F37" s="200" t="s">
        <v>37</v>
      </c>
      <c r="G37" s="602">
        <f>G23</f>
        <v>9759881</v>
      </c>
      <c r="H37" s="620">
        <v>0.16436000000000001</v>
      </c>
      <c r="I37" s="196">
        <f t="shared" ref="I37:I44" si="3">G37*H37</f>
        <v>1604134.04116</v>
      </c>
      <c r="J37" s="200" t="s">
        <v>38</v>
      </c>
      <c r="K37" s="602">
        <f>K24</f>
        <v>1996498</v>
      </c>
      <c r="L37" s="620">
        <v>0.16236</v>
      </c>
      <c r="M37" s="196">
        <f t="shared" si="2"/>
        <v>324151.41528000002</v>
      </c>
      <c r="P37" s="272"/>
      <c r="Q37" s="272"/>
    </row>
    <row r="38" spans="1:17" ht="15.75">
      <c r="A38" s="144" t="s">
        <v>14</v>
      </c>
      <c r="B38" s="530" t="s">
        <v>115</v>
      </c>
      <c r="C38" s="558"/>
      <c r="D38" s="36"/>
      <c r="F38" s="200" t="s">
        <v>305</v>
      </c>
      <c r="G38" s="602">
        <f>G24</f>
        <v>11770</v>
      </c>
      <c r="H38" s="620">
        <v>0.16436000000000001</v>
      </c>
      <c r="I38" s="196">
        <f t="shared" si="3"/>
        <v>1934.5172</v>
      </c>
      <c r="J38" s="200" t="s">
        <v>39</v>
      </c>
      <c r="K38" s="602">
        <f>K25</f>
        <v>34433</v>
      </c>
      <c r="L38" s="620">
        <v>0.16236</v>
      </c>
      <c r="M38" s="196">
        <f t="shared" si="2"/>
        <v>5590.5418799999998</v>
      </c>
      <c r="P38" s="272"/>
      <c r="Q38" s="272"/>
    </row>
    <row r="39" spans="1:17" ht="15.75">
      <c r="A39" s="7" t="s">
        <v>146</v>
      </c>
      <c r="B39" s="530" t="s">
        <v>147</v>
      </c>
      <c r="C39" s="558">
        <v>-72610.350000000006</v>
      </c>
      <c r="D39" s="36"/>
      <c r="F39" s="200" t="s">
        <v>38</v>
      </c>
      <c r="G39" s="602">
        <f t="shared" ref="G39:G44" si="4">G25</f>
        <v>4266905</v>
      </c>
      <c r="H39" s="620">
        <v>0.16436000000000001</v>
      </c>
      <c r="I39" s="196">
        <f t="shared" si="3"/>
        <v>701308.50580000004</v>
      </c>
      <c r="J39" s="200" t="s">
        <v>40</v>
      </c>
      <c r="K39" s="602">
        <f>K26</f>
        <v>0</v>
      </c>
      <c r="L39" s="620">
        <v>0.16236</v>
      </c>
      <c r="M39" s="196">
        <f t="shared" si="2"/>
        <v>0</v>
      </c>
      <c r="P39" s="272"/>
      <c r="Q39" s="272"/>
    </row>
    <row r="40" spans="1:17" ht="15.75">
      <c r="A40" s="7" t="s">
        <v>131</v>
      </c>
      <c r="B40" s="530" t="s">
        <v>132</v>
      </c>
      <c r="C40" s="558">
        <v>705923.29</v>
      </c>
      <c r="D40" s="36"/>
      <c r="F40" s="200" t="s">
        <v>39</v>
      </c>
      <c r="G40" s="602">
        <f t="shared" si="4"/>
        <v>9867</v>
      </c>
      <c r="H40" s="620">
        <v>0.16436000000000001</v>
      </c>
      <c r="I40" s="196">
        <f t="shared" si="3"/>
        <v>1621.7401200000002</v>
      </c>
      <c r="J40" s="200" t="s">
        <v>41</v>
      </c>
      <c r="K40" s="602">
        <f>K27</f>
        <v>0</v>
      </c>
      <c r="L40" s="620">
        <v>0.16236</v>
      </c>
      <c r="M40" s="196">
        <f t="shared" si="2"/>
        <v>0</v>
      </c>
      <c r="P40" s="272"/>
      <c r="Q40" s="272"/>
    </row>
    <row r="41" spans="1:17" ht="15.75">
      <c r="A41" s="7" t="s">
        <v>153</v>
      </c>
      <c r="B41" s="6" t="s">
        <v>155</v>
      </c>
      <c r="C41" s="558">
        <f>17615.42+9619.56</f>
        <v>27234.979999999996</v>
      </c>
      <c r="D41" s="36"/>
      <c r="F41" s="200" t="s">
        <v>40</v>
      </c>
      <c r="G41" s="602">
        <f t="shared" si="4"/>
        <v>305691</v>
      </c>
      <c r="H41" s="620">
        <v>0.16436000000000001</v>
      </c>
      <c r="I41" s="196">
        <f t="shared" si="3"/>
        <v>50243.372759999998</v>
      </c>
      <c r="J41" s="200" t="s">
        <v>42</v>
      </c>
      <c r="K41" s="561">
        <v>0</v>
      </c>
      <c r="L41" s="620">
        <v>0.16236</v>
      </c>
      <c r="M41" s="196">
        <f t="shared" si="2"/>
        <v>0</v>
      </c>
      <c r="P41" s="272"/>
      <c r="Q41" s="272"/>
    </row>
    <row r="42" spans="1:17" ht="16.5" thickBot="1">
      <c r="A42" s="7" t="s">
        <v>178</v>
      </c>
      <c r="B42" s="530" t="s">
        <v>179</v>
      </c>
      <c r="C42" s="558">
        <v>747786.54</v>
      </c>
      <c r="D42" s="37"/>
      <c r="F42" s="200" t="s">
        <v>41</v>
      </c>
      <c r="G42" s="602">
        <f t="shared" si="4"/>
        <v>46438</v>
      </c>
      <c r="H42" s="620">
        <v>0.16436000000000001</v>
      </c>
      <c r="I42" s="196">
        <f t="shared" si="3"/>
        <v>7632.5496800000001</v>
      </c>
      <c r="J42" s="200" t="s">
        <v>43</v>
      </c>
      <c r="K42" s="603">
        <v>0</v>
      </c>
      <c r="L42" s="620">
        <v>0.16236</v>
      </c>
      <c r="M42" s="196">
        <f t="shared" si="2"/>
        <v>0</v>
      </c>
      <c r="P42" s="272"/>
      <c r="Q42" s="272"/>
    </row>
    <row r="43" spans="1:17" ht="16.5" thickBot="1">
      <c r="A43" s="85" t="s">
        <v>123</v>
      </c>
      <c r="B43" s="12"/>
      <c r="C43" s="125">
        <f>SUM(C37:C42)</f>
        <v>6188553.1700000009</v>
      </c>
      <c r="D43" s="36"/>
      <c r="F43" s="200" t="s">
        <v>42</v>
      </c>
      <c r="G43" s="602">
        <f t="shared" si="4"/>
        <v>0</v>
      </c>
      <c r="H43" s="620">
        <v>0.16436000000000001</v>
      </c>
      <c r="I43" s="196">
        <f t="shared" si="3"/>
        <v>0</v>
      </c>
      <c r="J43" s="199" t="s">
        <v>133</v>
      </c>
      <c r="K43" s="181">
        <f>SUM(K36:K42)</f>
        <v>7056600</v>
      </c>
      <c r="L43" s="182"/>
      <c r="M43" s="197">
        <f>SUM(M36:M42)</f>
        <v>1145709.5759999999</v>
      </c>
    </row>
    <row r="44" spans="1:17" ht="16.5" thickBot="1">
      <c r="A44" s="83" t="s">
        <v>177</v>
      </c>
      <c r="B44" s="84" t="s">
        <v>120</v>
      </c>
      <c r="C44" s="558">
        <f>-879535.98+700112.94+0+766.2</f>
        <v>-178656.84000000003</v>
      </c>
      <c r="D44" s="37"/>
      <c r="F44" s="200" t="s">
        <v>43</v>
      </c>
      <c r="G44" s="602">
        <f t="shared" si="4"/>
        <v>93219</v>
      </c>
      <c r="H44" s="620">
        <v>0.16436000000000001</v>
      </c>
      <c r="I44" s="196">
        <f t="shared" si="3"/>
        <v>15321.474840000001</v>
      </c>
      <c r="J44" s="194"/>
      <c r="K44" s="232">
        <v>7056600</v>
      </c>
      <c r="L44" s="189" t="s">
        <v>102</v>
      </c>
      <c r="M44" s="217">
        <f>M43/K43</f>
        <v>0.16235999999999998</v>
      </c>
    </row>
    <row r="45" spans="1:17" ht="16.5" thickBot="1">
      <c r="A45" s="211" t="s">
        <v>168</v>
      </c>
      <c r="B45" s="6" t="s">
        <v>115</v>
      </c>
      <c r="C45" s="122">
        <v>0</v>
      </c>
      <c r="D45" s="39"/>
      <c r="F45" s="199" t="s">
        <v>133</v>
      </c>
      <c r="G45" s="181">
        <f>SUM(G37:G44)</f>
        <v>14493771</v>
      </c>
      <c r="H45" s="182"/>
      <c r="I45" s="197">
        <f>SUM(I37:I44)</f>
        <v>2382196.2015600004</v>
      </c>
      <c r="J45" s="85"/>
      <c r="K45" s="230">
        <f>K43-K44</f>
        <v>0</v>
      </c>
      <c r="L45" s="187"/>
      <c r="M45" s="555"/>
    </row>
    <row r="46" spans="1:17" ht="19.5" customHeight="1" thickTop="1" thickBot="1">
      <c r="A46" s="144" t="s">
        <v>169</v>
      </c>
      <c r="B46" s="6" t="s">
        <v>115</v>
      </c>
      <c r="C46" s="122">
        <v>0</v>
      </c>
      <c r="D46" s="40"/>
      <c r="F46" s="188"/>
      <c r="G46" s="232">
        <v>14493771</v>
      </c>
      <c r="H46" s="189" t="s">
        <v>102</v>
      </c>
      <c r="I46" s="215">
        <f>I45/G45</f>
        <v>0.16436000000000003</v>
      </c>
      <c r="J46" s="85"/>
      <c r="K46" s="231"/>
      <c r="L46" s="187"/>
      <c r="M46" s="555"/>
    </row>
    <row r="47" spans="1:17" ht="19.5" customHeight="1">
      <c r="A47" s="382" t="s">
        <v>137</v>
      </c>
      <c r="B47" s="6" t="s">
        <v>115</v>
      </c>
      <c r="C47" s="558">
        <v>0</v>
      </c>
      <c r="D47" s="36"/>
      <c r="F47" s="383"/>
      <c r="G47" s="230">
        <f>G45-G46</f>
        <v>0</v>
      </c>
      <c r="H47" s="383"/>
      <c r="I47" s="383"/>
      <c r="J47" s="124"/>
      <c r="K47" s="230"/>
      <c r="L47" s="383"/>
      <c r="M47" s="124"/>
    </row>
    <row r="48" spans="1:17" ht="16.5" thickBot="1">
      <c r="A48" s="144" t="s">
        <v>304</v>
      </c>
      <c r="B48" s="6" t="s">
        <v>115</v>
      </c>
      <c r="C48" s="558">
        <v>7000</v>
      </c>
      <c r="D48" s="36"/>
      <c r="F48" s="383"/>
      <c r="G48" s="383"/>
      <c r="H48" s="383"/>
      <c r="I48" s="383"/>
      <c r="J48" s="124"/>
      <c r="K48" s="114"/>
      <c r="L48" s="383"/>
      <c r="M48" s="68"/>
    </row>
    <row r="49" spans="1:21" ht="15.75">
      <c r="A49" s="7" t="s">
        <v>130</v>
      </c>
      <c r="B49" s="530" t="s">
        <v>152</v>
      </c>
      <c r="C49" s="558">
        <v>20666.11</v>
      </c>
      <c r="D49" s="36"/>
      <c r="F49" s="383"/>
      <c r="G49" s="114"/>
      <c r="H49" s="129" t="s">
        <v>35</v>
      </c>
      <c r="I49" s="13" t="s">
        <v>35</v>
      </c>
      <c r="J49" s="13" t="s">
        <v>63</v>
      </c>
      <c r="K49" s="127" t="s">
        <v>70</v>
      </c>
      <c r="L49" s="124"/>
      <c r="M49" s="383"/>
    </row>
    <row r="50" spans="1:21" ht="16.5" thickBot="1">
      <c r="A50" s="7" t="s">
        <v>222</v>
      </c>
      <c r="B50" s="530" t="s">
        <v>152</v>
      </c>
      <c r="C50" s="558">
        <v>2760.85</v>
      </c>
      <c r="D50" s="37"/>
      <c r="F50" s="50" t="s">
        <v>73</v>
      </c>
      <c r="G50" s="383"/>
      <c r="H50" s="130" t="s">
        <v>2</v>
      </c>
      <c r="I50" s="131" t="s">
        <v>3</v>
      </c>
      <c r="J50" s="131" t="s">
        <v>2</v>
      </c>
      <c r="K50" s="128" t="s">
        <v>3</v>
      </c>
      <c r="L50" s="383"/>
      <c r="M50" s="383"/>
    </row>
    <row r="51" spans="1:21" ht="15.75">
      <c r="A51" s="7" t="s">
        <v>308</v>
      </c>
      <c r="B51" s="530" t="s">
        <v>152</v>
      </c>
      <c r="C51" s="558">
        <v>1813.07</v>
      </c>
      <c r="D51" s="36"/>
      <c r="F51" s="383"/>
      <c r="G51" s="383"/>
      <c r="H51" s="151"/>
      <c r="I51" s="152"/>
      <c r="J51" s="152"/>
      <c r="K51" s="152"/>
      <c r="L51" s="126" t="s">
        <v>103</v>
      </c>
      <c r="M51" s="383"/>
    </row>
    <row r="52" spans="1:21" ht="15.75">
      <c r="A52" s="22" t="s">
        <v>118</v>
      </c>
      <c r="B52" s="6"/>
      <c r="C52" s="100">
        <f>-C33</f>
        <v>32127.66</v>
      </c>
      <c r="D52" s="33"/>
      <c r="F52" s="383" t="s">
        <v>136</v>
      </c>
      <c r="G52" s="383"/>
      <c r="H52" s="212">
        <f>K12</f>
        <v>1094744.7957200008</v>
      </c>
      <c r="I52" s="115">
        <f>I14</f>
        <v>1469144.4086579997</v>
      </c>
      <c r="J52" s="115">
        <f>L12</f>
        <v>531054.41428000038</v>
      </c>
      <c r="K52" s="115">
        <f>J14</f>
        <v>658200.52134199988</v>
      </c>
      <c r="L52" s="132">
        <f>SUM(H52:K52)</f>
        <v>3753144.1400000006</v>
      </c>
      <c r="M52" s="383"/>
    </row>
    <row r="53" spans="1:21" ht="16.5" thickBot="1">
      <c r="A53" s="383" t="s">
        <v>315</v>
      </c>
      <c r="B53" s="670" t="s">
        <v>316</v>
      </c>
      <c r="C53" s="558">
        <v>11016.01</v>
      </c>
      <c r="D53" s="36"/>
      <c r="F53" s="382" t="s">
        <v>109</v>
      </c>
      <c r="H53" s="212">
        <f>-I45</f>
        <v>-2382196.2015600004</v>
      </c>
      <c r="I53" s="115">
        <f>-I32</f>
        <v>-1515968.8230700004</v>
      </c>
      <c r="J53" s="115">
        <f>-M43</f>
        <v>-1145709.5759999999</v>
      </c>
      <c r="K53" s="115">
        <f>-M28</f>
        <v>-740731.30200000003</v>
      </c>
      <c r="L53" s="260">
        <f>SUM(H53:K53)</f>
        <v>-5784605.9026300004</v>
      </c>
    </row>
    <row r="54" spans="1:21" ht="16.5" thickBot="1">
      <c r="A54" s="380" t="s">
        <v>124</v>
      </c>
      <c r="B54" s="471" t="s">
        <v>296</v>
      </c>
      <c r="C54" s="558">
        <f>-1666226.86-524454.75-1961886.22</f>
        <v>-4152567.83</v>
      </c>
      <c r="D54" s="36"/>
      <c r="F54" s="382" t="s">
        <v>86</v>
      </c>
      <c r="H54" s="234">
        <v>0</v>
      </c>
      <c r="I54" s="235">
        <v>0</v>
      </c>
      <c r="J54" s="235">
        <v>0</v>
      </c>
      <c r="K54" s="236">
        <v>0</v>
      </c>
      <c r="L54" s="214">
        <f>SUM(L52:L53)</f>
        <v>-2031461.7626299998</v>
      </c>
    </row>
    <row r="55" spans="1:21" ht="16.5" thickBot="1">
      <c r="A55" s="382" t="s">
        <v>312</v>
      </c>
      <c r="B55" s="6" t="s">
        <v>190</v>
      </c>
      <c r="C55" s="558">
        <v>-375000</v>
      </c>
      <c r="D55" s="36"/>
      <c r="F55" s="382" t="s">
        <v>71</v>
      </c>
      <c r="H55" s="125">
        <f>IFERROR(H52+H53+H54,0)</f>
        <v>-1287451.4058399997</v>
      </c>
      <c r="I55" s="125">
        <f>I52+I53+I54</f>
        <v>-46824.414412000682</v>
      </c>
      <c r="J55" s="125">
        <f>IFERROR(J52+J53+J54,0)</f>
        <v>-614655.16171999951</v>
      </c>
      <c r="K55" s="125">
        <f>K52+K53+K54</f>
        <v>-82530.780658000149</v>
      </c>
      <c r="L55" s="47">
        <f>SUM(H55:K55)</f>
        <v>-2031461.76263</v>
      </c>
    </row>
    <row r="56" spans="1:21" ht="16.5" thickBot="1">
      <c r="A56" s="82" t="s">
        <v>119</v>
      </c>
      <c r="B56" s="84"/>
      <c r="C56" s="160">
        <f>SUM(C43:C55)</f>
        <v>1557712.2000000011</v>
      </c>
      <c r="D56" s="36"/>
      <c r="F56" s="239" t="s">
        <v>181</v>
      </c>
      <c r="H56" s="382" t="s">
        <v>173</v>
      </c>
      <c r="I56" s="5">
        <f>SUM(H55:I55)</f>
        <v>-1334275.8202520004</v>
      </c>
      <c r="J56" s="15" t="s">
        <v>174</v>
      </c>
      <c r="K56" s="382">
        <f>SUM(J55:K55)</f>
        <v>-697185.94237799966</v>
      </c>
      <c r="L56" s="213">
        <f>ROUND(L54-L55,3)</f>
        <v>0</v>
      </c>
      <c r="T56" s="42"/>
    </row>
    <row r="57" spans="1:21" ht="16.5" thickTop="1">
      <c r="A57" s="382" t="s">
        <v>121</v>
      </c>
      <c r="B57" s="6" t="s">
        <v>115</v>
      </c>
      <c r="C57" s="558">
        <v>47027.57</v>
      </c>
      <c r="D57" s="36"/>
      <c r="F57" s="395" t="s">
        <v>181</v>
      </c>
      <c r="H57" s="96"/>
    </row>
    <row r="58" spans="1:21" ht="16.5" thickBot="1">
      <c r="A58" s="382" t="s">
        <v>122</v>
      </c>
      <c r="B58" s="6" t="s">
        <v>115</v>
      </c>
      <c r="C58" s="558">
        <v>21059.439999999999</v>
      </c>
      <c r="D58" s="36"/>
      <c r="F58" s="395" t="s">
        <v>182</v>
      </c>
      <c r="H58" s="157"/>
      <c r="I58" s="120"/>
      <c r="J58" s="120"/>
      <c r="K58" s="204"/>
      <c r="L58" s="120"/>
    </row>
    <row r="59" spans="1:21" ht="16.5" thickBot="1">
      <c r="A59" s="2" t="s">
        <v>125</v>
      </c>
      <c r="B59" s="2"/>
      <c r="C59" s="160">
        <f>SUM(C56:C58)</f>
        <v>1625799.2100000011</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3753144.1400000006</v>
      </c>
      <c r="D61" s="37"/>
      <c r="H61" s="347" t="e">
        <f>SUM('WA - Def-Amtz (current)'!AS5:AS40)+SUM(#REF!)+SUM(#REF!)-0.01</f>
        <v>#REF!</v>
      </c>
      <c r="I61" s="447" t="e">
        <f>SUM('WA - Def-Amtz (current)'!AT5:AT40)+SUM(#REF!)+SUM(#REF!)-0.01</f>
        <v>#REF!</v>
      </c>
      <c r="J61" s="382">
        <f>H53+I53+J53+K53</f>
        <v>-5784605.9026300004</v>
      </c>
    </row>
    <row r="62" spans="1:21" ht="15.75">
      <c r="A62" s="2"/>
      <c r="B62" s="9" t="s">
        <v>160</v>
      </c>
      <c r="C62" s="604">
        <v>3753144.14</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67" priority="9" stopIfTrue="1" operator="equal">
      <formula>0</formula>
    </cfRule>
    <cfRule type="cellIs" dxfId="266" priority="10" stopIfTrue="1" operator="notEqual">
      <formula>0</formula>
    </cfRule>
  </conditionalFormatting>
  <conditionalFormatting sqref="G34 G47 K30 K47">
    <cfRule type="cellIs" dxfId="265" priority="8" operator="notEqual">
      <formula>0</formula>
    </cfRule>
  </conditionalFormatting>
  <conditionalFormatting sqref="C63">
    <cfRule type="cellIs" dxfId="264" priority="6" stopIfTrue="1" operator="equal">
      <formula>0</formula>
    </cfRule>
    <cfRule type="cellIs" dxfId="263" priority="7" stopIfTrue="1" operator="notEqual">
      <formula>0</formula>
    </cfRule>
  </conditionalFormatting>
  <conditionalFormatting sqref="K30">
    <cfRule type="cellIs" dxfId="262" priority="5" operator="notEqual">
      <formula>0</formula>
    </cfRule>
  </conditionalFormatting>
  <conditionalFormatting sqref="G59">
    <cfRule type="cellIs" dxfId="261" priority="4" operator="equal">
      <formula>"""ERROR"""</formula>
    </cfRule>
  </conditionalFormatting>
  <conditionalFormatting sqref="G59">
    <cfRule type="cellIs" dxfId="260" priority="3" operator="equal">
      <formula>"ERROR"</formula>
    </cfRule>
  </conditionalFormatting>
  <conditionalFormatting sqref="G59">
    <cfRule type="cellIs" dxfId="259" priority="2" operator="equal">
      <formula>"ERROR"</formula>
    </cfRule>
  </conditionalFormatting>
  <conditionalFormatting sqref="K45">
    <cfRule type="cellIs" dxfId="258"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tabColor rgb="FF00CC66"/>
    <pageSetUpPr fitToPage="1"/>
  </sheetPr>
  <dimension ref="A1:U1485"/>
  <sheetViews>
    <sheetView showGridLines="0" zoomScale="70" zoomScaleNormal="70" workbookViewId="0">
      <selection activeCell="C19" activeCellId="2" sqref="C5 C9 C19"/>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527">
        <f>Apr!C1+1</f>
        <v>201805</v>
      </c>
      <c r="F1" s="527">
        <f>C1</f>
        <v>201805</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66">
        <f>1247.22+3655974.78</f>
        <v>3657222</v>
      </c>
      <c r="D4" s="34"/>
      <c r="F4" s="383"/>
      <c r="G4" s="383"/>
      <c r="H4" s="11"/>
      <c r="I4" s="383"/>
      <c r="J4" s="383"/>
      <c r="L4" s="383"/>
      <c r="M4" s="383"/>
    </row>
    <row r="5" spans="1:13" ht="14.25" customHeight="1">
      <c r="A5" s="383" t="s">
        <v>31</v>
      </c>
      <c r="C5" s="566">
        <f>20069.61</f>
        <v>20069.61</v>
      </c>
      <c r="D5" s="34"/>
      <c r="F5" s="383"/>
      <c r="G5" s="383"/>
      <c r="H5" s="11"/>
      <c r="I5" s="589">
        <v>0.69059999999999999</v>
      </c>
      <c r="J5" s="589">
        <v>0.30940000000000001</v>
      </c>
      <c r="K5" s="443">
        <f>ROUND(G45/(G45+K43),4)</f>
        <v>0.68330000000000002</v>
      </c>
      <c r="L5" s="443">
        <f>1-K5</f>
        <v>0.31669999999999998</v>
      </c>
      <c r="M5" s="383"/>
    </row>
    <row r="6" spans="1:13" ht="16.5" thickBot="1">
      <c r="A6" s="49" t="s">
        <v>30</v>
      </c>
      <c r="C6" s="567">
        <f>-1494747.7-426339.9-121811.4-137037.83-78568.35-98131.26</f>
        <v>-2356636.44</v>
      </c>
      <c r="D6" s="34"/>
      <c r="F6" s="383"/>
      <c r="G6" s="383"/>
      <c r="H6" s="383"/>
      <c r="I6" s="383"/>
      <c r="J6" s="383"/>
      <c r="K6" s="383"/>
      <c r="L6" s="383"/>
      <c r="M6" s="383"/>
    </row>
    <row r="7" spans="1:13" ht="16.5" thickBot="1">
      <c r="A7" s="66" t="s">
        <v>140</v>
      </c>
      <c r="C7" s="100">
        <f>SUM(C4:C6)</f>
        <v>1320655.17</v>
      </c>
      <c r="D7" s="35"/>
      <c r="F7" s="166" t="s">
        <v>139</v>
      </c>
      <c r="G7" s="166"/>
      <c r="H7" s="125">
        <f>C34</f>
        <v>2169276.1599999997</v>
      </c>
      <c r="I7" s="167">
        <f>H7*I5</f>
        <v>1498102.1160959997</v>
      </c>
      <c r="J7" s="167">
        <f>H7*J5</f>
        <v>671174.04390399996</v>
      </c>
      <c r="K7" s="167"/>
      <c r="L7" s="167"/>
      <c r="M7" s="383"/>
    </row>
    <row r="8" spans="1:13" ht="15.75">
      <c r="A8" s="382" t="s">
        <v>89</v>
      </c>
      <c r="C8" s="566">
        <f>191512.75</f>
        <v>191512.75</v>
      </c>
      <c r="D8" s="35"/>
      <c r="F8" s="383"/>
      <c r="G8" s="383"/>
      <c r="H8" s="168"/>
      <c r="I8" s="168"/>
      <c r="J8" s="168"/>
      <c r="K8" s="168"/>
      <c r="L8" s="168"/>
      <c r="M8" s="383"/>
    </row>
    <row r="9" spans="1:13" ht="15.75">
      <c r="A9" s="383" t="s">
        <v>90</v>
      </c>
      <c r="C9" s="566">
        <f>4730.93+817.76</f>
        <v>5548.6900000000005</v>
      </c>
      <c r="D9" s="36"/>
      <c r="F9" s="166" t="s">
        <v>119</v>
      </c>
      <c r="G9" s="383"/>
      <c r="H9" s="167">
        <f>C56</f>
        <v>-386327.95000000019</v>
      </c>
      <c r="I9" s="167"/>
      <c r="J9" s="167"/>
      <c r="K9" s="167">
        <f>H9*K5</f>
        <v>-263977.88823500014</v>
      </c>
      <c r="L9" s="167">
        <f>H9*L5</f>
        <v>-122350.06176500005</v>
      </c>
      <c r="M9" s="383"/>
    </row>
    <row r="10" spans="1:13" ht="15.75">
      <c r="A10" s="49" t="s">
        <v>91</v>
      </c>
      <c r="C10" s="567">
        <v>-3418.47</v>
      </c>
      <c r="D10" s="36"/>
      <c r="F10" s="169" t="s">
        <v>44</v>
      </c>
      <c r="G10" s="383"/>
      <c r="H10" s="167">
        <f>C57</f>
        <v>19270.650000000001</v>
      </c>
      <c r="I10" s="167"/>
      <c r="J10" s="167"/>
      <c r="K10" s="167">
        <f>H10</f>
        <v>19270.650000000001</v>
      </c>
      <c r="L10" s="167"/>
      <c r="M10" s="383"/>
    </row>
    <row r="11" spans="1:13">
      <c r="A11" s="66" t="s">
        <v>145</v>
      </c>
      <c r="C11" s="100">
        <f>SUM(C8:C10)</f>
        <v>193642.97</v>
      </c>
      <c r="D11" s="36"/>
      <c r="F11" s="169" t="s">
        <v>45</v>
      </c>
      <c r="G11" s="383"/>
      <c r="H11" s="170">
        <f>C58</f>
        <v>9331.16</v>
      </c>
      <c r="I11" s="167"/>
      <c r="J11" s="167"/>
      <c r="K11" s="170"/>
      <c r="L11" s="170">
        <f>H11</f>
        <v>9331.16</v>
      </c>
      <c r="M11" s="383"/>
    </row>
    <row r="12" spans="1:13" ht="15.75">
      <c r="A12" s="382" t="s">
        <v>165</v>
      </c>
      <c r="C12" s="566">
        <f>190715.15+869.63</f>
        <v>191584.78</v>
      </c>
      <c r="D12" s="36"/>
      <c r="F12" s="169" t="s">
        <v>138</v>
      </c>
      <c r="G12" s="383"/>
      <c r="H12" s="167">
        <f>H9+H10+H11</f>
        <v>-357726.14000000019</v>
      </c>
      <c r="I12" s="167"/>
      <c r="J12" s="167"/>
      <c r="K12" s="167">
        <f>SUM(K9:K11)</f>
        <v>-244707.23823500014</v>
      </c>
      <c r="L12" s="167">
        <f>SUM(L9:L11)</f>
        <v>-113018.90176500005</v>
      </c>
      <c r="M12" s="383"/>
    </row>
    <row r="13" spans="1:13" ht="16.5" thickBot="1">
      <c r="A13" s="49" t="s">
        <v>166</v>
      </c>
      <c r="C13" s="554">
        <v>0</v>
      </c>
      <c r="D13" s="36"/>
      <c r="F13" s="171"/>
      <c r="G13" s="172"/>
      <c r="H13" s="173"/>
      <c r="I13" s="174"/>
      <c r="J13" s="173"/>
      <c r="K13" s="168"/>
      <c r="L13" s="173"/>
      <c r="M13" s="383"/>
    </row>
    <row r="14" spans="1:13" ht="16.5" thickBot="1">
      <c r="A14" s="66" t="s">
        <v>92</v>
      </c>
      <c r="C14" s="100">
        <f>SUM(C12:C13)</f>
        <v>191584.78</v>
      </c>
      <c r="D14" s="37"/>
      <c r="F14" s="50" t="s">
        <v>69</v>
      </c>
      <c r="G14" s="175"/>
      <c r="H14" s="125">
        <f>H12+H7</f>
        <v>1811550.0199999996</v>
      </c>
      <c r="I14" s="176">
        <f>SUM(I7:I13)</f>
        <v>1498102.1160959997</v>
      </c>
      <c r="J14" s="176">
        <f>SUM(J7:J13)</f>
        <v>671174.04390399996</v>
      </c>
      <c r="K14" s="176">
        <f>K12</f>
        <v>-244707.23823500014</v>
      </c>
      <c r="L14" s="176">
        <f>L12</f>
        <v>-113018.90176500005</v>
      </c>
      <c r="M14" s="383"/>
    </row>
    <row r="15" spans="1:13" ht="15.75">
      <c r="A15" s="382" t="s">
        <v>183</v>
      </c>
      <c r="C15" s="566">
        <f>1783.42+398635.04</f>
        <v>400418.45999999996</v>
      </c>
      <c r="D15" s="36"/>
      <c r="F15" s="171"/>
      <c r="G15" s="172" t="s">
        <v>102</v>
      </c>
      <c r="H15" s="173">
        <f>H14-C61</f>
        <v>0</v>
      </c>
      <c r="I15" s="177"/>
      <c r="J15" s="173">
        <f>J7+I7-H7</f>
        <v>0</v>
      </c>
      <c r="K15" s="383"/>
      <c r="L15" s="173">
        <f>H12-K14-L14</f>
        <v>0</v>
      </c>
      <c r="M15" s="383"/>
    </row>
    <row r="16" spans="1:13" ht="15.75">
      <c r="A16" s="49" t="s">
        <v>184</v>
      </c>
      <c r="C16" s="554">
        <v>0</v>
      </c>
      <c r="D16" s="36"/>
      <c r="F16" s="178"/>
      <c r="G16" s="172"/>
      <c r="H16" s="179"/>
      <c r="I16" s="180"/>
      <c r="J16" s="179"/>
      <c r="K16" s="383"/>
      <c r="L16" s="179"/>
      <c r="M16" s="383"/>
    </row>
    <row r="17" spans="1:13" ht="15.75" thickBot="1">
      <c r="A17" s="66" t="s">
        <v>185</v>
      </c>
      <c r="C17" s="100">
        <f>SUM(C15:C16)</f>
        <v>400418.45999999996</v>
      </c>
      <c r="D17" s="37"/>
      <c r="F17" s="171"/>
      <c r="G17" s="172"/>
      <c r="H17" s="179"/>
      <c r="I17" s="180"/>
      <c r="J17" s="183"/>
      <c r="K17" s="383"/>
      <c r="L17" s="179"/>
      <c r="M17" s="383"/>
    </row>
    <row r="18" spans="1:13" ht="16.5" thickBot="1">
      <c r="A18" s="382" t="s">
        <v>163</v>
      </c>
      <c r="C18" s="566">
        <f>82092.5+420.11+10041.2</f>
        <v>92553.81</v>
      </c>
      <c r="D18" s="36"/>
      <c r="F18" s="691" t="s">
        <v>134</v>
      </c>
      <c r="G18" s="692"/>
      <c r="H18" s="692"/>
      <c r="I18" s="693"/>
      <c r="J18" s="691" t="s">
        <v>135</v>
      </c>
      <c r="K18" s="692"/>
      <c r="L18" s="692"/>
      <c r="M18" s="693"/>
    </row>
    <row r="19" spans="1:13" ht="15.75">
      <c r="A19" s="46" t="s">
        <v>164</v>
      </c>
      <c r="C19" s="567">
        <f>-1072.08</f>
        <v>-1072.08</v>
      </c>
      <c r="D19" s="36"/>
      <c r="F19" s="201" t="s">
        <v>108</v>
      </c>
      <c r="G19" s="164" t="s">
        <v>33</v>
      </c>
      <c r="H19" s="164" t="s">
        <v>33</v>
      </c>
      <c r="I19" s="164" t="s">
        <v>33</v>
      </c>
      <c r="J19" s="201" t="s">
        <v>108</v>
      </c>
      <c r="K19" s="164" t="s">
        <v>33</v>
      </c>
      <c r="L19" s="164" t="s">
        <v>33</v>
      </c>
      <c r="M19" s="185" t="s">
        <v>33</v>
      </c>
    </row>
    <row r="20" spans="1:13" ht="16.5" thickBot="1">
      <c r="A20" s="67" t="s">
        <v>93</v>
      </c>
      <c r="C20" s="100">
        <f>SUM(C18:C19)</f>
        <v>91481.73</v>
      </c>
      <c r="D20" s="36"/>
      <c r="F20" s="195" t="s">
        <v>162</v>
      </c>
      <c r="G20" s="165" t="s">
        <v>101</v>
      </c>
      <c r="H20" s="165" t="s">
        <v>36</v>
      </c>
      <c r="I20" s="165" t="s">
        <v>34</v>
      </c>
      <c r="J20" s="195" t="s">
        <v>162</v>
      </c>
      <c r="K20" s="165" t="s">
        <v>101</v>
      </c>
      <c r="L20" s="165" t="s">
        <v>36</v>
      </c>
      <c r="M20" s="165" t="s">
        <v>34</v>
      </c>
    </row>
    <row r="21" spans="1:13" ht="15.75">
      <c r="A21" s="46" t="s">
        <v>149</v>
      </c>
      <c r="C21" s="567">
        <f>2458.15+1850</f>
        <v>4308.1499999999996</v>
      </c>
      <c r="D21" s="36"/>
      <c r="F21" s="184"/>
      <c r="G21" s="12"/>
      <c r="H21" s="12"/>
      <c r="I21" s="185"/>
      <c r="J21" s="129"/>
      <c r="K21" s="13"/>
      <c r="L21" s="13"/>
      <c r="M21" s="205"/>
    </row>
    <row r="22" spans="1:13" ht="18" customHeight="1">
      <c r="A22" s="65" t="s">
        <v>149</v>
      </c>
      <c r="C22" s="100">
        <f>SUM(C21)</f>
        <v>4308.1499999999996</v>
      </c>
      <c r="D22" s="36"/>
      <c r="F22" s="199" t="s">
        <v>126</v>
      </c>
      <c r="G22" s="7"/>
      <c r="H22" s="7"/>
      <c r="I22" s="98"/>
      <c r="J22" s="199" t="s">
        <v>126</v>
      </c>
      <c r="K22" s="7"/>
      <c r="L22" s="7"/>
      <c r="M22" s="98"/>
    </row>
    <row r="23" spans="1:13" ht="15.75">
      <c r="A23" s="208" t="s">
        <v>180</v>
      </c>
      <c r="C23" s="100">
        <v>0</v>
      </c>
      <c r="D23" s="36"/>
      <c r="F23" s="200" t="s">
        <v>37</v>
      </c>
      <c r="G23" s="561">
        <v>3286813</v>
      </c>
      <c r="H23" s="620">
        <v>0.10743999999999999</v>
      </c>
      <c r="I23" s="196">
        <f t="shared" ref="I23:I31" si="0">G23*H23</f>
        <v>353135.18871999998</v>
      </c>
      <c r="J23" s="200" t="s">
        <v>37</v>
      </c>
      <c r="K23" s="561">
        <v>1559887</v>
      </c>
      <c r="L23" s="620">
        <v>0.10496999999999999</v>
      </c>
      <c r="M23" s="196">
        <f>K23*L23</f>
        <v>163741.33838999999</v>
      </c>
    </row>
    <row r="24" spans="1:13" ht="15.75">
      <c r="A24" s="208" t="s">
        <v>186</v>
      </c>
      <c r="C24" s="311">
        <v>0</v>
      </c>
      <c r="D24" s="36"/>
      <c r="F24" s="200" t="s">
        <v>305</v>
      </c>
      <c r="G24" s="561">
        <v>4240</v>
      </c>
      <c r="H24" s="620">
        <v>0.10743999999999999</v>
      </c>
      <c r="I24" s="196">
        <f t="shared" si="0"/>
        <v>455.54559999999998</v>
      </c>
      <c r="J24" s="200" t="s">
        <v>38</v>
      </c>
      <c r="K24" s="561">
        <v>1126511</v>
      </c>
      <c r="L24" s="620">
        <v>0.10496999999999999</v>
      </c>
      <c r="M24" s="196">
        <f t="shared" ref="M24:M27" si="1">K24*L24</f>
        <v>118249.85966999999</v>
      </c>
    </row>
    <row r="25" spans="1:13" ht="15.75">
      <c r="A25" s="208" t="s">
        <v>189</v>
      </c>
      <c r="C25" s="312">
        <v>0</v>
      </c>
      <c r="D25" s="36"/>
      <c r="F25" s="200" t="s">
        <v>38</v>
      </c>
      <c r="G25" s="561">
        <v>2210506</v>
      </c>
      <c r="H25" s="620">
        <v>9.8650000000000002E-2</v>
      </c>
      <c r="I25" s="196">
        <f t="shared" si="0"/>
        <v>218066.41690000001</v>
      </c>
      <c r="J25" s="200" t="s">
        <v>39</v>
      </c>
      <c r="K25" s="561">
        <v>30470</v>
      </c>
      <c r="L25" s="620">
        <v>0.10496999999999999</v>
      </c>
      <c r="M25" s="196">
        <f t="shared" si="1"/>
        <v>3198.4358999999999</v>
      </c>
    </row>
    <row r="26" spans="1:13" ht="15.75">
      <c r="A26" s="209" t="s">
        <v>188</v>
      </c>
      <c r="C26" s="313">
        <v>0</v>
      </c>
      <c r="D26" s="36"/>
      <c r="F26" s="200" t="s">
        <v>39</v>
      </c>
      <c r="G26" s="561">
        <v>3523</v>
      </c>
      <c r="H26" s="620">
        <v>9.8650000000000002E-2</v>
      </c>
      <c r="I26" s="196">
        <f t="shared" si="0"/>
        <v>347.54395</v>
      </c>
      <c r="J26" s="200" t="s">
        <v>40</v>
      </c>
      <c r="K26" s="561">
        <v>0</v>
      </c>
      <c r="L26" s="620">
        <v>0.10496999999999999</v>
      </c>
      <c r="M26" s="196">
        <f t="shared" si="1"/>
        <v>0</v>
      </c>
    </row>
    <row r="27" spans="1:13" ht="15.75">
      <c r="A27" s="65" t="s">
        <v>96</v>
      </c>
      <c r="C27" s="100">
        <f>SUM(C23:C26)</f>
        <v>0</v>
      </c>
      <c r="D27" s="36"/>
      <c r="F27" s="200" t="s">
        <v>40</v>
      </c>
      <c r="G27" s="561">
        <v>234262</v>
      </c>
      <c r="H27" s="620">
        <v>0.10433000000000001</v>
      </c>
      <c r="I27" s="196">
        <f t="shared" si="0"/>
        <v>24440.554460000003</v>
      </c>
      <c r="J27" s="200" t="s">
        <v>41</v>
      </c>
      <c r="K27" s="561">
        <v>0</v>
      </c>
      <c r="L27" s="620">
        <v>0.10496999999999999</v>
      </c>
      <c r="M27" s="196">
        <f t="shared" si="1"/>
        <v>0</v>
      </c>
    </row>
    <row r="28" spans="1:13" ht="16.5" thickBot="1">
      <c r="A28" s="210" t="s">
        <v>150</v>
      </c>
      <c r="C28" s="311">
        <v>0</v>
      </c>
      <c r="D28" s="37"/>
      <c r="F28" s="200" t="s">
        <v>41</v>
      </c>
      <c r="G28" s="561">
        <v>49642</v>
      </c>
      <c r="H28" s="620">
        <v>0.10433000000000001</v>
      </c>
      <c r="I28" s="196">
        <f t="shared" si="0"/>
        <v>5179.1498600000004</v>
      </c>
      <c r="J28" s="199" t="s">
        <v>127</v>
      </c>
      <c r="K28" s="181">
        <f>SUM(K23:K27)</f>
        <v>2716868</v>
      </c>
      <c r="L28" s="182"/>
      <c r="M28" s="197">
        <f>SUM(M23:M27)</f>
        <v>285189.63395999995</v>
      </c>
    </row>
    <row r="29" spans="1:13" ht="17.25" thickTop="1" thickBot="1">
      <c r="A29" s="210" t="s">
        <v>167</v>
      </c>
      <c r="B29" s="383"/>
      <c r="C29" s="311">
        <v>0</v>
      </c>
      <c r="D29" s="36"/>
      <c r="F29" s="200" t="s">
        <v>42</v>
      </c>
      <c r="G29" s="561">
        <v>0</v>
      </c>
      <c r="H29" s="620">
        <v>6.2480000000000001E-2</v>
      </c>
      <c r="I29" s="196">
        <f t="shared" si="0"/>
        <v>0</v>
      </c>
      <c r="J29" s="199"/>
      <c r="K29" s="231">
        <v>2716868</v>
      </c>
      <c r="L29" s="187" t="s">
        <v>102</v>
      </c>
      <c r="M29" s="463">
        <f>M28/K28</f>
        <v>0.10496999999999998</v>
      </c>
    </row>
    <row r="30" spans="1:13" ht="16.5" thickBot="1">
      <c r="A30" s="2" t="s">
        <v>111</v>
      </c>
      <c r="C30" s="125">
        <f>C7+C11+C14+C17+C20+C22+C27+C28+C29</f>
        <v>2202091.2599999998</v>
      </c>
      <c r="D30" s="37"/>
      <c r="F30" s="200" t="s">
        <v>43</v>
      </c>
      <c r="G30" s="561">
        <v>72901</v>
      </c>
      <c r="H30" s="620">
        <v>6.2480000000000001E-2</v>
      </c>
      <c r="I30" s="196">
        <f t="shared" si="0"/>
        <v>4554.85448</v>
      </c>
      <c r="J30" s="200"/>
      <c r="K30" s="230">
        <f>K28-K29</f>
        <v>0</v>
      </c>
      <c r="L30" s="182"/>
      <c r="M30" s="198"/>
    </row>
    <row r="31" spans="1:13" ht="15.75">
      <c r="A31" s="382" t="s">
        <v>112</v>
      </c>
      <c r="C31" s="566">
        <v>-8268.8799999999992</v>
      </c>
      <c r="D31" s="39"/>
      <c r="F31" s="200" t="s">
        <v>74</v>
      </c>
      <c r="G31" s="561">
        <v>2500964</v>
      </c>
      <c r="H31" s="620">
        <v>5.4000000000000001E-4</v>
      </c>
      <c r="I31" s="196">
        <f t="shared" si="0"/>
        <v>1350.5205599999999</v>
      </c>
      <c r="J31" s="153"/>
      <c r="K31" s="7"/>
      <c r="L31" s="182"/>
      <c r="M31" s="198"/>
    </row>
    <row r="32" spans="1:13" ht="16.5" thickBot="1">
      <c r="A32" s="2" t="s">
        <v>116</v>
      </c>
      <c r="B32" s="2" t="s">
        <v>117</v>
      </c>
      <c r="C32" s="564">
        <f>C30+C31</f>
        <v>2193822.38</v>
      </c>
      <c r="D32" s="40"/>
      <c r="F32" s="199" t="s">
        <v>127</v>
      </c>
      <c r="G32" s="181">
        <f>SUM(G23:G31)</f>
        <v>8362851</v>
      </c>
      <c r="H32" s="7"/>
      <c r="I32" s="197">
        <f>SUM(I23:I31)</f>
        <v>607529.77452999994</v>
      </c>
      <c r="J32" s="192"/>
      <c r="K32" s="193"/>
      <c r="L32" s="7"/>
      <c r="M32" s="190"/>
    </row>
    <row r="33" spans="1:17" ht="17.25" thickTop="1" thickBot="1">
      <c r="A33" s="382" t="s">
        <v>113</v>
      </c>
      <c r="C33" s="564">
        <f>-C5-C9-C13-C16-C19</f>
        <v>-24546.22</v>
      </c>
      <c r="D33" s="36"/>
      <c r="F33" s="186"/>
      <c r="G33" s="231">
        <v>8362851</v>
      </c>
      <c r="H33" s="187" t="s">
        <v>102</v>
      </c>
      <c r="I33" s="216">
        <f>I32/G32</f>
        <v>7.2646251204284279E-2</v>
      </c>
      <c r="J33" s="192"/>
      <c r="K33" s="193"/>
      <c r="L33" s="7"/>
      <c r="M33" s="98"/>
    </row>
    <row r="34" spans="1:17" ht="16.5" thickBot="1">
      <c r="A34" s="2" t="s">
        <v>114</v>
      </c>
      <c r="C34" s="125">
        <f>SUM(C32:C33)</f>
        <v>2169276.1599999997</v>
      </c>
      <c r="D34" s="36"/>
      <c r="F34" s="153"/>
      <c r="G34" s="230">
        <f>G32-G33</f>
        <v>0</v>
      </c>
      <c r="H34" s="7"/>
      <c r="I34" s="98"/>
      <c r="J34" s="192"/>
      <c r="K34" s="191"/>
      <c r="L34" s="7"/>
      <c r="M34" s="98"/>
    </row>
    <row r="35" spans="1:17" ht="18" customHeight="1">
      <c r="A35" s="2"/>
      <c r="C35" s="101"/>
      <c r="D35" s="36"/>
      <c r="F35" s="184"/>
      <c r="G35" s="12"/>
      <c r="H35" s="12"/>
      <c r="I35" s="185"/>
      <c r="J35" s="199" t="s">
        <v>128</v>
      </c>
      <c r="K35" s="689"/>
      <c r="L35" s="689"/>
      <c r="M35" s="690"/>
    </row>
    <row r="36" spans="1:17" ht="15.75">
      <c r="A36" s="16" t="s">
        <v>94</v>
      </c>
      <c r="B36" s="2"/>
      <c r="C36" s="100"/>
      <c r="D36" s="36"/>
      <c r="F36" s="199" t="s">
        <v>128</v>
      </c>
      <c r="G36" s="7"/>
      <c r="H36" s="7"/>
      <c r="I36" s="98"/>
      <c r="J36" s="200" t="s">
        <v>37</v>
      </c>
      <c r="K36" s="602">
        <f>K23</f>
        <v>1559887</v>
      </c>
      <c r="L36" s="620">
        <v>0.16236</v>
      </c>
      <c r="M36" s="196">
        <f t="shared" ref="M36:M42" si="2">K36*L36</f>
        <v>253263.25332000002</v>
      </c>
      <c r="P36" s="272"/>
      <c r="Q36" s="272"/>
    </row>
    <row r="37" spans="1:17" ht="15.75">
      <c r="A37" s="7" t="s">
        <v>129</v>
      </c>
      <c r="B37" s="530" t="s">
        <v>115</v>
      </c>
      <c r="C37" s="566">
        <v>4202312.1100000003</v>
      </c>
      <c r="D37" s="36"/>
      <c r="F37" s="200" t="s">
        <v>37</v>
      </c>
      <c r="G37" s="602">
        <f>G23</f>
        <v>3286813</v>
      </c>
      <c r="H37" s="620">
        <v>0.16436000000000001</v>
      </c>
      <c r="I37" s="196">
        <f t="shared" ref="I37:I44" si="3">G37*H37</f>
        <v>540220.58467999997</v>
      </c>
      <c r="J37" s="200" t="s">
        <v>38</v>
      </c>
      <c r="K37" s="602">
        <f>K24</f>
        <v>1126511</v>
      </c>
      <c r="L37" s="620">
        <v>0.16236</v>
      </c>
      <c r="M37" s="196">
        <f t="shared" si="2"/>
        <v>182900.32596000002</v>
      </c>
      <c r="P37" s="272"/>
      <c r="Q37" s="272"/>
    </row>
    <row r="38" spans="1:17" ht="15.75">
      <c r="A38" s="144" t="s">
        <v>14</v>
      </c>
      <c r="B38" s="530" t="s">
        <v>115</v>
      </c>
      <c r="C38" s="122"/>
      <c r="D38" s="36"/>
      <c r="F38" s="200" t="s">
        <v>305</v>
      </c>
      <c r="G38" s="602">
        <f t="shared" ref="G38:G44" si="4">G24</f>
        <v>4240</v>
      </c>
      <c r="H38" s="620">
        <v>0.16436000000000001</v>
      </c>
      <c r="I38" s="196">
        <f t="shared" si="3"/>
        <v>696.88639999999998</v>
      </c>
      <c r="J38" s="200" t="s">
        <v>39</v>
      </c>
      <c r="K38" s="602">
        <f>K25</f>
        <v>30470</v>
      </c>
      <c r="L38" s="620">
        <v>0.16236</v>
      </c>
      <c r="M38" s="196">
        <f t="shared" si="2"/>
        <v>4947.1091999999999</v>
      </c>
      <c r="P38" s="272"/>
      <c r="Q38" s="272"/>
    </row>
    <row r="39" spans="1:17" ht="15.75">
      <c r="A39" s="7" t="s">
        <v>146</v>
      </c>
      <c r="B39" s="530" t="s">
        <v>147</v>
      </c>
      <c r="C39" s="566">
        <v>-68253.149999999994</v>
      </c>
      <c r="D39" s="36"/>
      <c r="F39" s="200" t="s">
        <v>38</v>
      </c>
      <c r="G39" s="602">
        <f t="shared" si="4"/>
        <v>2210506</v>
      </c>
      <c r="H39" s="620">
        <v>0.16436000000000001</v>
      </c>
      <c r="I39" s="196">
        <f t="shared" si="3"/>
        <v>363318.76616</v>
      </c>
      <c r="J39" s="200" t="s">
        <v>40</v>
      </c>
      <c r="K39" s="602">
        <f>K26</f>
        <v>0</v>
      </c>
      <c r="L39" s="620">
        <v>0.16236</v>
      </c>
      <c r="M39" s="196">
        <f t="shared" si="2"/>
        <v>0</v>
      </c>
      <c r="P39" s="272"/>
      <c r="Q39" s="272"/>
    </row>
    <row r="40" spans="1:17" ht="15.75">
      <c r="A40" s="7" t="s">
        <v>131</v>
      </c>
      <c r="B40" s="530" t="s">
        <v>132</v>
      </c>
      <c r="C40" s="566">
        <v>1266181.8799999999</v>
      </c>
      <c r="D40" s="36"/>
      <c r="F40" s="200" t="s">
        <v>39</v>
      </c>
      <c r="G40" s="602">
        <f t="shared" si="4"/>
        <v>3523</v>
      </c>
      <c r="H40" s="620">
        <v>0.16436000000000001</v>
      </c>
      <c r="I40" s="196">
        <f t="shared" si="3"/>
        <v>579.04028000000005</v>
      </c>
      <c r="J40" s="200" t="s">
        <v>41</v>
      </c>
      <c r="K40" s="602">
        <f>K27</f>
        <v>0</v>
      </c>
      <c r="L40" s="620">
        <v>0.16236</v>
      </c>
      <c r="M40" s="196">
        <f t="shared" si="2"/>
        <v>0</v>
      </c>
      <c r="P40" s="272"/>
      <c r="Q40" s="272"/>
    </row>
    <row r="41" spans="1:17" ht="15.75">
      <c r="A41" s="7" t="s">
        <v>153</v>
      </c>
      <c r="B41" s="6" t="s">
        <v>155</v>
      </c>
      <c r="C41" s="566">
        <v>-9372.5300000000007</v>
      </c>
      <c r="D41" s="36"/>
      <c r="F41" s="200" t="s">
        <v>40</v>
      </c>
      <c r="G41" s="602">
        <f t="shared" si="4"/>
        <v>234262</v>
      </c>
      <c r="H41" s="620">
        <v>0.16436000000000001</v>
      </c>
      <c r="I41" s="196">
        <f t="shared" si="3"/>
        <v>38503.302320000003</v>
      </c>
      <c r="J41" s="200" t="s">
        <v>42</v>
      </c>
      <c r="K41" s="561">
        <v>0</v>
      </c>
      <c r="L41" s="620">
        <v>0.16236</v>
      </c>
      <c r="M41" s="196">
        <f t="shared" si="2"/>
        <v>0</v>
      </c>
      <c r="P41" s="272"/>
      <c r="Q41" s="272"/>
    </row>
    <row r="42" spans="1:17" ht="16.5" thickBot="1">
      <c r="A42" s="7" t="s">
        <v>178</v>
      </c>
      <c r="B42" s="530" t="s">
        <v>179</v>
      </c>
      <c r="C42" s="566">
        <v>420101.98</v>
      </c>
      <c r="D42" s="37"/>
      <c r="F42" s="200" t="s">
        <v>41</v>
      </c>
      <c r="G42" s="602">
        <f t="shared" si="4"/>
        <v>49642</v>
      </c>
      <c r="H42" s="620">
        <v>0.16436000000000001</v>
      </c>
      <c r="I42" s="196">
        <f t="shared" si="3"/>
        <v>8159.1591200000003</v>
      </c>
      <c r="J42" s="200" t="s">
        <v>43</v>
      </c>
      <c r="K42" s="603">
        <v>0</v>
      </c>
      <c r="L42" s="620">
        <v>0.16236</v>
      </c>
      <c r="M42" s="196">
        <f t="shared" si="2"/>
        <v>0</v>
      </c>
      <c r="P42" s="272"/>
      <c r="Q42" s="272"/>
    </row>
    <row r="43" spans="1:17" ht="16.5" thickBot="1">
      <c r="A43" s="85" t="s">
        <v>123</v>
      </c>
      <c r="B43" s="12"/>
      <c r="C43" s="125">
        <f>SUM(C37:C42)</f>
        <v>5810970.2899999991</v>
      </c>
      <c r="D43" s="36"/>
      <c r="F43" s="200" t="s">
        <v>42</v>
      </c>
      <c r="G43" s="602">
        <f t="shared" si="4"/>
        <v>0</v>
      </c>
      <c r="H43" s="620">
        <v>0.16436000000000001</v>
      </c>
      <c r="I43" s="196">
        <f t="shared" si="3"/>
        <v>0</v>
      </c>
      <c r="J43" s="199" t="s">
        <v>133</v>
      </c>
      <c r="K43" s="181">
        <f>SUM(K36:K42)</f>
        <v>2716868</v>
      </c>
      <c r="L43" s="182"/>
      <c r="M43" s="197">
        <f>SUM(M36:M42)</f>
        <v>441110.68848000007</v>
      </c>
    </row>
    <row r="44" spans="1:17" ht="16.5" thickBot="1">
      <c r="A44" s="83" t="s">
        <v>177</v>
      </c>
      <c r="B44" s="84" t="s">
        <v>120</v>
      </c>
      <c r="C44" s="566">
        <f>-2135208.27+376299.62+5893.87</f>
        <v>-1753014.7799999998</v>
      </c>
      <c r="D44" s="37"/>
      <c r="F44" s="200" t="s">
        <v>43</v>
      </c>
      <c r="G44" s="602">
        <f t="shared" si="4"/>
        <v>72901</v>
      </c>
      <c r="H44" s="620">
        <v>0.16436000000000001</v>
      </c>
      <c r="I44" s="196">
        <f t="shared" si="3"/>
        <v>11982.00836</v>
      </c>
      <c r="J44" s="194"/>
      <c r="K44" s="232">
        <v>2716868</v>
      </c>
      <c r="L44" s="189" t="s">
        <v>102</v>
      </c>
      <c r="M44" s="217">
        <f>M43/K43</f>
        <v>0.16236000000000003</v>
      </c>
    </row>
    <row r="45" spans="1:17" ht="16.5" thickBot="1">
      <c r="A45" s="211" t="s">
        <v>168</v>
      </c>
      <c r="B45" s="6" t="s">
        <v>115</v>
      </c>
      <c r="C45" s="122">
        <v>0</v>
      </c>
      <c r="D45" s="39"/>
      <c r="F45" s="199" t="s">
        <v>133</v>
      </c>
      <c r="G45" s="181">
        <f>SUM(G37:G44)</f>
        <v>5861887</v>
      </c>
      <c r="H45" s="182"/>
      <c r="I45" s="197">
        <f>SUM(I37:I44)</f>
        <v>963459.74731999985</v>
      </c>
      <c r="J45" s="85"/>
      <c r="K45" s="231"/>
      <c r="L45" s="187"/>
      <c r="M45" s="555"/>
    </row>
    <row r="46" spans="1:17" ht="19.5" customHeight="1" thickTop="1" thickBot="1">
      <c r="A46" s="144" t="s">
        <v>169</v>
      </c>
      <c r="B46" s="6" t="s">
        <v>115</v>
      </c>
      <c r="C46" s="122">
        <v>0</v>
      </c>
      <c r="D46" s="40"/>
      <c r="F46" s="188"/>
      <c r="G46" s="232">
        <v>5861887</v>
      </c>
      <c r="H46" s="189" t="s">
        <v>102</v>
      </c>
      <c r="I46" s="215">
        <f>I45/G45</f>
        <v>0.16435999999999998</v>
      </c>
      <c r="J46" s="85"/>
      <c r="K46" s="231"/>
      <c r="L46" s="187"/>
      <c r="M46" s="555"/>
    </row>
    <row r="47" spans="1:17" ht="19.5" customHeight="1">
      <c r="A47" s="382" t="s">
        <v>137</v>
      </c>
      <c r="B47" s="6" t="s">
        <v>115</v>
      </c>
      <c r="C47" s="122"/>
      <c r="D47" s="36"/>
      <c r="F47" s="383"/>
      <c r="G47" s="230">
        <f>G45-G46</f>
        <v>0</v>
      </c>
      <c r="H47" s="383"/>
      <c r="I47" s="383"/>
      <c r="J47" s="124"/>
      <c r="K47" s="230">
        <f>K43-K44</f>
        <v>0</v>
      </c>
      <c r="L47" s="383"/>
      <c r="M47" s="124"/>
    </row>
    <row r="48" spans="1:17" ht="16.5" thickBot="1">
      <c r="A48" s="144" t="s">
        <v>304</v>
      </c>
      <c r="B48" s="6" t="s">
        <v>115</v>
      </c>
      <c r="C48" s="566">
        <v>7000</v>
      </c>
      <c r="D48" s="36"/>
      <c r="F48" s="383"/>
      <c r="G48" s="383"/>
      <c r="H48" s="383"/>
      <c r="I48" s="383"/>
      <c r="J48" s="124"/>
      <c r="K48" s="114"/>
      <c r="L48" s="383"/>
      <c r="M48" s="68"/>
    </row>
    <row r="49" spans="1:21" ht="15.75">
      <c r="A49" s="7" t="s">
        <v>130</v>
      </c>
      <c r="B49" s="530" t="s">
        <v>152</v>
      </c>
      <c r="C49" s="566">
        <v>14910.12</v>
      </c>
      <c r="D49" s="36"/>
      <c r="F49" s="383"/>
      <c r="G49" s="114"/>
      <c r="H49" s="129" t="s">
        <v>35</v>
      </c>
      <c r="I49" s="13" t="s">
        <v>35</v>
      </c>
      <c r="J49" s="13" t="s">
        <v>63</v>
      </c>
      <c r="K49" s="127" t="s">
        <v>70</v>
      </c>
      <c r="L49" s="124"/>
      <c r="M49" s="383"/>
    </row>
    <row r="50" spans="1:21" ht="16.5" thickBot="1">
      <c r="A50" s="7" t="s">
        <v>222</v>
      </c>
      <c r="B50" s="530" t="s">
        <v>152</v>
      </c>
      <c r="C50" s="566">
        <v>3941.62</v>
      </c>
      <c r="D50" s="37"/>
      <c r="F50" s="50" t="s">
        <v>73</v>
      </c>
      <c r="G50" s="383"/>
      <c r="H50" s="130" t="s">
        <v>2</v>
      </c>
      <c r="I50" s="131" t="s">
        <v>3</v>
      </c>
      <c r="J50" s="131" t="s">
        <v>2</v>
      </c>
      <c r="K50" s="128" t="s">
        <v>3</v>
      </c>
      <c r="L50" s="383"/>
      <c r="M50" s="383"/>
    </row>
    <row r="51" spans="1:21" ht="15.75">
      <c r="A51" s="7" t="s">
        <v>308</v>
      </c>
      <c r="B51" s="530" t="s">
        <v>152</v>
      </c>
      <c r="C51" s="566">
        <v>4709.0600000000004</v>
      </c>
      <c r="D51" s="36"/>
      <c r="F51" s="383"/>
      <c r="G51" s="383"/>
      <c r="H51" s="151"/>
      <c r="I51" s="152"/>
      <c r="J51" s="152"/>
      <c r="K51" s="152"/>
      <c r="L51" s="126" t="s">
        <v>103</v>
      </c>
      <c r="M51" s="383"/>
    </row>
    <row r="52" spans="1:21" ht="15.75">
      <c r="A52" s="22" t="s">
        <v>118</v>
      </c>
      <c r="B52" s="6"/>
      <c r="C52" s="100">
        <f>-C33</f>
        <v>24546.22</v>
      </c>
      <c r="D52" s="33"/>
      <c r="F52" s="383" t="s">
        <v>136</v>
      </c>
      <c r="G52" s="383"/>
      <c r="H52" s="212">
        <f>K12</f>
        <v>-244707.23823500014</v>
      </c>
      <c r="I52" s="115">
        <f>I14</f>
        <v>1498102.1160959997</v>
      </c>
      <c r="J52" s="115">
        <f>L12</f>
        <v>-113018.90176500005</v>
      </c>
      <c r="K52" s="115">
        <f>J14</f>
        <v>671174.04390399996</v>
      </c>
      <c r="L52" s="132">
        <f>SUM(H52:K52)</f>
        <v>1811550.0199999996</v>
      </c>
      <c r="M52" s="383"/>
    </row>
    <row r="53" spans="1:21" ht="16.5" thickBot="1">
      <c r="A53" s="383" t="s">
        <v>315</v>
      </c>
      <c r="B53" s="596" t="s">
        <v>316</v>
      </c>
      <c r="C53" s="566">
        <f>10977.39-2603.29</f>
        <v>8374.0999999999985</v>
      </c>
      <c r="D53" s="33"/>
      <c r="F53" s="382" t="s">
        <v>109</v>
      </c>
      <c r="H53" s="212">
        <f>-I45</f>
        <v>-963459.74731999985</v>
      </c>
      <c r="I53" s="115">
        <f>-I32</f>
        <v>-607529.77452999994</v>
      </c>
      <c r="J53" s="115">
        <f>-M43</f>
        <v>-441110.68848000007</v>
      </c>
      <c r="K53" s="115">
        <f>-M28</f>
        <v>-285189.63395999995</v>
      </c>
      <c r="L53" s="260">
        <f>SUM(H53:K53)</f>
        <v>-2297289.8442899995</v>
      </c>
    </row>
    <row r="54" spans="1:21" ht="16.5" thickBot="1">
      <c r="A54" s="380" t="s">
        <v>124</v>
      </c>
      <c r="B54" s="471" t="s">
        <v>296</v>
      </c>
      <c r="C54" s="566">
        <f>-522958.75-2197174.21-1412631.62</f>
        <v>-4132764.58</v>
      </c>
      <c r="D54" s="36"/>
      <c r="F54" s="382" t="s">
        <v>86</v>
      </c>
      <c r="H54" s="234">
        <v>0</v>
      </c>
      <c r="I54" s="235">
        <v>0</v>
      </c>
      <c r="J54" s="235">
        <v>0</v>
      </c>
      <c r="K54" s="236">
        <v>0</v>
      </c>
      <c r="L54" s="214">
        <f>SUM(L52:L53)</f>
        <v>-485739.8242899999</v>
      </c>
    </row>
    <row r="55" spans="1:21" ht="16.5" thickBot="1">
      <c r="A55" s="382" t="s">
        <v>312</v>
      </c>
      <c r="B55" s="6" t="s">
        <v>190</v>
      </c>
      <c r="C55" s="566">
        <v>-375000</v>
      </c>
      <c r="D55" s="36"/>
      <c r="F55" s="382" t="s">
        <v>71</v>
      </c>
      <c r="H55" s="125">
        <f>IFERROR(H52+H53+H54,0)</f>
        <v>-1208166.9855549999</v>
      </c>
      <c r="I55" s="125">
        <f>I52+I53+I54</f>
        <v>890572.34156599978</v>
      </c>
      <c r="J55" s="125">
        <f>IFERROR(J52+J53+J54,0)</f>
        <v>-554129.59024500009</v>
      </c>
      <c r="K55" s="125">
        <f>K52+K53+K54</f>
        <v>385984.40994400001</v>
      </c>
      <c r="L55" s="47">
        <f>SUM(H55:K55)</f>
        <v>-485739.82429000019</v>
      </c>
    </row>
    <row r="56" spans="1:21" ht="16.5" thickBot="1">
      <c r="A56" s="82" t="s">
        <v>119</v>
      </c>
      <c r="B56" s="84"/>
      <c r="C56" s="160">
        <f>SUM(C43:C55)</f>
        <v>-386327.95000000019</v>
      </c>
      <c r="D56" s="36"/>
      <c r="F56" s="239" t="s">
        <v>181</v>
      </c>
      <c r="H56" s="382" t="s">
        <v>173</v>
      </c>
      <c r="I56" s="5">
        <f>SUM(H55:I55)</f>
        <v>-317594.64398900012</v>
      </c>
      <c r="J56" s="15" t="s">
        <v>174</v>
      </c>
      <c r="K56" s="382">
        <f>SUM(J55:K55)</f>
        <v>-168145.18030100007</v>
      </c>
      <c r="L56" s="213">
        <f>ROUND(L54-L55,3)</f>
        <v>0</v>
      </c>
      <c r="T56" s="42"/>
    </row>
    <row r="57" spans="1:21" ht="16.5" thickTop="1">
      <c r="A57" s="382" t="s">
        <v>121</v>
      </c>
      <c r="B57" s="6" t="s">
        <v>115</v>
      </c>
      <c r="C57" s="566">
        <v>19270.650000000001</v>
      </c>
      <c r="D57" s="36"/>
      <c r="F57" s="395" t="s">
        <v>181</v>
      </c>
      <c r="H57" s="96"/>
    </row>
    <row r="58" spans="1:21" ht="16.5" thickBot="1">
      <c r="A58" s="382" t="s">
        <v>122</v>
      </c>
      <c r="B58" s="6" t="s">
        <v>115</v>
      </c>
      <c r="C58" s="566">
        <v>9331.16</v>
      </c>
      <c r="D58" s="36"/>
      <c r="F58" s="395" t="s">
        <v>182</v>
      </c>
      <c r="H58" s="157"/>
      <c r="I58" s="120"/>
      <c r="J58" s="120"/>
      <c r="K58" s="204"/>
      <c r="L58" s="120"/>
    </row>
    <row r="59" spans="1:21" ht="16.5" thickBot="1">
      <c r="A59" s="2" t="s">
        <v>125</v>
      </c>
      <c r="B59" s="2"/>
      <c r="C59" s="160">
        <f>SUM(C56:C58)</f>
        <v>-357726.14000000019</v>
      </c>
      <c r="D59" s="36"/>
      <c r="F59" s="541" t="s">
        <v>303</v>
      </c>
      <c r="G59" s="542"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1811550.0199999996</v>
      </c>
      <c r="D61" s="36"/>
      <c r="H61" s="347" t="e">
        <f>SUM('WA - Def-Amtz (current)'!AS:AS)+SUM(#REF!)+SUM(#REF!)</f>
        <v>#REF!</v>
      </c>
      <c r="I61" s="447" t="e">
        <f>SUM('WA - Def-Amtz (current)'!AS:AS)+SUM(#REF!)+SUM(#REF!)</f>
        <v>#REF!</v>
      </c>
      <c r="J61" s="382">
        <f>H53+I53+J53+K53</f>
        <v>-2297289.8442899995</v>
      </c>
    </row>
    <row r="62" spans="1:21" ht="15.75">
      <c r="A62" s="2"/>
      <c r="B62" s="9" t="s">
        <v>160</v>
      </c>
      <c r="C62" s="348">
        <v>1811550.02</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57" priority="7" stopIfTrue="1" operator="equal">
      <formula>0</formula>
    </cfRule>
    <cfRule type="cellIs" dxfId="256" priority="8" stopIfTrue="1" operator="notEqual">
      <formula>0</formula>
    </cfRule>
  </conditionalFormatting>
  <conditionalFormatting sqref="G34 G47 K30 K47">
    <cfRule type="cellIs" dxfId="255" priority="6" operator="notEqual">
      <formula>0</formula>
    </cfRule>
  </conditionalFormatting>
  <conditionalFormatting sqref="C63">
    <cfRule type="cellIs" dxfId="254" priority="4" stopIfTrue="1" operator="equal">
      <formula>0</formula>
    </cfRule>
    <cfRule type="cellIs" dxfId="253" priority="5" stopIfTrue="1" operator="notEqual">
      <formula>0</formula>
    </cfRule>
  </conditionalFormatting>
  <conditionalFormatting sqref="K30">
    <cfRule type="cellIs" dxfId="252" priority="3" operator="notEqual">
      <formula>0</formula>
    </cfRule>
  </conditionalFormatting>
  <conditionalFormatting sqref="G59">
    <cfRule type="cellIs" dxfId="251" priority="2" operator="equal">
      <formula>"ERROR"</formula>
    </cfRule>
  </conditionalFormatting>
  <conditionalFormatting sqref="G59">
    <cfRule type="cellIs" dxfId="250"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xe4awand xmlns="http://www.excel4apps.com"><![CDATA[rO0ABXfZCMCtii8CLAL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5kCHgACAQICAiYCBAIFAgYCBwIIAgkCHAILAgwCDQIIAggCCAIIAggCCAIIAggCCAIIAggCCAIIAggCCAIIAggCEgIDAiQCHgAClAAJNjA5MzY0OTIwAgICLAIEAgUCBgIHAggCCQIhAgsClQACSUQCDQIIAggCCAIIAggCCAIIAggCCAIIAggCCAIIAggCCAIIAggCEwIDApZzcQB+AAAAAAACc3EAfgAE///////////////+/////gAAAAF1cQB+AAcAAAAEBXlFQnh4d5ICHgAClAICAiMCBAIFAgYCBwIIAgkClwAGMTkxMDE1AgsClQINAggCCAIIAggCCAIIAggCCAIIAggCCAIIAggCCAIIAggCCAITAgMCJAIeAAKUAgICHgIEAgUCBgIHAggCCQKXAgsClQINAggCCAIIAggCCAIIAggCCAIIAggCCAIIAggCCAIIAggCCAITAgMCmHNxAH4AAAAAAAJzcQB+AAT///////////////7////+/////3VxAH4ABwAAAAMSX5R4eHdFAh4AApQCAgI5AgQCBQIGAgcCCAIJAgoCCwKVAg0CCAIIAggCCAIIAggCCAIIAggCCAIIAggCCAIIAggCCAIIAhMCAwKZc3EAfgAAAAAAAnNxAH4ABP///////////////v////7/////dXEAfgAHAAAABAvREnR4eHdFAh4AApQCAgIoAgQCBQIGAgcCCAIJAgoCCwKVAg0CCAIIAggCCAIIAggCCAIIAggCCAIIAggCCAIIAggCCAIIAhMCAwKac3EAfgAAAAAAAnNxAH4ABP///////////////v////7/////dXEAfgAHAAAABCYvMsJ4eHeKAh4AApQCAgIlAgQCBQIGAgcCCAIJApcCCwKVAg0CCAIIAggCCAIIAggCCAIIAggCCAIIAggCCAIIAggCCAIIAhMCAwIkAh4AApQCAgIDAgQCBQIGAgcCCAIJAiECCwKVAg0CCAIIAggCCAIIAggCCAIIAggCCAIIAggCCAIIAggCCAIIAhMCAwKbc3EAfgAAAAAAAnNxAH4ABP///////////////v////7/////dXEAfgAHAAAAA064Cnh4d0UCHgAClAICAjUCBAIFAgYCBwIIAgkClwILApUCDQIIAggCCAIIAggCCAIIAggCCAIIAggCCAIIAggCCAIIAggCEwIDApxzcQB+AAAAAAACc3EAfgAE///////////////+/////v////91cQB+AAcAAAADEn8GeHh3RQIeAAKUAgICAwIEAgUCBgIHAggCCQIKAgsClQINAggCCAIIAggCCAIIAggCCAIIAggCCAIIAggCCAIIAggCCAITAgMCnXNxAH4AAAAAAAJzcQB+AAT///////////////7////+/////3VxAH4ABwAAAAQukYUreHh3RQIeAAKUAgICMwIEAgUCBgIHAggCCQKXAgsClQINAggCCAIIAggCCAIIAggCCAIIAggCCAIIAggCCAIIAggCCAITAgMCnnNxAH4AAAAAAAJzcQB+AAT///////////////7////+/////3VxAH4ABwAAAAMSZ2t4eHdFAh4AApQCAgJgAgQCBQIGAgcCCAIJApcCCwKVAg0CCAIIAggCCAIIAggCCAIIAggCCAIIAggCCAIIAggCCAIIAhMCAwKfc3EAfgAAAAAAAnNxAH4ABP///////////////v////7/////dXEAfgAHAAAAAxKWwHh4d0UCHgAClAICAioCBAIFAgYCBwIIAgkCIQILApUCDQIIAggCCAIIAggCCAIIAggCCAIIAggCCAIIAggCCAIIAggCEwIDAqBzcQB+AAAAAAACc3EAfgAE///////////////+/////v////91cQB+AAcAAAAEAQaUYHh4d0UCHgAClAICAiYCBAIFAgYCBwIIAgkCCgILApUCDQIIAggCCAIIAggCCAIIAggCCAIIAggCCAIIAggCCAIIAggCEwIDAqFzcQB+AAAAAAACc3EAfgAE///////////////+/////v////91cQB+AAcAAAAENab75Xh4d4oCHgAClAICAlECBAIFAgYCBwIIAgkClwILApUCDQIIAggCCAIIAggCCAIIAggCCAIIAggCCAIIAggCCAIIAggCEwIDAiQCHgAClAICAlMCBAIFAgYCBwIIAgkClwILApUCDQIIAggCCAIIAggCCAIIAggCCAIIAggCCAIIAggCCAIIAggCEwIDAqJzcQB+AAAAAAACc3EAfgAE///////////////+/////v////91cQB+AAcAAAADEle/eHh3RQIeAAKUAgICOQIEAgUCBgIHAggCCQIhAgsClQINAggCCAIIAggCCAIIAggCCAIIAggCCAIIAggCCAIIAggCCAITAgMCo3NxAH4AAAAAAAJzcQB+AAT///////////////7////+/////3VxAH4ABwAAAAQlkNH7eHh3RQIeAAKUAgICOwIEAgUCBgIHAggCCQIhAgsClQINAggCCAIIAggCCAIIAggCCAIIAggCCAIIAggCCAIIAggCCAITAgMCpHNxAH4AAAAAAAJzcQB+AAT///////////////7////+/////3VxAH4ABwAAAAQKK9PneHh3RQIeAAKUAgICKgIEAgUCBgIHAggCCQIKAgsClQINAggCCAIIAggCCAIIAggCCAIIAggCCAIIAggCCAIIAggCCAITAgMCpXNxAH4AAAAAAAJzcQB+AAT///////////////7////+/////3VxAH4ABwAAAAQu/eCSeHh3RQIeAAKUAgICTAIEAgUCBgIHAggCCQIKAgsClQINAggCCAIIAggCCAIIAggCCAIIAggCCAIIAggCCAIIAggCCAITAgMCpnNxAH4AAAAAAAJzcQB+AAT///////////////7////+/////3VxAH4ABwAAAAQmeB9xeHh3RQIeAAKUAgICIAIEAgUCBgIHAggCCQIhAgsClQINAggCCAIIAggCCAIIAggCCAIIAggCCAIIAggCCAIIAggCCAITAgMCp3NxAH4AAAAAAAJzcQB+AAT///////////////7////+AAAAAXVxAH4ABwAAAAQCWhLSeHh3RQIeAAKUAgICRgIEAgUCBgIHAggCCQIKAgsClQINAggCCAIIAggCCAIIAggCCAIIAggCCAIIAggCCAIIAggCCAITAgMCqHNxAH4AAAAAAAJzcQB+AAT///////////////7////+/////3VxAH4ABwAAAAQcI3yQeHh3RQIeAAKUAgICMQIEAgUCBgIHAggCCQIKAgsClQINAggCCAIIAggCCAIIAggCCAIIAggCCAIIAggCCAIIAggCCAITAgMCqXNxAH4AAAAAAAJzcQB+AAT///////////////7////+/////3VxAH4ABwAAAAQqJk8LeHh3RQIeAAKUAgICGwIEAgUCBgIHAggCCQKXAgsClQINAggCCAIIAggCCAIIAggCCAIIAggCCAIIAggCCAIIAggCCAITAgMCqnNxAH4AAAAAAAJzcQB+AAT///////////////7////+/////3VxAH4ABwAAAAMSdyV4eHeKAh4AApQCAgI3AgQCBQIGAgcCCAIJAiECCwKVAg0CCAIIAggCCAIIAggCCAIIAggCCAIIAggCCAIIAggCCAIIAhMCAwKWAh4AApQCAgImAgQCBQIGAgcCCAIJAiECCwKVAg0CCAIIAggCCAIIAggCCAIIAggCCAIIAggCCAIIAggCCAIIAhMCAwKrc3EAfgAAAAAAAnNxAH4ABP///////////////v////4AAAABdXEAfgAHAAAABALUOOx4eHdFAh4AApQCAgIoAgQCBQIGAgcCCAIJAiECCwKVAg0CCAIIAggCCAIIAggCCAIIAggCCAIIAggCCAIIAggCCAIIAhMCAwKsc3EAfgAAAAAAAnNxAH4ABP///////////////v////7/////dXEAfgAHAAAABAHNSnd4eHdFAh4AApQCAgJuAgQCBQIGAgcCCAIJApcCCwKVAg0CCAIIAggCCAIIAggCCAIIAggCCAIIAggCCAIIAggCCAIIAhMCAwKtc3EAfgAAAAAAAnNxAH4ABP///////////////v////7/////dXEAfgAHAAAAAxKer3h4d0UCHgAClAICAiwCBAIFAgYCBwIIAgkCCgILApUCDQIIAggCCAIIAggCCAIIAggCCAIIAggCCAIIAggCCAIIAggCEwIDAq5zcQB+AAAAAAACc3EAfgAE///////////////+/////v////91cQB+AAcAAAAEPiM+uHh4d4oCHgAClAICAmUCBAIFAgYCBwIIAgkClwILApUCDQIIAggCCAIIAggCCAIIAggCCAIIAggCCAIIAggCCAIIAggCEwIDAiQCHgAClAICAkACBAIFAgYCBwIIAgkCCgILApUCDQIIAggCCAIIAggCCAIIAggCCAIIAggCCAIIAggCCAIIAggCEwIDAq9zcQB+AAAAAAACc3EAfgAE///////////////+/////v////91cQB+AAcAAAAEM7yWknh4d88CHgAClAICAncCBAIFAgYCBwIIAgkCIQILApUCDQIIAggCCAIIAggCCAIIAggCCAIIAggCCAIIAggCCAIIAggCEwIDAngCHgAClAICAjsCBAIFAgYCBwIIAgkClwILApUCDQIIAggCCAIIAggCCAIIAggCCAIIAggCCAIIAggCCAIIAggCEwIDAiQCHgAClAICAk4CBAIFAgYCBwIIAgkCCgILApUCDQIIAggCCAIIAggCCAIIAggCCAIIAggCCAIIAggCCAIIAggCEwIDArBzcQB+AAAAAAACc3EAfgAE///////////////+/////v////91cQB+AAcAAAAEHbH6THh4d0UCHgAClAICAkwCBAIFAgYCBwIIAgkCIQILApUCDQIIAggCCAIIAggCCAIIAggCCAIIAggCCAIIAggCCAIIAggCEwIDArFzcQB+AAAAAAACc3EAfgAE///////////////+/////v////91cQB+AAcAAAAECL1IIXh4d0UCHgAClAICAhsCBAIFAgYCBwIIAgkCIQILApUCDQIIAggCCAIIAggCCAIIAggCCAIIAggCCAIIAggCCAIIAggCEwIDArJzcQB+AAAAAAACc3EAfgAE///////////////+/////gAAAAF1cQB+AAcAAAADuXJ8eHh3RQIeAAKUAgICcgIEAgUCBgIHAggCCQIhAgsClQINAggCCAIIAggCCAIIAggCCAIIAggCCAIIAggCCAIIAggCCAITAgMCs3NxAH4AAAAAAAJzcQB+AAT///////////////7////+AAAAAXVxAH4ABwAAAAM2pbZ4eHdFAh4AApQCAgJTAgQCBQIGAgcCCAIJAgoCCwKVAg0CCAIIAggCCAIIAggCCAIIAggCCAIIAggCCAIIAggCCAIIAhMCAwK0c3EAfgAAAAAAAnNxAH4ABP///////////////v////7/////dXEAfgAHAAAABBuzHlx4eHdFAh4AApQCAgJDAgQCBQIGAgcCCAIJAgoCCwKVAg0CCAIIAggCCAIIAggCCAIIAggCCAIIAggCCAIIAggCCAIIAhMCAwK1c3EAfgAAAAAAAnNxAH4ABP///////////////v////7/////dXEAfgAHAAAABCIKrDF4eHdFAh4AApQCAgJsAgQCBQIGAgcCCAIJAiECCwKVAg0CCAIIAggCCAIIAggCCAIIAggCCAIIAggCCAIIAggCCAIIAhMCAwK2c3EAfgAAAAAAAnNxAH4ABP///////////////v////7/////dXEAfgAHAAAABAL7S4t4eHfPAh4AApQCAgJYAgQCBQIGAgcCCAIJApcCCwKVAg0CCAIIAggCCAIIAggCCAIIAggCCAIIAggCCAIIAggCCAIIAhMCAwIkAh4AApQCAgI3AgQCBQIGAgcCCAIJAgoCCwKVAg0CCAIIAggCCAIIAggCCAIIAggCCAIIAggCCAIIAggCCAIIAhMCAwKuAh4AApQCAgJAAgQCBQIGAgcCCAIJAiECCwKVAg0CCAIIAggCCAIIAggCCAIIAggCCAIIAggCCAIIAggCCAIIAhMCAwK3c3EAfgAAAAAAAnNxAH4ABP///////////////v////7/////dXEAfgAHAAAAAzL3EXh4d0UCHgAClAICAiUCBAIFAgYCBwIIAgkCIQILApUCDQIIAggCCAIIAggCCAIIAggCCAIIAggCCAIIAggCCAIIAggCEwIDArhzcQB+AAAAAAACc3EAfgAE///////////////+/////gAAAAF1cQB+AAcAAAAEAaNwu3h4d0UCHgAClAICAmwCBAIFAgYCBwIIAgkCCgILApUCDQIIAggCCAIIAggCCAIIAggCCAIIAggCCAIIAggCCAIIAggCEwIDArlzcQB+AAAAAAACc3EAfgAE///////////////+/////v////91cQB+AAcAAAAEHq4JT3h4d4oCHgAClAICAjACBAIFAgYCBwIIAgkClwILApUCDQIIAggCCAIIAggCCAIIAggCCAIIAggCCAIIAggCCAIIAggCEwIDAiQCHgAClAICAj0CBAIFAgYCBwIIAgkClwILApUCDQIIAggCCAIIAggCCAIIAggCCAIIAggCCAIIAggCCAIIAggCEwIDArpzcQB+AAAAAAACc3EAfgAE///////////////+/////v////91cQB+AAcAAAADEqaieHh3RQIeAAKUAgICHgIEAgUCBgIHAggCCQIhAgsClQINAggCCAIIAggCCAIIAggCCAIIAggCCAIIAggCCAIIAggCCAITAgMCu3NxAH4AAAAAAAJzcQB+AAT///////////////7////+/////3VxAH4ABwAAAAQCUB7peHh3igIeAAKUAgICdwIEAgUCBgIHAggCCQIKAgsClQINAggCCAIIAggCCAIIAggCCAIIAggCCAIIAggCCAIIAggCCAITAgMCeAIeAAKUAgICQwIEAgUCBgIHAggCCQIhAgsClQINAggCCAIIAggCCAIIAggCCAIIAggCCAIIAggCCAIIAggCCAITAgMCvHNxAH4AAAAAAAJzcQB+AAT///////////////7////+/////3VxAH4ABwAAAAQOCxxKeHh3RQIeAAKUAgICLgIEAgUCBgIHAggCCQKXAgsClQINAggCCAIIAggCCAIIAggCCAIIAggCCAIIAggCCAIIAggCCAITAgMCvXNxAH4AAAAAAAJzcQB+AAT///////////////7////+/////3VxAH4ABwAAAAMSjtR4eHdFAh4AApQCAgIgAgQCBQIGAgcCCAIJApcCCwKVAg0CCAIIAggCCAIIAggCCAIIAggCCAIIAggCCAIIAggCCAIIAhMCAwK+c3EAfgAAAAAAAnNxAH4ABP///////////////v////7/////dXEAfgAHAAAAAxKiqHh4d0UCHgAClAICAkkCBAIFAgYCBwIIAgkCCgILApUCDQIIAggCCAIIAggCCAIIAggCCAIIAggCCAIIAggCCAIIAggCEwIDAr9zcQB+AAAAAAACc3EAfgAE///////////////+/////v////91cQB+AAcAAAAEMe+1GXh4d0UCHgAClAICAnICBAIFAgYCBwIIAgkCCgILApUCDQIIAggCCAIIAggCCAIIAggCCAIIAggCCAIIAggCCAIIAggCEwIDAsBzcQB+AAAAAAACc3EAfgAE///////////////+/////v////91cQB+AAcAAAAEL/7GXHh4d0UCHgAClAICAmACBAIFAgYCBwIIAgkCCgILApUCDQIIAggCCAIIAggCCAIIAggCCAIIAggCCAIIAggCCAIIAggCEwIDAsFzcQB+AAAAAAACc3EAfgAE///////////////+/////v////91cQB+AAcAAAAEKgtGIXh4d0UCHgAClAICAjECBAIFAgYCBwIIAgkClwILApUCDQIIAggCCAIIAggCCAIIAggCCAIIAggCCAIIAggCCAIIAggCEwIDAsJzcQB+AAAAAAACc3EAfgAE///////////////+/////v////91cQB+AAcAAAADEpLKeHh3RQIeAAKUAgICOQIEAgUCBgIHAggCCQKXAgsClQINAggCCAIIAggCCAIIAggCCAIIAggCCAIIAggCCAIIAggCCAITAgMCw3NxAH4AAAAAAAJzcQB+AAT///////////////7////+/////3VxAH4ABwAAAAMSexV4eHdFAh4AApQCAgI1AgQCBQIGAgcCCAIJAgoCCwKVAg0CCAIIAggCCAIIAggCCAIIAggCCAIIAggCCAIIAggCCAIIAhMCAwLEc3EAfgAAAAAAAnNxAH4ABP///////////////v////7/////dXEAfgAHAAAABBWstZ94eHdFAh4AApQCAgIoAgQCBQIGAgcCCAIJApcCCwKVAg0CCAIIAggCCAIIAggCCAIIAggCCAIIAggCCAIIAggCCAIIAhMCAwLFc3EAfgAAAAAAAnNxAH4ABP///////////////v////7/////dXEAfgAHAAAAAxJjf3h4d0UCHgAClAICAjACBAIFAgYCBwIIAgkCIQILApUCDQIIAggCCAIIAggCCAIIAggCCAIIAggCCAIIAggCCAIIAggCEwIDAsZzcQB+AAAAAAACc3EAfgAE///////////////+/////gAAAAF1cQB+AAcAAAAEA+4zBnh4d0UCHgAClAICAjMCBAIFAgYCBwIIAgkCIQILApUCDQIIAggCCAIIAggCCAIIAggCCAIIAggCCAIIAggCCAIIAggCEwIDAsdzcQB+AAAAAAACc3EAfgAE///////////////+/////v////91cQB+AAcAAAAEAWTK8nh4d0UCHgAClAICAiMCBAIFAgYCBwIIAgkCCgILApUCDQIIAggCCAIIAggCCAIIAggCCAIIAggCCAIIAggCCAIIAggCEwIDAshzcQB+AAAAAAACc3EAfgAE///////////////+/////v////91cQB+AAcAAAAEJDRt9Hh4d0UCHgAClAICAiUCBAIFAgYCBwIIAgkCCgILApUCDQIIAggCCAIIAggCCAIIAggCCAIIAggCCAIIAggCCAIIAggCEwIDAslzcQB+AAAAAAACc3EAfgAE///////////////+/////v////91cQB+AAcAAAAEMPCBKHh4d0UCHgAClAICAkkCBAIFAgYCBwIIAgkCIQILApUCDQIIAggCCAIIAggCCAIIAggCCAIIAggCCAIIAggCCAIIAggCEwIDAspzcQB+AAAAAAACc3EAfgAE///////////////+/////v////91cQB+AAcAAAADnrKqeHh3RQIeAAKUAgICZQIEAgUCBgIHAggCCQIhAgsClQINAggCCAIIAggCCAIIAggCCAIIAggCCAIIAggCCAIIAggCCAITAgMCy3NxAH4AAAAAAAJzcQB+AAT///////////////7////+/////3VxAH4ABwAAAAQQposkeHh3RQIeAAKUAgICMwIEAgUCBgIHAggCCQIKAgsClQINAggCCAIIAggCCAIIAggCCAIIAggCCAIIAggCCAIIAggCCAITAgMCzHNxAH4AAAAAAAJzcQB+AAT///////////////7////+/////3VxAH4ABwAAAAQrEAtReHh3RQIeAAKUAgICbgIEAgUCBgIHAggCCQIhAgsClQINAggCCAIIAggCCAIIAggCCAIIAggCCAIIAggCCAIIAggCCAITAgMCzXNxAH4AAAAAAAJzcQB+AAT///////////////7////+AAAAAXVxAH4ABwAAAAP/iV54eHeKAh4AApQCAgImAgQCBQIGAgcCCAIJApcCCwKVAg0CCAIIAggCCAIIAggCCAIIAggCCAIIAggCCAIIAggCCAIIAhMCAwIkAh4AApQCAgJMAgQCBQIGAgcCCAIJApcCCwKVAg0CCAIIAggCCAIIAggCCAIIAggCCAIIAggCCAIIAggCCAIIAhMCAwLOc3EAfgAAAAAAAnNxAH4ABP///////////////v////7/////dXEAfgAHAAAAAxKK33h4d0UCHgAClAICAm4CBAIFAgYCBwIIAgkCCgILApUCDQIIAggCCAIIAggCCAIIAggCCAIIAggCCAIIAggCCAIIAggCEwIDAs9zcQB+AAAAAAACc3EAfgAE///////////////+/////v////91cQB+AAcAAAAENDlU6Hh4d0UCHgAClAICAioCBAIFAgYCBwIIAgkClwILApUCDQIIAggCCAIIAggCCAIIAggCCAIIAggCCAIIAggCCAIIAggCEwIDAtBzcQB+AAAAAAACc3EAfgAE///////////////+/////v////91cQB+AAcAAAADEmtYeHh3RQIeAAKUAgICUQIEAgUCBgIHAggCCQIKAgsClQINAggCCAIIAggCCAIIAggCCAIIAggCCAIIAggCCAIIAggCCAITAgMC0XNxAH4AAAAAAAJzcQB+AAT///////////////7////+/////3VxAH4ABwAAAAQu9BT/eHh3RQIeAAKUAgICTgIEAgUCBgIHAggCCQIhAgsClQINAggCCAIIAggCCAIIAggCCAIIAggCCAIIAggCCAIIAggCCAITAgMC0nNxAH4AAAAAAAJzcQB+AAT///////////////7////+/////3VxAH4ABwAAAAQUOveDeHh3RQIeAAKUAgICIwIEAgUCBgIHAggCCQIhAgsClQINAggCCAIIAggCCAIIAggCCAIIAggCCAIIAggCCAIIAggCCAITAgMC03NxAH4AAAAAAAJzcQB+AAT///////////////7////+/////3VxAH4ABwAAAAQWt6iieHh3RQIeAAKUAgICGwIEAgUCBgIHAggCCQIKAgsClQINAggCCAIIAggCCAIIAggCCAIIAggCCAIIAggCCAIIAggCCAITAgMC1HNxAH4AAAAAAAJzcQB+AAT///////////////7////+/////3VxAH4ABwAAAAQ0mEcjeHh3igIeAAKUAgICRgIEAgUCBgIHAggCCQKXAgsClQINAggCCAIIAggCCAIIAggCCAIIAggCCAIIAggCCAIIAggCCAITAgMCJAIeAAKUAgICHgIEAgUCBgIHAggCCQIKAgsClQINAggCCAIIAggCCAIIAggCCAIIAggCCAIIAggCCAIIAggCCAITAgMC1XNxAH4AAAAAAAJzcQB+AAT///////////////7////+/////3VxAH4ABwAAAAQjxnj9eHh3RQIeAAKUAgICYAIEAgUCBgIHAggCCQIhAgsClQINAggCCAIIAggCCAIIAggCCAIIAggCCAIIAggCCAIIAggCCAITAgMC1nNxAH4AAAAAAAJzcQB+AAT///////////////7////+/////3VxAH4ABwAAAAQBbUrSeHh3igIeAAKUAgICLAIEAgUCBgIHAggCCQKXAgsClQINAggCCAIIAggCCAIIAggCCAIIAggCCAIIAggCCAIIAggCCAITAgMCJAIeAAKUAgICZQIEAgUCBgIHAggCCQIKAgsClQINAggCCAIIAggCCAIIAggCCAIIAggCCAIIAggCCAIIAggCCAITAgMC13NxAH4AAAAAAAJzcQB+AAT///////////////7////+/////3VxAH4ABwAAAAQpII+FeHh3RQIeAAKUAgICUQIEAgUCBgIHAggCCQIhAgsClQINAggCCAIIAggCCAIIAggCCAIIAggCCAIIAggCCAIIAggCCAITAgMC2HNxAH4AAAAAAAJzcQB+AAT///////////////7////+/////3VxAH4ABwAAAAQBMmvPeHh3RQIeAAKUAgICQAIEAgUCBgIHAggCCQKXAgsClQINAggCCAIIAggCCAIIAggCCAIIAggCCAIIAggCCAIIAggCCAITAgMC2XNxAH4AAAAAAAJzcQB+AAT///////////////7////+/////3VxAH4ABwAAAAMSczV4eHdFAh4AApQCAgJTAgQCBQIGAgcCCAIJAiECCwKVAg0CCAIIAggCCAIIAggCCAIIAggCCAIIAggCCAIIAggCCAIIAhMCAwLac3EAfgAAAAAAAnNxAH4ABP///////////////v////7/////dXEAfgAHAAAABARbkhB4eHdFAh4AApQCAgJOAgQCBQIGAgcCCAIJApcCCwKVAg0CCAIIAggCCAIIAggCCAIIAggCCAIIAggCCAIIAggCCAIIAhMCAwLbc3EAfgAAAAAAAnNxAH4ABP///////////////v////7/////dXEAfgAHAAAAAxKC+Hh4d0UCHgAClAICAjsCBAIFAgYCBwIIAgkCCgILApUCDQIIAggCCAIIAggCCAIIAggCCAIIAggCCAIIAggCCAIIAggCEwIDAtxzcQB+AAAAAAACc3EAfgAE///////////////+/////v////91cQB+AAcAAAAEKUaEtnh4d0UCHgAClAICAj0CBAIFAgYCBwIIAgkCIQILApUCDQIIAggCCAIIAggCCAIIAggCCAIIAggCCAIIAggCCAIIAggCEwIDAt1zcQB+AAAAAAACc3EAfgAE///////////////+/////gAAAAF1cQB+AAcAAAAEBhtaanh4d0UCHgAClAICAkMCBAIFAgYCBwIIAgkClwILApUCDQIIAggCCAIIAggCCAIIAggCCAIIAggCCAIIAggCCAIIAggCEwIDAt5zcQB+AAAAAAACc3EAfgAE///////////////+/////v////91cQB+AAcAAAADEobreHh3igIeAAKUAgICNwIEAgUCBgIHAggCCQKXAgsClQINAggCCAIIAggCCAIIAggCCAIIAggCCAIIAggCCAIIAggCCAITAgMCJAIeAAKUAgICLgIEAgUCBgIHAggCCQIhAgsClQINAggCCAIIAggCCAIIAggCCAIIAggCCAIIAggCCAIIAggCCAITAgMC33NxAH4AAAAAAAJzcQB+AAT///////////////7////+/////3VxAH4ABwAAAAQFBKNBeHh3RQIeAAKUAgICWAIEAgUCBgIHAggCCQIKAgsClQINAggCCAIIAggCCAIIAggCCAIIAggCCAIIAggCCAIIAggCCAITAgMC4HNxAH4AAAAAAAJzcQB+AAT///////////////7////+/////3VxAH4ABwAAAAQqwrH4eHh3RQIeAAKUAgICRgIEAgUCBgIHAggCCQIhAgsClQINAggCCAIIAggCCAIIAggCCAIIAggCCAIIAggCCAIIAggCCAITAgMC4XNxAH4AAAAAAAJzcQB+AAT///////////////7////+/////3VxAH4ABwAAAAQewHRseHh3RQIeAAKUAgICPQIEAgUCBgIHAggCCQIKAgsClQINAggCCAIIAggCCAIIAggCCAIIAggCCAIIAggCCAIIAggCCAITAgMC4nNxAH4AAAAAAAJzcQB+AAT///////////////7////+/////3VxAH4ABwAAAARDRE3geHh3RQIeAAKUAgICAwIEAgUCBgIHAggCCQKXAgsClQINAggCCAIIAggCCAIIAggCCAIIAggCCAIIAggCCAIIAggCCAITAgMC43NxAH4AAAAAAAJzcQB+AAT///////////////7////+/////3VxAH4ABwAAAAMSmrd4eHeKAh4AApQCAgJ3AgQCBQIGAgcCCAIJApcCCwKVAg0CCAIIAggCCAIIAggCCAIIAggCCAIIAggCCAIIAggCCAIIAhMCAwJ4Ah4AApQCAgIgAgQCBQIGAgcCCAIJAgoCCwKVAg0CCAIIAggCCAIIAggCCAIIAggCCAIIAggCCAIIAggCCAIIAhMCAwLkc3EAfgAAAAAAAnNxAH4ABP///////////////v////7/////dXEAfgAHAAAABDlFLv54eHdFAh4AApQCAgIxAgQCBQIGAgcCCAIJAiECCwKVAg0CCAIIAggCCAIIAggCCAIIAggCCAIIAggCCAIIAggCCAIIAhMCAwLlc3EAfgAAAAAAAnNxAH4ABP///////////////v////7/////dXEAfgAHAAAABALXZ1R4eHdFAh4AApQCAgIwAgQCBQIGAgcCCAIJAgoCCwKVAg0CCAIIAggCCAIIAggCCAIIAggCCAIIAggCCAIIAggCCAIIAhMCAwLmc3EAfgAAAAAAAnNxAH4ABP///////////////v////7/////dXEAfgAHAAAABDvz0SR4eHdFAh4AApQCAgJYAgQCBQIGAgcCCAIJAiECCwKVAg0CCAIIAggCCAIIAggCCAIIAggCCAIIAggCCAIIAggCCAIIAhMCAwLnc3EAfgAAAAAAAnNxAH4ABP///////////////v////7/////dXEAfgAHAAAABATh3pl4eHdFAh4AApQCAgI1AgQCBQIGAgcCCAIJAiECCwKVAg0CCAIIAggCCAIIAggCCAIIAggCCAIIAggCCAIIAggCCAIIAhMCAwLoc3EAfgAAAAAAAnNxAH4ABP///////////////v////7/////dXEAfgAHAAAABB0QqXR4eHdFAh4AApQCAgJJAgQCBQIGAgcCCAIJApcCCwKVAg0CCAIIAggCCAIIAggCCAIIAggCCAIIAggCCAIIAggCCAIIAhMCAwLpc3EAfgAAAAAAAnNxAH4ABP///////////////v////7/////dXEAfgAHAAAAAxJvRnh4d0UCHgAClAICAmwCBAIFAgYCBwIIAgkClwILApUCDQIIAggCCAIIAggCCAIIAggCCAIIAggCCAIIAggCCAIIAggCEwIDAupzcQB+AAAAAAACc3EAfgAE///////////////+/////v////91cQB+AAcAAAADElupeHh3RQIeAAKUAgICLgIEAgUCBgIHAggCCQIKAgsClQINAggCCAIIAggCCAIIAggCCAIIAggCCAIIAggCCAIIAggCCAITAgMC63NxAH4AAAAAAAJzcQB+AAT///////////////7////+/////3VxAH4ABwAAAAQp4OUTeHh3RQIeAAKUAgICcgIEAgUCBgIHAggCCQKXAgsClQINAggCCAIIAggCCAIIAggCCAIIAggCCAIIAggCCAIIAggCCAITAgMCJA==]]></xxe4awand>
</file>

<file path=customXml/item10.xml><?xml version="1.0" encoding="utf-8"?>
<xxe4awand xmlns="http://www.excel4apps.com"><![CDATA[rO0ABXfaCMCtii8ABGcGAh4AAERjb20uZXhjZWw0YXBwcy53YW5kLm9yYWNsZS5n
bHdhbmQuY2FsY3VsYXRpb25zLmdldGJhbGFuY2UuR2V0QmFsYW5jZQIBAAoxMjE2
MTQyMjg4AgIAATACAwAGMjAxNzEwAgQAA1lURAIFAANVU0QCBgAFVG90YWwCBwAB
QQIIAAACCQADMDAxAgoABjE5MTAyNQILAAJHRAIMAAJXQQINAAJETAIIAggCCAII
AggCCAIIAggCCAIIAggCCAIIAggCCAIIAggCH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AwPcq3h4d1UCHgACAQICAhsABjIwMTYxMQIEAgUCBgIHAggCCQIcAAYxOTEwMTACCwIMAg0CCAIIAggCCAIIAggCCAIIAggCCAIIAggCCAIIAggCCAIIAh4CAwIdc3EAfgAAAAAAAnNxAH4ABP///////////////v////7/////dXEAfgAHAAAABBJUFap4eHdNAh4AAgECAgIeAAYyMDE3MDMCBAIFAgYCBwIIAgkCCgILAgwCDQIIAggCCAIIAggCCAIIAggCCAIIAggCCAIIAggCCAIIAggCHgIDAh9zcQB+AAAAAAACc3EAfgAE///////////////+/////v////91cQB+AAcAAAADBKuXeHh3TQIeAAIBAgICIAAGMjAxNjA1AgQCBQIGAgcCCAIJAhwCCwIMAg0CCAIIAggCCAIIAggCCAIIAggCCAIIAggCCAIIAggCCAIIAh4CAwIhc3EAfgAAAAAAAnNxAH4ABP///////////////v////7/////dXEAfgAHAAAABEwrC4B4eHdNAh4AAgECAgIiAAYyMDE2MDMCBAIFAgYCBwIIAgkCCgILAgwCDQIIAggCCAIIAggCCAIIAggCCAIIAggCCAIIAggCCAIIAggCHgIDAiNzcQB+AAAAAAACc3EAfgAE///////////////+/////v////91cQB+AAcAAAADDoPdeHh3TQIeAAIBAgICJAAGMjAxNzA0AgQCBQIGAgcCCAIJAgoCCwIMAg0CCAIIAggCCAIIAggCCAIIAggCCAIIAggCCAIIAggCCAIIAh4CAwIlc3EAfgAAAAAAAnNxAH4ABP///////////////v////7/////dXEAfgAHAAAAAwR0jXh4d1UCHgACAQICAiYABjIwMTcwNwIEAgUCBgIHAggCCQInAAYxOTEwMDACCwIMAg0CCAIIAggCCAIIAggCCAIIAggCCAIIAggCCAIIAggCCAIIAh4CAwIoc3EAfgAAAAAAAnNxAH4ABP///////////////v////7/////dXEAfgAHAAAABAIK9vR4eHdNAh4AAgECAgIpAAYyMDE2MDYCBAIFAgYCBwIIAgkCJwILAgwCDQIIAggCCAIIAggCCAIIAggCCAIIAggCCAIIAggCCAIIAggCHgIDAipzcQB+AAAAAAACc3EAfgAE///////////////+/////v////91cQB+AAcAAAAEA6uLrXh4d00CHgACAQICAisABjIwMTcxMgIEAgUCBgIHAggCCQIcAgsCDAINAggCCAIIAggCCAIIAggCCAIIAggCCAIIAggCCAIIAggCCAIeAgMCLHNxAH4AAAAAAAJzcQB+AAT///////////////7////+/////3VxAH4ABwAAAARCNLx8eHh3TQIeAAIBAgICLQAGMjAxNzA1AgQCBQIGAgcCCAIJAhwCCwIMAg0CCAIIAggCCAIIAggCCAIIAggCCAIIAggCCAIIAggCCAIIAh4CAwIuc3EAfgAAAAAAAnNxAH4ABP///////////////v////7/////dXEAfgAHAAAABFn95fJ4eHdFAh4AAgECAgIpAgQCBQIGAgcCCAIJAhwCCwIMAg0CCAIIAggCCAIIAggCCAIIAggCCAIIAggCCAIIAggCCAIIAh4CAwIvc3EAfgAAAAAAAnNxAH4ABP///////////////v////7/////dXEAfgAHAAAABFSIS5t4eHdNAh4AAgECAgIwAAYyMDE3MTECBAIFAgYCBwIIAgkCCgILAgwCDQIIAggCCAIIAggCCAIIAggCCAIIAggCCAIIAggCCAIIAggCHgIDAjFzcQB+AAAAAAACc3EAfgAE///////////////+/////gAAAAB1cQB+AAcAAAAAeHh3RQIeAAIBAgICJgIEAgUCBgIHAggCCQIcAgsCDAINAggCCAIIAggCCAIIAggCCAIIAggCCAIIAggCCAIIAggCCAIeAgMCMnNxAH4AAAAAAAJzcQB+AAT///////////////7////+/////3VxAH4ABwAAAARe1GL4eHh3TQIeAAIBAgICMwAGMjAxNjEwAgQCBQIGAgcCCAIJAgoCCwIMAg0CCAIIAggCCAIIAggCCAIIAggCCAIIAggCCAIIAggCCAIIAh4CAwI0c3EAfgAAAAAAAnNxAH4ABP///////////////v////7/////dXEAfgAHAAAAAwU/r3h4d00CHgACAQICAjUABjIwMTgwMQIEAgUCBgIHAggCCQInAgsCDAINAggCCAIIAggCCAIIAggCCAIIAggCCAIIAggCCAIIAggCCAIeAgMCNnNxAH4AAAAAAAJzcQB+AAT///////////////7////+/////3VxAH4ABwAAAAQmcaNXeHh3RQIeAAIBAgICLQIEAgUCBgIHAggCCQIKAgsCDAINAggCCAIIAggCCAIIAggCCAIIAggCCAIIAggCCAIIAggCCAIeAgMCN3NxAH4AAAAAAAJzcQB+AAT///////////////7////+/////3VxAH4ABwAAAAMEVit4eHdNAh4AAgECAgI4AAYyMDE2MTICBAIFAgYCBwIIAgkCHAILAgwCDQIIAggCCAIIAggCCAIIAggCCAIIAggCCAIIAggCCAIIAggCHgIDAjlzcQB+AAAAAAACc3EAfgAE///////////////+/////v////91cQB+AAcAAAAEKKPaWXh4d00CHgACAQICAjoABjIwMTYwNAIEAgUCBgIHAggCCQIKAgsCDAINAggCCAIIAggCCAIIAggCCAIIAggCCAIIAggCCAIIAggCCAIeAgMCO3NxAH4AAAAAAAJzcQB+AAT///////////////7////+/////3VxAH4ABwAAAAMMxv54eHdFAh4AAgECAgIbAgQCBQIGAgcCCAIJAgoCCwIMAg0CCAIIAggCCAIIAggCCAIIAggCCAIIAggCCAIIAggCCAIIAh4CAwI8c3EAfgAAAAAAAnNxAH4ABP///////////////v////7/////dXEAfgAHAAAAAwZoK3h4d00CHgACAQICAj0ABjIwMTYwNwIEAgUCBgIHAggCCQInAgsCDAINAggCCAIIAggCCAIIAggCCAIIAggCCAIIAggCCAIIAggCCAIeAgMCPnNxAH4AAAAAAAJzcQB+AAT///////////////7////+/////3VxAH4ABwAAAAQDNpKZeHh3TQIeAAIBAgICPwAGMjAxNzA2AgQCBQIGAgcCCAIJAhwCCwIMAg0CCAIIAggCCAIIAggCCAIIAggCCAIIAggCCAIIAggCCAIIAh4CAwJAc3EAfgAAAAAAAnNxAH4ABP///////////////v////7/////dXEAfgAHAAAABFgLByx4eHdNAh4AAgECAgJBAAYyMDE3MDgCBAIFAgYCBwIIAgkCJwILAgwCDQIIAggCCAIIAggCCAIIAggCCAIIAggCCAIIAggCCAIIAggCHgIDAkJzcQB+AAAAAAACc3EAfgAE///////////////+/////v////91cQB+AAcAAAADMpTWeHh3RQIeAAIBAgICQQIEAgUCBgIHAggCCQIcAgsCDAINAggCCAIIAggCCAIIAggCCAIIAggCCAIIAggCCAIIAggCCAIeAgMCQ3NxAH4AAAAAAAJzcQB+AAT///////////////7////+/////3VxAH4ABwAAAARlMUGreHh3RQIeAAIBAgICGwIEAgUCBgIHAggCCQInAgsCDAINAggCCAIIAggCCAIIAggCCAIIAggCCAIIAggCCAIIAggCCAIeAgMCRHNxAH4AAAAAAAJzcQB+AAT///////////////7////+/////3VxAH4ABwAAAARMQw4VeHh3TQIeAAIBAgICRQAGMjAxODAyAgQCBQIGAgcCCAIJAicCCwIMAg0CCAIIAggCCAIIAggCCAIIAggCCAIIAggCCAIIAggCCAIIAh4CAwJGc3EAfgAAAAAAAnNxAH4ABP///////////////v////7/////dXEAfgAHAAAABBli52V4eHdFAh4AAgECAgI9AgQCBQIGAgcCCAIJAhwCCwIMAg0CCAIIAggCCAIIAggCCAIIAggCCAIIAggCCAIIAggCCAIIAh4CAwJHc3EAfgAAAAAAAnNxAH4ABP///////////////v////7/////dXEAfgAHAAAABFovta14eHdNAh4AAgECAgJIAAYyMDE2MDICBAIFAgYCBwIIAgkCHAILAgwCDQIIAggCCAIIAggCCAIIAggCCAIIAggCCAIIAggCCAIIAggCHgIDAklzcQB+AAAAAAACc3EAfgAE///////////////+/////v////91cQB+AAcAAAAENzj1T3h4d0UCHgACAQICAh4CBAIFAgYCBwIIAgkCHAILAgwCDQIIAggCCAIIAggCCAIIAggCCAIIAggCCAIIAggCCAIIAggCHgIDAkpzcQB+AAAAAAACc3EAfgAE///////////////+/////v////91cQB+AAcAAAAEU2ObJnh4d00CHgACAQICAksABjIwMTcwMQIEAgUCBgIHAggCCQInAgsCDAINAggCCAIIAggCCAIIAggCCAIIAggCCAIIAggCCAIIAggCCAIeAgMCTHNxAH4AAAAAAAJzcQB+AAT///////////////7////+/////3VxAH4ABwAAAAQo6Ya2eHh3TQIeAAIBAgICTQAGMjAxNjA5AgQCBQIGAgcCCAIJAgoCCwIMAg0CCAIIAggCCAIIAggCCAIIAggCCAIIAggCCAIIAggCCAIIAh4CAwJOc3EAfgAAAAAAAnNxAH4ABP///////////////v////7/////dXEAfgAHAAAAAweN1Hh4d00CHgACAQICAk8ABjIwMTcwOQIEAgUCBgIHAggCCQInAgsCDAINAggCCAIIAggCCAIIAggCCAIIAggCCAIIAggCCAIIAggCCAIeAgMCUHNxAH4AAAAAAAJzcQB+AAT///////////////7////+AAAAAXVxAH4ABwAAAAQCjrCgeHh3RQIeAAIBAgICKwIEAgUCBgIHAggCCQInAgsCDAINAggCCAIIAggCCAIIAggCCAIIAggCCAIIAggCCAIIAggCCAIeAgMCUXNxAH4AAAAAAAJzcQB+AAT///////////////7////+/////3VxAH4ABwAAAAQ0Sb4jeHh3TQIeAAIBAgICUgAGMjAxNjA4AgQCBQIGAgcCCAIJAicCCwIMAg0CCAIIAggCCAIIAggCCAIIAggCCAIIAggCCAIIAggCCAIIAh4CAwJTc3EAfgAAAAAAAnNxAH4ABP///////////////v////7/////dXEAfgAHAAAABAK9P6R4eHdFAh4AAgECAgI4AgQCBQIGAgcCCAIJAgoCCwIMAg0CCAIIAggCCAIIAggCCAIIAggCCAIIAggCCAIIAggCCAIIAh4CAwJUc3EAfgAAAAAAAnNxAH4ABP///////////////v////7/////dXEAfgAHAAAAAwbck3h4d0UCHgACAQICAjUCBAIFAgYCBwIIAgkCHAILAgwCDQIIAggCCAIIAggCCAIIAggCCAIIAggCCAIIAggCCAIIAggCHgIDAlVzcQB+AAAAAAACc3EAfgAE///////////////+/////v////91cQB+AAcAAAAETu7o2nh4d0UCHgACAQICAjACBAIFAgYCBwIIAgkCHAILAgwCDQIIAggCCAIIAggCCAIIAggCCAIIAggCCAIIAggCCAIIAggCHgIDAlZzcQB+AAAAAAACc3EAfgAE///////////////+/////v////91cQB+AAcAAAAEMNCqs3h4d0UCHgACAQICAikCBAIFAgYCBwIIAgkCCgILAgwCDQIIAggCCAIIAggCCAIIAggCCAIIAggCCAIIAggCCAIIAggCHgIDAldzcQB+AAAAAAACc3EAfgAE///////////////+/////v////91cQB+AAcAAAADCoBUeHh3mgIeAAIBAgICWAAGMjAxODAzAgQCBQIGAgcCCAIJAgoCCwIMAg0CCAIIAggCCAIIAggCCAIIAggCCAIIAggCCAIIAggCCAIIAh4CAwIxAh4AAgECAgJZAAYyMDE3MDICBAIFAgYCBwIIAgkCCgILAgwCDQIIAggCCAIIAggCCAIIAggCCAIIAggCCAIIAggCCAIIAggCHgIDAlpzcQB+AAAAAAACc3EAfgAE///////////////+/////v////91cQB+AAcAAAADBPtoeHh3RQIeAAIBAgICOgIEAgUCBgIHAggCCQIcAgsCDAINAggCCAIIAggCCAIIAggCCAIIAggCCAIIAggCCAIIAggCCAIeAgMCW3NxAH4AAAAAAAJzcQB+AAT///////////////7////+/////3VxAH4ABwAAAARIcHiveHh3RQIeAAIBAgICJgIEAgUCBgIHAggCCQIKAgsCDAINAggCCAIIAggCCAIIAggCCAIIAggCCAIIAggCCAIIAggCCAIeAgMCXHNxAH4AAAAAAAJzcQB+AAT///////////////7////+/////3VxAH4ABwAAAAMENDh4eHdFAh4AAgECAgIzAgQCBQIGAgcCCAIJAhwCCwIMAg0CCAIIAggCCAIIAggCCAIIAggCCAIIAggCCAIIAggCCAIIAh4CAwJdc3EAfgAAAAAAAnNxAH4ABP///////////////v////7/////dXEAfgAHAAAABGKNyxZ4eHdFAh4AAgECAgIgAgQCBQIGAgcCCAIJAicCCwIMAg0CCAIIAggCCAIIAggCCAIIAggCCAIIAggCCAIIAggCCAIIAh4CAwJec3EAfgAAAAAAAnNxAH4ABP///////////////v////7/////dXEAfgAHAAAABAQ2ieN4eHdFAh4AAgECAgI/AgQCBQIGAgcCCAIJAicCCwIMAg0CCAIIAggCCAIIAggCCAIIAggCCAIIAggCCAIIAggCCAIIAh4CAwJfc3EAfgAAAAAAAnNxAH4ABP///////////////v////7/////dXEAfgAHAAAABAPdTSB4eHdFAh4AAgECAgI9AgQCBQIGAgcCCAIJAgoCCwIMAg0CCAIIAggCCAIIAggCCAIIAggCCAIIAggCCAIIAggCCAIIAh4CAwJgc3EAfgAAAAAAAnNxAH4ABP///////////////v////7/////dXEAfgAHAAAAAwmef3h4d0UCHgACAQICAkECBAIFAgYCBwIIAgkCCgILAgwCDQIIAggCCAIIAggCCAIIAggCCAIIAggCCAIIAggCCAIIAggCHgIDAmFzcQB+AAAAAAACc3EAfgAE///////////////+/////v////91cQB+AAcAAAADBCUJeHh3RQIeAAIBAgICHgIEAgUCBgIHAggCCQInAgsCDAINAggCCAIIAggCCAIIAggCCAIIAggCCAIIAggCCAIIAggCCAIeAgMCYnNxAH4AAAAAAAJzcQB+AAT///////////////7////+/////3VxAH4ABwAAAAQQ/fIjeHh3RQIeAAIBAgICSAIEAgUCBgIHAggCCQInAgsCDAINAggCCAIIAggCCAIIAggCCAIIAggCCAIIAggCCAIIAggCCAIeAgMCY3NxAH4AAAAAAAJzcQB+AAT///////////////7////+/////3VxAH4ABwAAAAQIJf+xeHh3RQIeAAIBAgICTQIEAgUCBgIHAggCCQIcAgsCDAINAggCCAIIAggCCAIIAggCCAIIAggCCAIIAggCCAIIAggCCAIeAgMCZHNxAH4AAAAAAAJzcQB+AAT///////////////7////+/////3VxAH4ABwAAAARhMQgUeHh3RQIeAAIBAgICAwIEAgUCBgIHAggCCQInAgsCDAINAggCCAIIAggCCAIIAggCCAIIAggCCAIIAggCCAIIAggCCAIeAgMCZXNxAH4AAAAAAAJzcQB+AAT///////////////7////+AAAAAXVxAH4ABwAAAAQJDRX9eHh3RQIeAAIBAgICSwIEAgUCBgIHAggCCQIcAgsCDAINAggCCAIIAggCCAIIAggCCAIIAggCCAIIAggCCAIIAggCCAIeAgMCZnNxAH4AAAAAAAJzcQB+AAT///////////////7////+/////3VxAH4ABwAAAAQ9FTt2eHh3RQIeAAIBAgICRQIEAgUCBgIHAggCCQIcAgsCDAINAggCCAIIAggCCAIIAggCCAIIAggCCAIIAggCCAIIAggCCAIeAgMCZ3NxAH4AAAAAAAJzcQB+AAT///////////////7////+/////3VxAH4ABwAAAARPKnH5eHh3RQIeAAIBAgICUgIEAgUCBgIHAggCCQIKAgsCDAINAggCCAIIAggCCAIIAggCCAIIAggCCAIIAggCCAIIAggCCAIeAgMCaHNxAH4AAAAAAAJzcQB+AAT///////////////7////+/////3VxAH4ABwAAAAMItpx4eHeKAh4AAgECAgI1AgQCBQIGAgcCCAIJAgoCCwIMAg0CCAIIAggCCAIIAggCCAIIAggCCAIIAggCCAIIAggCCAIIAh4CAwIxAh4AAgECAgJPAgQCBQIGAgcCCAIJAgoCCwIMAg0CCAIIAggCCAIIAggCCAIIAggCCAIIAggCCAIIAggCCAIIAh4CAwJpc3EAfgAAAAAAAnNxAH4ABP///////////////v////7/////dXEAfgAHAAAAAwQOrnh4d0UCHgACAQICAjMCBAIFAgYCBwIIAgkCJwILAgwCDQIIAggCCAIIAggCCAIIAggCCAIIAggCCAIIAggCCAIIAggCHgIDAmpzcQB+AAAAAAACc3EAfgAE///////////////+/////v////91cQB+AAcAAAADvFyyeHh3RQIeAAIBAgICWAIEAgUCBgIHAggCCQIcAgsCDAINAggCCAIIAggCCAIIAggCCAIIAggCCAIIAggCCAIIAggCCAIeAgMCa3NxAH4AAAAAAAJzcQB+AAT///////////////7////+/////3VxAH4ABwAAAARSfqMaeHh3RQIeAAIBAgICMAIEAgUCBgIHAggCCQInAgsCDAINAggCCAIIAggCCAIIAggCCAIIAggCCAIIAggCCAIIAggCCAIeAgMCbHNxAH4AAAAAAAJzcQB+AAT///////////////7////+/////3VxAH4ABwAAAAREule8eHh3RQIeAAIBAgICIgIEAgUCBgIHAggCCQInAgsCDAINAggCCAIIAggCCAIIAggCCAIIAggCCAIIAggCCAIIAggCCAIeAgMCbXNxAH4AAAAAAAJzcQB+AAT///////////////7////+/////3VxAH4ABwAAAAQF6I5ueHh3RQIeAAIBAgICWQIEAgUCBgIHAggCCQIcAgsCDAINAggCCAIIAggCCAIIAggCCAIIAggCCAIIAggCCAIIAggCCAIeAgMCbnNxAH4AAAAAAAJzcQB+AAT///////////////7////+/////3VxAH4ABwAAAARJi1PJeHh3RQIeAAIBAgICJAIEAgUCBgIHAggCCQInAgsCDAINAggCCAIIAggCCAIIAggCCAIIAggCCAIIAggCCAIIAggCCAIeAgMCb3NxAH4AAAAAAAJzcQB+AAT///////////////7////+/////3VxAH4ABwAAAAQJ8GpGeHh3RQIeAAIBAgICAwIEAgUCBgIHAggCCQIcAgsCDAINAggCCAIIAggCCAIIAggCCAIIAggCCAIIAggCCAIIAggCCAIeAgMCcHNxAH4AAAAAAAJzcQB+AAT///////////////7////+/////3VxAH4ABwAAAASC3IjxeHh3RQIeAAIBAgICTQIEAgUCBgIHAggCCQInAgsCDAINAggCCAIIAggCCAIIAggCCAIIAggCCAIIAggCCAIIAggCCAIeAgMCcXNxAH4AAAAAAAJzcQB+AAT///////////////7////+/////3VxAH4ABwAAAAQCG6dueHh3igIeAAIBAgICRQIEAgUCBgIHAggCCQIKAgsCDAINAggCCAIIAggCCAIIAggCCAIIAggCCAIIAggCCAIIAggCCAIeAgMCMQIeAAIBAgICPwIEAgUCBgIHAggCCQIKAgsCDAINAggCCAIIAggCCAIIAggCCAIIAggCCAIIAggCCAIIAggCCAIeAgMCcnNxAH4AAAAAAAJzcQB+AAT///////////////7////+/////3VxAH4ABwAAAAMEQ3p4eHeKAh4AAgECAgIrAgQCBQIGAgcCCAIJAgoCCwIMAg0CCAIIAggCCAIIAggCCAIIAggCCAIIAggCCAIIAggCCAIIAh4CAwIxAh4AAgECAgIiAgQCBQIGAgcCCAIJAhwCCwIMAg0CCAIIAggCCAIIAggCCAIIAggCCAIIAggCCAIIAggCCAIIAh4CAwJzc3EAfgAAAAAAAnNxAH4ABP///////////////v////7/////dXEAfgAHAAAABD37VuJ4eHdFAh4AAgECAgJLAgQCBQIGAgcCCAIJAgoCCwIMAg0CCAIIAggCCAIIAggCCAIIAggCCAIIAggCCAIIAggCCAIIAh4CAwJ0c3EAfgAAAAAAAnNxAH4ABP///////////////v////7/////dXEAfgAHAAAAAwVk/3h4d0UCHgACAQICAiACBAIFAgYCBwIIAgkCCgILAgwCDQIIAggCCAIIAggCCAIIAggCCAIIAggCCAIIAggCCAIIAggCHgIDAnVzcQB+AAAAAAACc3EAfgAE///////////////+/////v////91cQB+AAcAAAADC4KteHh3RQIeAAIBAgICTwIEAgUCBgIHAggCCQIcAgsCDAINAggCCAIIAggCCAIIAggCCAIIAggCCAIIAggCCAIIAggCCAIeAgMCdnNxAH4AAAAAAAJzcQB+AAT///////////////7////+/////3VxAH4ABwAAAARxBllJeHh3RQIeAAIBAgICLQIEAgUCBgIHAggCCQInAgsCDAINAggCCAIIAggCCAIIAggCCAIIAggCCAIIAggCCAIIAggCCAIeAgMCd3NxAH4AAAAAAAJzcQB+AAT///////////////7////+/////3VxAH4ABwAAAAQGIRiFeHh3RQIeAAIBAgICOgIEAgUCBgIHAggCCQInAgsCDAINAggCCAIIAggCCAIIAggCCAIIAggCCAIIAggCCAIIAggCCAIeAgMCeHNxAH4AAAAAAAJzcQB+AAT///////////////7////+/////3VxAH4ABwAAAAQE5DAPeHh3RQIeAAIBAgICOAIEAgUCBgIHAggCCQInAgsCDAINAggCCAIIAggCCAIIAggCCAIIAggCCAIIAggCCAIIAggCCAIeAgMCeXNxAH4AAAAAAAJzcQB+AAT///////////////7////+/////3VxAH4ABwAAAAQ7i4i9eHh3RQIeAAIBAgICWQIEAgUCBgIHAggCCQInAgsCDAINAggCCAIIAggCCAIIAggCCAIIAggCCAIIAggCCAIIAggCCAIeAgMCenNxAH4AAAAAAAJzcQB+AAT///////////////7////+/////3VxAH4ABwAAAAQbRzHTeHh3RQIeAAIBAgICUgIEAgUCBgIHAggCCQIcAgsCDAINAggCCAIIAggCCAIIAggCCAIIAggCCAIIAggCCAIIAggCCAIeAgMCe3NxAH4AAAAAAAJzcQB+AAT///////////////7////+/////3VxAH4ABwAAAARdV1DJeHh3RQIeAAIBAgICWAIEAgUCBgIHAggCCQInAgsCDAINAggCCAIIAggCCAIIAggCCAIIAggCCAIIAggCCAIIAggCCAIeAgMCfHNxAH4AAAAAAAJzcQB+AAT///////////////7////+/////3VxAH4ABwAAAAQOU8mMeHh3RQIeAAIBAgICJAIEAgUCBgIHAggCCQIcAgsCDAINAggCCAIIAggCCAIIAggCCAIIAggCCAIIAggCCAIIAggCCAIeAgMCfXNxAH4AAAAAAAJzcQB+AAT///////////////7////+/////3VxAH4ABwAAAARacNl3eHh3RQIeAAIBAgICSAIEAgUCBgIHAggCCQIKAgsCDAINAggCCAIIAggCCAIIAggCCAIIAggCCAIIAggCCAIIAggCCAIeAgMCfnNxAH4AAAAAAAJzcQB+AAT///////////////7////+/////3VxAH4ABwAAAAMSFct4eHoAAAH2Ah4AAn8ACTU4MDEzMDgyNAICAkgCBAIFAgYCBwIIAgkCJwILAgwCDQIIAggCCAIIAggCCAIIAggCCAIIAggCCAIIAggCCAIIAggCGAIDAmMCHgACfwICAkUCBAIFAgYCBwIIAgkCHAILAgwCDQIIAggCCAIIAggCCAIIAggCCAIIAggCCAIIAggCCAIIAggCGAIDAmcCHgACfwICAh4CBAIFAgYCBwIIAgkCJwILAgwCDQIIAggCCAIIAggCCAIIAggCCAIIAggCCAIIAggCCAIIAggCGAIDAmICHgACfwICAj0CBAIFAgYCBwIIAgkCCgILAgwCDQIIAggCCAIIAggCCAIIAggCCAIIAggCCAIIAggCCAIIAggCGAIDAmACHgACfwICAk0CBAIFAgYCBwIIAgkCHAILAgwCDQIIAggCCAIIAggCCAIIAggCCAIIAggCCAIIAggCCAIIAggCGAIDAmQCHgACfwICAkECBAIFAgYCBwIIAgkCCgILAgwCDQIIAggCCAIIAggCCAIIAggCCAIIAggCCAIIAggCCAIIAggCGAIDAmECHgACfwICAoAABjIwMTgwNAIEAgUCBgIHAggCCQInAgsCDAINAggCCAIIAggCCAIIAggCCAIIAggCCAIIAggCCAIIAggCCAIYAgMCgXNxAH4AAAAAAAJzcQB+AAT///////////////7////+/////3VxAH4ABwAAAAQHGT+ZeHh6AAAEAAIeAAJ/AgICAwIEAgUCBgIHAggCCQInAgsCDAINAggCCAIIAggCCAIIAggCCAIIAggCCAIIAggCCAIIAggCCAIYAgMCZQIeAAJ/AgICSwIEAgUCBgIHAggCCQIcAgsCDAINAggCCAIIAggCCAIIAggCCAIIAggCCAIIAggCCAIIAggCCAIYAgMCZgIeAAJ/AgICNQIEAgUCBgIHAggCCQIcAgsCDAINAggCCAIIAggCCAIIAggCCAIIAggCCAIIAggCCAIIAggCCAIYAgMCVQIeAAJ/AgICWQIEAgUCBgIHAggCCQInAgsCDAINAggCCAIIAggCCAIIAggCCAIIAggCCAIIAggCCAIIAggCCAIYAgMCegIeAAJ/AgICKQIEAgUCBgIHAggCCQIKAgsCDAINAggCCAIIAggCCAIIAggCCAIIAggCCAIIAggCCAIIAggCCAIYAgMCVwIeAAJ/AgICUgIEAgUCBgIHAggCCQIcAgsCDAINAggCCAIIAggCCAIIAggCCAIIAggCCAIIAggCCAIIAggCCAIYAgMCewIeAAJ/AgICWAIEAgUCBgIHAggCCQInAgsCDAINAggCCAIIAggCCAIIAggCCAIIAggCCAIIAggCCAIIAggCCAIYAgMCfAIeAAJ/AgICJgIEAgUCBgIHAggCCQIKAgsCDAINAggCCAIIAggCCAIIAggCCAIIAggCCAIIAggCCAIIAggCCAIYAgMCXAIeAAJ/AgICTQIEAgUCBgIHAggCCQInAgsCDAINAggCCAIIAggCCAIIAggCCAIIAggCCAIIAggCCAIIAggCCAIYAgMCcQIeAAJ/AgICQQIEAgUCBgIHAggCCQIcAgsCDAINAggCCAIIAggCCAIIAggCCAIIAggCCAIIAggCCAIIAggCCAIYAgMCQwIeAAJ/AgICPQIEAgUCBgIHAggCCQIcAgsCDAINAggCCAIIAggCCAIIAggCCAIIAggCCAIIAggCCAIIAggCCAIYAgMCRwIeAAJ/AgICTQIEAgUCBgIHAggCCQIKAgsCDAINAggCCAIIAggCCAIIAggCCAIIAggCCAIIAggCCAIIAggCCAIYAgMCTgIeAAJ/AgICRQIEAgUCBgIHAggCCQInAgsCDAINAggCCAIIAggCCAIIAggCCAIIAggCCAIIAggCCAIIAggCCAIYAgMCRgIeAAJ/AgICggAGMjAxODA2AgQCBQIGAgcCCAIJAgoCCwIMAg0CCAIIAggCCAIIAggCCAIIAggCCAIIAggCCAIIAggCCAIIAhgCAwIxAh4AAn8CAgJIAgQCBQIGAgcCCAIJAhwCCwIMAg0CCAIIAggCCAIIAggCCAIIAggCCAJ3WAgCCAIIAggCCAIIAggCGAIDAkkCHgACfwICAoACBAIFAgYCBwIIAgkCHAILAgwCDQIIAggCCAIIAggCCAIIAggCCAIIAggCCAIIAggCCAIIAggCGAIDAoNzcQB+AAAAAAACc3EAfgAE///////////////+/////v////91cQB+AAcAAAAEWqnIX3h4egAAA4kCHgACfwICAksCBAIFAgYCBwIIAgkCJwILAgwCDQIIAggCCAIIAggCCAIIAggCCAIIAggCCAIIAggCCAIIAggCGAIDAkwCHgACfwICAk8CBAIFAgYCBwIIAgkCJwILAgwCDQIIAggCCAIIAggCCAIIAggCCAIIAggCCAIIAggCCAIIAggCGAIDAlACHgACfwICAisCBAIFAgYCBwIIAgkCJwILAgwCDQIIAggCCAIIAggCCAIIAggCCAIIAggCCAIIAggCCAIIAggCGAIDAlECHgACfwICAlICBAIFAgYCBwIIAgkCJwILAgwCDQIIAggCCAIIAggCCAIIAggCCAIIAggCCAIIAggCCAIIAggCGAIDAlMCHgACfwICAjgCBAIFAgYCBwIIAgkCCgILAgwCDQIIAggCCAIIAggCCAIIAggCCAIIAggCCAIIAggCCAIIAggCGAIDAlQCHgACfwICAhsCBAIFAgYCBwIIAgkCJwILAgwCDQIIAggCCAIIAggCCAIIAggCCAIIAggCCAIIAggCCAIIAggCGAIDAkQCHgACfwICAh4CBAIFAgYCBwIIAgkCHAILAgwCDQIIAggCCAIIAggCCAIIAggCCAIIAggCCAIIAggCCAIIAggCGAIDAkoCHgACfwICAk8CBAIFAgYCBwIIAgkCHAILAgwCDQIIAggCCAIIAggCCAIIAggCCAIIAggCCAIIAggCCAIIAggCGAIDAnYCHgACfwICAjMCBAIFAgYCBwIIAgkCCgILAgwCDQIIAggCCAIIAggCCAIIAggCCAIIAggCCAIIAggCCAIIAggCGAIDAjQCHgACfwICAjUCBAIFAgYCBwIIAgkCCgILAgwCDQIIAggCCAIIAggCCAIIAggCCAIIAggCCAIIAggCCAIIAggCGAIDAjECHgACfwICAiQCBAIFAgYCBwIIAgkCJwILAgwCDQIIAggCCAIIAggCCAIIAggCCAIIAggCCAIIAggCCAIIAggCGAIDAm8CHgACfwICAjACBAIFAgYCBwIIAgkCCgILAgwCDQIIAggCCAIIAggCCAIIAggCCAIIAggCCAIIAggCCAIIAggCGAIDAjECHgACfwICAoQABjIwMTgwNQIEAgUCBgIHAggCCQInAgsCDAINAggCCAIIAggCCAIIAggCCAIIAggCCAIIAggCCAIIAggCCAIYAgMChXNxAH4AAAAAAAJzcQB+AAT///////////////7////+/////3VxAH4ABwAAAAQESkGVeHh6AAACsgIeAAJ/AgICLQIEAgUCBgIHAggCCQIKAgsCDAINAggCCAIIAggCCAIIAggCCAIIAggCCAIIAggCCAIIAggCCAIYAgMCNwIeAAJ/AgICOgIEAgUCBgIHAggCCQIKAgsCDAINAggCCAIIAggCCAIIAggCCAIIAggCCAIIAggCCAIIAggCCAIYAgMCOwIeAAJ/AgICPwIEAgUCBgIHAggCCQIcAgsCDAINAggCCAIIAggCCAIIAggCCAIIAggCCAIIAggCCAIIAggCCAIYAgMCQAIeAAJ/AgICIgIEAgUCBgIHAggCCQInAgsCDAINAggCCAIIAggCCAIIAggCCAIIAggCCAIIAggCCAIIAggCCAIYAgMCbQIeAAJ/AgICIAIEAgUCBgIHAggCCQIcAgsCDAINAggCCAIIAggCCAIIAggCCAIIAggCCAIIAggCCAIIAggCCAIYAgMCIQIeAAJ/AgICGwIEAgUCBgIHAggCCQIcAgsCDAINAggCCAIIAggCCAIIAggCCAIIAggCCAIIAggCCAIIAggCCAIYAgMCHQIeAAJ/AgICHgIEAgUCBgIHAggCCQIKAgsCDAINAggCCAIIAggCCAIIAggCCAIIAggCCAIIAggCCAIIAggCCAIYAgMCHwIeAAJ/AgICAwIEAgUCBgIHAggCCQIKAgsCDAINAggCCAIIAggCCAIIAggCCAIIAggCCAIIAggCCAIIAggCCAIYAgMCDgIeAAJ/AgICKQIEAgUCBgIHAggCCQInAgsCDAINAggCCAIIAggCCAIIAggCCAIIAggCCAIIAggCCAIIAggCCAIYAgMCKgIeAAJ/AgICggIEAgUCBgIHAggCCQIcAgsCDAINAggCCAIIAggCCAIIAggCCAIIAggCCAIIAggCCAIIAggCCAIYAgMChnNxAH4AAAAAAAJzcQB+AAT///////////////7////+/////3VxAH4ABwAAAARdGgPTeHh6AAADgQIeAAJ/AgICOgIEAgUCBgIHAggCCQIcAgsCDAINAggCCAIIAggCCAIIAggCCAIIAggCCAIIAggCCAIIAggCCAIYAgMCWwIeAAJ/AgICJgIEAgUCBgIHAggCCQInAgsCDAINAggCCAIIAggCCAIIAggCCAIIAggCCAIIAggCCAIIAggCCAIYAgMCKAIeAAJ/AgICIgIEAgUCBgIHAggCCQIKAgsCDAINAggCCAIIAggCCAIIAggCCAIIAggCCAIIAggCCAIIAggCCAIYAgMCIwIeAAJ/AgICgAIEAgUCBgIHAggCCQIKAgsCDAINAggCCAIIAggCCAIIAggCCAIIAggCCAIIAggCCAIIAggCCAIYAgMCMQIeAAJ/AgICKwIEAgUCBgIHAggCCQIcAgsCDAINAggCCAIIAggCCAIIAggCCAIIAggCCAIIAggCCAIIAggCCAIYAgMCLAIeAAJ/AgICLQIEAgUCBgIHAggCCQIcAgsCDAINAggCCAIIAggCCAIIAggCCAIIAggCCAIIAggCCAIIAggCCAIYAgMCLgIeAAJ/AgICMAIEAgUCBgIHAggCCQIcAgsCDAINAggCCAIIAggCCAIIAggCCAIIAggCCAIIAggCCAIIAggCCAIYAgMCVgIeAAJ/AgICMwIEAgUCBgIHAggCCQIcAgsCDAINAggCCAIIAggCCAIIAggCCAIIAggCCAIIAggCCAIIAggCCAIYAgMCXQIeAAJ/AgICOAIEAgUCBgIHAggCCQInAgsCDAINAggCCAIIAggCCAIIAggCCAIIAggCCAIIAggCCAIIAggCCAIYAgMCeQIeAAJ/AgICWAIEAgUCBgIHAggCCQIKAgsCDAINAggCCAIIAggCCAIIAggCCAIIAggCCAIIAggCCAIIAggCCAIYAgMCMQIeAAJ/AgICWQIEAgUCBgIHAggCCQIKAgsCDAINAggCCAIIAggCCAIIAggCCAIIAggCCAIIAggCCAIIAggCCAIYAgMCWgIeAAJ/AgICIgIEAgUCBgIHAggCCQIcAgsCDAINAggCCAIIAggCCAIIAggCCAIIAggCCAIIAggCCAIIAggCCAIYAgMCcwIeAAJ/AgIChAIEAgUCBgIHAggCCQIcAgsCDAINAggCCAIIAggCCAIIAggCCAIIAggCCAIIAggCCAIIAggCCAIYAgMCh3NxAH4AAAAAAAJzcQB+AAT///////////////7////+/////3VxAH4ABwAAAARc5cCweHh6AAAC9wIeAAJ/AgICJAIEAgUCBgIHAggCCQIcAgsCDAINAggCCAIIAggCCAIIAggCCAIIAggCCAIIAggCCAIIAggCCAIYAgMCfQIeAAJ/AgICPwIEAgUCBgIHAggCCQInAgsCDAINAggCCAIIAggCCAIIAggCCAIIAggCCAIIAggCCAIIAggCCAIYAgMCXwIeAAJ/AgICSAIEAgUCBgIHAggCCQIKAgsCDAINAggCCAIIAggCCAIIAggCCAIIAggCCAIIAggCCAIIAggCCAIYAgMCfgIeAAJ/AgICIAIEAgUCBgIHAggCCQInAgsCDAINAggCCAIIAggCCAIIAggCCAIIAggCCAIIAggCCAIIAggCCAIYAgMCXgIeAAJ/AgICRQIEAgUCBgIHAggCCQIKAgsCDAINAggCCAIIAggCCAIIAggCCAIIAggCCAIIAggCCAIIAggCCAIYAgMCMQIeAAJ/AgICAwIEAgUCBgIHAggCCQIcAgsCDAINAggCCAIIAggCCAIIAggCCAIIAggCCAIIAggCCAIIAggCCAIYAgMCcAIeAAJ/AgICGwIEAgUCBgIHAggCCQIKAgsCDAINAggCCAIIAggCCAIIAggCCAIIAggCCAIIAggCCAIIAggCCAIYAgMCPAIeAAJ/AgICLQIEAgUCBgIHAggCCQInAgsCDAINAggCCAIIAggCCAIIAggCCAIIAggCCAIIAggCCAIIAggCCAIYAgMCdwIeAAJ/AgICSwIEAgUCBgIHAggCCQIKAgsCDAINAggCCAIIAggCCAIIAggCCAIIAggCCAIIAggCCAIIAggCCAIYAgMCdAIeAAJ/AgICKwIEAgUCBgIHAggCCQIKAgsCDAINAggCCAIIAggCCAIIAggCCAIIAggCCAIIAggCCAIIAggCCAIYAgMCMQIeAAJ/AgICggIEAgUCBgIHAggCCQInAgsCDAINAggCCAIIAggCCAIIAggCCAIIAggCCAIIAggCCAIIAggCCAIYAgMCiHNxAH4AAAAAAAJzcQB+AAT///////////////7////+/////3VxAH4ABwAAAAQB7nrWeHh6AAAEAAIeAAJ/AgICPwIEAgUCBgIHAggCCQIKAgsCDAINAggCCAIIAggCCAIIAggCCAIIAggCCAIIAggCCAIIAggCCAIYAgMCcgIeAAJ/AgICIAIEAgUCBgIHAggCCQIKAgsCDAINAggCCAIIAggCCAIIAggCCAIIAggCCAIIAggCCAIIAggCCAIYAgMCdQIeAAJ/AgICOgIEAgUCBgIHAggCCQInAgsCDAINAggCCAIIAggCCAIIAggCCAIIAggCCAIIAggCCAIIAggCCAIYAgMCeAIeAAJ/AgICJgIEAgUCBgIHAggCCQIcAgsCDAINAggCCAIIAggCCAIIAggCCAIIAggCCAIIAggCCAIIAggCCAIYAgMCMgIeAAJ/AgICKQIEAgUCBgIHAggCCQIcAgsCDAINAggCCAIIAggCCAIIAggCCAIIAggCCAIIAggCCAIIAggCCAIYAgMCLwIeAAJ/AgICUgIEAgUCBgIHAggCCQIKAgsCDAINAggCCAIIAggCCAIIAggCCAIIAggCCAIIAggCCAIIAggCCAIYAgMCaAIeAAJ/AgICOAIEAgUCBgIHAggCCQIcAgsCDAINAggCCAIIAggCCAIIAggCCAIIAggCCAIIAggCCAIIAggCCAIYAgMCOQIeAAJ/AgICNQIEAgUCBgIHAggCCQInAgsCDAINAggCCAIIAggCCAIIAggCCAIIAggCCAIIAggCCAIIAggCCAIYAgMCNgIeAAJ/AgICJAIEAgUCBgIHAggCCQIKAgsCDAINAggCCAIIAggCCAIIAggCCAIIAggCCAIIAggCCAIIAggCCAIYAgMCJQIeAAJ/AgICTwIEAgUCBgIHAggCCQIKAgsCDAINAggCCAIIAggCCAIIAggCCAIIAggCCAIIAggCCAIIAggCCAIYAgMCaQIeAAJ/AgICMAIEAgUCBgIHAggCCQInAgsCDAINAggCCAIIAggCCAIIAggCCAIIAggCCAIIAggCCAIIAggCCAIYAgMCbAIeAAJ/AgICQQIEAgUCBgIHAggCCQInAgsCDAINAggCCAIIAggCCAIIAggCCAIIAggCCAIIAggCCAIIAggCCAIYAgMCQgIeAAJ/AgIChAIEAgUCBgIHAggCCQIKAgsCDAINAggCCAIIAggCCAIIAggCCAIIAggCCAIIAggCCAIIAggCCAIYAgMCMQIeAAJ/AgICWAIEAgUCBgIHAggCCQIcAgsCDAINAggCCAIIAggCCAIIAggCCAIIAggCCAIIAggCCAIIAggCCAIYAgMCawIeAAJ/AgICWQIEAgUCBgIHAggCCQIcAgsCDAINAggCCAIIAggCCAIIAggCCAIIAggCCAIIAggCCAJ6AAAEAAgCCAIIAhgCAwJuAh4AAn8CAgIzAgQCBQIGAgcCCAIJAicCCwIMAg0CCAIIAggCCAIIAggCCAIIAggCCAIIAggCCAIIAggCCAIIAhgCAwJqAh4AAn8CAgI9AgQCBQIGAgcCCAIJAicCCwIMAg0CCAIIAggCCAIIAggCCAIIAggCCAIIAggCCAIIAggCCAIIAhgCAwI+Ah4AAokACTk4NzMwOTQwOAICAlgCBAIFAgYCBwIIAgkCHAILAgwCDQIIAggCCAIIAggCCAIIAggCCAIIAggCCAIIAggCCAIIAggCAgIDAmsCHgACiQICAlkCBAIFAgYCBwIIAgkCHAILAgwCDQIIAggCCAIIAggCCAIIAggCCAIIAggCCAIIAggCCAIIAggCAgIDAm4CHgACiQICAoQCBAIFAgYCBwIIAgkCHAILAgwCDQIIAggCCAIIAggCCAIIAggCCAIIAggCCAIIAggCCAIIAggCAgIDAocCHgACiQICAjUCBAIFAgYCBwIIAgkCHAILAgwCDQIIAggCCAIIAggCCAIIAggCCAIIAggCCAIIAggCCAIIAggCAgIDAlUCHgACiQICAj8CBAIFAgYCBwIIAgkCHAILAgwCDQIIAggCCAIIAggCCAIIAggCCAIIAggCCAIIAggCCAIIAggCAgIDAkACHgACiQICAkECBAIFAgYCBwIIAgkCHAILAgwCDQIIAggCCAIIAggCCAIIAggCCAIIAggCCAIIAggCCAIIAggCAgIDAkMCHgACiQICAiQCBAIFAgYCBwIIAgkCHAILAgwCDQIIAggCCAIIAggCCAIIAggCCAIIAggCCAIIAggCCAIIAggCAgIDAn0CHgACiQICAjACBAIFAgYCBwIIAgkCHAILAgwCDQIIAggCCAIIAggCCAIIAggCCAIIAggCCAIIAggCCAIIAggCAgIDAlYCHgACiQICAkUCBAIFAgYCBwIIAgkCHAILAgwCDQIIAggCCAIIAggCCAIIAggCCAIIAggCCAIIAggCCAIIAggCAgIDAmcCHgACiQICAoACBAIFAgYCBwIIAgkCHAILAgwCDQIIAggCCAIIAggCCAIIAggCCAIIAggCCAIIAggCCAIIAggCAgIDAoMCHgACiQICAoICBAIFAgYCBwIIAgkCHAILAgwCDQIIAggCCAIIAggCCAIIAggCCAIIAggCCAIIAggCCAIIAggCAgIDAoYCHgACiQICAiYCBAIFAgYCBwIIAgkCHAILAgwCDQIIAggCCAIIAggCCAIIAggCCAIIAggCCAIIAggCCAIIAggCAgIDAjICHgACiQICAh4CBAIFAgYCBwIIAgkCHAILAgwCDQIIAggCCAJ6AAAEAAgCCAIIAggCCAIIAggCCAIIAggCCAIIAggCCAICAgMCSgIeAAKJAgICTwIEAgUCBgIHAggCCQIcAgsCDAINAggCCAIIAggCCAIIAggCCAIIAggCCAIIAggCCAIIAggCCAICAgMCdgIeAAKJAgICLQIEAgUCBgIHAggCCQIcAgsCDAINAggCCAIIAggCCAIIAggCCAIIAggCCAIIAggCCAIIAggCCAICAgMCLgIeAAKJAgICSwIEAgUCBgIHAggCCQIcAgsCDAINAggCCAIIAggCCAIIAggCCAIIAggCCAIIAggCCAIIAggCCAICAgMCZgIeAAKJAgICKwIEAgUCBgIHAggCCQIcAgsCDAINAggCCAIIAggCCAIIAggCCAIIAggCCAIIAggCCAIIAggCCAICAgMCLAIeAAKJAgICAwIEAgUCBgIHAggCCQIcAgsCDAINAggCCAIIAggCCAIIAggCCAIIAggCCAIIAggCCAIIAggCCAICAgMCcAIeAAKKAAk5ODczMTE3MjgCAgImAgQCBQIGAgcCCAIJAicCCwIMAg0CCAIIAggCCAIIAggCCAIIAggCCAIIAggCCAIIAggCCAIIAgQCAwIoAh4AAooCAgItAgQCBQIGAgcCCAIJAicCCwIMAg0CCAIIAggCCAIIAggCCAIIAggCCAIIAggCCAIIAggCCAIIAgQCAwJ3Ah4AAooCAgIwAgQCBQIGAgcCCAIJAicCCwIMAg0CCAIIAggCCAIIAggCCAIIAggCCAIIAggCCAIIAggCCAIIAgQCAwJsAh4AAooCAgJPAgQCBQIGAgcCCAIJAicCCwIMAg0CCAIIAggCCAIIAggCCAIIAggCCAIIAggCCAIIAggCCAIIAgQCAwJQAh4AAooCAgIrAgQCBQIGAgcCCAIJAicCCwIMAg0CCAIIAggCCAIIAggCCAIIAggCCAIIAggCCAIIAggCCAIIAgQCAwJRAh4AAooCAgIeAgQCBQIGAgcCCAIJAicCCwIMAg0CCAIIAggCCAIIAggCCAIIAggCCAIIAggCCAIIAggCCAIIAgQCAwJiAh4AAooCAgJLAgQCBQIGAgcCCAIJAicCCwIMAg0CCAIIAggCCAIIAggCCAIIAggCCAIIAggCCAIIAggCCAIIAgQCAwJMAh4AAooCAgKCAgQCBQIGAgcCCAIJAicCCwIMAg0CCAIIAggCCAIIAggCCAIIAggCCAIIAggCCAIIAggCCAIIAgQCAwKIAh4AAooCAgJFAgQCBQIGAgcCCAIJAicCCwIMAg0CCAIIAggCCAIIAggCCAIIAggCCAIIAggCCAIIAggCCAIIAgQCAwJGAh4AAooCAgKAAgQCBQJ6AAADTQYCBwIIAgkCJwILAgwCDQIIAggCCAIIAggCCAIIAggCCAIIAggCCAIIAggCCAIIAggCBAIDAoECHgACigICAj8CBAIFAgYCBwIIAgkCJwILAgwCDQIIAggCCAIIAggCCAIIAggCCAIIAggCCAIIAggCCAIIAggCBAIDAl8CHgACigICAgMCBAIFAgYCBwIIAgkCJwILAgwCDQIIAggCCAIIAggCCAIIAggCCAIIAggCCAIIAggCCAIIAggCBAIDAmUCHgACigICAkECBAIFAgYCBwIIAgkCJwILAgwCDQIIAggCCAIIAggCCAIIAggCCAIIAggCCAIIAggCCAIIAggCBAIDAkICHgACigICAiQCBAIFAgYCBwIIAgkCJwILAgwCDQIIAggCCAIIAggCCAIIAggCCAIIAggCCAIIAggCCAIIAggCBAIDAm8CHgACigICAlkCBAIFAgYCBwIIAgkCJwILAgwCDQIIAggCCAIIAggCCAIIAggCCAIIAggCCAIIAggCCAIIAggCBAIDAnoCHgACigICAlgCBAIFAgYCBwIIAgkCJwILAgwCDQIIAggCCAIIAggCCAIIAggCCAIIAggCCAIIAggCCAIIAggCBAIDAnwCHgACigICAoQCBAIFAgYCBwIIAgkCJwILAgwCDQIIAggCCAIIAggCCAIIAggCCAIIAggCCAIIAggCCAIIAggCBAIDAoUCHgACigICAjUCBAIFAgYCBwIIAgkCJwILAgwCDQIIAggCCAIIAggCCAIIAggCCAIIAggCCAIIAggCCAIIAggCBAIDAjYCHgACiwAJNTgwMTI3MzQ0AgICjAAGMjAxODExAgQCBQIGAgcCCAIJAo0ABjE5MTAxNQILAo4AAklEAg0CCAIIAggCCAIIAggCCAIIAggCCAIIAggCCAIIAggCCAIIAhUCAwIxAh4AAosCAgKEAgQCBQIGAgcCCAIJAo0CCwKOAg0CCAIIAggCCAIIAggCCAIIAggCCAIIAggCCAIIAggCCAIIAhUCAwIxAh4AAosCAgI/AgQCBQIGAgcCCAIJAicCCwKOAg0CCAIIAggCCAIIAggCCAIIAggCCAIIAggCCAIIAggCCAIIAhUCAwKPc3EAfgAAAAAAAnNxAH4ABP///////////////v////7/////dXEAfgAHAAAABAFtStJ4eHdFAh4AAosCAgIiAgQCBQIGAgcCCAIJAo0CCwKOAg0CCAIIAggCCAIIAggCCAIIAggCCAIIAggCCAIIAggCCAIIAhUCAwKQc3EAfgAAAAAAAnNxAH4ABP///////////////v////7/////dXEAfgAHAAAAAxJbqXh4d0UCHgACiwICAiQCBAIFAgYCBwIIAgkCHAILAo4CDQIIAggCCAIIAggCCAIIAggCCAIIAggCCAIIAggCCAIIAggCFQIDApFzcQB+AAAAAAACc3EAfgAE///////////////+/////v////91cQB+AAcAAAAEKeDlE3h4d0UCHgACiwICAjMCBAIFAgYCBwIIAgkCHAILAo4CDQIIAggCCAIIAggCCAIIAggCCAIIAggCCAIIAggCCAIIAggCFQIDApJzcQB+AAAAAAACc3EAfgAE///////////////+/////v////91cQB+AAcAAAAENJhHI3h4d0UCHgACiwICAjgCBAIFAgYCBwIIAgkCJwILAo4CDQIIAggCCAIIAggCCAIIAggCCAIIAggCCAIIAggCCAIIAggCFQIDApNzcQB+AAAAAAACc3EAfgAE///////////////+/////v////91cQB+AAcAAAAEHRCpdHh4d4oCHgACiwICAjACBAIFAgYCBwIIAgkCjQILAo4CDQIIAggCCAIIAggCCAIIAggCCAIIAggCCAIIAggCCAIIAggCFQIDAjECHgACiwICAjoCBAIFAgYCBwIIAgkCJwILAo4CDQIIAggCCAIIAggCCAIIAggCCAIIAggCCAIIAggCCAIIAggCFQIDApRzcQB+AAAAAAACc3EAfgAE///////////////+/////v////91cQB+AAcAAAAEAlAe6Xh4d0UCHgACiwICAoICBAIFAgYCBwIIAgkCJwILAo4CDQIIAggCCAIIAggCCAIIAggCCAIIAggCCAIIAggCCAIIAggCFQIDApVzcQB+AAAAAAACc3EAfgAE///////////////+/////gAAAAF1cQB+AAcAAAAEAaNwu3h4d0UCHgACiwICAoACBAIFAgYCBwIIAgkCHAILAo4CDQIIAggCCAIIAggCCAIIAggCCAIIAggCCAIIAggCCAIIAggCFQIDApZzcQB+AAAAAAACc3EAfgAE///////////////+/////v////91cQB+AAcAAAAELvQU/3h4d0UCHgACiwICAisCBAIFAgYCBwIIAgkCJwILAo4CDQIIAggCCAIIAggCCAIIAggCCAIIAggCCAIIAggCCAIIAggCFQIDApdzcQB+AAAAAAACc3EAfgAE///////////////+/////v////91cQB+AAcAAAAEFreoonh4d0UCHgACiwICAgMCBAIFAgYCBwIIAgkCHAILAo4CDQIIAggCCAIIAggCCAIIAggCCAIIAggCCAIIAggCCAIIAggCFQIDAphzcQB+AAAAAAACc3EAfgAE///////////////+/////v////91cQB+AAcAAAAEQ0RN4Hh4d0UCHgACiwICAkgCBAIFAgYCBwIIAgkCHAILAo4CDQIIAggCCAIIAggCCAIIAggCCAIIAggCCAIIAggCCAIIAggCFQIDAplzcQB+AAAAAAACc3EAfgAE///////////////+/////v////91cQB+AAcAAAAEG7MeXHh4d0UCHgACiwICAh4CBAIFAgYCBwIIAgkCjQILAo4CDQIIAggCCAIIAggCCAIIAggCCAIIAggCCAIIAggCCAIIAggCFQIDAppzcQB+AAAAAAACc3EAfgAE///////////////+/////v////91cQB+AAcAAAADEorfeHh3kgIeAAKLAgICmwAGMjAxODA3AgQCBQIGAgcCCAIJAo0CCwKOAg0CCAIIAggCCAIIAggCCAIIAggCCAIIAggCCAIIAggCCAIIAhUCAwIxAh4AAosCAgIgAgQCBQIGAgcCCAIJAo0CCwKOAg0CCAIIAggCCAIIAggCCAIIAggCCAIIAggCCAIIAggCCAIIAhUCAwKcc3EAfgAAAAAAAnNxAH4ABP///////////////v////7/////dXEAfgAHAAAAAxJjf3h4d0UCHgACiwICAgMCBAIFAgYCBwIIAgkCJwILAo4CDQIIAggCCAIIAggCCAIIAggCCAIIAggCCAIIAggCCAIIAggCFQIDAp1zcQB+AAAAAAACc3EAfgAE///////////////+/////gAAAAF1cQB+AAcAAAAEBhtaanh4d00CHgACiwICAp4ABjIwMTgwOAIEAgUCBgIHAggCCQIcAgsCjgINAggCCAIIAggCCAIIAggCCAIIAggCCAIIAggCCAIIAggCCAIVAgMCn3NxAH4AAAAAAAJzcQB+AAT///////////////7////+/////3VxAH4ABwAAAAQ789EkeHh3RQIeAAKLAgICJAIEAgUCBgIHAggCCQInAgsCjgINAggCCAIIAggCCAIIAggCCAIIAggCCAIIAggCCAIIAggCCAIVAgMCoHNxAH4AAAAAAAJzcQB+AAT///////////////7////+/////3VxAH4ABwAAAAQFBKNBeHh3RQIeAAKLAgICPwIEAgUCBgIHAggCCQIcAgsCjgINAggCCAIIAggCCAIIAggCCAIIAggCCAIIAggCCAIIAggCCAIVAgMCoXNxAH4AAAAAAAJzcQB+AAT///////////////7////+/////3VxAH4ABwAAAAQqC0YheHh3TQIeAAKLAgICogAGMjAxODEwAgQCBQIGAgcCCAIJAhwCCwKOAg0CCAIIAggCCAIIAggCCAIIAggCCAIIAggCCAIIAggCCAIIAhUCAwKjc3EAfgAAAAAAAnNxAH4ABP///////////////v////7/////dXEAfgAHAAAABD4jPrh4eHdFAh4AAosCAgIrAgQCBQIGAgcCCAIJAhwCCwKOAg0CCAIIAggCCAIIAggCCAIIAggCCAIIAggCCAIIAggCCAIIAhUCAwKkc3EAfgAAAAAAAnNxAH4ABP///////////////v////7/////dXEAfgAHAAAABCQ0bfR4eHdFAh4AAosCAgKeAgQCBQIGAgcCCAIJAicCCwKOAg0CCAIIAggCCAIIAggCCAIIAggCCAIIAggCCAIIAggCCAIIAhUCAwKlc3EAfgAAAAAAAnNxAH4ABP///////////////v////4AAAABdXEAfgAHAAAABAPuMwZ4eHdFAh4AAosCAgJFAgQCBQIGAgcCCAIJAhwCCwKOAg0CCAIIAggCCAIIAggCCAIIAggCCAIIAggCCAIIAggCCAIIAhUCAwKmc3EAfgAAAAAAAnNxAH4ABP///////////////v////7/////dXEAfgAHAAAABClGhLZ4eHdFAh4AAosCAgJSAgQCBQIGAgcCCAIJAo0CCwKOAg0CCAIIAggCCAIIAggCCAIIAggCCAIIAggCCAIIAggCCAIIAhUCAwKnc3EAfgAAAAAAAnNxAH4ABP///////////////v////7/////dXEAfgAHAAAAAxJvRnh4d0UCHgACiwICAhsCBAIFAgYCBwIIAgkCjQILAo4CDQIIAggCCAIIAggCCAIIAggCCAIIAggCCAIIAggCCAIIAggCFQIDAqhzcQB+AAAAAAACc3EAfgAE///////////////+/////v////91cQB+AAcAAAADEnsVeHh3RQIeAAKLAgICKQIEAgUCBgIHAggCCQInAgsCjgINAggCCAIIAggCCAIIAggCCAIIAggCCAIIAggCCAIIAggCCAIVAgMCqXNxAH4AAAAAAAJzcQB+AAT///////////////7////+/////3VxAH4ABwAAAAQBZMryeHh3RQIeAAKLAgICSwIEAgUCBgIHAggCCQKNAgsCjgINAggCCAIIAggCCAIIAggCCAIIAggCCAIIAggCCAIIAggCCAIVAgMCqnNxAH4AAAAAAAJzcQB+AAT///////////////7////+/////3VxAH4ABwAAAAMSgvh4eHdFAh4AAosCAgJSAgQCBQIGAgcCCAIJAhwCCwKOAg0CCAIIAggCCAIIAggCCAIIAggCCAIIAggCCAIIAggCCAIIAhUCAwKrc3EAfgAAAAAAAnNxAH4ABP///////////////v////7/////dXEAfgAHAAAABDHvtRl4eHdFAh4AAosCAgJPAgQCBQIGAgcCCAIJAhwCCwKOAg0CCAIIAggCCAIIAggCCAIIAggCCAIIAggCCAIIAggCCAIIAhUCAwKsc3EAfgAAAAAAAnNxAH4ABP///////////////v////7/////dXEAfgAHAAAABDlFLv54eHeSAh4AAosCAgKtAAYyMDE4MDkCBAIFAgYCBwIIAgkCjQILAo4CDQIIAggCCAIIAggCCAIIAggCCAIIAggCCAIIAggCCAIIAggCFQIDAjECHgACiwICAjUCBAIFAgYCBwIIAgkCHAILAo4CDQIIAggCCAIIAggCCAIIAggCCAIIAggCCAIIAggCCAIIAggCFQIDAq5zcQB+AAAAAAACc3EAfgAE///////////////+/////v////91cQB+AAcAAAAEKSCPhXh4d0UCHgACiwICAlkCBAIFAgYCBwIIAgkCJwILAo4CDQIIAggCCAIIAggCCAIIAggCCAIIAggCCAIIAggCCAIIAggCFQIDAq9zcQB+AAAAAAACc3EAfgAE///////////////+/////v////91cQB+AAcAAAAEDgscSnh4d0UCHgACiwICAk0CBAIFAgYCBwIIAgkCJwILAo4CDQIIAggCCAIIAggCCAIIAggCCAIIAggCCAIIAggCCAIIAggCFQIDArBzcQB+AAAAAAACc3EAfgAE///////////////+/////v////91cQB+AAcAAAADMvcReHh3RQIeAAKLAgICRQIEAgUCBgIHAggCCQInAgsCjgINAggCCAIIAggCCAIIAggCCAIIAggCCAIIAggCCAIIAggCCAIVAgMCsXNxAH4AAAAAAAJzcQB+AAT///////////////7////+/////3VxAH4ABwAAAAQKK9PneHh3RQIeAAKLAgICPQIEAgUCBgIHAggCCQKNAgsCjgINAggCCAIIAggCCAIIAggCCAIIAggCCAIIAggCCAIIAggCCAIVAgMCsnNxAH4AAAAAAAJzcQB+AAT///////////////7////+/////3VxAH4ABwAAAAMSa1h4eHdFAh4AAosCAgJBAgQCBQIGAgcCCAIJAhwCCwKOAg0CCAIIAggCCAIIAggCCAIIAggCCAIIAggCCAIIAggCCAIIAhUCAwKzc3EAfgAAAAAAAnNxAH4ABP///////////////v////7/////dXEAfgAHAAAABDQ5VOh4eHdFAh4AAosCAgIpAgQCBQIGAgcCCAIJAo0CCwKOAg0CCAIIAggCCAIIAggCCAIIAggCCAIIAggCCAIIAggCCAIIAhUCAwK0c3EAfgAAAAAAAnNxAH4ABP///////////////v////7/////dXEAfgAHAAAAAxJna3h4d4oCHgACiwICAp4CBAIFAgYCBwIIAgkCjQILAo4CDQIIAggCCAIIAggCCAIIAggCCAIIAggCCAIIAggCCAIIAggCFQIDAjECHgACiwICAk8CBAIFAgYCBwIIAgkCJwILAo4CDQIIAggCCAIIAggCCAIIAggCCAIIAggCCAIIAggCCAIIAggCFQIDArVzcQB+AAAAAAACc3EAfgAE///////////////+/////gAAAAF1cQB+AAcAAAAEAloS0nh4d0UCHgACiwICAiYCBAIFAgYCBwIIAgkCHAILAo4CDQIIAggCCAIIAggCCAIIAggCCAIIAggCCAIIAggCCAIIAggCFQIDArZzcQB+AAAAAAACc3EAfgAE///////////////+/////v////91cQB+AAcAAAAELpGFK3h4d0UCHgACiwICAjUCBAIFAgYCBwIIAgkCJwILAo4CDQIIAggCCAIIAggCCAIIAggCCAIIAggCCAIIAggCCAIIAggCFQIDArdzcQB+AAAAAAACc3EAfgAE///////////////+/////v////91cQB+AAcAAAAEEKaLJHh4d0UCHgACiwICAlkCBAIFAgYCBwIIAgkCHAILAo4CDQIIAggCCAIIAggCCAIIAggCCAIIAggCCAIIAggCCAIIAggCFQIDArhzcQB+AAAAAAACc3EAfgAE///////////////+/////v////91cQB+AAcAAAAEIgqsMXh4d0UCHgACiwICAkECBAIFAgYCBwIIAgkCJwILAo4CDQIIAggCCAIIAggCCAIIAggCCAIIAggCCAIIAggCCAIIAggCFQIDArlzcQB+AAAAAAACc3EAfgAE///////////////+/////gAAAAF1cQB+AAcAAAAD/4leeHh3igIeAAKLAgICWAIEAgUCBgIHAggCCQKNAgsCjgINAggCCAIIAggCCAIIAggCCAIIAggCCAIIAggCCAIIAggCCAIVAgMCMQIeAAKLAgICMwIEAgUCBgIHAggCCQInAgsCjgINAggCCAIIAggCCAIIAggCCAIIAggCCAIIAggCCAIIAggCCAIVAgMCunNxAH4AAAAAAAJzcQB+AAT///////////////7////+AAAAAXVxAH4ABwAAAAO5cnx4eHdFAh4AAosCAgI4AgQCBQIGAgcCCAIJAo0CCwKOAg0CCAIIAggCCAIIAggCCAIIAggCCAIIAggCCAIIAggCCAIIAhUCAwK7c3EAfgAAAAAAAnNxAH4ABP///////////////v////7/////dXEAfgAHAAAAAxJ/Bnh4d0UCHgACiwICAk0CBAIFAgYCBwIIAgkCHAILAo4CDQIIAggCCAIIAggCCAIIAggCCAIIAggCCAIIAggCCAIIAggCFQIDArxzcQB+AAAAAAACc3EAfgAE///////////////+/////v////91cQB+AAcAAAAEM7yWknh4d0UCHgACiwICAoICBAIFAgYCBwIIAgkCHAILAo4CDQIIAggCCAIIAggCCAIIAggCCAIIAggCCAIIAggCCAIIAggCFQIDAr1zcQB+AAAAAAACc3EAfgAE///////////////+/////v////91cQB+AAcAAAAEMPCBKHh4d0UCHgACiwICAh4CBAIFAgYCBwIIAgkCJwILAo4CDQIIAggCCAIIAggCCAIIAggCCAIIAggCCAIIAggCCAIIAggCFQIDAr5zcQB+AAAAAAACc3EAfgAE///////////////+/////v////91cQB+AAcAAAAECL1IIXh4d0UCHgACiwICAjoCBAIFAgYCBwIIAgkCHAILAo4CDQIIAggCCAIIAggCCAIIAggCCAIIAggCCAIIAggCCAIIAggCFQIDAr9zcQB+AAAAAAACc3EAfgAE///////////////+/////v////91cQB+AAcAAAAEI8Z4/Xh4d0UCHgACiwICAi0CBAIFAgYCBwIIAgkCjQILAo4CDQIIAggCCAIIAggCCAIIAggCCAIIAggCCAIIAggCCAIIAggCFQIDAsBzcQB+AAAAAAACc3EAfgAE///////////////+/////v////91cQB+AAcAAAADEpLKeHh3RQIeAAKLAgICIAIEAgUCBgIHAggCCQInAgsCjgINAggCCAIIAggCCAIIAggCCAIIAggCCAIIAggCCAIIAggCCAIVAgMCwXNxAH4AAAAAAAJzcQB+AAT///////////////7////+/////3VxAH4ABwAAAAQBzUp3eHh3RQIeAAKLAgICmwIEAgUCBgIHAggCCQInAgsCjgINAggCCAIIAggCCAIIAggCCAIIAggCCAIIAggCCAIIAggCCAIVAgMCwnNxAH4AAAAAAAJzcQB+AAT///////////////7////+AAAAAXVxAH4ABwAAAAQC1DjseHh3RQIeAAKLAgIChAIEAgUCBgIHAggCCQIcAgsCjgINAggCCAIIAggCCAIIAggCCAIIAggCCAIIAggCCAIIAggCCAIVAgMCw3NxAH4AAAAAAAJzcQB+AAT///////////////7////+/////3VxAH4ABwAAAAQv/sZceHh3RQIeAAKLAgICMwIEAgUCBgIHAggCCQKNAgsCjgINAggCCAIIAggCCAIIAggCCAIIAggCCAIIAggCCAIIAggCCAIVAgMCxHNxAH4AAAAAAAJzcQB+AAT///////////////7////+/////3VxAH4ABwAAAAMSdyV4eHdFAh4AAosCAgIkAgQCBQIGAgcCCAIJAo0CCwKOAg0CCAIIAggCCAIIAggCCAIIAggCCAIIAggCCAIIAggCCAIIAhUCAwLFc3EAfgAAAAAAAnNxAH4ABP///////////////v////7/////dXEAfgAHAAAAAxKO1Hh4d0UCHgACiwICAjACBAIFAgYCBwIIAgkCHAILAo4CDQIIAggCCAIIAggCCAIIAggCCAIIAggCCAIIAggCCAIIAggCFQIDAsZzcQB+AAAAAAACc3EAfgAE///////////////+/////v////91cQB+AAcAAAAEHCN8kHh4d0UCHgACiwICAiICBAIFAgYCBwIIAgkCHAILAo4CDQIIAggCCAIIAggCCAIIAggCCAIIAggCCAIIAggCCAIIAggCFQIDAsdzcQB+AAAAAAACc3EAfgAE///////////////+/////v////91cQB+AAcAAAAEHq4JT3h4d0UCHgACiwICAi0CBAIFAgYCBwIIAgkCJwILAo4CDQIIAggCCAIIAggCCAIIAggCCAIIAggCCAIIAggCCAIIAggCFQIDAshzcQB+AAAAAAACc3EAfgAE///////////////+/////v////91cQB+AAcAAAAEAtdnVHh4d4oCHgACiwICAqICBAIFAgYCBwIIAgkCjQILAo4CDQIIAggCCAIIAggCCAIIAggCCAIIAggCCAIIAggCCAIIAggCFQIDAjECHgACiwICAh4CBAIFAgYCBwIIAgkCHAILAo4CDQIIAggCCAIIAggCCAIIAggCCAIIAggCCAIIAggCCAIIAggCFQIDAslzcQB+AAAAAAACc3EAfgAE///////////////+/////v////91cQB+AAcAAAAEJngfcXh4d4oCHgACiwICAowCBAIFAgYCBwIIAgkCHAILAo4CDQIIAggCCAIIAggCCAIIAggCCAIIAggCCAIIAggCCAIIAggCFQIDAqMCHgACiwICAjACBAIFAgYCBwIIAgkCJwILAo4CDQIIAggCCAIIAggCCAIIAggCCAIIAggCCAIIAggCCAIIAggCFQIDAspzcQB+AAAAAAACc3EAfgAE///////////////+/////v////91cQB+AAcAAAAEHsB0bHh4d0UCHgACiwICAhsCBAIFAgYCBwIIAgkCJwILAo4CDQIIAggCCAIIAggCCAIIAggCCAIIAggCCAIIAggCCAIIAggCFQIDAstzcQB+AAAAAAACc3EAfgAE///////////////+/////v////91cQB+AAcAAAAEJZDR+3h4d0UCHgACiwICAkgCBAIFAgYCBwIIAgkCjQILAo4CDQIIAggCCAIIAggCCAIIAggCCAIIAggCCAIIAggCCAIIAggCFQIDAsxzcQB+AAAAAAACc3EAfgAE///////////////+/////v////91cQB+AAcAAAADEle/eHh3igIeAAKLAgICgAIEAgUCBgIHAggCCQKNAgsCjgINAggCCAIIAggCCAIIAggCCAIIAggCCAIIAggCCAIIAggCCAIVAgMCMQIeAAKLAgICrQIEAgUCBgIHAggCCQInAgsCjgINAggCCAIIAggCCAIIAggCCAIIAggCCAIIAggCCAIIAggCCAIVAgMCzXNxAH4AAAAAAAJzcQB+AAT///////////////7////+AAAAAXVxAH4ABwAAAAQFeUVCeHh3RQIeAAKLAgICAwIEAgUCBgIHAggCCQKNAgsCjgINAggCCAIIAggCCAIIAggCCAIIAggCCAIIAggCCAIIAggCCAIVAgMCznNxAH4AAAAAAAJzcQB+AAT///////////////7////+/////3VxAH4ABwAAAAMSpqJ4eHdFAh4AAosCAgI/AgQCBQIGAgcCCAIJAo0CCwKOAg0CCAIIAggCCAIIAggCCAIIAggCCAIIAggCCAIIAggCCAIIAhUCAwLPc3EAfgAAAAAAAnNxAH4ABP///////////////v////7/////dXEAfgAHAAAAAxKWwHh4d0UCHgACiwICAiICBAIFAgYCBwIIAgkCJwILAo4CDQIIAggCCAIIAggCCAIIAggCCAIIAggCCAIIAggCCAIIAggCFQIDAtBzcQB+AAAAAAACc3EAfgAE///////////////+/////v////91cQB+AAcAAAAEAvtLi3h4d0UCHgACiwICAoQCBAIFAgYCBwIIAgkCJwILAo4CDQIIAggCCAIIAggCCAIIAggCCAIIAggCCAIIAggCCAIIAggCFQIDAtFzcQB+AAAAAAACc3EAfgAE///////////////+/////gAAAAF1cQB+AAcAAAADNqW2eHh3igIeAAKLAgICjAIEAgUCBgIHAggCCQInAgsCjgINAggCCAIIAggCCAIIAggCCAIIAggCCAIIAggCCAIIAggCCAIVAgMCzQIeAAKLAgICmwIEAgUCBgIHAggCCQIcAgsCjgINAggCCAIIAggCCAIIAggCCAIIAggCCAIIAggCCAIIAggCCAIVAgMC0nNxAH4AAAAAAAJzcQB+AAT///////////////7////+/////3VxAH4ABwAAAAQ1pvvleHh3RQIeAAKLAgICIAIEAgUCBgIHAggCCQIcAgsCjgINAggCCAIIAggCCAIIAggCCAIIAggCCAIIAggCCAIIAggCCAIVAgMC03NxAH4AAAAAAAJzcQB+AAT///////////////7////+/////3VxAH4ABwAAAAQmLzLCeHh3RQIeAAKLAgICGwIEAgUCBgIHAggCCQIcAgsCjgINAggCCAIIAggCCAIIAggCCAIIAggCCAIIAggCCAIIAggCCAIVAgMC1HNxAH4AAAAAAAJzcQB+AAT///////////////7////+/////3VxAH4ABwAAAAQL0RJ0eHh3RQIeAAKLAgICSwIEAgUCBgIHAggCCQIcAgsCjgINAggCCAIIAggCCAIIAggCCAIIAggCCAIIAggCCAIIAggCCAIVAgMC1XNxAH4AAAAAAAJzcQB+AAT///////////////7////+/////3VxAH4ABwAAAAQdsfpMeHh3RQIeAAKLAgICJgIEAgUCBgIHAggCCQInAgsCjgINAggCCAIIAggCCAIIAggCCAIIAggCCAIIAggCCAIIAggCCAIVAgMC1nNxAH4AAAAAAAJzcQB+AAT///////////////7////+/////3VxAH4ABwAAAANOuAp4eHeKAh4AAosCAgJFAgQCBQIGAgcCCAIJAo0CCwKOAg0CCAIIAggCCAIIAggCCAIIAggCCAIIAggCCAIIAggCCAIIAhUCAwIxAh4AAosCAgJYAgQCBQIGAgcCCAIJAicCCwKOAg0CCAIIAggCCAIIAggCCAIIAggCCAIIAggCCAIIAggCCAIIAhUCAwLXc3EAfgAAAAAAAnNxAH4ABP///////////////v////7/////dXEAfgAHAAAABATh3pl4eHdFAh4AAosCAgJPAgQCBQIGAgcCCAIJAo0CCwKOAg0CCAIIAggCCAIIAggCCAIIAggCCAIIAggCCAIIAggCCAIIAhUCAwLYc3EAfgAAAAAAAnNxAH4ABP///////////////v////7/////dXEAfgAHAAAAAxKiqHh4d4oCHgACiwICAisCBAIFAgYCBwIIAgkCjQILAo4CDQIIAggCCAIIAggCCAIIAggCCAIIAggCCAIIAggCCAIIAggCFQIDAjECHgACiwICAksCBAIFAgYCBwIIAgkCJwILAo4CDQIIAggCCAIIAggCCAIIAggCCAIIAggCCAIIAggCCAIIAggCFQIDAtlzcQB+AAAAAAACc3EAfgAE///////////////+/////v////91cQB+AAcAAAAEFDr3g3h4d0UCHgACiwICAkECBAIFAgYCBwIIAgkCjQILAo4CDQIIAggCCAIIAggCCAIIAggCCAIIAggCCAIIAggCCAIIAggCFQIDAtpzcQB+AAAAAAACc3EAfgAE///////////////+/////v////91cQB+AAcAAAADEp6veHh3RQIeAAKLAgICPQIEAgUCBgIHAggCCQIcAgsCjgINAggCCAIIAggCCAIIAggCCAIIAggCCAIIAggCCAIIAggCCAIVAgMC23NxAH4AAAAAAAJzcQB+AAT///////////////7////+/////3VxAH4ABwAAAAQu/eCSeHh3RQIeAAKLAgICUgIEAgUCBgIHAggCCQInAgsCjgINAggCCAIIAggCCAIIAggCCAIIAggCCAIIAggCCAIIAggCCAIVAgMC3HNxAH4AAAAAAAJzcQB+AAT///////////////7////+/////3VxAH4ABwAAAAOesqp4eHdFAh4AAosCAgIpAgQCBQIGAgcCCAIJAhwCCwKOAg0CCAIIAggCCAIIAggCCAIIAggCCAIIAggCCAIIAggCCAIIAhUCAwLdc3EAfgAAAAAAAnNxAH4ABP///////////////v////7/////dXEAfgAHAAAABCsQC1F4eHdFAh4AAosCAgImAgQCBQIGAgcCCAIJAo0CCwKOAg0CCAIIAggCCAIIAggCCAIIAggCCAIIAggCCAIIAggCCAIIAhUCAwLec3EAfgAAAAAAAnNxAH4ABP///////////////v////7/////dXEAfgAHAAAAAxKat3h4d0UCHgACiwICAlgCBAIFAgYCBwIIAgkCHAILAo4CDQIIAggCCAIIAggCCAIIAggCCAIIAggCCAIIAggCCAIIAggCFQIDAt9zcQB+AAAAAAACc3EAfgAE///////////////+/////v////91cQB+AAcAAAAEKsKx+Hh4d0UCHgACiwICAjgCBAIFAgYCBwIIAgkCHAILAo4CDQIIAggCCAIIAggCCAIIAggCCAIIAggCCAIIAggCCAIIAggCFQIDAuBzcQB+AAAAAAACc3EAfgAE///////////////+/////v////91cQB+AAcAAAAEFay1n3h4d0UCHgACiwICAlkCBAIFAgYCBwIIAgkCjQILAo4CDQIIAggCCAIIAggCCAIIAggCCAIIAggCCAIIAggCCAIIAggCFQIDAuFzcQB+AAAAAAACc3EAfgAE///////////////+/////v////91cQB+AAcAAAADEobreHh3RQIeAAKLAgICPQIEAgUCBgIHAggCCQInAgsCjgINAggCCAIIAggCCAIIAggCCAIIAggCCAIIAggCCAIIAggCCAIVAgMC4nNxAH4AAAAAAAJzcQB+AAT///////////////7////+/////3VxAH4ABwAAAAQBBpRgeHh3RQIeAAKLAgICTQIEAgUCBgIHAggCCQKNAgsCjgINAggCCAIIAggCCAIIAggCCAIIAggCCAIIAggCCAIIAggCCAIVAgMC43NxAH4AAAAAAAJzcQB+AAT///////////////7////+/////3VxAH4ABwAAAAMSczV4eHdFAh4AAosCAgKAAgQCBQIGAgcCCAIJAicCCwKOAg0CCAIIAggCCAIIAggCCAIIAggCCAIIAggCCAIIAggCCAIIAhUCAwLkc3EAfgAAAAAAAnNxAH4ABP///////////////v////7/////dXEAfgAHAAAABAEya894eHfPAh4AAosCAgKCAgQCBQIGAgcCCAIJAo0CCwKOAg0CCAIIAggCCAIIAggCCAIIAggCCAIIAggCCAIIAggCCAIIAhUCAwIxAh4AAosCAgKiAgQCBQIGAgcCCAIJAicCCwKOAg0CCAIIAggCCAIIAggCCAIIAggCCAIIAggCCAIIAggCCAIIAhUCAwLNAh4AAosCAgI6AgQCBQIGAgcCCAIJAo0CCwKOAg0CCAIIAggCCAIIAggCCAIIAggCCAIIAggCCAIIAggCCAIIAhUCAwLlc3EAfgAAAAAAAnNxAH4ABP///////////////v////7/////dXEAfgAHAAAAAxJflHh4d88CHgACiwICAjUCBAIFAgYCBwIIAgkCjQILAo4CDQIIAggCCAIIAggCCAIIAggCCAIIAggCCAIIAggCCAIIAggCFQIDAjECHgACiwICAq0CBAIFAgYCBwIIAgkCHAILAo4CDQIIAggCCAIIAggCCAIIAggCCAIIAggCCAIIAggCCAIIAggCFQIDAqMCHgACiwICAi0CBAIFAgYCBwIIAgkCHAILAo4CDQIIAggCCAIIAggCCAIIAggCCAIIAggCCAIIAggCCAIIAggCFQIDAuZzcQB+AAAAAAACc3EAfgAE///////////////+/////v////91cQB+AAcAAAAEKiZPC3h4d0UCHgACiwICAkgCBAIFAgYCBwIIAgkCJwILAo4CDQIIAggCCAIIAggCCAIIAggCCAIIAggCCAIIAggCCAIIAggCFQIDAudzcQB+AAAAAAACc3EAfgAE///////////////+/////v////91cQB+AAcAAAAEBFuSEHh4egAABAACHgAC6AAJNTgwMTI1MDI0AgICKwIEAgUCBgIHAggCCQIcAgsCjgINAggCCAIIAggCCAIIAggCCAIIAggCCAIIAggCCAIIAggCCAITAgMCpAIeAALoAgICLQIEAgUCBgIHAggCCQKNAgsCjgINAggCCAIIAggCCAIIAggCCAIIAggCCAIIAggCCAIIAggCCAITAgMCwAIeAALoAgICggIEAgUCBgIHAggCCQIcAgsCjgINAggCCAIIAggCCAIIAggCCAIIAggCCAIIAggCCAIIAggCCAITAgMCvQIeAALoAgICKQIEAgUCBgIHAggCCQInAgsCjgINAggCCAIIAggCCAIIAggCCAIIAggCCAIIAggCCAIIAggCCAITAgMCqQIeAALoAgICGwIEAgUCBgIHAggCCQKNAgsCjgINAggCCAIIAggCCAIIAggCCAIIAggCCAIIAggCCAIIAggCCAITAgMCqAIeAALoAgICOgIEAgUCBgIHAggCCQIcAgsCjgINAggCCAIIAggCCAIIAggCCAIIAggCCAIIAggCCAIIAggCCAITAgMCvwIeAALoAgICPwIEAgUCBgIHAggCCQInAgsCjgINAggCCAIIAggCCAIIAggCCAIIAggCCAIIAggCCAIIAggCCAITAgMCjwIeAALoAgICJAIEAgUCBgIHAggCCQIcAgsCjgINAggCCAIIAggCCAIIAggCCAIIAggCCAIIAggCCAIIAggCCAITAgMCkQIeAALoAgICjAIEAgUCBgIHAggCCQKNAgsCjgINAggCCAIIAggCCAIIAggCCAIIAggCCAIIAggCCAIIAggCCAITAgMCMQIeAALoAgIChAIEAgUCBgIHAggCCQKNAgsCjgINAggCCAIIAggCCAIIAggCCAIIAggCCAIIAggCCAIIAggCCAITAgMCMQIeAALoAgICKwIEAgUCBgIHAggCCQInAgsCjgINAggCCAIIAggCCAIIAggCCAIIAggCCAIIAggCCAIIAggCCAITAgMClwIeAALoAgICngIEAgUCBgIHAggCCQIcAgsCjgINAggCCAIIAggCCAIIAggCCAIIAggCCAIIAggCCAIIAggCCAITAgMCnwIeAALoAgICOAIEAgUCBgIHAggCCQInAgsCjgINAggCCAIIAggCCAIIAggCCAIIAggCCAIIAggCCAIIAggCCAITAgMCkwIeAALoAgICMAIEAgUCBgIHAggCCQKNAgsCjgINAggCCAIIAggCCAIIAggCCAIIAggCCAIIAggCCAIIAggCCAITAgMCMQIeAALoAgICIgIEAgUCBgIHAggCCQKNAgsCjgINAggCCAIIAggCCAIIAggCCAIIegAABAACCAIIAggCCAIIAggCCAIIAhMCAwKQAh4AAugCAgKCAgQCBQIGAgcCCAIJAicCCwKOAg0CCAIIAggCCAIIAggCCAIIAggCCAIIAggCCAIIAggCCAIIAhMCAwKVAh4AAugCAgIzAgQCBQIGAgcCCAIJAhwCCwKOAg0CCAIIAggCCAIIAggCCAIIAggCCAIIAggCCAIIAggCCAIIAhMCAwKSAh4AAugCAgI6AgQCBQIGAgcCCAIJAicCCwKOAg0CCAIIAggCCAIIAggCCAIIAggCCAIIAggCCAIIAggCCAIIAhMCAwKUAh4AAugCAgImAgQCBQIGAgcCCAIJAo0CCwKOAg0CCAIIAggCCAIIAggCCAIIAggCCAIIAggCCAIIAggCCAIIAhMCAwLeAh4AAugCAgJBAgQCBQIGAgcCCAIJAhwCCwKOAg0CCAIIAggCCAIIAggCCAIIAggCCAIIAggCCAIIAggCCAIIAhMCAwKzAh4AAugCAgJYAgQCBQIGAgcCCAIJAo0CCwKOAg0CCAIIAggCCAIIAggCCAIIAggCCAIIAggCCAIIAggCCAIIAhMCAwIxAh4AAugCAgIDAgQCBQIGAgcCCAIJAhwCCwKOAg0CCAIIAggCCAIIAggCCAIIAggCCAIIAggCCAIIAggCCAIIAhMCAwKYAh4AAugCAgI1AgQCBQIGAgcCCAIJAicCCwKOAg0CCAIIAggCCAIIAggCCAIIAggCCAIIAggCCAIIAggCCAIIAhMCAwK3Ah4AAugCAgIpAgQCBQIGAgcCCAIJAhwCCwKOAg0CCAIIAggCCAIIAggCCAIIAggCCAIIAggCCAIIAggCCAIIAhMCAwLdAh4AAugCAgJZAgQCBQIGAgcCCAIJAhwCCwKOAg0CCAIIAggCCAIIAggCCAIIAggCCAIIAggCCAIIAggCCAIIAhMCAwK4Ah4AAugCAgJBAgQCBQIGAgcCCAIJAicCCwKOAg0CCAIIAggCCAIIAggCCAIIAggCCAIIAggCCAIIAggCCAIIAhMCAwK5Ah4AAugCAgIzAgQCBQIGAgcCCAIJAicCCwKOAg0CCAIIAggCCAIIAggCCAIIAggCCAIIAggCCAIIAggCCAIIAhMCAwK6Ah4AAugCAgKAAgQCBQIGAgcCCAIJAicCCwKOAg0CCAIIAggCCAIIAggCCAIIAggCCAIIAggCCAIIAggCCAIIAhMCAwLkAh4AAugCAgI4AgQCBQIGAgcCCAIJAhwCCwKOAg0CCAIIAggCCAIIAggCCAIIAggCCAIIAggCCAIIAggCCAIIAhMCAwLgAh4AAugCAgIeAgQCBQIGAgcCCAIJAicCCwKOAg0CCAIIAggCegAABAAIAggCCAIIAggCCAIIAggCCAIIAggCCAIIAggCEwIDAr4CHgAC6AICAkUCBAIFAgYCBwIIAgkCHAILAo4CDQIIAggCCAIIAggCCAIIAggCCAIIAggCCAIIAggCCAIIAggCEwIDAqYCHgAC6AICAlgCBAIFAgYCBwIIAgkCJwILAo4CDQIIAggCCAIIAggCCAIIAggCCAIIAggCCAIIAggCCAIIAggCEwIDAtcCHgAC6AICAksCBAIFAgYCBwIIAgkCjQILAo4CDQIIAggCCAIIAggCCAIIAggCCAIIAggCCAIIAggCCAIIAggCEwIDAqoCHgAC6AICAlICBAIFAgYCBwIIAgkCjQILAo4CDQIIAggCCAIIAggCCAIIAggCCAIIAggCCAIIAggCCAIIAggCEwIDAqcCHgAC6AICAjUCBAIFAgYCBwIIAgkCHAILAo4CDQIIAggCCAIIAggCCAIIAggCCAIIAggCCAIIAggCCAIIAggCEwIDAq4CHgAC6AICAq0CBAIFAgYCBwIIAgkCjQILAo4CDQIIAggCCAIIAggCCAIIAggCCAIIAggCCAIIAggCCAIIAggCEwIDAjECHgAC6AICAj0CBAIFAgYCBwIIAgkCjQILAo4CDQIIAggCCAIIAggCCAIIAggCCAIIAggCCAIIAggCCAIIAggCEwIDArICHgAC6AICAkUCBAIFAgYCBwIIAgkCJwILAo4CDQIIAggCCAIIAggCCAIIAggCCAIIAggCCAIIAggCCAIIAggCEwIDArECHgAC6AICAqICBAIFAgYCBwIIAgkCjQILAo4CDQIIAggCCAIIAggCCAIIAggCCAIIAggCCAIIAggCCAIIAggCEwIDAjECHgAC6AICAh4CBAIFAgYCBwIIAgkCHAILAo4CDQIIAggCCAIIAggCCAIIAggCCAIIAggCCAIIAggCCAIIAggCEwIDAskCHgAC6AICAoACBAIFAgYCBwIIAgkCjQILAo4CDQIIAggCCAIIAggCCAIIAggCCAIIAggCCAIIAggCCAIIAggCEwIDAjECHgAC6AICAhsCBAIFAgYCBwIIAgkCJwILAo4CDQIIAggCCAIIAggCCAIIAggCCAIIAggCCAIIAggCCAIIAggCEwIDAssCHgAC6AICAkgCBAIFAgYCBwIIAgkCjQILAo4CDQIIAggCCAIIAggCCAIIAggCCAIIAggCCAIIAggCCAIIAggCEwIDAswCHgAC6AICAk8CBAIFAgYCBwIIAgkCHAILAo4CDQIIAggCCAIIAggCCAIIAggCCAIIAggCCAIIAggCCAIIAggCEwIDAqwCHgAC6AICAj8CBAIFAgYCBwIIAgkCjQILegAABAACjgINAggCCAIIAggCCAIIAggCCAIIAggCCAIIAggCCAIIAggCCAITAgMCzwIeAALoAgICAwIEAgUCBgIHAggCCQInAgsCjgINAggCCAIIAggCCAIIAggCCAIIAggCCAIIAggCCAIIAggCCAITAgMCnQIeAALoAgICJAIEAgUCBgIHAggCCQInAgsCjgINAggCCAIIAggCCAIIAggCCAIIAggCCAIIAggCCAIIAggCCAITAgMCoAIeAALoAgICIAIEAgUCBgIHAggCCQIcAgsCjgINAggCCAIIAggCCAIIAggCCAIIAggCCAIIAggCCAIIAggCCAITAgMC0wIeAALoAgICngIEAgUCBgIHAggCCQInAgsCjgINAggCCAIIAggCCAIIAggCCAIIAggCCAIIAggCCAIIAggCCAITAgMCpQIeAALoAgICJgIEAgUCBgIHAggCCQInAgsCjgINAggCCAIIAggCCAIIAggCCAIIAggCCAIIAggCCAIIAggCCAITAgMC1gIeAALoAgICLQIEAgUCBgIHAggCCQIcAgsCjgINAggCCAIIAggCCAIIAggCCAIIAggCCAIIAggCCAIIAggCCAITAgMC5gIeAALoAgICggIEAgUCBgIHAggCCQKNAgsCjgINAggCCAIIAggCCAIIAggCCAIIAggCCAIIAggCCAIIAggCCAITAgMCMQIeAALoAgICmwIEAgUCBgIHAggCCQIcAgsCjgINAggCCAIIAggCCAIIAggCCAIIAggCCAIIAggCCAIIAggCCAITAgMC0gIeAALoAgICKwIEAgUCBgIHAggCCQKNAgsCjgINAggCCAIIAggCCAIIAggCCAIIAggCCAIIAggCCAIIAggCCAITAgMCMQIeAALoAgICrQIEAgUCBgIHAggCCQInAgsCjgINAggCCAIIAggCCAIIAggCCAIIAggCCAIIAggCCAIIAggCCAITAgMCzQIeAALoAgICOgIEAgUCBgIHAggCCQKNAgsCjgINAggCCAIIAggCCAIIAggCCAIIAggCCAIIAggCCAIIAggCCAITAgMC5QIeAALoAgICGwIEAgUCBgIHAggCCQIcAgsCjgINAggCCAIIAggCCAIIAggCCAIIAggCCAIIAggCCAIIAggCCAITAgMC1AIeAALoAgICmwIEAgUCBgIHAggCCQInAgsCjgINAggCCAIIAggCCAIIAggCCAIIAggCCAIIAggCCAIIAggCCAITAgMCwgIeAALoAgICIAIEAgUCBgIHAggCCQInAgsCjgINAggCCAIIAggCCAIIAggCCAIIAggCCAIIAggCCAIIAggCCAITAgMCwQIeAALoAgICAwIEAgUCegAABAAGAgcCCAIJAo0CCwKOAg0CCAIIAggCCAIIAggCCAIIAggCCAIIAggCCAIIAggCCAIIAhMCAwLOAh4AAugCAgIwAgQCBQIGAgcCCAIJAhwCCwKOAg0CCAIIAggCCAIIAggCCAIIAggCCAIIAggCCAIIAggCCAIIAhMCAwLGAh4AAugCAgKEAgQCBQIGAgcCCAIJAhwCCwKOAg0CCAIIAggCCAIIAggCCAIIAggCCAIIAggCCAIIAggCCAIIAhMCAwLDAh4AAugCAgJPAgQCBQIGAgcCCAIJAicCCwKOAg0CCAIIAggCCAIIAggCCAIIAggCCAIIAggCCAIIAggCCAIIAhMCAwK1Ah4AAugCAgIkAgQCBQIGAgcCCAIJAo0CCwKOAg0CCAIIAggCCAIIAggCCAIIAggCCAIIAggCCAIIAggCCAIIAhMCAwLFAh4AAugCAgIzAgQCBQIGAgcCCAIJAo0CCwKOAg0CCAIIAggCCAIIAggCCAIIAggCCAIIAggCCAIIAggCCAIIAhMCAwLEAh4AAugCAgIiAgQCBQIGAgcCCAIJAhwCCwKOAg0CCAIIAggCCAIIAggCCAIIAggCCAIIAggCCAIIAggCCAIIAhMCAwLHAh4AAugCAgItAgQCBQIGAgcCCAIJAicCCwKOAg0CCAIIAggCCAIIAggCCAIIAggCCAIIAggCCAIIAggCCAIIAhMCAwLIAh4AAugCAgKtAgQCBQIGAgcCCAIJAhwCCwKOAg0CCAIIAggCCAIIAggCCAIIAggCCAIIAggCCAIIAggCCAIIAhMCAwKjAh4AAugCAgIwAgQCBQIGAgcCCAIJAicCCwKOAg0CCAIIAggCCAIIAggCCAIIAggCCAIIAggCCAIIAggCCAIIAhMCAwLKAh4AAugCAgKMAgQCBQIGAgcCCAIJAhwCCwKOAg0CCAIIAggCCAIIAggCCAIIAggCCAIIAggCCAIIAggCCAIIAhMCAwKjAh4AAugCAgKeAgQCBQIGAgcCCAIJAo0CCwKOAg0CCAIIAggCCAIIAggCCAIIAggCCAIIAggCCAIIAggCCAIIAhMCAwIxAh4AAugCAgImAgQCBQIGAgcCCAIJAhwCCwKOAg0CCAIIAggCCAIIAggCCAIIAggCCAIIAggCCAIIAggCCAIIAhMCAwK2Ah4AAugCAgIpAgQCBQIGAgcCCAIJAo0CCwKOAg0CCAIIAggCCAIIAggCCAIIAggCCAIIAggCCAIIAggCCAIIAhMCAwK0Ah4AAugCAgJYAgQCBQIGAgcCCAIJAhwCCwKOAg0CCAIIAggCCAIIAggCCAIIAggCCAIIAggCCAIIAggCCAIIAhMCAwLfAh4AegAABAAC6AICAj0CBAIFAgYCBwIIAgkCJwILAo4CDQIIAggCCAIIAggCCAIIAggCCAIIAggCCAIIAggCCAIIAggCEwIDAuICHgAC6AICAk0CBAIFAgYCBwIIAgkCjQILAo4CDQIIAggCCAIIAggCCAIIAggCCAIIAggCCAIIAggCCAIIAggCEwIDAuMCHgAC6AICAjgCBAIFAgYCBwIIAgkCjQILAo4CDQIIAggCCAIIAggCCAIIAggCCAIIAggCCAIIAggCCAIIAggCEwIDArsCHgAC6AICAlkCBAIFAgYCBwIIAgkCjQILAo4CDQIIAggCCAIIAggCCAIIAggCCAIIAggCCAIIAggCCAIIAggCEwIDAuECHgAC6AICAk0CBAIFAgYCBwIIAgkCHAILAo4CDQIIAggCCAIIAggCCAIIAggCCAIIAggCCAIIAggCCAIIAggCEwIDArwCHgAC6AICAqICBAIFAgYCBwIIAgkCJwILAo4CDQIIAggCCAIIAggCCAIIAggCCAIIAggCCAIIAggCCAIIAggCEwIDAs0CHgAC6AICAkgCBAIFAgYCBwIIAgkCJwILAo4CDQIIAggCCAIIAggCCAIIAggCCAIIAggCCAIIAggCCAIIAggCEwIDAucCHgAC6AICAksCBAIFAgYCBwIIAgkCHAILAo4CDQIIAggCCAIIAggCCAIIAggCCAIIAggCCAIIAggCCAIIAggCEwIDAtUCHgAC6AICAjUCBAIFAgYCBwIIAgkCjQILAo4CDQIIAggCCAIIAggCCAIIAggCCAIIAggCCAIIAggCCAIIAggCEwIDAjECHgAC6AICAlkCBAIFAgYCBwIIAgkCJwILAo4CDQIIAggCCAIIAggCCAIIAggCCAIIAggCCAIIAggCCAIIAggCEwIDAq8CHgAC6AICAk8CBAIFAgYCBwIIAgkCjQILAo4CDQIIAggCCAIIAggCCAIIAggCCAIIAggCCAIIAggCCAIIAggCEwIDAtgCHgAC6AICAlICBAIFAgYCBwIIAgkCHAILAo4CDQIIAggCCAIIAggCCAIIAggCCAIIAggCCAIIAggCCAIIAggCEwIDAqsCHgAC6AICAkECBAIFAgYCBwIIAgkCjQILAo4CDQIIAggCCAIIAggCCAIIAggCCAIIAggCCAIIAggCCAIIAggCEwIDAtoCHgAC6AICAksCBAIFAgYCBwIIAgkCJwILAo4CDQIIAggCCAIIAggCCAIIAggCCAIIAggCCAIIAggCCAIIAggCEwIDAtkCHgAC6AICAk0CBAIFAgYCBwIIAgkCJwILAo4CDQIIAggCCAIIAggCCAIIAggCCAIIAggCCAIIAggCCAIIegAABAACCAITAgMCsAIeAALoAgICPQIEAgUCBgIHAggCCQIcAgsCjgINAggCCAIIAggCCAIIAggCCAIIAggCCAIIAggCCAIIAggCCAITAgMC2wIeAALoAgICgAIEAgUCBgIHAggCCQIcAgsCjgINAggCCAIIAggCCAIIAggCCAIIAggCCAIIAggCCAIIAggCCAITAgMClgIeAALoAgICogIEAgUCBgIHAggCCQIcAgsCjgINAggCCAIIAggCCAIIAggCCAIIAggCCAIIAggCCAIIAggCCAITAgMCowIeAALoAgICUgIEAgUCBgIHAggCCQInAgsCjgINAggCCAIIAggCCAIIAggCCAIIAggCCAIIAggCCAIIAggCCAITAgMC3AIeAALoAgICHgIEAgUCBgIHAggCCQKNAgsCjgINAggCCAIIAggCCAIIAggCCAIIAggCCAIIAggCCAIIAggCCAITAgMCmgIeAALoAgIChAIEAgUCBgIHAggCCQInAgsCjgINAggCCAIIAggCCAIIAggCCAIIAggCCAIIAggCCAIIAggCCAITAgMC0QIeAALoAgICSAIEAgUCBgIHAggCCQIcAgsCjgINAggCCAIIAggCCAIIAggCCAIIAggCCAIIAggCCAIIAggCCAITAgMCmQIeAALoAgICIAIEAgUCBgIHAggCCQKNAgsCjgINAggCCAIIAggCCAIIAggCCAIIAggCCAIIAggCCAIIAggCCAITAgMCnAIeAALoAgICIgIEAgUCBgIHAggCCQInAgsCjgINAggCCAIIAggCCAIIAggCCAIIAggCCAIIAggCCAIIAggCCAITAgMC0AIeAALoAgICmwIEAgUCBgIHAggCCQKNAgsCjgINAggCCAIIAggCCAIIAggCCAIIAggCCAIIAggCCAIIAggCCAITAgMCMQIeAALoAgICRQIEAgUCBgIHAggCCQKNAgsCjgINAggCCAIIAggCCAIIAggCCAIIAggCCAIIAggCCAIIAggCCAITAgMCMQIeAALoAgICPwIEAgUCBgIHAggCCQIcAgsCjgINAggCCAIIAggCCAIIAggCCAIIAggCCAIIAggCCAIIAggCCAITAgMCoQIeAALoAgICjAIEAgUCBgIHAggCCQInAgsCjgINAggCCAIIAggCCAIIAggCCAIIAggCCAIIAggCCAIIAggCCAITAgMCzQIeAALpAAoxMjE2MTQzNDQ4AgICIgIEAgUCBgIHAggCCQKNAgsCjgINAggCCAIIAggCCAIIAggCCAIIAggCCAIIAggCCAIIAggCCAIfAgMCkAIeAALpAgICJAIEAgUCBgIHAggCCQKNAgsCjgINAggCCAIIAggCegAABAAIAggCCAIIAggCCAIIAggCCAIIAggCCAIIAh8CAwLFAh4AAukCAgIzAgQCBQIGAgcCCAIJAhwCCwKOAg0CCAIIAggCCAIIAggCCAIIAggCCAIIAggCCAIIAggCCAIIAh8CAwKSAh4AAukCAgIwAgQCBQIGAgcCCAIJAhwCCwKOAg0CCAIIAggCCAIIAggCCAIIAggCCAIIAggCCAIIAggCCAIIAh8CAwLGAh4AAukCAgItAgQCBQIGAgcCCAIJAhwCCwKOAg0CCAIIAggCCAIIAggCCAIIAggCCAIIAggCCAIIAggCCAIIAh8CAwLmAh4AAukCAgI4AgQCBQIGAgcCCAIJAicCCwKOAg0CCAIIAggCCAIIAggCCAIIAggCCAIIAggCCAIIAggCCAIIAh8CAwKTAh4AAukCAgIgAgQCBQIGAgcCCAIJAicCCwKOAg0CCAIIAggCCAIIAggCCAIIAggCCAIIAggCCAIIAggCCAIIAh8CAwLBAh4AAukCAgIwAgQCBQIGAgcCCAIJAo0CCwKOAg0CCAIIAggCCAIIAggCCAIIAggCCAIIAggCCAIIAggCCAIIAh8CAwIxAh4AAukCAgIkAgQCBQIGAgcCCAIJAhwCCwKOAg0CCAIIAggCCAIIAggCCAIIAggCCAIIAggCCAIIAggCCAIIAh8CAwKRAh4AAukCAgIiAgQCBQIGAgcCCAIJAhwCCwKOAg0CCAIIAggCCAIIAggCCAIIAggCCAIIAggCCAIIAggCCAIIAh8CAwLHAh4AAukCAgImAgQCBQIGAgcCCAIJAicCCwKOAg0CCAIIAggCCAIIAggCCAIIAggCCAIIAggCCAIIAggCCAIIAh8CAwLWAh4AAukCAgIzAgQCBQIGAgcCCAIJAo0CCwKOAg0CCAIIAggCCAIIAggCCAIIAggCCAIIAggCCAIIAggCCAIIAh8CAwLEAh4AAukCAgIDAgQCBQIGAgcCCAIJAhwCCwKOAg0CCAIIAggCCAIIAggCCAIIAggCCAIIAggCCAIIAggCCAIIAh8CAwKYAh4AAukCAgIeAgQCBQIGAgcCCAIJAo0CCwKOAg0CCAIIAggCCAIIAggCCAIIAggCCAIIAggCCAIIAggCCAIIAh8CAwKaAh4AAukCAgItAgQCBQIGAgcCCAIJAicCCwKOAg0CCAIIAggCCAIIAggCCAIIAggCCAIIAggCCAIIAggCCAIIAh8CAwLIAh4AAukCAgIrAgQCBQIGAgcCCAIJAicCCwKOAg0CCAIIAggCCAIIAggCCAIIAggCCAIIAggCCAIIAggCCAIIAh8CAwKXAh4AAukCAgIbAgQCBQIGAgcCCAIJAicCCwKOegAABAACDQIIAggCCAIIAggCCAIIAggCCAIIAggCCAIIAggCCAIIAggCHwIDAssCHgAC6QICAj8CBAIFAgYCBwIIAgkCHAILAo4CDQIIAggCCAIIAggCCAIIAggCCAIIAggCCAIIAggCCAIIAggCHwIDAqECHgAC6QICAh4CBAIFAgYCBwIIAgkCHAILAo4CDQIIAggCCAIIAggCCAIIAggCCAIIAggCCAIIAggCCAIIAggCHwIDAskCHgAC6QICAj0CBAIFAgYCBwIIAgkCJwILAo4CDQIIAggCCAIIAggCCAIIAggCCAIIAggCCAIIAggCCAIIAggCHwIDAuICHgAC6QICAjoCBAIFAgYCBwIIAgkCJwILAo4CDQIIAggCCAIIAggCCAIIAggCCAIIAggCCAIIAggCCAIIAggCHwIDApQCHgAC6QICAjACBAIFAgYCBwIIAgkCJwILAo4CDQIIAggCCAIIAggCCAIIAggCCAIIAggCCAIIAggCCAIIAggCHwIDAsoCHgAC6QICAgMCBAIFAgYCBwIIAgkCjQILAo4CDQIIAggCCAIIAggCCAIIAggCCAIIAggCCAIIAggCCAIIAggCHwIDAs4CHgAC6QICAkgCBAIFAgYCBwIIAgkCHAILAo4CDQIIAggCCAIIAggCCAIIAggCCAIIAggCCAIIAggCCAIIAggCHwIDApkCHgAC6QICAkECBAIFAgYCBwIIAgkCJwILAo4CDQIIAggCCAIIAggCCAIIAggCCAIIAggCCAIIAggCCAIIAggCHwIDArkCHgAC6QICAkgCBAIFAgYCBwIIAgkCjQILAo4CDQIIAggCCAIIAggCCAIIAggCCAIIAggCCAIIAggCCAIIAggCHwIDAswCHgAC6QICAlgCBAIFAgYCBwIIAgkCHAILAo4CDQIIAggCCAIIAggCCAIIAggCCAIIAggCCAIIAggCCAIIAggCHwIDAt8CHgAC6QICAlkCBAIFAgYCBwIIAgkCjQILAo4CDQIIAggCCAIIAggCCAIIAggCCAIIAggCCAIIAggCCAIIAggCHwIDAuECHgAC6QICAlkCBAIFAgYCBwIIAgkCHAILAo4CDQIIAggCCAIIAggCCAIIAggCCAIIAggCCAIIAggCCAIIAggCHwIDArgCHgAC6QICAlICBAIFAgYCBwIIAgkCJwILAo4CDQIIAggCCAIIAggCCAIIAggCCAIIAggCCAIIAggCCAIIAggCHwIDAtwCHgAC6QICAlgCBAIFAgYCBwIIAgkCjQILAo4CDQIIAggCCAIIAggCCAIIAggCCAIIAggCCAIIAggCCAIIAggCHwIDAjECHgAC6QICAjMCBAIFAgYCegAABAAHAggCCQInAgsCjgINAggCCAIIAggCCAIIAggCCAIIAggCCAIIAggCCAIIAggCCAIfAgMCugIeAALpAgICTwIEAgUCBgIHAggCCQInAgsCjgINAggCCAIIAggCCAIIAggCCAIIAggCCAIIAggCCAIIAggCCAIfAgMCtQIeAALpAgICTQIEAgUCBgIHAggCCQKNAgsCjgINAggCCAIIAggCCAIIAggCCAIIAggCCAIIAggCCAIIAggCCAIfAgMC4wIeAALpAgICOAIEAgUCBgIHAggCCQIcAgsCjgINAggCCAIIAggCCAIIAggCCAIIAggCCAIIAggCCAIIAggCCAIfAgMC4AIeAALpAgICOAIEAgUCBgIHAggCCQKNAgsCjgINAggCCAIIAggCCAIIAggCCAIIAggCCAIIAggCCAIIAggCCAIfAgMCuwIeAALpAgICPQIEAgUCBgIHAggCCQIcAgsCjgINAggCCAIIAggCCAIIAggCCAIIAggCCAIIAggCCAIIAggCCAIfAgMC2wIeAALpAgICQQIEAgUCBgIHAggCCQIcAgsCjgINAggCCAIIAggCCAIIAggCCAIIAggCCAIIAggCCAIIAggCCAIfAgMCswIeAALpAgICLQIEAgUCBgIHAggCCQKNAgsCjgINAggCCAIIAggCCAIIAggCCAIIAggCCAIIAggCCAIIAggCCAIfAgMCwAIeAALpAgICHgIEAgUCBgIHAggCCQInAgsCjgINAggCCAIIAggCCAIIAggCCAIIAggCCAIIAggCCAIIAggCCAIfAgMCvgIeAALpAgICSAIEAgUCBgIHAggCCQInAgsCjgINAggCCAIIAggCCAIIAggCCAIIAggCCAIIAggCCAIIAggCCAIfAgMC5wIeAALpAgICNQIEAgUCBgIHAggCCQKNAgsCjgINAggCCAIIAggCCAIIAggCCAIIAggCCAIIAggCCAIIAggCCAIfAgMCMQIeAALpAgICOgIEAgUCBgIHAggCCQIcAgsCjgINAggCCAIIAggCCAIIAggCCAIIAggCCAIIAggCCAIIAggCCAIfAgMCvwIeAALpAgICPwIEAgUCBgIHAggCCQInAgsCjgINAggCCAIIAggCCAIIAggCCAIIAggCCAIIAggCCAIIAggCCAIfAgMCjwIeAALpAgICOgIEAgUCBgIHAggCCQKNAgsCjgINAggCCAIIAggCCAIIAggCCAIIAggCCAIIAggCCAIIAggCCAIfAgMC5QIeAALpAgICUgIEAgUCBgIHAggCCQIcAgsCjgINAggCCAIIAggCCAIIAggCCAIIAggCCAIIAggCCAIIAggCCAIfAgMCqwIeAALpegAABAACAgJZAgQCBQIGAgcCCAIJAicCCwKOAg0CCAIIAggCCAIIAggCCAIIAggCCAIIAggCCAIIAggCCAIIAh8CAwKvAh4AAukCAgI1AgQCBQIGAgcCCAIJAhwCCwKOAg0CCAIIAggCCAIIAggCCAIIAggCCAIIAggCCAIIAggCCAIIAh8CAwKuAh4AAukCAgJPAgQCBQIGAgcCCAIJAhwCCwKOAg0CCAIIAggCCAIIAggCCAIIAggCCAIIAggCCAIIAggCCAIIAh8CAwKsAh4AAukCAgI9AgQCBQIGAgcCCAIJAo0CCwKOAg0CCAIIAggCCAIIAggCCAIIAggCCAIIAggCCAIIAggCCAIIAh8CAwKyAh4AAukCAgJBAgQCBQIGAgcCCAIJAo0CCwKOAg0CCAIIAggCCAIIAggCCAIIAggCCAIIAggCCAIIAggCCAIIAh8CAwLaAh4AAukCAgJLAgQCBQIGAgcCCAIJAicCCwKOAg0CCAIIAggCCAIIAggCCAIIAggCCAIIAggCCAIIAggCCAIIAh8CAwLZAh4AAukCAgJNAgQCBQIGAgcCCAIJAhwCCwKOAg0CCAIIAggCCAIIAggCCAIIAggCCAIIAggCCAIIAggCCAIIAh8CAwK8Ah4AAukCAgJFAgQCBQIGAgcCCAIJAicCCwKOAg0CCAIIAggCCAIIAggCCAIIAggCCAIIAggCCAIIAggCCAIIAh8CAwKxAh4AAukCAgImAgQCBQIGAgcCCAIJAo0CCwKOAg0CCAIIAggCCAIIAggCCAIIAggCCAIIAggCCAIIAggCCAIIAh8CAwLeAh4AAukCAgIpAgQCBQIGAgcCCAIJAo0CCwKOAg0CCAIIAggCCAIIAggCCAIIAggCCAIIAggCCAIIAggCCAIIAh8CAwK0Ah4AAukCAgI1AgQCBQIGAgcCCAIJAicCCwKOAg0CCAIIAggCCAIIAggCCAIIAggCCAIIAggCCAIIAggCCAIIAh8CAwK3Ah4AAukCAgIpAgQCBQIGAgcCCAIJAhwCCwKOAg0CCAIIAggCCAIIAggCCAIIAggCCAIIAggCCAIIAggCCAIIAh8CAwLdAh4AAukCAgIkAgQCBQIGAgcCCAIJAicCCwKOAg0CCAIIAggCCAIIAggCCAIIAggCCAIIAggCCAIIAggCCAIIAh8CAwKgAh4AAukCAgI/AgQCBQIGAgcCCAIJAo0CCwKOAg0CCAIIAggCCAIIAggCCAIIAggCCAIIAggCCAIIAggCCAIIAh8CAwLPAh4AAukCAgImAgQCBQIGAgcCCAIJAhwCCwKOAg0CCAIIAggCCAIIAggCCAIIAggCCAIIAggCCAIIAggCCAIIegAABAACHwIDArYCHgAC6QICAiICBAIFAgYCBwIIAgkCJwILAo4CDQIIAggCCAIIAggCCAIIAggCCAIIAggCCAIIAggCCAIIAggCHwIDAtACHgAC6QICAgMCBAIFAgYCBwIIAgkCJwILAo4CDQIIAggCCAIIAggCCAIIAggCCAIIAggCCAIIAggCCAIIAggCHwIDAp0CHgAC6QICAkUCBAIFAgYCBwIIAgkCjQILAo4CDQIIAggCCAIIAggCCAIIAggCCAIIAggCCAIIAggCCAIIAggCHwIDAjECHgAC6QICAiACBAIFAgYCBwIIAgkCjQILAo4CDQIIAggCCAIIAggCCAIIAggCCAIIAggCCAIIAggCCAIIAggCHwIDApwCHgAC6QICAiACBAIFAgYCBwIIAgkCHAILAo4CDQIIAggCCAIIAggCCAIIAggCCAIIAggCCAIIAggCCAIIAggCHwIDAtMCHgAC6QICAkUCBAIFAgYCBwIIAgkCHAILAo4CDQIIAggCCAIIAggCCAIIAggCCAIIAggCCAIIAggCCAIIAggCHwIDAqYCHgAC6QICAisCBAIFAgYCBwIIAgkCHAILAo4CDQIIAggCCAIIAggCCAIIAggCCAIIAggCCAIIAggCCAIIAggCHwIDAqQCHgAC6QICAk0CBAIFAgYCBwIIAgkCJwILAo4CDQIIAggCCAIIAggCCAIIAggCCAIIAggCCAIIAggCCAIIAggCHwIDArACHgAC6QICAksCBAIFAgYCBwIIAgkCHAILAo4CDQIIAggCCAIIAggCCAIIAggCCAIIAggCCAIIAggCCAIIAggCHwIDAtUCHgAC6QICAikCBAIFAgYCBwIIAgkCJwILAo4CDQIIAggCCAIIAggCCAIIAggCCAIIAggCCAIIAggCCAIIAggCHwIDAqkCHgAC6QICAk8CBAIFAgYCBwIIAgkCjQILAo4CDQIIAggCCAIIAggCCAIIAggCCAIIAggCCAIIAggCCAIIAggCHwIDAtgCHgAC6QICAksCBAIFAgYCBwIIAgkCjQILAo4CDQIIAggCCAIIAggCCAIIAggCCAIIAggCCAIIAggCCAIIAggCHwIDAqoCHgAC6QICAisCBAIFAgYCBwIIAgkCjQILAo4CDQIIAggCCAIIAggCCAIIAggCCAIIAggCCAIIAggCCAIIAggCHwIDAjECHgAC6QICAhsCBAIFAgYCBwIIAgkCHAILAo4CDQIIAggCCAIIAggCCAIIAggCCAIIAggCCAIIAggCCAIIAggCHwIDAtQCHgAC6QICAlICBAIFAgYCBwIIAgkCjQILAo4CDQIIAggCCAIIAggCCAIIAggCCAIIAggCegAABAAIAggCCAIIAggCCAIfAgMCpwIeAALpAgICGwIEAgUCBgIHAggCCQKNAgsCjgINAggCCAIIAggCCAIIAggCCAIIAggCCAIIAggCCAIIAggCCAIfAgMCqAIeAALpAgICWAIEAgUCBgIHAggCCQInAgsCjgINAggCCAIIAggCCAIIAggCCAIIAggCCAIIAggCCAIIAggCCAIfAgMC1wIeAALqAAk4NDU2NDM5NDQCAgIiAgQCBQIGAgcCCAIJAicCCwKOAg0CCAIIAggCCAIIAggCCAIIAggCCAIIAggCCAIIAggCCAIIAiECAwLQAh4AAuoCAgIwAgQCBQIGAgcCCAIJAicCCwKOAg0CCAIIAggCCAIIAggCCAIIAggCCAIIAggCCAIIAggCCAIIAiECAwLKAh4AAuoCAgIkAgQCBQIGAgcCCAIJAicCCwKOAg0CCAIIAggCCAIIAggCCAIIAggCCAIIAggCCAIIAggCCAIIAiECAwKgAh4AAuoCAgJZAgQCBQIGAgcCCAIJAhwCCwKOAg0CCAIIAggCCAIIAggCCAIIAggCCAIIAggCCAIIAggCCAIIAiECAwK4Ah4AAuoCAgIzAgQCBQIGAgcCCAIJAicCCwKOAg0CCAIIAggCCAIIAggCCAIIAggCCAIIAggCCAIIAggCCAIIAiECAwK6Ah4AAuoCAgJZAgQCBQIGAgcCCAIJAo0CCwKOAg0CCAIIAggCCAIIAggCCAIIAggCCAIIAggCCAIIAggCCAIIAiECAwLhAh4AAuoCAgIDAgQCBQIGAgcCCAIJAhwCCwKOAg0CCAIIAggCCAIIAggCCAIIAggCCAIIAggCCAIIAggCCAIIAiECAwKYAh4AAuoCAgJIAgQCBQIGAgcCCAIJAo0CCwKOAg0CCAIIAggCCAIIAggCCAIIAggCCAIIAggCCAIIAggCCAIIAiECAwLMAh4AAuoCAgIeAgQCBQIGAgcCCAIJAo0CCwKOAg0CCAIIAggCCAIIAggCCAIIAggCCAIIAggCCAIIAggCCAIIAiECAwKaAh4AAuoCAgIbAgQCBQIGAgcCCAIJAicCCwKOAg0CCAIIAggCCAIIAggCCAIIAggCCAIIAggCCAIIAggCCAIIAiECAwLLAh4AAuoCAgIrAgQCBQIGAgcCCAIJAicCCwKOAg0CCAIIAggCCAIIAggCCAIIAggCCAIIAggCCAIIAggCCAIIAiECAwKXAh4AAuoCAgItAgQCBQIGAgcCCAIJAicCCwKOAg0CCAIIAggCCAIIAggCCAIIAggCCAIIAggCCAIIAggCCAIIAiECAwLIAh4AAuoCAgIDAgQCBQIGAgcCCAIJAo0CCwKOAg0CegAABAAIAggCCAIIAggCCAIIAggCCAIIAggCCAIIAggCCAIIAggCIQIDAs4CHgAC6gICAkgCBAIFAgYCBwIIAgkCHAILAo4CDQIIAggCCAIIAggCCAIIAggCCAIIAggCCAIIAggCCAIIAggCIQIDApkCHgAC6gICAh4CBAIFAgYCBwIIAgkCHAILAo4CDQIIAggCCAIIAggCCAIIAggCCAIIAggCCAIIAggCCAIIAggCIQIDAskCHgAC6gICAjoCBAIFAgYCBwIIAgkCJwILAo4CDQIIAggCCAIIAggCCAIIAggCCAIIAggCCAIIAggCCAIIAggCIQIDApQCHgAC6gICAj8CBAIFAgYCBwIIAgkCJwILAo4CDQIIAggCCAIIAggCCAIIAggCCAIIAggCCAIIAggCCAIIAggCIQIDAo8CHgAC6gICAjUCBAIFAgYCBwIIAgkCHAILAo4CDQIIAggCCAIIAggCCAIIAggCCAIIAggCCAIIAggCCAIIAggCIQIDAq4CHgAC6gICAjUCBAIFAgYCBwIIAgkCjQILAo4CDQIIAggCCAIIAggCCAIIAggCCAIIAggCCAIIAggCCAIIAggCIQIDAjECHgAC6gICAj0CBAIFAgYCBwIIAgkCjQILAo4CDQIIAggCCAIIAggCCAIIAggCCAIIAggCCAIIAggCCAIIAggCIQIDArICHgAC6gICAiACBAIFAgYCBwIIAgkCJwILAo4CDQIIAggCCAIIAggCCAIIAggCCAIIAggCCAIIAggCCAIIAggCIQIDAsECHgAC6gICAjMCBAIFAgYCBwIIAgkCjQILAo4CDQIIAggCCAIIAggCCAIIAggCCAIIAggCCAIIAggCCAIIAggCIQIDAsQCHgAC6gICAjMCBAIFAgYCBwIIAgkCHAILAo4CDQIIAggCCAIIAggCCAIIAggCCAIIAggCCAIIAggCCAIIAggCIQIDApICHgAC6gICAjACBAIFAgYCBwIIAgkCHAILAo4CDQIIAggCCAIIAggCCAIIAggCCAIIAggCCAIIAggCCAIIAggCIQIDAsYCHgAC6gICAjACBAIFAgYCBwIIAgkCjQILAo4CDQIIAggCCAIIAggCCAIIAggCCAIIAggCCAIIAggCCAIIAggCIQIDAjECHgAC6gICAk0CBAIFAgYCBwIIAgkCHAILAo4CDQIIAggCCAIIAggCCAIIAggCCAIIAggCCAIIAggCCAIIAggCIQIDArwCHgAC6gICAkECBAIFAgYCBwIIAgkCjQILAo4CDQIIAggCCAIIAggCCAIIAggCCAIIAggCCAIIAggCCAIIAggCIQIDAtoCHgAC6gICAk0CBAIFAgYCBwIIegAABAACCQKNAgsCjgINAggCCAIIAggCCAIIAggCCAIIAggCCAIIAggCCAIIAggCCAIhAgMC4wIeAALqAgICQQIEAgUCBgIHAggCCQIcAgsCjgINAggCCAIIAggCCAIIAggCCAIIAggCCAIIAggCCAIIAggCCAIhAgMCswIeAALqAgICSAIEAgUCBgIHAggCCQInAgsCjgINAggCCAIIAggCCAIIAggCCAIIAggCCAIIAggCCAIIAggCCAIhAgMC5wIeAALqAgICHgIEAgUCBgIHAggCCQInAgsCjgINAggCCAIIAggCCAIIAggCCAIIAggCCAIIAggCCAIIAggCCAIhAgMCvgIeAALqAgICLQIEAgUCBgIHAggCCQKNAgsCjgINAggCCAIIAggCCAIIAggCCAIIAggCCAIIAggCCAIIAggCCAIhAgMCwAIeAALqAgICOgIEAgUCBgIHAggCCQKNAgsCjgINAggCCAIIAggCCAIIAggCCAIIAggCCAIIAggCCAIIAggCCAIhAgMC5QIeAALqAgICLQIEAgUCBgIHAggCCQIcAgsCjgINAggCCAIIAggCCAIIAggCCAIIAggCCAIIAggCCAIIAggCCAIhAgMC5gIeAALqAgICOgIEAgUCBgIHAggCCQIcAgsCjgINAggCCAIIAggCCAIIAggCCAIIAggCCAIIAggCCAIIAggCCAIhAgMCvwIeAALqAgICKQIEAgUCBgIHAggCCQIcAgsCjgINAggCCAIIAggCCAIIAggCCAIIAggCCAIIAggCCAIIAggCCAIhAgMC3QIeAALqAgICJgIEAgUCBgIHAggCCQIcAgsCjgINAggCCAIIAggCCAIIAggCCAIIAggCCAIIAggCCAIIAggCCAIhAgMCtgIeAALqAgICUgIEAgUCBgIHAggCCQInAgsCjgINAggCCAIIAggCCAIIAggCCAIIAggCCAIIAggCCAIIAggCCAIhAgMC3AIeAALqAgICOAIEAgUCBgIHAggCCQKNAgsCjgINAggCCAIIAggCCAIIAggCCAIIAggCCAIIAggCCAIIAggCCAIhAgMCuwIeAALqAgICTwIEAgUCBgIHAggCCQInAgsCjgINAggCCAIIAggCCAIIAggCCAIIAggCCAIIAggCCAIIAggCCAIhAgMCtQIeAALqAgICOAIEAgUCBgIHAggCCQIcAgsCjgINAggCCAIIAggCCAIIAggCCAIIAggCCAIIAggCCAIIAggCCAIhAgMC4AIeAALqAgICIAIEAgUCBgIHAggCCQKNAgsCjgINAggCCAIIAggCCAIIAggCCAIIAggCCAIIAggCCAIIAggCCAIhAgMCnAIeAALqAgICegAABAA9AgQCBQIGAgcCCAIJAicCCwKOAg0CCAIIAggCCAIIAggCCAIIAggCCAIIAggCCAIIAggCCAIIAiECAwLiAh4AAuoCAgI/AgQCBQIGAgcCCAIJAo0CCwKOAg0CCAIIAggCCAIIAggCCAIIAggCCAIIAggCCAIIAggCCAIIAiECAwLPAh4AAuoCAgI9AgQCBQIGAgcCCAIJAhwCCwKOAg0CCAIIAggCCAIIAggCCAIIAggCCAIIAggCCAIIAggCCAIIAiECAwLbAh4AAuoCAgIgAgQCBQIGAgcCCAIJAhwCCwKOAg0CCAIIAggCCAIIAggCCAIIAggCCAIIAggCCAIIAggCCAIIAiECAwLTAh4AAuoCAgI/AgQCBQIGAgcCCAIJAhwCCwKOAg0CCAIIAggCCAIIAggCCAIIAggCCAIIAggCCAIIAggCCAIIAiECAwKhAh4AAuoCAgJFAgQCBQIGAgcCCAIJAicCCwKOAg0CCAIIAggCCAIIAggCCAIIAggCCAIIAggCCAIIAggCCAIIAiECAwKxAh4AAuoCAgJLAgQCBQIGAgcCCAIJAicCCwKOAg0CCAIIAggCCAIIAggCCAIIAggCCAIIAggCCAIIAggCCAIIAiECAwLZAh4AAuoCAgJBAgQCBQIGAgcCCAIJAicCCwKOAg0CCAIIAggCCAIIAggCCAIIAggCCAIIAggCCAIIAggCCAIIAiECAwK5Ah4AAuoCAgImAgQCBQIGAgcCCAIJAo0CCwKOAg0CCAIIAggCCAIIAggCCAIIAggCCAIIAggCCAIIAggCCAIIAiECAwLeAh4AAuoCAgIpAgQCBQIGAgcCCAIJAo0CCwKOAg0CCAIIAggCCAIIAggCCAIIAggCCAIIAggCCAIIAggCCAIIAiECAwK0Ah4AAuoCAgI1AgQCBQIGAgcCCAIJAicCCwKOAg0CCAIIAggCCAIIAggCCAIIAggCCAIIAggCCAIIAggCCAIIAiECAwK3Ah4AAuoCAgI4AgQCBQIGAgcCCAIJAicCCwKOAg0CCAIIAggCCAIIAggCCAIIAggCCAIIAggCCAIIAggCCAIIAiECAwKTAh4AAuoCAgIiAgQCBQIGAgcCCAIJAo0CCwKOAg0CCAIIAggCCAIIAggCCAIIAggCCAIIAggCCAIIAggCCAIIAiECAwKQAh4AAuoCAgImAgQCBQIGAgcCCAIJAicCCwKOAg0CCAIIAggCCAIIAggCCAIIAggCCAIIAggCCAIIAggCCAIIAiECAwLWAh4AAuoCAgJZAgQCBQIGAgcCCAIJAicCCwKOAg0CCAIIAggCCAIIAggCCAIIAggCCAIIAggCCAIIAggCCAIIAiECegAABAADAq8CHgAC6gICAiQCBAIFAgYCBwIIAgkCHAILAo4CDQIIAggCCAIIAggCCAIIAggCCAIIAggCCAIIAggCCAIIAggCIQIDApECHgAC6gICAiQCBAIFAgYCBwIIAgkCjQILAo4CDQIIAggCCAIIAggCCAIIAggCCAIIAggCCAIIAggCCAIIAggCIQIDAsUCHgAC6gICAiICBAIFAgYCBwIIAgkCHAILAo4CDQIIAggCCAIIAggCCAIIAggCCAIIAggCCAIIAggCCAIIAggCIQIDAscCHgAC6gICAhsCBAIFAgYCBwIIAgkCjQILAo4CDQIIAggCCAIIAggCCAIIAggCCAIIAggCCAIIAggCCAIIAggCIQIDAqgCHgAC6gICAk0CBAIFAgYCBwIIAgkCJwILAo4CDQIIAggCCAIIAggCCAIIAggCCAIIAggCCAIIAggCCAIIAggCIQIDArACHgAC6gICAkUCBAIFAgYCBwIIAgkCjQILAo4CDQIIAggCCAIIAggCCAIIAggCCAIIAggCCAIIAggCCAIIAggCIQIDAjECHgAC6gICAgMCBAIFAgYCBwIIAgkCJwILAo4CDQIIAggCCAIIAggCCAIIAggCCAIIAggCCAIIAggCCAIIAggCIQIDAp0CHgAC6gICAkUCBAIFAgYCBwIIAgkCHAILAo4CDQIIAggCCAIIAggCCAIIAggCCAIIAggCCAIIAggCCAIIAggCIQIDAqYCHgAC6gICAikCBAIFAgYCBwIIAgkCJwILAo4CDQIIAggCCAIIAggCCAIIAggCCAIIAggCCAIIAggCCAIIAggCIQIDAqkCHgAC6gICAk8CBAIFAgYCBwIIAgkCjQILAo4CDQIIAggCCAIIAggCCAIIAggCCAIIAggCCAIIAggCCAIIAggCIQIDAtgCHgAC6gICAisCBAIFAgYCBwIIAgkCjQILAo4CDQIIAggCCAIIAggCCAIIAggCCAIIAggCCAIIAggCCAIIAggCIQIDAjECHgAC6gICAlICBAIFAgYCBwIIAgkCHAILAo4CDQIIAggCCAIIAggCCAIIAggCCAIIAggCCAIIAggCCAIIAggCIQIDAqsCHgAC6gICAk8CBAIFAgYCBwIIAgkCHAILAo4CDQIIAggCCAIIAggCCAIIAggCCAIIAggCCAIIAggCCAIIAggCIQIDAqwCHgAC6gICAlICBAIFAgYCBwIIAgkCjQILAo4CDQIIAggCCAIIAggCCAIIAggCCAIIAggCCAIIAggCCAIIAggCIQIDAqcCHgAC6gICAksCBAIFAgYCBwIIAgkCHAILAo4CDQIIAggCCAIIAggCCAIIAggCCAIIAggCCAIIegAABAACCAIIAggCCAIhAgMC1QIeAALqAgICGwIEAgUCBgIHAggCCQIcAgsCjgINAggCCAIIAggCCAIIAggCCAIIAggCCAIIAggCCAIIAggCCAIhAgMC1AIeAALqAgICSwIEAgUCBgIHAggCCQKNAgsCjgINAggCCAIIAggCCAIIAggCCAIIAggCCAIIAggCCAIIAggCCAIhAgMCqgIeAALqAgICKwIEAgUCBgIHAggCCQIcAgsCjgINAggCCAIIAggCCAIIAggCCAIIAggCCAIIAggCCAIIAggCCAIhAgMCpAIeAALrAAk1ODAxMzE5ODQCAgIgAgQCBQIGAgcCCAIJAicCCwKOAg0CCAIIAggCCAIIAggCCAIIAggCCAIIAggCCAIIAggCCAIIAhkCAwLBAh4AAusCAgI/AgQCBQIGAgcCCAIJAicCCwKOAg0CCAIIAggCCAIIAggCCAIIAggCCAIIAggCCAIIAggCCAIIAhkCAwKPAh4AAusCAgIDAgQCBQIGAgcCCAIJAo0CCwKOAg0CCAIIAggCCAIIAggCCAIIAggCCAIIAggCCAIIAggCCAIIAhkCAwLOAh4AAusCAgIwAgQCBQIGAgcCCAIJAhwCCwKOAg0CCAIIAggCCAIIAggCCAIIAggCCAIIAggCCAIIAggCCAIIAhkCAwLGAh4AAusCAgIkAgQCBQIGAgcCCAIJAhwCCwKOAg0CCAIIAggCCAIIAggCCAIIAggCCAIIAggCCAIIAggCCAIIAhkCAwKRAh4AAusCAgKEAgQCBQIGAgcCCAIJAhwCCwKOAg0CCAIIAggCCAIIAggCCAIIAggCCAIIAggCCAIIAggCCAIIAhkCAwLDAh4AAusCAgKEAgQCBQIGAgcCCAIJAo0CCwKOAg0CCAIIAggCCAIIAggCCAIIAggCCAIIAggCCAIIAggCCAIIAhkCAwIxAh4AAusCAgIbAgQCBQIGAgcCCAIJAicCCwKOAg0CCAIIAggCCAIIAggCCAIIAggCCAIIAggCCAIIAggCCAIIAhkCAwLLAh4AAusCAgIDAgQCBQIGAgcCCAIJAhwCCwKOAg0CCAIIAggCCAIIAggCCAIIAggCCAIIAggCCAIIAggCCAIIAhkCAwKYAh4AAusCAgIeAgQCBQIGAgcCCAIJAo0CCwKOAg0CCAIIAggCCAIIAggCCAIIAggCCAIIAggCCAIIAggCCAIIAhkCAwKaAh4AAusCAgI6AgQCBQIGAgcCCAIJAhwCCwKOAg0CCAIIAggCCAIIAggCCAIIAggCCAIIAggCCAIIAggCCAIIAhkCAwK/Ah4AAusCAgJIAgQCBQIGAgcCCAIJAo0CCwKOAg0CCAIIegAABAACCAIIAggCCAIIAggCCAIIAggCCAIIAggCCAIIAggCGQIDAswCHgAC6wICAisCBAIFAgYCBwIIAgkCHAILAo4CDQIIAggCCAIIAggCCAIIAggCCAIIAggCCAIIAggCCAIIAggCGQIDAqQCHgAC6wICAi0CBAIFAgYCBwIIAgkCjQILAo4CDQIIAggCCAIIAggCCAIIAggCCAIIAggCCAIIAggCCAIIAggCGQIDAsACHgAC6wICAjACBAIFAgYCBwIIAgkCJwILAo4CDQIIAggCCAIIAggCCAIIAggCCAIIAggCCAIIAggCCAIIAggCGQIDAsoCHgAC6wICAiYCBAIFAgYCBwIIAgkCJwILAo4CDQIIAggCCAIIAggCCAIIAggCCAIIAggCCAIIAggCCAIIAggCGQIDAtYCHgAC6wICAoICBAIFAgYCBwIIAgkCHAILAo4CDQIIAggCCAIIAggCCAIIAggCCAIIAggCCAIIAggCCAIIAggCGQIDAr0CHgAC6wICAikCBAIFAgYCBwIIAgkCJwILAo4CDQIIAggCCAIIAggCCAIIAggCCAIIAggCCAIIAggCCAIIAggCGQIDAqkCHgAC6wICAi0CBAIFAgYCBwIIAgkCHAILAo4CDQIIAggCCAIIAggCCAIIAggCCAIIAggCCAIIAggCCAIIAggCGQIDAuYCHgAC6wICAlgCBAIFAgYCBwIIAgkCjQILAo4CDQIIAggCCAIIAggCCAIIAggCCAIIAggCCAIIAggCCAIIAggCGQIDAjECHgAC6wICAoICBAIFAgYCBwIIAgkCjQILAo4CDQIIAggCCAIIAggCCAIIAggCCAIIAggCCAIIAggCCAIIAggCGQIDAjECHgAC6wICAiACBAIFAgYCBwIIAgkCHAILAo4CDQIIAggCCAIIAggCCAIIAggCCAIIAggCCAIIAggCCAIIAggCGQIDAtMCHgAC6wICAj8CBAIFAgYCBwIIAgkCHAILAo4CDQIIAggCCAIIAggCCAIIAggCCAIIAggCCAIIAggCCAIIAggCGQIDAqECHgAC6wICAjMCBAIFAgYCBwIIAgkCJwILAo4CDQIIAggCCAIIAggCCAIIAggCCAIIAggCCAIIAggCCAIIAggCGQIDAroCHgAC6wICAlkCBAIFAgYCBwIIAgkCjQILAo4CDQIIAggCCAIIAggCCAIIAggCCAIIAggCCAIIAggCCAIIAggCGQIDAuECHgAC6wICAj8CBAIFAgYCBwIIAgkCjQILAo4CDQIIAggCCAIIAggCCAIIAggCCAIIAggCCAIIAggCCAIIAggCGQIDAs8CHgAC6wICAiICBAIFAgYCBwIIAgkCegAABAAnAgsCjgINAggCCAIIAggCCAIIAggCCAIIAggCCAIIAggCCAIIAggCCAIZAgMC0AIeAALrAgICJAIEAgUCBgIHAggCCQInAgsCjgINAggCCAIIAggCCAIIAggCCAIIAggCCAIIAggCCAIIAggCCAIZAgMCoAIeAALrAgICUgIEAgUCBgIHAggCCQInAgsCjgINAggCCAIIAggCCAIIAggCCAIIAggCCAIIAggCCAIIAggCCAIZAgMC3AIeAALrAgIChAIEAgUCBgIHAggCCQInAgsCjgINAggCCAIIAggCCAIIAggCCAIIAggCCAIIAggCCAIIAggCCAIZAgMC0QIeAALrAgICSAIEAgUCBgIHAggCCQIcAgsCjgINAggCCAIIAggCCAIIAggCCAIIAggCCAIIAggCCAIIAggCCAIZAgMCmQIeAALrAgICOgIEAgUCBgIHAggCCQKNAgsCjgINAggCCAIIAggCCAIIAggCCAIIAggCCAIIAggCCAIIAggCCAIZAgMC5QIeAALrAgICgAIEAgUCBgIHAggCCQIcAgsCjgINAggCCAIIAggCCAIIAggCCAIIAggCCAIIAggCCAIIAggCCAIZAgMClgIeAALrAgICHgIEAgUCBgIHAggCCQIcAgsCjgINAggCCAIIAggCCAIIAggCCAIIAggCCAIIAggCCAIIAggCCAIZAgMCyQIeAALrAgICQQIEAgUCBgIHAggCCQIcAgsCjgINAggCCAIIAggCCAIIAggCCAIIAggCCAIIAggCCAIIAggCCAIZAgMCswIeAALrAgICNQIEAgUCBgIHAggCCQKNAgsCjgINAggCCAIIAggCCAIIAggCCAIIAggCCAIIAggCCAIIAggCCAIZAgMCMQIeAALrAgICgAIEAgUCBgIHAggCCQKNAgsCjgINAggCCAIIAggCCAIIAggCCAIIAggCCAIIAggCCAIIAggCCAIZAgMCMQIeAALrAgICTwIEAgUCBgIHAggCCQInAgsCjgINAggCCAIIAggCCAIIAggCCAIIAggCCAIIAggCCAIIAggCCAIZAgMCtQIeAALrAgICKwIEAgUCBgIHAggCCQInAgsCjgINAggCCAIIAggCCAIIAggCCAIIAggCCAIIAggCCAIIAggCCAIZAgMClwIeAALrAgICSwIEAgUCBgIHAggCCQInAgsCjgINAggCCAIIAggCCAIIAggCCAIIAggCCAIIAggCCAIIAggCCAIZAgMC2QIeAALrAgICMAIEAgUCBgIHAggCCQKNAgsCjgINAggCCAIIAggCCAIIAggCCAIIAggCCAIIAggCCAIIAggCCAIZAgMCMQIeAALrAgICMwIEegAABAACBQIGAgcCCAIJAhwCCwKOAg0CCAIIAggCCAIIAggCCAIIAggCCAIIAggCCAIIAggCCAIIAhkCAwKSAh4AAusCAgIzAgQCBQIGAgcCCAIJAo0CCwKOAg0CCAIIAggCCAIIAggCCAIIAggCCAIIAggCCAIIAggCCAIIAhkCAwLEAh4AAusCAgI9AgQCBQIGAgcCCAIJAhwCCwKOAg0CCAIIAggCCAIIAggCCAIIAggCCAIIAggCCAIIAggCCAIIAhkCAwLbAh4AAusCAgJFAgQCBQIGAgcCCAIJAicCCwKOAg0CCAIIAggCCAIIAggCCAIIAggCCAIIAggCCAIIAggCCAIIAhkCAwKxAh4AAusCAgI9AgQCBQIGAgcCCAIJAo0CCwKOAg0CCAIIAggCCAIIAggCCAIIAggCCAIIAggCCAIIAggCCAIIAhkCAwKyAh4AAusCAgJBAgQCBQIGAgcCCAIJAo0CCwKOAg0CCAIIAggCCAIIAggCCAIIAggCCAIIAggCCAIIAggCCAIIAhkCAwLaAh4AAusCAgJPAgQCBQIGAgcCCAIJAhwCCwKOAg0CCAIIAggCCAIIAggCCAIIAggCCAIIAggCCAIIAggCCAIIAhkCAwKsAh4AAusCAgI1AgQCBQIGAgcCCAIJAhwCCwKOAg0CCAIIAggCCAIIAggCCAIIAggCCAIIAggCCAIIAggCCAIIAhkCAwKuAh4AAusCAgJYAgQCBQIGAgcCCAIJAicCCwKOAg0CCAIIAggCCAIIAggCCAIIAggCCAIIAggCCAIIAggCCAIIAhkCAwLXAh4AAusCAgJZAgQCBQIGAgcCCAIJAicCCwKOAg0CCAIIAggCCAIIAggCCAIIAggCCAIIAggCCAIIAggCCAIIAhkCAwKvAh4AAusCAgJPAgQCBQIGAgcCCAIJAo0CCwKOAg0CCAIIAggCCAIIAggCCAIIAggCCAIIAggCCAIIAggCCAIIAhkCAwLYAh4AAusCAgJSAgQCBQIGAgcCCAIJAhwCCwKOAg0CCAIIAggCCAIIAggCCAIIAggCCAIIAggCCAIIAggCCAIIAhkCAwKrAh4AAusCAgJSAgQCBQIGAgcCCAIJAo0CCwKOAg0CCAIIAggCCAIIAggCCAIIAggCCAIIAggCCAIIAggCCAIIAhkCAwKnAh4AAusCAgJNAgQCBQIGAgcCCAIJAhwCCwKOAg0CCAIIAggCCAIIAggCCAIIAggCCAIIAggCCAIIAggCCAIIAhkCAwK8Ah4AAusCAgJIAgQCBQIGAgcCCAIJAicCCwKOAg0CCAIIAggCCAIIAggCCAIIAggCCAIIAggCCAIIAggCCAIIAhkCAwLnegAABAACHgAC6wICAkUCBAIFAgYCBwIIAgkCHAILAo4CDQIIAggCCAIIAggCCAIIAggCCAIIAggCCAIIAggCCAIIAggCGQIDAqYCHgAC6wICAksCBAIFAgYCBwIIAgkCHAILAo4CDQIIAggCCAIIAggCCAIIAggCCAIIAggCCAIIAggCCAIIAggCGQIDAtUCHgAC6wICAjgCBAIFAgYCBwIIAgkCjQILAo4CDQIIAggCCAIIAggCCAIIAggCCAIIAggCCAIIAggCCAIIAggCGQIDArsCHgAC6wICAh4CBAIFAgYCBwIIAgkCJwILAo4CDQIIAggCCAIIAggCCAIIAggCCAIIAggCCAIIAggCCAIIAggCGQIDAr4CHgAC6wICAoACBAIFAgYCBwIIAgkCJwILAo4CDQIIAggCCAIIAggCCAIIAggCCAIIAggCCAIIAggCCAIIAggCGQIDAuQCHgAC6wICAk0CBAIFAgYCBwIIAgkCjQILAo4CDQIIAggCCAIIAggCCAIIAggCCAIIAggCCAIIAggCCAIIAggCGQIDAuMCHgAC6wICAiACBAIFAgYCBwIIAgkCjQILAo4CDQIIAggCCAIIAggCCAIIAggCCAIIAggCCAIIAggCCAIIAggCGQIDApwCHgAC6wICAjgCBAIFAgYCBwIIAgkCHAILAo4CDQIIAggCCAIIAggCCAIIAggCCAIIAggCCAIIAggCCAIIAggCGQIDAuACHgAC6wICAlkCBAIFAgYCBwIIAgkCHAILAo4CDQIIAggCCAIIAggCCAIIAggCCAIIAggCCAIIAggCCAIIAggCGQIDArgCHgAC6wICAlgCBAIFAgYCBwIIAgkCHAILAo4CDQIIAggCCAIIAggCCAIIAggCCAIIAggCCAIIAggCCAIIAggCGQIDAt8CHgAC6wICAj0CBAIFAgYCBwIIAgkCJwILAo4CDQIIAggCCAIIAggCCAIIAggCCAIIAggCCAIIAggCCAIIAggCGQIDAuICHgAC6wICAgMCBAIFAgYCBwIIAgkCJwILAo4CDQIIAggCCAIIAggCCAIIAggCCAIIAggCCAIIAggCCAIIAggCGQIDAp0CHgAC6wICAkECBAIFAgYCBwIIAgkCJwILAo4CDQIIAggCCAIIAggCCAIIAggCCAIIAggCCAIIAggCCAIIAggCGQIDArkCHgAC6wICAkUCBAIFAgYCBwIIAgkCjQILAo4CDQIIAggCCAIIAggCCAIIAggCCAIIAggCCAIIAggCCAIIAggCGQIDAjECHgAC6wICAiYCBAIFAgYCBwIIAgkCHAILAo4CDQIIAggCCAIIAggCCAIIAggCCAIIAggCCAIIAggCegAABAAIAggCCAIZAgMCtgIeAALrAgICKwIEAgUCBgIHAggCCQKNAgsCjgINAggCCAIIAggCCAIIAggCCAIIAggCCAIIAggCCAIIAggCCAIZAgMCMQIeAALrAgICSwIEAgUCBgIHAggCCQKNAgsCjgINAggCCAIIAggCCAIIAggCCAIIAggCCAIIAggCCAIIAggCCAIZAgMCqgIeAALrAgICNQIEAgUCBgIHAggCCQInAgsCjgINAggCCAIIAggCCAIIAggCCAIIAggCCAIIAggCCAIIAggCCAIZAgMCtwIeAALrAgICGwIEAgUCBgIHAggCCQIcAgsCjgINAggCCAIIAggCCAIIAggCCAIIAggCCAIIAggCCAIIAggCCAIZAgMC1AIeAALrAgICGwIEAgUCBgIHAggCCQKNAgsCjgINAggCCAIIAggCCAIIAggCCAIIAggCCAIIAggCCAIIAggCCAIZAgMCqAIeAALrAgICKQIEAgUCBgIHAggCCQIcAgsCjgINAggCCAIIAggCCAIIAggCCAIIAggCCAIIAggCCAIIAggCCAIZAgMC3QIeAALrAgICKQIEAgUCBgIHAggCCQKNAgsCjgINAggCCAIIAggCCAIIAggCCAIIAggCCAIIAggCCAIIAggCCAIZAgMCtAIeAALrAgICLQIEAgUCBgIHAggCCQInAgsCjgINAggCCAIIAggCCAIIAggCCAIIAggCCAIIAggCCAIIAggCCAIZAgMCyAIeAALrAgICOgIEAgUCBgIHAggCCQInAgsCjgINAggCCAIIAggCCAIIAggCCAIIAggCCAIIAggCCAIIAggCCAIZAgMClAIeAALrAgICJgIEAgUCBgIHAggCCQKNAgsCjgINAggCCAIIAggCCAIIAggCCAIIAggCCAIIAggCCAIIAggCCAIZAgMC3gIeAALrAgICTQIEAgUCBgIHAggCCQInAgsCjgINAggCCAIIAggCCAIIAggCCAIIAggCCAIIAggCCAIIAggCCAIZAgMCsAIeAALrAgICOAIEAgUCBgIHAggCCQInAgsCjgINAggCCAIIAggCCAIIAggCCAIIAggCCAIIAggCCAIIAggCCAIZAgMCkwIeAALrAgICJAIEAgUCBgIHAggCCQKNAgsCjgINAggCCAIIAggCCAIIAggCCAIIAggCCAIIAggCCAIIAggCCAIZAgMCxQIeAALrAgICIgIEAgUCBgIHAggCCQIcAgsCjgINAggCCAIIAggCCAIIAggCCAIIAggCCAIIAggCCAIIAggCCAIZAgMCxwIeAALrAgICggIEAgUCBgIHAggCCQInAgsCjgINAggCCAIIAggCCAIIAggCCAIIegAABAACCAIIAggCCAIIAggCCAIIAhkCAwKVAh4AAusCAgIiAgQCBQIGAgcCCAIJAo0CCwKOAg0CCAIIAggCCAIIAggCCAIIAggCCAIIAggCCAIIAggCCAIIAhkCAwKQAh4AAuwACjEyMTYxNDExMjgCAgIbAgQCBQIGAgcCCAIJAhwCCwKOAg0CCAIIAggCCAIIAggCCAIIAggCCAIIAggCCAIIAggCCAIIAh0CAwLUAh4AAuwCAgI6AgQCBQIGAgcCCAIJAo0CCwKOAg0CCAIIAggCCAIIAggCCAIIAggCCAIIAggCCAIIAggCCAIIAh0CAwLlAh4AAuwCAgI/AgQCBQIGAgcCCAIJAhwCCwKOAg0CCAIIAggCCAIIAggCCAIIAggCCAIIAggCCAIIAggCCAIIAh0CAwKhAh4AAuwCAgIgAgQCBQIGAgcCCAIJAhwCCwKOAg0CCAIIAggCCAIIAggCCAIIAggCCAIIAggCCAIIAggCCAIIAh0CAwLTAh4AAuwCAgIrAgQCBQIGAgcCCAIJAo0CCwKOAg0CCAIIAggCCAIIAggCCAIIAggCCAIIAggCCAIIAggCCAIIAh0CAwIxAh4AAuwCAgIrAgQCBQIGAgcCCAIJAhwCCwKOAg0CCAIIAggCCAIIAggCCAIIAggCCAIIAggCCAIIAggCCAIIAh0CAwKkAh4AAuwCAgItAgQCBQIGAgcCCAIJAo0CCwKOAg0CCAIIAggCCAIIAggCCAIIAggCCAIIAggCCAIIAggCCAIIAh0CAwLAAh4AAuwCAgJBAgQCBQIGAgcCCAIJAicCCwKOAg0CCAIIAggCCAIIAggCCAIIAggCCAIIAggCCAIIAggCCAIIAh0CAwK5Ah4AAuwCAgI9AgQCBQIGAgcCCAIJAicCCwKOAg0CCAIIAggCCAIIAggCCAIIAggCCAIIAggCCAIIAggCCAIIAh0CAwLiAh4AAuwCAgI6AgQCBQIGAgcCCAIJAhwCCwKOAg0CCAIIAggCCAIIAggCCAIIAggCCAIIAggCCAIIAggCCAIIAh0CAwK/Ah4AAuwCAgIbAgQCBQIGAgcCCAIJAo0CCwKOAg0CCAIIAggCCAIIAggCCAIIAggCCAIIAggCCAIIAggCCAIIAh0CAwKoAh4AAuwCAgIzAgQCBQIGAgcCCAIJAhwCCwKOAg0CCAIIAggCCAIIAggCCAIIAggCCAIIAggCCAIIAggCCAIIAh0CAwKSAh4AAuwCAgIwAgQCBQIGAgcCCAIJAhwCCwKOAg0CCAIIAggCCAIIAggCCAIIAggCCAIIAggCCAIIAggCCAIIAh0CAwLGAh4AAuwCAgIiAgQCBQIGAgcCCAIJAo0CegAABAALAo4CDQIIAggCCAIIAggCCAIIAggCCAIIAggCCAIIAggCCAIIAggCHQIDApACHgAC7AICAiACBAIFAgYCBwIIAgkCJwILAo4CDQIIAggCCAIIAggCCAIIAggCCAIIAggCCAIIAggCCAIIAggCHQIDAsECHgAC7AICAikCBAIFAgYCBwIIAgkCHAILAo4CDQIIAggCCAIIAggCCAIIAggCCAIIAggCCAIIAggCCAIIAggCHQIDAt0CHgAC7AICAlICBAIFAgYCBwIIAgkCJwILAo4CDQIIAggCCAIIAggCCAIIAggCCAIIAggCCAIIAggCCAIIAggCHQIDAtwCHgAC7AICAjgCBAIFAgYCBwIIAgkCJwILAo4CDQIIAggCCAIIAggCCAIIAggCCAIIAggCCAIIAggCCAIIAggCHQIDApMCHgAC7AICAiYCBAIFAgYCBwIIAgkCHAILAo4CDQIIAggCCAIIAggCCAIIAggCCAIIAggCCAIIAggCCAIIAggCHQIDArYCHgAC7AICAgMCBAIFAgYCBwIIAgkCjQILAo4CDQIIAggCCAIIAggCCAIIAggCCAIIAggCCAIIAggCCAIIAggCHQIDAs4CHgAC7AICAiQCBAIFAgYCBwIIAgkCjQILAo4CDQIIAggCCAIIAggCCAIIAggCCAIIAggCCAIIAggCCAIIAggCHQIDAsUCHgAC7AICAjACBAIFAgYCBwIIAgkCjQILAo4CDQIIAggCCAIIAggCCAIIAggCCAIIAggCCAIIAggCCAIIAggCHQIDAjECHgAC7AICAjMCBAIFAgYCBwIIAgkCjQILAo4CDQIIAggCCAIIAggCCAIIAggCCAIIAggCCAIIAggCCAIIAggCHQIDAsQCHgAC7AICAiICBAIFAgYCBwIIAgkCHAILAo4CDQIIAggCCAIIAggCCAIIAggCCAIIAggCCAIIAggCCAIIAggCHQIDAscCHgAC7AICAoACBAIFAgYCBwIIAgkCjQILAo4CDQIIAggCCAIIAggCCAIIAggCCAIIAggCCAIIAggCCAIIAggCHQIDAjECHgAC7AICAisCBAIFAgYCBwIIAgkCJwILAo4CDQIIAggCCAIIAggCCAIIAggCCAIIAggCCAIIAggCCAIIAggCHQIDApcCHgAC7AICAk8CBAIFAgYCBwIIAgkCJwILAo4CDQIIAggCCAIIAggCCAIIAggCCAIIAggCCAIIAggCCAIIAggCHQIDArUCHgAC7AICAkgCBAIFAgYCBwIIAgkCjQILAo4CDQIIAggCCAIIAggCCAIIAggCCAIIAggCCAIIAggCCAIIAggCHQIDAswCHgAC7AICAk0CBAIFegAABAACBgIHAggCCQInAgsCjgINAggCCAIIAggCCAIIAggCCAIIAggCCAIIAggCCAIIAggCCAIdAgMCsAIeAALsAgICGwIEAgUCBgIHAggCCQInAgsCjgINAggCCAIIAggCCAIIAggCCAIIAggCCAIIAggCCAIIAggCCAIdAgMCywIeAALsAgICSAIEAgUCBgIHAggCCQIcAgsCjgINAggCCAIIAggCCAIIAggCCAIIAggCCAIIAggCCAIIAggCCAIdAgMCmQIeAALsAgICHgIEAgUCBgIHAggCCQIcAgsCjgINAggCCAIIAggCCAIIAggCCAIIAggCCAIIAggCCAIIAggCCAIdAgMCyQIeAALsAgICHgIEAgUCBgIHAggCCQKNAgsCjgINAggCCAIIAggCCAIIAggCCAIIAggCCAIIAggCCAIIAggCCAIdAgMCmgIeAALsAgICJAIEAgUCBgIHAggCCQIcAgsCjgINAggCCAIIAggCCAIIAggCCAIIAggCCAIIAggCCAIIAggCCAIdAgMCkQIeAALsAgICJAIEAgUCBgIHAggCCQInAgsCjgINAggCCAIIAggCCAIIAggCCAIIAggCCAIIAggCCAIIAggCCAIdAgMCoAIeAALsAgICIgIEAgUCBgIHAggCCQInAgsCjgINAggCCAIIAggCCAIIAggCCAIIAggCCAIIAggCCAIIAggCCAIdAgMC0AIeAALsAgICUgIEAgUCBgIHAggCCQIcAgsCjgINAggCCAIIAggCCAIIAggCCAIIAggCCAIIAggCCAIIAggCCAIdAgMCqwIeAALsAgICTwIEAgUCBgIHAggCCQIcAgsCjgINAggCCAIIAggCCAIIAggCCAIIAggCCAIIAggCCAIIAggCCAIdAgMCrAIeAALsAgICIAIEAgUCBgIHAggCCQKNAgsCjgINAggCCAIIAggCCAIIAggCCAIIAggCCAIIAggCCAIIAggCCAIdAgMCnAIeAALsAgICTwIEAgUCBgIHAggCCQKNAgsCjgINAggCCAIIAggCCAIIAggCCAIIAggCCAIIAggCCAIIAggCCAIdAgMC2AIeAALsAgICPwIEAgUCBgIHAggCCQKNAgsCjgINAggCCAIIAggCCAIIAggCCAIIAggCCAIIAggCCAIIAggCCAIdAgMCzwIeAALsAgICRQIEAgUCBgIHAggCCQKNAgsCjgINAggCCAIIAggCCAIIAggCCAIIAggCCAIIAggCCAIIAggCCAIdAgMCMQIeAALsAgICAwIEAgUCBgIHAggCCQInAgsCjgINAggCCAIIAggCCAIIAggCCAIIAggCCAIIAggCCAIIAggCCAIdAgMCnQIeegAABAAAAuwCAgIpAgQCBQIGAgcCCAIJAicCCwKOAg0CCAIIAggCCAIIAggCCAIIAggCCAIIAggCCAIIAggCCAIIAh0CAwKpAh4AAuwCAgImAgQCBQIGAgcCCAIJAicCCwKOAg0CCAIIAggCCAIIAggCCAIIAggCCAIIAggCCAIIAggCCAIIAh0CAwLWAh4AAuwCAgJIAgQCBQIGAgcCCAIJAicCCwKOAg0CCAIIAggCCAIIAggCCAIIAggCCAIIAggCCAIIAggCCAIIAh0CAwLnAh4AAuwCAgJFAgQCBQIGAgcCCAIJAhwCCwKOAg0CCAIIAggCCAIIAggCCAIIAggCCAIIAggCCAIIAggCCAIIAh0CAwKmAh4AAuwCAgJLAgQCBQIGAgcCCAIJAhwCCwKOAg0CCAIIAggCCAIIAggCCAIIAggCCAIIAggCCAIIAggCCAIIAh0CAwLVAh4AAuwCAgKAAgQCBQIGAgcCCAIJAicCCwKOAg0CCAIIAggCCAIIAggCCAIIAggCCAIIAggCCAIIAggCCAIIAh0CAwLkAh4AAuwCAgJNAgQCBQIGAgcCCAIJAhwCCwKOAg0CCAIIAggCCAIIAggCCAIIAggCCAIIAggCCAIIAggCCAIIAh0CAwK8Ah4AAuwCAgJLAgQCBQIGAgcCCAIJAo0CCwKOAg0CCAIIAggCCAIIAggCCAIIAggCCAIIAggCCAIIAggCCAIIAh0CAwKqAh4AAuwCAgI1AgQCBQIGAgcCCAIJAo0CCwKOAg0CCAIIAggCCAIIAggCCAIIAggCCAIIAggCCAIIAggCCAIIAh0CAwIxAh4AAuwCAgJSAgQCBQIGAgcCCAIJAo0CCwKOAg0CCAIIAggCCAIIAggCCAIIAggCCAIIAggCCAIIAggCCAIIAh0CAwKnAh4AAuwCAgJYAgQCBQIGAgcCCAIJAicCCwKOAg0CCAIIAggCCAIIAggCCAIIAggCCAIIAggCCAIIAggCCAIIAh0CAwLXAh4AAuwCAgJZAgQCBQIGAgcCCAIJAicCCwKOAg0CCAIIAggCCAIIAggCCAIIAggCCAIIAggCCAIIAggCCAIIAh0CAwKvAh4AAuwCAgJYAgQCBQIGAgcCCAIJAhwCCwKOAg0CCAIIAggCCAIIAggCCAIIAggCCAIIAggCCAIIAggCCAIIAh0CAwLfAh4AAuwCAgI1AgQCBQIGAgcCCAIJAhwCCwKOAg0CCAIIAggCCAIIAggCCAIIAggCCAIIAggCCAIIAggCCAIIAh0CAwKuAh4AAuwCAgJBAgQCBQIGAgcCCAIJAo0CCwKOAg0CCAIIAggCCAIIAggCCAIIAggCCAIIAggCCAIIAggCegAABAAIAggCHQIDAtoCHgAC7AICAkUCBAIFAgYCBwIIAgkCJwILAo4CDQIIAggCCAIIAggCCAIIAggCCAIIAggCCAIIAggCCAIIAggCHQIDArECHgAC7AICAj0CBAIFAgYCBwIIAgkCjQILAo4CDQIIAggCCAIIAggCCAIIAggCCAIIAggCCAIIAggCCAIIAggCHQIDArICHgAC7AICAoACBAIFAgYCBwIIAgkCHAILAo4CDQIIAggCCAIIAggCCAIIAggCCAIIAggCCAIIAggCCAIIAggCHQIDApYCHgAC7AICAi0CBAIFAgYCBwIIAgkCJwILAo4CDQIIAggCCAIIAggCCAIIAggCCAIIAggCCAIIAggCCAIIAggCHQIDAsgCHgAC7AICAksCBAIFAgYCBwIIAgkCJwILAo4CDQIIAggCCAIIAggCCAIIAggCCAIIAggCCAIIAggCCAIIAggCHQIDAtkCHgAC7AICAj0CBAIFAgYCBwIIAgkCHAILAo4CDQIIAggCCAIIAggCCAIIAggCCAIIAggCCAIIAggCCAIIAggCHQIDAtsCHgAC7AICAkECBAIFAgYCBwIIAgkCHAILAo4CDQIIAggCCAIIAggCCAIIAggCCAIIAggCCAIIAggCCAIIAggCHQIDArMCHgAC7AICAjoCBAIFAgYCBwIIAgkCJwILAo4CDQIIAggCCAIIAggCCAIIAggCCAIIAggCCAIIAggCCAIIAggCHQIDApQCHgAC7AICAgMCBAIFAgYCBwIIAgkCHAILAo4CDQIIAggCCAIIAggCCAIIAggCCAIIAggCCAIIAggCCAIIAggCHQIDApgCHgAC7AICAiYCBAIFAgYCBwIIAgkCjQILAo4CDQIIAggCCAIIAggCCAIIAggCCAIIAggCCAIIAggCCAIIAggCHQIDAt4CHgAC7AICAjUCBAIFAgYCBwIIAgkCJwILAo4CDQIIAggCCAIIAggCCAIIAggCCAIIAggCCAIIAggCCAIIAggCHQIDArcCHgAC7AICAjACBAIFAgYCBwIIAgkCJwILAo4CDQIIAggCCAIIAggCCAIIAggCCAIIAggCCAIIAggCCAIIAggCHQIDAsoCHgAC7AICAjMCBAIFAgYCBwIIAgkCJwILAo4CDQIIAggCCAIIAggCCAIIAggCCAIIAggCCAIIAggCCAIIAggCHQIDAroCHgAC7AICAlgCBAIFAgYCBwIIAgkCjQILAo4CDQIIAggCCAIIAggCCAIIAggCCAIIAggCCAIIAggCCAIIAggCHQIDAjECHgAC7AICAikCBAIFAgYCBwIIAgkCjQILAo4CDQIIAggCCAIIAggCCAIIAggCCAIIegAABAACCAIIAggCCAIIAggCCAIdAgMCtAIeAALsAgICPwIEAgUCBgIHAggCCQInAgsCjgINAggCCAIIAggCCAIIAggCCAIIAggCCAIIAggCCAIIAggCCAIdAgMCjwIeAALsAgICOAIEAgUCBgIHAggCCQIcAgsCjgINAggCCAIIAggCCAIIAggCCAIIAggCCAIIAggCCAIIAggCCAIdAgMC4AIeAALsAgICWQIEAgUCBgIHAggCCQIcAgsCjgINAggCCAIIAggCCAIIAggCCAIIAggCCAIIAggCCAIIAggCCAIdAgMCuAIeAALsAgICWQIEAgUCBgIHAggCCQKNAgsCjgINAggCCAIIAggCCAIIAggCCAIIAggCCAIIAggCCAIIAggCCAIdAgMC4QIeAALsAgICLQIEAgUCBgIHAggCCQIcAgsCjgINAggCCAIIAggCCAIIAggCCAIIAggCCAIIAggCCAIIAggCCAIdAgMC5gIeAALsAgICTQIEAgUCBgIHAggCCQKNAgsCjgINAggCCAIIAggCCAIIAggCCAIIAggCCAIIAggCCAIIAggCCAIdAgMC4wIeAALsAgICOAIEAgUCBgIHAggCCQKNAgsCjgINAggCCAIIAggCCAIIAggCCAIIAggCCAIIAggCCAIIAggCCAIdAgMCuwIeAALsAgICHgIEAgUCBgIHAggCCQInAgsCjgINAggCCAIIAggCCAIIAggCCAIIAggCCAIIAggCCAIIAggCCAIdAgMCvgIeAALtAAk1ODAxMjYxODQCAgIeAgQCBQIGAgcCCAIJAgoCCwIMAg0CCAIIAggCCAIIAggCCAIIAggCCAIIAggCCAIIAggCCAIIAhQCAwIfAh4AAu0CAgIpAgQCBQIGAgcCCAIJAicCCwIMAg0CCAIIAggCCAIIAggCCAIIAggCCAIIAggCCAIIAggCCAIIAhQCAwIqAh4AAu0CAgKMAgQCBQIGAgcCCAIJAgoCCwIMAg0CCAIIAggCCAIIAggCCAIIAggCCAIIAggCCAIIAggCCAIIAhQCAwIxAh4AAu0CAgI/AgQCBQIGAgcCCAIJAhwCCwIMAg0CCAIIAggCCAIIAggCCAIIAggCCAIIAggCCAIIAggCCAIIAhQCAwJAAh4AAu0CAgIrAgQCBQIGAgcCCAIJAhwCCwIMAg0CCAIIAggCCAIIAggCCAIIAggCCAIIAggCCAIIAggCCAIIAhQCAwIsAh4AAu0CAgKCAgQCBQIGAgcCCAIJAhwCCwIMAg0CCAIIAggCCAIIAggCCAIIAggCCAIIAggCCAIIAggCCAIIAhQCAwKGAh4AAu0CAgIiAgQCBQIGAgcCCAIJAgoCCwIMd28CDQIIAggCCAIIAggCCAIIAggCCAIIAggCCAIIAggCCAIIAggCFAIDAiMCHgAC7QICAp4CBAIFAgYCBwIIAgkCJwILAgwCDQIIAggCCAIIAggCCAIIAggCCAIIAggCCAIIAggCCAIIAggCFAIDAu5zcQB+AAAAAAACc3EAfgAE///////////////+/////gAAAAF1cQB+AAcAAAAEAgg8vXh4egAAA4ECHgAC7QICAjgCBAIFAgYCBwIIAgkCHAILAgwCDQIIAggCCAIIAggCCAIIAggCCAIIAggCCAIIAggCCAIIAggCFAIDAjkCHgAC7QICAikCBAIFAgYCBwIIAgkCHAILAgwCDQIIAggCCAIIAggCCAIIAggCCAIIAggCCAIIAggCCAIIAggCFAIDAi8CHgAC7QICAoQCBAIFAgYCBwIIAgkCCgILAgwCDQIIAggCCAIIAggCCAIIAggCCAIIAggCCAIIAggCCAIIAggCFAIDAjECHgAC7QICAjUCBAIFAgYCBwIIAgkCJwILAgwCDQIIAggCCAIIAggCCAIIAggCCAIIAggCCAIIAggCCAIIAggCFAIDAjYCHgAC7QICAkECBAIFAgYCBwIIAgkCJwILAgwCDQIIAggCCAIIAggCCAIIAggCCAIIAggCCAIIAggCCAIIAggCFAIDAkICHgAC7QICAi0CBAIFAgYCBwIIAgkCCgILAgwCDQIIAggCCAIIAggCCAIIAggCCAIIAggCCAIIAggCCAIIAggCFAIDAjcCHgAC7QICAoICBAIFAgYCBwIIAgkCJwILAgwCDQIIAggCCAIIAggCCAIIAggCCAIIAggCCAIIAggCCAIIAggCFAIDAogCHgAC7QICAjoCBAIFAgYCBwIIAgkCJwILAgwCDQIIAggCCAIIAggCCAIIAggCCAIIAggCCAIIAggCCAIIAggCFAIDAngCHgAC7QICAksCBAIFAgYCBwIIAgkCCgILAgwCDQIIAggCCAIIAggCCAIIAggCCAIIAggCCAIIAggCCAIIAggCFAIDAnQCHgAC7QICAgMCBAIFAgYCBwIIAgkCHAILAgwCDQIIAggCCAIIAggCCAIIAggCCAIIAggCCAIIAggCCAIIAggCFAIDAnACHgAC7QICApsCBAIFAgYCBwIIAgkCCgILAgwCDQIIAggCCAIIAggCCAIIAggCCAIIAggCCAIIAggCCAIIAggCFAIDAjECHgAC7QICAiACBAIFAgYCBwIIAgkCCgILAgwCDQIIAggCCAIIAggCCAIIAggCCAIIAggCCAIIAggCCAIIAggCFAIDAnUCHgAC7QICAp4CBAIFAgYCBwIIAgkCHAILAgwCDQIIAggCCAIIAggCCAIIAggCCAIIAggCCAIIAggCCAIIAggCFAIDAu9zcQB+AAAAAAACc3EAfgAE///////////////+/////v////91cQB+AAcAAAAEb1MW8nh4egAAArICHgAC7QICAjACBAIFAgYCBwIIAgkCCgILAgwCDQIIAggCCAIIAggCCAIIAggCCAIIAggCCAIIAggCCAIIAggCFAIDAjECHgAC7QICAlICBAIFAgYCBwIIAgkCHAILAgwCDQIIAggCCAIIAggCCAIIAggCCAIIAggCCAIIAggCCAIIAggCFAIDAnsCHgAC7QICAjgCBAIFAgYCBwIIAgkCJwILAgwCDQIIAggCCAIIAggCCAIIAggCCAIIAggCCAIIAggCCAIIAggCFAIDAnkCHgAC7QICAiQCBAIFAgYCBwIIAgkCHAILAgwCDQIIAggCCAIIAggCCAIIAggCCAIIAggCCAIIAggCCAIIAggCFAIDAn0CHgAC7QICAlgCBAIFAgYCBwIIAgkCJwILAgwCDQIIAggCCAIIAggCCAIIAggCCAIIAggCCAIIAggCCAIIAggCFAIDAnwCHgAC7QICAksCBAIFAgYCBwIIAgkCHAILAgwCDQIIAggCCAIIAggCCAIIAggCCAIIAggCCAIIAggCCAIIAggCFAIDAmYCHgAC7QICAkgCBAIFAgYCBwIIAgkCJwILAgwCDQIIAggCCAIIAggCCAIIAggCCAIIAggCCAIIAggCCAIIAggCFAIDAmMCHgAC7QICAkECBAIFAgYCBwIIAgkCCgILAgwCDQIIAggCCAIIAggCCAIIAggCCAIIAggCCAIIAggCCAIIAggCFAIDAmECHgAC7QICAoACBAIFAgYCBwIIAgkCJwILAgwCDQIIAggCCAIIAggCCAIIAggCCAIIAggCCAIIAggCCAIIAggCFAIDAoECHgAC7QICAowCBAIFAgYCBwIIAgkCJwILAgwCDQIIAggCCAIIAggCCAIIAggCCAIIAggCCAIIAggCCAIIAggCFAIDAvBzcQB+AAAAAAACc3EAfgAE///////////////+/////gAAAAF1cQB+AAcAAAAEBKnnZHh4egAAAeMCHgAC7QICAlgCBAIFAgYCBwIIAgkCHAILAgwCDQIIAggCCAIIAggCCAIIAggCCAIIAggCCAIIAggCCAIIAggCFAIDAmsCHgAC7QICAiICBAIFAgYCBwIIAgkCJwILAgwCDQIIAggCCAIIAggCCAIIAggCCAIIAggCCAIIAggCCAIIAggCFAIDAm0CHgAC7QICAoQCBAIFAgYCBwIIAgkCJwILAgwCDQIIAggCCAIIAggCCAIIAggCCAIIAggCCAIIAggCCAIIAggCFAIDAoUCHgAC7QICAlICBAIFAgYCBwIIAgkCCgILAgwCDQIIAggCCAIIAggCCAIIAggCCAIIAggCCAIIAggCCAIIAggCFAIDAmgCHgAC7QICAjUCBAIFAgYCBwIIAgkCCgILAgwCDQIIAggCCAIIAggCCAIIAggCCAIIAggCCAIIAggCCAIIAggCFAIDAjECHgAC7QICAjACBAIFAgYCBwIIAgkCJwILAgwCDQIIAggCCAIIAggCCAIIAggCCAIIAggCCAIIAggCCAIIAggCFAIDAmwCHgAC7QICAqICBAIFAgYCBwIIAgkCHAILAgwCDQIIAggCCAIIAggCCAIIAggCCAIIAggCCAIIAggCCAIIAggCFAIDAvFzcQB+AAAAAAACc3EAfgAE///////////////+/////v////91cQB+AAcAAAAEcdGYlHh4egAABAACHgAC7QICAk0CBAIFAgYCBwIIAgkCCgILAgwCDQIIAggCCAIIAggCCAIIAggCCAIIAggCCAIIAggCCAIIAggCFAIDAk4CHgAC7QICAj0CBAIFAgYCBwIIAgkCHAILAgwCDQIIAggCCAIIAggCCAIIAggCCAIIAggCCAIIAggCCAIIAggCFAIDAkcCHgAC7QICAq0CBAIFAgYCBwIIAgkCHAILAgwCDQIIAggCCAIIAggCCAIIAggCCAIIAggCCAIIAggCCAIIAggCFAIDAvECHgAC7QICAkgCBAIFAgYCBwIIAgkCHAILAgwCDQIIAggCCAIIAggCCAIIAggCCAIIAggCCAIIAggCCAIIAggCFAIDAkkCHgAC7QICAoICBAIFAgYCBwIIAgkCCgILAgwCDQIIAggCCAIIAggCCAIIAggCCAIIAggCCAIIAggCCAIIAggCFAIDAjECHgAC7QICAksCBAIFAgYCBwIIAgkCJwILAgwCDQIIAggCCAIIAggCCAIIAggCCAIIAggCCAIIAggCCAIIAggCFAIDAkwCHgAC7QICAlICBAIFAgYCBwIIAgkCJwILAgwCDQIIAggCCAIIAggCCAIIAggCCAIIAggCCAIIAggCCAIIAggCFAIDAlMCHgAC7QICAisCBAIFAgYCBwIIAgkCJwILAgwCDQIIAggCCAIIAggCCAIIAggCCAIIAggCCAIIAggCCAIIAggCFAIDAlECHgAC7QICAoACBAIFAgYCBwIIAgkCHAILAgwCDQIIAggCCAIIAggCCAIIAggCCAIIAggCCAIIAggCCAIIAggCFAIDAoMCHgAC7QICAlkCBAIFAgYCBwIIAgkCCgILAgwCDQIIAggCCAIIAggCCAIIAggCCAIIAggCCAIIAggCCAIIAggCFAIDAloCHgAC7QICAjACBAIFAgYCBwIIAgkCHAILAgwCDQIIAggCCAIIAggCCAIIAggCCAIIAggCCAIIAggCCAIIAggCFAIDAlYCHgAC7QICAiYCBAIFAgYCBwIIAgkCCgILAgwCDQIIAggCCAIIAggCCAIIAggCCAIIAggCCAIIAggCCAIIAggCFAIDAlwCHgAC7QICAj8CBAIFAgYCBwIIAgkCJwILAgwCDQIIAggCCAIIAggCCAIIAggCCAIIAggCCAIIAggCCAIIAggCFAIDAl8CHgAC7QICAqICBAIFAgYCBwIIAgkCJwILAgwCDQIIAggCCAIIAggCCAIIAggCCAIIAggCCAIIAggCCAIIAggCFAIDAvACHgAC7QICAhsCBAIFAgYCBwIIAgkCHAILAgwCDQIIAggCCAIIAggCCAIIAggCCAIIAggCCAIIAggCegAAAjMIAggCCAIUAgMCHQIeAALtAgICgAIEAgUCBgIHAggCCQIKAgsCDAINAggCCAIIAggCCAIIAggCCAIIAggCCAIIAggCCAIIAggCCAIUAgMCMQIeAALtAgICLQIEAgUCBgIHAggCCQIcAgsCDAINAggCCAIIAggCCAIIAggCCAIIAggCCAIIAggCCAIIAggCCAIUAgMCLgIeAALtAgICogIEAgUCBgIHAggCCQIKAgsCDAINAggCCAIIAggCCAIIAggCCAIIAggCCAIIAggCCAIIAggCCAIUAgMCMQIeAALtAgICIAIEAgUCBgIHAggCCQIcAgsCDAINAggCCAIIAggCCAIIAggCCAIIAggCCAIIAggCCAIIAggCCAIUAgMCIQIeAALtAgICJAIEAgUCBgIHAggCCQIKAgsCDAINAggCCAIIAggCCAIIAggCCAIIAggCCAIIAggCCAIIAggCCAIUAgMCJQIeAALtAgICJgIEAgUCBgIHAggCCQInAgsCDAINAggCCAIIAggCCAIIAggCCAIIAggCCAIIAggCCAIIAggCCAIUAgMCKAIeAALtAgICJgIEAgUCBgIHAggCCQIcAgsCDAINAggCCAIIAggCCAIIAggCCAIIAggCCAIIAggCCAIIAggCCAIUAgMCMgIeAALtAgICmwIEAgUCBgIHAggCCQIcAgsCDAINAggCCAIIAggCCAIIAggCCAIIAggCCAIIAggCCAIIAggCCAIUAgMC8nNxAH4AAAAAAAJzcQB+AAT///////////////7////+/////3VxAH4ABwAAAARjz5oJeHh6AAAEAAIeAALtAgICPQIEAgUCBgIHAggCCQInAgsCDAINAggCCAIIAggCCAIIAggCCAIIAggCCAIIAggCCAIIAggCCAIUAgMCPgIeAALtAgICrQIEAgUCBgIHAggCCQInAgsCDAINAggCCAIIAggCCAIIAggCCAIIAggCCAIIAggCCAIIAggCCAIUAgMC8AIeAALtAgICOgIEAgUCBgIHAggCCQIKAgsCDAINAggCCAIIAggCCAIIAggCCAIIAggCCAIIAggCCAIIAggCCAIUAgMCOwIeAALtAgICLQIEAgUCBgIHAggCCQInAgsCDAINAggCCAIIAggCCAIIAggCCAIIAggCCAIIAggCCAIIAggCCAIUAgMCdwIeAALtAgICKwIEAgUCBgIHAggCCQIKAgsCDAINAggCCAIIAggCCAIIAggCCAIIAggCCAIIAggCCAIIAggCCAIUAgMCMQIeAALtAgICTQIEAgUCBgIHAggCCQInAgsCDAINAggCCAIIAggCCAIIAggCCAIIAggCCAIIAggCCAIIAggCCAIUAgMCcQIeAALtAgICRQIEAgUCBgIHAggCCQIKAgsCDAINAggCCAIIAggCCAIIAggCCAIIAggCCAIIAggCCAIIAggCCAIUAgMCMQIeAALtAgICPwIEAgUCBgIHAggCCQIKAgsCDAINAggCCAIIAggCCAIIAggCCAIIAggCCAIIAggCCAIIAggCCAIUAgMCcgIeAALtAgICIgIEAgUCBgIHAggCCQIcAgsCDAINAggCCAIIAggCCAIIAggCCAIIAggCCAIIAggCCAIIAggCCAIUAgMCcwIeAALtAgICjAIEAgUCBgIHAggCCQIcAgsCDAINAggCCAIIAggCCAIIAggCCAIIAggCCAIIAggCCAIIAggCCAIUAgMC8QIeAALtAgICMwIEAgUCBgIHAggCCQIKAgsCDAINAggCCAIIAggCCAIIAggCCAIIAggCCAIIAggCCAIIAggCCAIUAgMCNAIeAALtAgICTwIEAgUCBgIHAggCCQIcAgsCDAINAggCCAIIAggCCAIIAggCCAIIAggCCAIIAggCCAIIAggCCAIUAgMCdgIeAALtAgIChAIEAgUCBgIHAggCCQIcAgsCDAINAggCCAIIAggCCAIIAggCCAIIAggCCAIIAggCCAIIAggCCAIUAgMChwIeAALtAgICWQIEAgUCBgIHAggCCQInAgsCDAINAggCCAIIAggCCAIIAggCCAIIAggCCAIIAggCCAIIAggCCAIUAgMCegIeAALtAgICSAIEAgUCBgIHAggCCQIKAgsCDAINAggCCAIIAggCCAIIAggCCAIIAggCCAIIAggCCAJ6AAAEAAgCCAIIAhQCAwJ+Ah4AAu0CAgJFAgQCBQIGAgcCCAIJAhwCCwIMAg0CCAIIAggCCAIIAggCCAIIAggCCAIIAggCCAIIAggCCAIIAhQCAwJnAh4AAu0CAgJNAgQCBQIGAgcCCAIJAhwCCwIMAg0CCAIIAggCCAIIAggCCAIIAggCCAIIAggCCAIIAggCCAIIAhQCAwJkAh4AAu0CAgKtAgQCBQIGAgcCCAIJAgoCCwIMAg0CCAIIAggCCAIIAggCCAIIAggCCAIIAggCCAIIAggCCAIIAhQCAwIxAh4AAu0CAgIDAgQCBQIGAgcCCAIJAicCCwIMAg0CCAIIAggCCAIIAggCCAIIAggCCAIIAggCCAIIAggCCAIIAhQCAwJlAh4AAu0CAgIeAgQCBQIGAgcCCAIJAicCCwIMAg0CCAIIAggCCAIIAggCCAIIAggCCAIIAggCCAIIAggCCAIIAhQCAwJiAh4AAu0CAgI9AgQCBQIGAgcCCAIJAgoCCwIMAg0CCAIIAggCCAIIAggCCAIIAggCCAIIAggCCAIIAggCCAIIAhQCAwJgAh4AAu0CAgIkAgQCBQIGAgcCCAIJAicCCwIMAg0CCAIIAggCCAIIAggCCAIIAggCCAIIAggCCAIIAggCCAIIAhQCAwJvAh4AAu0CAgI4AgQCBQIGAgcCCAIJAgoCCwIMAg0CCAIIAggCCAIIAggCCAIIAggCCAIIAggCCAIIAggCCAIIAhQCAwJUAh4AAu0CAgJPAgQCBQIGAgcCCAIJAgoCCwIMAg0CCAIIAggCCAIIAggCCAIIAggCCAIIAggCCAIIAggCCAIIAhQCAwJpAh4AAu0CAgJZAgQCBQIGAgcCCAIJAhwCCwIMAg0CCAIIAggCCAIIAggCCAIIAggCCAIIAggCCAIIAggCCAIIAhQCAwJuAh4AAu0CAgIzAgQCBQIGAgcCCAIJAicCCwIMAg0CCAIIAggCCAIIAggCCAIIAggCCAIIAggCCAIIAggCCAIIAhQCAwJqAh4AAu0CAgIbAgQCBQIGAgcCCAIJAgoCCwIMAg0CCAIIAggCCAIIAggCCAIIAggCCAIIAggCCAIIAggCCAIIAhQCAwI8Ah4AAu0CAgIeAgQCBQIGAgcCCAIJAhwCCwIMAg0CCAIIAggCCAIIAggCCAIIAggCCAIIAggCCAIIAggCCAIIAhQCAwJKAh4AAu0CAgIbAgQCBQIGAgcCCAIJAicCCwIMAg0CCAIIAggCCAIIAggCCAIIAggCCAIIAggCCAIIAggCCAIIAhQCAwJEAh4AAu0CAgJBAgQCBQIGAgcCCAIJAhwCCwIMAg0CCAIIAggCCAIIAggCCAIIAgh6AAACPgIIAggCCAIIAggCCAIIAggCFAIDAkMCHgAC7QICAk8CBAIFAgYCBwIIAgkCJwILAgwCDQIIAggCCAIIAggCCAIIAggCCAIIAggCCAIIAggCCAIIAggCFAIDAlACHgAC7QICAkUCBAIFAgYCBwIIAgkCJwILAgwCDQIIAggCCAIIAggCCAIIAggCCAIIAggCCAIIAggCCAIIAggCFAIDAkYCHgAC7QICAlgCBAIFAgYCBwIIAgkCCgILAgwCDQIIAggCCAIIAggCCAIIAggCCAIIAggCCAIIAggCCAIIAggCFAIDAjECHgAC7QICAjMCBAIFAgYCBwIIAgkCHAILAgwCDQIIAggCCAIIAggCCAIIAggCCAIIAggCCAIIAggCCAIIAggCFAIDAl0CHgAC7QICAiACBAIFAgYCBwIIAgkCJwILAgwCDQIIAggCCAIIAggCCAIIAggCCAIIAggCCAIIAggCCAIIAggCFAIDAl4CHgAC7QICAp4CBAIFAgYCBwIIAgkCCgILAgwCDQIIAggCCAIIAggCCAIIAggCCAIIAggCCAIIAggCCAIIAggCFAIDAjECHgAC7QICAjoCBAIFAgYCBwIIAgkCHAILAgwCDQIIAggCCAIIAggCCAIIAggCCAIIAggCCAIIAggCCAIIAggCFAIDAlsCHgAC7QICApsCBAIFAgYCBwIIAgkCJwILAgwCDQIIAggCCAIIAggCCAIIAggCCAIIAggCCAIIAggCCAIIAggCFAIDAvNzcQB+AAAAAAACc3EAfgAE///////////////+/////gAAAAF1cQB+AAcAAAADCUlQeHh6AAAEAAIeAALtAgICNQIEAgUCBgIHAggCCQIcAgsCDAINAggCCAIIAggCCAIIAggCCAIIAggCCAIIAggCCAIIAggCCAIUAgMCVQIeAALtAgICAwIEAgUCBgIHAggCCQIKAgsCDAINAggCCAIIAggCCAIIAggCCAIIAggCCAIIAggCCAIIAggCCAIUAgMCDgIeAALtAgICKQIEAgUCBgIHAggCCQIKAgsCDAINAggCCAIIAggCCAIIAggCCAIIAggCCAIIAggCCAIIAggCCAIUAgMCVwIeAAL0AAk4NDU2NDYyNjQCAgI/AgQCBQIGAgcCCAIJAicCCwKOAg0CCAIIAggCCAIIAggCCAIIAggCCAIIAggCCAIIAggCCAIIAiMCAwKPAh4AAvQCAgIzAgQCBQIGAgcCCAIJAhwCCwKOAg0CCAIIAggCCAIIAggCCAIIAggCCAIIAggCCAIIAggCCAIIAiMCAwKSAh4AAvQCAgIiAgQCBQIGAgcCCAIJAo0CCwKOAg0CCAIIAggCCAIIAggCCAIIAggCCAIIAggCCAIIAggCCAIIAiMCAwKQAh4AAvQCAgIrAgQCBQIGAgcCCAIJAicCCwKOAg0CCAIIAggCCAIIAggCCAIIAggCCAIIAggCCAIIAggCCAIIAiMCAwKXAh4AAvQCAgI6AgQCBQIGAgcCCAIJAhwCCwKOAg0CCAIIAggCCAIIAggCCAIIAggCCAIIAggCCAIIAggCCAIIAiMCAwK/Ah4AAvQCAgIDAgQCBQIGAgcCCAIJAhwCCwKOAg0CCAIIAggCCAIIAggCCAIIAggCCAIIAggCCAIIAggCCAIIAiMCAwKYAh4AAvQCAgIpAgQCBQIGAgcCCAIJAicCCwKOAg0CCAIIAggCCAIIAggCCAIIAggCCAIIAggCCAIIAggCCAIIAiMCAwKpAh4AAvQCAgIeAgQCBQIGAgcCCAIJAo0CCwKOAg0CCAIIAggCCAIIAggCCAIIAggCCAIIAggCCAIIAggCCAIIAiMCAwKaAh4AAvQCAgIDAgQCBQIGAgcCCAIJAo0CCwKOAg0CCAIIAggCCAIIAggCCAIIAggCCAIIAggCCAIIAggCCAIIAiMCAwLOAh4AAvQCAgIbAgQCBQIGAgcCCAIJAicCCwKOAg0CCAIIAggCCAIIAggCCAIIAggCCAIIAggCCAIIAggCCAIIAiMCAwLLAh4AAvQCAgItAgQCBQIGAgcCCAIJAhwCCwKOAg0CCAIIAggCCAIIAggCCAIIAggCCAIIAggCCAIIAggCCAIIAiMCAwLmAh4AAvQCAgJIAgQCBQIGAgcCCAIJAhwCCwKOAg0CCAIIAggCCAIIAggCCAIIAgh6AAAEAAIIAggCCAIIAggCCAIIAggCIwIDApkCHgAC9AICAiYCBAIFAgYCBwIIAgkCJwILAo4CDQIIAggCCAIIAggCCAIIAggCCAIIAggCCAIIAggCCAIIAggCIwIDAtYCHgAC9AICAkgCBAIFAgYCBwIIAgkCjQILAo4CDQIIAggCCAIIAggCCAIIAggCCAIIAggCCAIIAggCCAIIAggCIwIDAswCHgAC9AICAlkCBAIFAgYCBwIIAgkCjQILAo4CDQIIAggCCAIIAggCCAIIAggCCAIIAggCCAIIAggCCAIIAggCIwIDAuECHgAC9AICAkECBAIFAgYCBwIIAgkCJwILAo4CDQIIAggCCAIIAggCCAIIAggCCAIIAggCCAIIAggCCAIIAggCIwIDArkCHgAC9AICAjACBAIFAgYCBwIIAgkCJwILAo4CDQIIAggCCAIIAggCCAIIAggCCAIIAggCCAIIAggCCAIIAggCIwIDAsoCHgAC9AICAiACBAIFAgYCBwIIAgkCHAILAo4CDQIIAggCCAIIAggCCAIIAggCCAIIAggCCAIIAggCCAIIAggCIwIDAtMCHgAC9AICAj0CBAIFAgYCBwIIAgkCJwILAo4CDQIIAggCCAIIAggCCAIIAggCCAIIAggCCAIIAggCCAIIAggCIwIDAuICHgAC9AICAiICBAIFAgYCBwIIAgkCJwILAo4CDQIIAggCCAIIAggCCAIIAggCCAIIAggCCAIIAggCCAIIAggCIwIDAtACHgAC9AICAjMCBAIFAgYCBwIIAgkCJwILAo4CDQIIAggCCAIIAggCCAIIAggCCAIIAggCCAIIAggCCAIIAggCIwIDAroCHgAC9AICAj8CBAIFAgYCBwIIAgkCHAILAo4CDQIIAggCCAIIAggCCAIIAggCCAIIAggCCAIIAggCCAIIAggCIwIDAqECHgAC9AICAjgCBAIFAgYCBwIIAgkCHAILAo4CDQIIAggCCAIIAggCCAIIAggCCAIIAggCCAIIAggCCAIIAggCIwIDAuACHgAC9AICAiQCBAIFAgYCBwIIAgkCJwILAo4CDQIIAggCCAIIAggCCAIIAggCCAIIAggCCAIIAggCCAIIAggCIwIDAqACHgAC9AICAjgCBAIFAgYCBwIIAgkCjQILAo4CDQIIAggCCAIIAggCCAIIAggCCAIIAggCCAIIAggCCAIIAggCIwIDArsCHgAC9AICAk8CBAIFAgYCBwIIAgkCJwILAo4CDQIIAggCCAIIAggCCAIIAggCCAIIAggCCAIIAggCCAIIAggCIwIDArUCHgAC9AICAlICBAIFAgYCBwIIAgkCJwILAo4CDQIIAggCCAJ6AAAEAAgCCAIIAggCCAIIAggCCAIIAggCCAIIAggCCAIjAgMC3AIeAAL0AgICSAIEAgUCBgIHAggCCQInAgsCjgINAggCCAIIAggCCAIIAggCCAIIAggCCAIIAggCCAIIAggCCAIjAgMC5wIeAAL0AgICHgIEAgUCBgIHAggCCQIcAgsCjgINAggCCAIIAggCCAIIAggCCAIIAggCCAIIAggCCAIIAggCCAIjAgMCyQIeAAL0AgICLQIEAgUCBgIHAggCCQKNAgsCjgINAggCCAIIAggCCAIIAggCCAIIAggCCAIIAggCCAIIAggCCAIjAgMCwAIeAAL0AgICOgIEAgUCBgIHAggCCQKNAgsCjgINAggCCAIIAggCCAIIAggCCAIIAggCCAIIAggCCAIIAggCCAIjAgMC5QIeAAL0AgICPQIEAgUCBgIHAggCCQIcAgsCjgINAggCCAIIAggCCAIIAggCCAIIAggCCAIIAggCCAIIAggCCAIjAgMC2wIeAAL0AgICMwIEAgUCBgIHAggCCQKNAgsCjgINAggCCAIIAggCCAIIAggCCAIIAggCCAIIAggCCAIIAggCCAIjAgMCxAIeAAL0AgICNQIEAgUCBgIHAggCCQKNAgsCjgINAggCCAIIAggCCAIIAggCCAIIAggCCAIIAggCCAIIAggCCAIjAgMCMQIeAAL0AgICMAIEAgUCBgIHAggCCQKNAgsCjgINAggCCAIIAggCCAIIAggCCAIIAggCCAIIAggCCAIIAggCCAIjAgMCMQIeAAL0AgICQQIEAgUCBgIHAggCCQKNAgsCjgINAggCCAIIAggCCAIIAggCCAIIAggCCAIIAggCCAIIAggCCAIjAgMC2gIeAAL0AgICIAIEAgUCBgIHAggCCQInAgsCjgINAggCCAIIAggCCAIIAggCCAIIAggCCAIIAggCCAIIAggCCAIjAgMCwQIeAAL0AgICMAIEAgUCBgIHAggCCQIcAgsCjgINAggCCAIIAggCCAIIAggCCAIIAggCCAIIAggCCAIIAggCCAIjAgMCxgIeAAL0AgICQQIEAgUCBgIHAggCCQIcAgsCjgINAggCCAIIAggCCAIIAggCCAIIAggCCAIIAggCCAIIAggCCAIjAgMCswIeAAL0AgICUgIEAgUCBgIHAggCCQIcAgsCjgINAggCCAIIAggCCAIIAggCCAIIAggCCAIIAggCCAIIAggCCAIjAgMCqwIeAAL0AgICNQIEAgUCBgIHAggCCQIcAgsCjgINAggCCAIIAggCCAIIAggCCAIIAggCCAIIAggCCAIIAggCCAIjAgMCrgIeAAL0AgICPQIEAgUCBgIHAggCCQKNAgt6AAAEAAKOAg0CCAIIAggCCAIIAggCCAIIAggCCAIIAggCCAIIAggCCAIIAiMCAwKyAh4AAvQCAgJLAgQCBQIGAgcCCAIJAicCCwKOAg0CCAIIAggCCAIIAggCCAIIAggCCAIIAggCCAIIAggCCAIIAiMCAwLZAh4AAvQCAgJPAgQCBQIGAgcCCAIJAo0CCwKOAg0CCAIIAggCCAIIAggCCAIIAggCCAIIAggCCAIIAggCCAIIAiMCAwLYAh4AAvQCAgJSAgQCBQIGAgcCCAIJAo0CCwKOAg0CCAIIAggCCAIIAggCCAIIAggCCAIIAggCCAIIAggCCAIIAiMCAwKnAh4AAvQCAgJPAgQCBQIGAgcCCAIJAhwCCwKOAg0CCAIIAggCCAIIAggCCAIIAggCCAIIAggCCAIIAggCCAIIAiMCAwKsAh4AAvQCAgJNAgQCBQIGAgcCCAIJAhwCCwKOAg0CCAIIAggCCAIIAggCCAIIAggCCAIIAggCCAIIAggCCAIIAiMCAwK8Ah4AAvQCAgIeAgQCBQIGAgcCCAIJAicCCwKOAg0CCAIIAggCCAIIAggCCAIIAggCCAIIAggCCAIIAggCCAIIAiMCAwK+Ah4AAvQCAgIpAgQCBQIGAgcCCAIJAo0CCwKOAg0CCAIIAggCCAIIAggCCAIIAggCCAIIAggCCAIIAggCCAIIAiMCAwK0Ah4AAvQCAgI1AgQCBQIGAgcCCAIJAicCCwKOAg0CCAIIAggCCAIIAggCCAIIAggCCAIIAggCCAIIAggCCAIIAiMCAwK3Ah4AAvQCAgJNAgQCBQIGAgcCCAIJAo0CCwKOAg0CCAIIAggCCAIIAggCCAIIAggCCAIIAggCCAIIAggCCAIIAiMCAwLjAh4AAvQCAgJZAgQCBQIGAgcCCAIJAhwCCwKOAg0CCAIIAggCCAIIAggCCAIIAggCCAIIAggCCAIIAggCCAIIAiMCAwK4Ah4AAvQCAgIgAgQCBQIGAgcCCAIJAo0CCwKOAg0CCAIIAggCCAIIAggCCAIIAggCCAIIAggCCAIIAggCCAIIAiMCAwKcAh4AAvQCAgI/AgQCBQIGAgcCCAIJAo0CCwKOAg0CCAIIAggCCAIIAggCCAIIAggCCAIIAggCCAIIAggCCAIIAiMCAwLPAh4AAvQCAgIbAgQCBQIGAgcCCAIJAo0CCwKOAg0CCAIIAggCCAIIAggCCAIIAggCCAIIAggCCAIIAggCCAIIAiMCAwKoAh4AAvQCAgIrAgQCBQIGAgcCCAIJAo0CCwKOAg0CCAIIAggCCAIIAggCCAIIAggCCAIIAggCCAIIAggCCAIIAiMCAwIxAh4AAvQCAgIpAgQCBQJ6AAAEAAYCBwIIAgkCHAILAo4CDQIIAggCCAIIAggCCAIIAggCCAIIAggCCAIIAggCCAIIAggCIwIDAt0CHgAC9AICAgMCBAIFAgYCBwIIAgkCJwILAo4CDQIIAggCCAIIAggCCAIIAggCCAIIAggCCAIIAggCCAIIAggCIwIDAp0CHgAC9AICAiYCBAIFAgYCBwIIAgkCjQILAo4CDQIIAggCCAIIAggCCAIIAggCCAIIAggCCAIIAggCCAIIAggCIwIDAt4CHgAC9AICAksCBAIFAgYCBwIIAgkCjQILAo4CDQIIAggCCAIIAggCCAIIAggCCAIIAggCCAIIAggCCAIIAggCIwIDAqoCHgAC9AICAiYCBAIFAgYCBwIIAgkCHAILAo4CDQIIAggCCAIIAggCCAIIAggCCAIIAggCCAIIAggCCAIIAggCIwIDArYCHgAC9AICAksCBAIFAgYCBwIIAgkCHAILAo4CDQIIAggCCAIIAggCCAIIAggCCAIIAggCCAIIAggCCAIIAggCIwIDAtUCHgAC9AICAhsCBAIFAgYCBwIIAgkCHAILAo4CDQIIAggCCAIIAggCCAIIAggCCAIIAggCCAIIAggCCAIIAggCIwIDAtQCHgAC9AICAi0CBAIFAgYCBwIIAgkCJwILAo4CDQIIAggCCAIIAggCCAIIAggCCAIIAggCCAIIAggCCAIIAggCIwIDAsgCHgAC9AICAisCBAIFAgYCBwIIAgkCHAILAo4CDQIIAggCCAIIAggCCAIIAggCCAIIAggCCAIIAggCCAIIAggCIwIDAqQCHgAC9AICAjoCBAIFAgYCBwIIAgkCJwILAo4CDQIIAggCCAIIAggCCAIIAggCCAIIAggCCAIIAggCCAIIAggCIwIDApQCHgAC9AICAlkCBAIFAgYCBwIIAgkCJwILAo4CDQIIAggCCAIIAggCCAIIAggCCAIIAggCCAIIAggCCAIIAggCIwIDAq8CHgAC9AICAiICBAIFAgYCBwIIAgkCHAILAo4CDQIIAggCCAIIAggCCAIIAggCCAIIAggCCAIIAggCCAIIAggCIwIDAscCHgAC9AICAiQCBAIFAgYCBwIIAgkCjQILAo4CDQIIAggCCAIIAggCCAIIAggCCAIIAggCCAIIAggCCAIIAggCIwIDAsUCHgAC9AICAk0CBAIFAgYCBwIIAgkCJwILAo4CDQIIAggCCAIIAggCCAIIAggCCAIIAggCCAIIAggCCAIIAggCIwIDArACHgAC9AICAiQCBAIFAgYCBwIIAgkCHAILAo4CDQIIAggCCAIIAggCCAIIAggCCAIIAggCCAIIAggCCAIIAggCIwIDApECHgB6AAAEAAL0AgICOAIEAgUCBgIHAggCCQInAgsCjgINAggCCAIIAggCCAIIAggCCAIIAggCCAIIAggCCAIIAggCCAIjAgMCkwIeAAL1AAoxMjE2MTM4ODA4AgICSwIEAgUCBgIHAggCCQKNAgsCjgINAggCCAIIAggCCAIIAggCCAIIAggCCAIIAggCCAIIAggCCAIbAgMCqgIeAAL1AgICRQIEAgUCBgIHAggCCQKNAgsCjgINAggCCAIIAggCCAIIAggCCAIIAggCCAIIAggCCAIIAggCCAIbAgMCMQIeAAL1AgICHgIEAgUCBgIHAggCCQInAgsCjgINAggCCAIIAggCCAIIAggCCAIIAggCCAIIAggCCAIIAggCCAIbAgMCvgIeAAL1AgICWAIEAgUCBgIHAggCCQIcAgsCjgINAggCCAIIAggCCAIIAggCCAIIAggCCAIIAggCCAIIAggCCAIbAgMC3wIeAAL1AgICAwIEAgUCBgIHAggCCQInAgsCjgINAggCCAIIAggCCAIIAggCCAIIAggCCAIIAggCCAIIAggCCAIbAgMCnQIeAAL1AgIChAIEAgUCBgIHAggCCQInAgsCjgINAggCCAIIAggCCAIIAggCCAIIAggCCAIIAggCCAIIAggCCAIbAgMC0QIeAAL1AgICJAIEAgUCBgIHAggCCQInAgsCjgINAggCCAIIAggCCAIIAggCCAIIAggCCAIIAggCCAIIAggCCAIbAgMCoAIeAAL1AgICSwIEAgUCBgIHAggCCQIcAgsCjgINAggCCAIIAggCCAIIAggCCAIIAggCCAIIAggCCAIIAggCCAIbAgMC1QIeAAL1AgICSAIEAgUCBgIHAggCCQInAgsCjgINAggCCAIIAggCCAIIAggCCAIIAggCCAIIAggCCAIIAggCCAIbAgMC5wIeAAL1AgICUgIEAgUCBgIHAggCCQKNAgsCjgINAggCCAIIAggCCAIIAggCCAIIAggCCAIIAggCCAIIAggCCAIbAgMCpwIeAAL1AgICHgIEAgUCBgIHAggCCQIcAgsCjgINAggCCAIIAggCCAIIAggCCAIIAggCCAIIAggCCAIIAggCCAIbAgMCyQIeAAL1AgICWQIEAgUCBgIHAggCCQInAgsCjgINAggCCAIIAggCCAIIAggCCAIIAggCCAIIAggCCAIIAggCCAIbAgMCrwIeAAL1AgICgAIEAgUCBgIHAggCCQIcAgsCjgINAggCCAIIAggCCAIIAggCCAIIAggCCAIIAggCCAIIAggCCAIbAgMClgIeAAL1AgICLQIEAgUCBgIHAggCCQInAgsCjgINAggCCAIIAggCCAIIAggCCAIIAgh6AAAEAAIIAggCCAIIAggCCAIIAhsCAwLIAh4AAvUCAgI1AgQCBQIGAgcCCAIJAo0CCwKOAg0CCAIIAggCCAIIAggCCAIIAggCCAIIAggCCAIIAggCCAIIAhsCAwIxAh4AAvUCAgI1AgQCBQIGAgcCCAIJAhwCCwKOAg0CCAIIAggCCAIIAggCCAIIAggCCAIIAggCCAIIAggCCAIIAhsCAwKuAh4AAvUCAgJBAgQCBQIGAgcCCAIJAo0CCwKOAg0CCAIIAggCCAIIAggCCAIIAggCCAIIAggCCAIIAggCCAIIAhsCAwLaAh4AAvUCAgIgAgQCBQIGAgcCCAIJAicCCwKOAg0CCAIIAggCCAIIAggCCAIIAggCCAIIAggCCAIIAggCCAIIAhsCAwLBAh4AAvUCAgI/AgQCBQIGAgcCCAIJAicCCwKOAg0CCAIIAggCCAIIAggCCAIIAggCCAIIAggCCAIIAggCCAIIAhsCAwKPAh4AAvUCAgI6AgQCBQIGAgcCCAIJAicCCwKOAg0CCAIIAggCCAIIAggCCAIIAggCCAIIAggCCAIIAggCCAIIAhsCAwKUAh4AAvUCAgIDAgQCBQIGAgcCCAIJAhwCCwKOAg0CCAIIAggCCAIIAggCCAIIAggCCAIIAggCCAIIAggCCAIIAhsCAwKYAh4AAvUCAgImAgQCBQIGAgcCCAIJAo0CCwKOAg0CCAIIAggCCAIIAggCCAIIAggCCAIIAggCCAIIAggCCAIIAhsCAwLeAh4AAvUCAgIDAgQCBQIGAgcCCAIJAo0CCwKOAg0CCAIIAggCCAIIAggCCAIIAggCCAIIAggCCAIIAggCCAIIAhsCAwLOAh4AAvUCAgIpAgQCBQIGAgcCCAIJAo0CCwKOAg0CCAIIAggCCAIIAggCCAIIAggCCAIIAggCCAIIAggCCAIIAhsCAwK0Ah4AAvUCAgI6AgQCBQIGAgcCCAIJAhwCCwKOAg0CCAIIAggCCAIIAggCCAIIAggCCAIIAggCCAIIAggCCAIIAhsCAwK/Ah4AAvUCAgI1AgQCBQIGAgcCCAIJAicCCwKOAg0CCAIIAggCCAIIAggCCAIIAggCCAIIAggCCAIIAggCCAIIAhsCAwK3Ah4AAvUCAgJZAgQCBQIGAgcCCAIJAo0CCwKOAg0CCAIIAggCCAIIAggCCAIIAggCCAIIAggCCAIIAggCCAIIAhsCAwLhAh4AAvUCAgIzAgQCBQIGAgcCCAIJAicCCwKOAg0CCAIIAggCCAIIAggCCAIIAggCCAIIAggCCAIIAggCCAIIAhsCAwK6Ah4AAvUCAgItAgQCBQIGAgcCCAIJAhwCCwKOAg0CCAIIAggCCAJ6AAAEAAgCCAIIAggCCAIIAggCCAIIAggCCAIIAggCGwIDAuYCHgAC9QICAlgCBAIFAgYCBwIIAgkCjQILAo4CDQIIAggCCAIIAggCCAIIAggCCAIIAggCCAIIAggCCAIIAggCGwIDAjECHgAC9QICAjACBAIFAgYCBwIIAgkCJwILAo4CDQIIAggCCAIIAggCCAIIAggCCAIIAggCCAIIAggCCAIIAggCGwIDAsoCHgAC9QICAoACBAIFAgYCBwIIAgkCJwILAo4CDQIIAggCCAIIAggCCAIIAggCCAIIAggCCAIIAggCCAIIAggCGwIDAuQCHgAC9QICAlkCBAIFAgYCBwIIAgkCHAILAo4CDQIIAggCCAIIAggCCAIIAggCCAIIAggCCAIIAggCCAIIAggCGwIDArgCHgAC9QICAjgCBAIFAgYCBwIIAgkCHAILAo4CDQIIAggCCAIIAggCCAIIAggCCAIIAggCCAIIAggCCAIIAggCGwIDAuACHgAC9QICAjgCBAIFAgYCBwIIAgkCjQILAo4CDQIIAggCCAIIAggCCAIIAggCCAIIAggCCAIIAggCCAIIAggCGwIDArsCHgAC9QICAk0CBAIFAgYCBwIIAgkCjQILAo4CDQIIAggCCAIIAggCCAIIAggCCAIIAggCCAIIAggCCAIIAggCGwIDAuMCHgAC9QICAk0CBAIFAgYCBwIIAgkCHAILAo4CDQIIAggCCAIIAggCCAIIAggCCAIIAggCCAIIAggCCAIIAggCGwIDArwCHgAC9QICAj0CBAIFAgYCBwIIAgkCJwILAo4CDQIIAggCCAIIAggCCAIIAggCCAIIAggCCAIIAggCCAIIAggCGwIDAuICHgAC9QICAkECBAIFAgYCBwIIAgkCJwILAo4CDQIIAggCCAIIAggCCAIIAggCCAIIAggCCAIIAggCCAIIAggCGwIDArkCHgAC9QICAisCBAIFAgYCBwIIAgkCjQILAo4CDQIIAggCCAIIAggCCAIIAggCCAIIAggCCAIIAggCCAIIAggCGwIDAjECHgAC9QICAhsCBAIFAgYCBwIIAgkCjQILAo4CDQIIAggCCAIIAggCCAIIAggCCAIIAggCCAIIAggCCAIIAggCGwIDAqgCHgAC9QICAj8CBAIFAgYCBwIIAgkCHAILAo4CDQIIAggCCAIIAggCCAIIAggCCAIIAggCCAIIAggCCAIIAggCGwIDAqECHgAC9QICAi0CBAIFAgYCBwIIAgkCjQILAo4CDQIIAggCCAIIAggCCAIIAggCCAIIAggCCAIIAggCCAIIAggCGwIDAsACHgAC9QICAjoCBAIFAgYCBwIIAgkCjQILAo56AAAEAAINAggCCAIIAggCCAIIAggCCAIIAggCCAIIAggCCAIIAggCCAIbAgMC5QIeAAL1AgICKwIEAgUCBgIHAggCCQIcAgsCjgINAggCCAIIAggCCAIIAggCCAIIAggCCAIIAggCCAIIAggCCAIbAgMCpAIeAAL1AgICJgIEAgUCBgIHAggCCQIcAgsCjgINAggCCAIIAggCCAIIAggCCAIIAggCCAIIAggCCAIIAggCCAIbAgMCtgIeAAL1AgICGwIEAgUCBgIHAggCCQIcAgsCjgINAggCCAIIAggCCAIIAggCCAIIAggCCAIIAggCCAIIAggCCAIbAgMC1AIeAAL1AgICKQIEAgUCBgIHAggCCQIcAgsCjgINAggCCAIIAggCCAIIAggCCAIIAggCCAIIAggCCAIIAggCCAIbAgMC3QIeAAL1AgICMAIEAgUCBgIHAggCCQKNAgsCjgINAggCCAIIAggCCAIIAggCCAIIAggCCAIIAggCCAIIAggCCAIbAgMCMQIeAAL1AgICMwIEAgUCBgIHAggCCQKNAgsCjgINAggCCAIIAggCCAIIAggCCAIIAggCCAIIAggCCAIIAggCCAIbAgMCxAIeAAL1AgICUgIEAgUCBgIHAggCCQInAgsCjgINAggCCAIIAggCCAIIAggCCAIIAggCCAIIAggCCAIIAggCCAIbAgMC3AIeAAL1AgICTwIEAgUCBgIHAggCCQInAgsCjgINAggCCAIIAggCCAIIAggCCAIIAggCCAIIAggCCAIIAggCCAIbAgMCtQIeAAL1AgIChAIEAgUCBgIHAggCCQKNAgsCjgINAggCCAIIAggCCAIIAggCCAIIAggCCAIIAggCCAIIAggCCAIbAgMCMQIeAAL1AgICMwIEAgUCBgIHAggCCQIcAgsCjgINAggCCAIIAggCCAIIAggCCAIIAggCCAIIAggCCAIIAggCCAIbAgMCkgIeAAL1AgICIgIEAgUCBgIHAggCCQKNAgsCjgINAggCCAIIAggCCAIIAggCCAIIAggCCAIIAggCCAIIAggCCAIbAgMCkAIeAAL1AgICJAIEAgUCBgIHAggCCQKNAgsCjgINAggCCAIIAggCCAIIAggCCAIIAggCCAIIAggCCAIIAggCCAIbAgMCxQIeAAL1AgICMAIEAgUCBgIHAggCCQIcAgsCjgINAggCCAIIAggCCAIIAggCCAIIAggCCAIIAggCCAIIAggCCAIbAgMCxgIeAAL1AgICQQIEAgUCBgIHAggCCQIcAgsCjgINAggCCAIIAggCCAIIAggCCAIIAggCCAIIAggCCAIIAggCCAIbAgMCswIeAAL1AgICOAIEAgUCBgJ6AAAEAAcCCAIJAicCCwKOAg0CCAIIAggCCAIIAggCCAIIAggCCAIIAggCCAIIAggCCAIIAhsCAwKTAh4AAvUCAgI9AgQCBQIGAgcCCAIJAhwCCwKOAg0CCAIIAggCCAIIAggCCAIIAggCCAIIAggCCAIIAggCCAIIAhsCAwLbAh4AAvUCAgIiAgQCBQIGAgcCCAIJAhwCCwKOAg0CCAIIAggCCAIIAggCCAIIAggCCAIIAggCCAIIAggCCAIIAhsCAwLHAh4AAvUCAgI9AgQCBQIGAgcCCAIJAo0CCwKOAg0CCAIIAggCCAIIAggCCAIIAggCCAIIAggCCAIIAggCCAIIAhsCAwKyAh4AAvUCAgJFAgQCBQIGAgcCCAIJAicCCwKOAg0CCAIIAggCCAIIAggCCAIIAggCCAIIAggCCAIIAggCCAIIAhsCAwKxAh4AAvUCAgIbAgQCBQIGAgcCCAIJAicCCwKOAg0CCAIIAggCCAIIAggCCAIIAggCCAIIAggCCAIIAggCCAIIAhsCAwLLAh4AAvUCAgIkAgQCBQIGAgcCCAIJAhwCCwKOAg0CCAIIAggCCAIIAggCCAIIAggCCAIIAggCCAIIAggCCAIIAhsCAwKRAh4AAvUCAgJNAgQCBQIGAgcCCAIJAicCCwKOAg0CCAIIAggCCAIIAggCCAIIAggCCAIIAggCCAIIAggCCAIIAhsCAwKwAh4AAvUCAgKAAgQCBQIGAgcCCAIJAo0CCwKOAg0CCAIIAggCCAIIAggCCAIIAggCCAIIAggCCAIIAggCCAIIAhsCAwIxAh4AAvUCAgJLAgQCBQIGAgcCCAIJAicCCwKOAg0CCAIIAggCCAIIAggCCAIIAggCCAIIAggCCAIIAggCCAIIAhsCAwLZAh4AAvUCAgKEAgQCBQIGAgcCCAIJAhwCCwKOAg0CCAIIAggCCAIIAggCCAIIAggCCAIIAggCCAIIAggCCAIIAhsCAwLDAh4AAvUCAgIrAgQCBQIGAgcCCAIJAicCCwKOAg0CCAIIAggCCAIIAggCCAIIAggCCAIIAggCCAIIAggCCAIIAhsCAwKXAh4AAvUCAgJPAgQCBQIGAgcCCAIJAhwCCwKOAg0CCAIIAggCCAIIAggCCAIIAggCCAIIAggCCAIIAggCCAIIAhsCAwKsAh4AAvUCAgIeAgQCBQIGAgcCCAIJAo0CCwKOAg0CCAIIAggCCAIIAggCCAIIAggCCAIIAggCCAIIAggCCAIIAhsCAwKaAh4AAvUCAgJYAgQCBQIGAgcCCAIJAicCCwKOAg0CCAIIAggCCAIIAggCCAIIAggCCAIIAggCCAIIAggCCAIIAhsCAwLXAh4AAvV6AAADSgICAkgCBAIFAgYCBwIIAgkCjQILAo4CDQIIAggCCAIIAggCCAIIAggCCAIIAggCCAIIAggCCAIIAggCGwIDAswCHgAC9QICAkgCBAIFAgYCBwIIAgkCHAILAo4CDQIIAggCCAIIAggCCAIIAggCCAIIAggCCAIIAggCCAIIAggCGwIDApkCHgAC9QICAlICBAIFAgYCBwIIAgkCHAILAo4CDQIIAggCCAIIAggCCAIIAggCCAIIAggCCAIIAggCCAIIAggCGwIDAqsCHgAC9QICAk8CBAIFAgYCBwIIAgkCjQILAo4CDQIIAggCCAIIAggCCAIIAggCCAIIAggCCAIIAggCCAIIAggCGwIDAtgCHgAC9QICAikCBAIFAgYCBwIIAgkCJwILAo4CDQIIAggCCAIIAggCCAIIAggCCAIIAggCCAIIAggCCAIIAggCGwIDAqkCHgAC9QICAiYCBAIFAgYCBwIIAgkCJwILAo4CDQIIAggCCAIIAggCCAIIAggCCAIIAggCCAIIAggCCAIIAggCGwIDAtYCHgAC9QICAiICBAIFAgYCBwIIAgkCJwILAo4CDQIIAggCCAIIAggCCAIIAggCCAIIAggCCAIIAggCCAIIAggCGwIDAtACHgAC9QICAkUCBAIFAgYCBwIIAgkCHAILAo4CDQIIAggCCAIIAggCCAIIAggCCAIIAggCCAIIAggCCAIIAggCGwIDAqYCHgAC9QICAj8CBAIFAgYCBwIIAgkCjQILAo4CDQIIAggCCAIIAggCCAIIAggCCAIIAggCCAIIAggCCAIIAggCGwIDAs8CHgAC9QICAiACBAIFAgYCBwIIAgkCjQILAo4CDQIIAggCCAIIAggCCAIIAggCCAIIAggCCAIIAggCCAIIAggCGwIDApwCHgAC9QICAiACBAIFAgYCBwIIAgkCHAILAo4CDQIIAggCCAIIAggCCAIIAggCCAIIAggCCAIIAggCCAIIAggCGwIDAtMCHgAC9gAJODQzOTM5NDg4AgIC9wAGMjAxMzEyAgQCBQIGAgcCCAIJAgoCCwIMAg0CCAIIAggCCAIIAggCCAIIAggCCAIIAggCCAIIAggCCAIIAioCAwL4c3EAfgAAAAAAAnNxAH4ABP///////////////v////7/////dXEAfgAHAAAAAxTl5Hh4egAABAACHgAC+QAJODQ1NjQ1MTA0AgICQQIEAgUCBgIHAggCCQIKAgsCDAINAggCCAIIAggCCAIIAggCCAIIAggCCAIIAggCCAIIAggCCAIiAgMCYQIeAAL5AgICHgIEAgUCBgIHAggCCQInAgsCDAINAggCCAIIAggCCAIIAggCCAIIAggCCAIIAggCCAIIAggCCAIiAgMCYgIeAAL5AgICPQIEAgUCBgIHAggCCQIKAgsCDAINAggCCAIIAggCCAIIAggCCAIIAggCCAIIAggCCAIIAggCCAIiAgMCYAIeAAL5AgICSAIEAgUCBgIHAggCCQInAgsCDAINAggCCAIIAggCCAIIAggCCAIIAggCCAIIAggCCAIIAggCCAIiAgMCYwIeAAL5AgICSwIEAgUCBgIHAggCCQIcAgsCDAINAggCCAIIAggCCAIIAggCCAIIAggCCAIIAggCCAIIAggCCAIiAgMCZgIeAAL5AgICTQIEAgUCBgIHAggCCQIcAgsCDAINAggCCAIIAggCCAIIAggCCAIIAggCCAIIAggCCAIIAggCCAIiAgMCZAIeAAL5AgICAwIEAgUCBgIHAggCCQInAgsCDAINAggCCAIIAggCCAIIAggCCAIIAggCCAIIAggCCAIIAggCCAIiAgMCZQIeAAL5AgICNQIEAgUCBgIHAggCCQIcAgsCDAINAggCCAIIAggCCAIIAggCCAIIAggCCAIIAggCCAIIAggCCAIiAgMCVQIeAAL5AgICWQIEAgUCBgIHAggCCQInAgsCDAINAggCCAIIAggCCAIIAggCCAIIAggCCAIIAggCCAIIAggCCAIiAgMCegIeAAL5AgICKQIEAgUCBgIHAggCCQIKAgsCDAINAggCCAIIAggCCAIIAggCCAIIAggCCAIIAggCCAIIAggCCAIiAgMCVwIeAAL5AgICJgIEAgUCBgIHAggCCQIKAgsCDAINAggCCAIIAggCCAIIAggCCAIIAggCCAIIAggCCAIIAggCCAIiAgMCXAIeAAL5AgICTwIEAgUCBgIHAggCCQIcAgsCDAINAggCCAIIAggCCAIIAggCCAIIAggCCAIIAggCCAIIAggCCAIiAgMCdgIeAAL5AgICUgIEAgUCBgIHAggCCQIcAgsCDAINAggCCAIIAggCCAIIAggCCAIIAggCCAIIAggCCAIIAggCCAIiAgMCewIeAAL5AgICPQIEAgUCBgIHAggCCQIcAgsCDAINAggCCAIIAggCCAIIAggCCAIIAggCCAIIAggCCAIIAggCCAIiAgMCRwIeAAL5AgICKwIEAgUCBgIHAggCCQInAgsCDAINAggCCAIIAggCCAIIAggCCAIIegAABAACCAIIAggCCAIIAggCCAIIAiICAwJRAh4AAvkCAgIbAgQCBQIGAgcCCAIJAicCCwIMAg0CCAIIAggCCAIIAggCCAIIAggCCAIIAggCCAIIAggCCAIIAiICAwJEAh4AAvkCAgJBAgQCBQIGAgcCCAIJAhwCCwIMAg0CCAIIAggCCAIIAggCCAIIAggCCAIIAggCCAIIAggCCAIIAiICAwJDAh4AAvkCAgIeAgQCBQIGAgcCCAIJAhwCCwIMAg0CCAIIAggCCAIIAggCCAIIAggCCAIIAggCCAIIAggCCAIIAiICAwJKAh4AAvkCAgJZAgQCBQIGAgcCCAIJAgoCCwIMAg0CCAIIAggCCAIIAggCCAIIAggCCAIIAggCCAIIAggCCAIIAiICAwJaAh4AAvkCAgJPAgQCBQIGAgcCCAIJAicCCwIMAg0CCAIIAggCCAIIAggCCAIIAggCCAIIAggCCAIIAggCCAIIAiICAwJQAh4AAvkCAgJLAgQCBQIGAgcCCAIJAicCCwIMAg0CCAIIAggCCAIIAggCCAIIAggCCAIIAggCCAIIAggCCAIIAiICAwJMAh4AAvkCAgJNAgQCBQIGAgcCCAIJAgoCCwIMAg0CCAIIAggCCAIIAggCCAIIAggCCAIIAggCCAIIAggCCAIIAiICAwJOAh4AAvkCAgI4AgQCBQIGAgcCCAIJAgoCCwIMAg0CCAIIAggCCAIIAggCCAIIAggCCAIIAggCCAIIAggCCAIIAiICAwJUAh4AAvkCAgI1AgQCBQIGAgcCCAIJAgoCCwIMAg0CCAIIAggCCAIIAggCCAIIAggCCAIIAggCCAIIAggCCAIIAiICAwIxAh4AAvkCAgIwAgQCBQIGAgcCCAIJAgoCCwIMAg0CCAIIAggCCAIIAggCCAIIAggCCAIIAggCCAIIAggCCAIIAiICAwIxAh4AAvkCAgIiAgQCBQIGAgcCCAIJAicCCwIMAg0CCAIIAggCCAIIAggCCAIIAggCCAIIAggCCAIIAggCCAIIAiICAwJtAh4AAvkCAgJSAgQCBQIGAgcCCAIJAicCCwIMAg0CCAIIAggCCAIIAggCCAIIAggCCAIIAggCCAIIAggCCAIIAiICAwJTAh4AAvkCAgJIAgQCBQIGAgcCCAIJAhwCCwIMAg0CCAIIAggCCAIIAggCCAIIAggCCAIIAggCCAIIAggCCAIIAiICAwJJAh4AAvkCAgItAgQCBQIGAgcCCAIJAgoCCwIMAg0CCAIIAggCCAIIAggCCAIIAggCCAIIAggCCAIIAggCCAIIAiICAwI3Ah4AAvkCAgIkAgQCBQIGAgcCCAIJAicCCwIMAg0CCAIIAggCegAABAAIAggCCAIIAggCCAIIAggCCAIIAggCCAIIAggCIgIDAm8CHgAC+QICAjoCBAIFAgYCBwIIAgkCCgILAgwCDQIIAggCCAIIAggCCAIIAggCCAIIAggCCAIIAggCCAIIAggCIgIDAjsCHgAC+QICAgMCBAIFAgYCBwIIAgkCCgILAgwCDQIIAggCCAIIAggCCAIIAggCCAIIAggCCAIIAggCCAIIAggCIgIDAg4CHgAC+QICAiACBAIFAgYCBwIIAgkCHAILAgwCDQIIAggCCAIIAggCCAIIAggCCAIIAggCCAIIAggCCAIIAggCIgIDAiECHgAC+QICAisCBAIFAgYCBwIIAgkCHAILAgwCDQIIAggCCAIIAggCCAIIAggCCAIIAggCCAIIAggCCAIIAggCIgIDAiwCHgAC+QICAj0CBAIFAgYCBwIIAgkCJwILAgwCDQIIAggCCAIIAggCCAIIAggCCAIIAggCCAIIAggCCAIIAggCIgIDAj4CHgAC+QICAj8CBAIFAgYCBwIIAgkCHAILAgwCDQIIAggCCAIIAggCCAIIAggCCAIIAggCCAIIAggCCAIIAggCIgIDAkACHgAC+QICAiICBAIFAgYCBwIIAgkCCgILAgwCDQIIAggCCAIIAggCCAIIAggCCAIIAggCCAIIAggCCAIIAggCIgIDAiMCHgAC+QICAiQCBAIFAgYCBwIIAgkCCgILAgwCDQIIAggCCAIIAggCCAIIAggCCAIIAggCCAIIAggCCAIIAggCIgIDAiUCHgAC+QICAiYCBAIFAgYCBwIIAgkCJwILAgwCDQIIAggCCAIIAggCCAIIAggCCAIIAggCCAIIAggCCAIIAggCIgIDAigCHgAC+QICAikCBAIFAgYCBwIIAgkCJwILAgwCDQIIAggCCAIIAggCCAIIAggCCAIIAggCCAIIAggCCAIIAggCIgIDAioCHgAC+QICAjgCBAIFAgYCBwIIAgkCHAILAgwCDQIIAggCCAIIAggCCAIIAggCCAIIAggCCAIIAggCCAIIAggCIgIDAjkCHgAC+QICAjgCBAIFAgYCBwIIAgkCJwILAgwCDQIIAggCCAIIAggCCAIIAggCCAIIAggCCAIIAggCCAIIAggCIgIDAnkCHgAC+QICAjMCBAIFAgYCBwIIAgkCCgILAgwCDQIIAggCCAIIAggCCAIIAggCCAIIAggCCAIIAggCCAIIAggCIgIDAjQCHgAC+QICAjMCBAIFAgYCBwIIAgkCHAILAgwCDQIIAggCCAIIAggCCAIIAggCCAIIAggCCAIIAggCCAIIAggCIgIDAl0CHgAC+QICAi0CBAIFAgYCBwIIAgkCHAILegAABAACDAINAggCCAIIAggCCAIIAggCCAIIAggCCAIIAggCCAIIAggCCAIiAgMCLgIeAAL5AgICOgIEAgUCBgIHAggCCQIcAgsCDAINAggCCAIIAggCCAIIAggCCAIIAggCCAIIAggCCAIIAggCCAIiAgMCWwIeAAL5AgICMAIEAgUCBgIHAggCCQIcAgsCDAINAggCCAIIAggCCAIIAggCCAIIAggCCAIIAggCCAIIAggCCAIiAgMCVgIeAAL5AgICIAIEAgUCBgIHAggCCQInAgsCDAINAggCCAIIAggCCAIIAggCCAIIAggCCAIIAggCCAIIAggCCAIiAgMCXgIeAAL5AgICPwIEAgUCBgIHAggCCQInAgsCDAINAggCCAIIAggCCAIIAggCCAIIAggCCAIIAggCCAIIAggCCAIiAgMCXwIeAAL5AgICHgIEAgUCBgIHAggCCQIKAgsCDAINAggCCAIIAggCCAIIAggCCAIIAggCCAIIAggCCAIIAggCCAIiAgMCHwIeAAL5AgICGwIEAgUCBgIHAggCCQIcAgsCDAINAggCCAIIAggCCAIIAggCCAIIAggCCAIIAggCCAIIAggCCAIiAgMCHQIeAAL5AgICSAIEAgUCBgIHAggCCQIKAgsCDAINAggCCAIIAggCCAIIAggCCAIIAggCCAIIAggCCAIIAggCCAIiAgMCfgIeAAL5AgICAwIEAgUCBgIHAggCCQIcAgsCDAINAggCCAIIAggCCAIIAggCCAIIAggCCAIIAggCCAIIAggCCAIiAgMCcAIeAAL5AgICTQIEAgUCBgIHAggCCQInAgsCDAINAggCCAIIAggCCAIIAggCCAIIAggCCAIIAggCCAIIAggCCAIiAgMCcQIeAAL5AgICSwIEAgUCBgIHAggCCQIKAgsCDAINAggCCAIIAggCCAIIAggCCAIIAggCCAIIAggCCAIIAggCCAIiAgMCdAIeAAL5AgICOgIEAgUCBgIHAggCCQInAgsCDAINAggCCAIIAggCCAIIAggCCAIIAggCCAIIAggCCAIIAggCCAIiAgMCeAIeAAL5AgICJAIEAgUCBgIHAggCCQIcAgsCDAINAggCCAIIAggCCAIIAggCCAIIAggCCAIIAggCCAIIAggCCAIiAgMCfQIeAAL5AgICIgIEAgUCBgIHAggCCQIcAgsCDAINAggCCAIIAggCCAIIAggCCAIIAggCCAIIAggCCAIIAggCCAIiAgMCcwIeAAL5AgICPwIEAgUCBgIHAggCCQIKAgsCDAINAggCCAIIAggCCAIIAggCCAIIAggCCAIIAggCCAIIAggCCAIiAgMCcgIeAAL5AgICLQIEAgUCegAABAAGAgcCCAIJAicCCwIMAg0CCAIIAggCCAIIAggCCAIIAggCCAIIAggCCAIIAggCCAIIAiICAwJ3Ah4AAvkCAgIgAgQCBQIGAgcCCAIJAgoCCwIMAg0CCAIIAggCCAIIAggCCAIIAggCCAIIAggCCAIIAggCCAIIAiICAwJ1Ah4AAvkCAgImAgQCBQIGAgcCCAIJAhwCCwIMAg0CCAIIAggCCAIIAggCCAIIAggCCAIIAggCCAIIAggCCAIIAiICAwIyAh4AAvkCAgIpAgQCBQIGAgcCCAIJAhwCCwIMAg0CCAIIAggCCAIIAggCCAIIAggCCAIIAggCCAIIAggCCAIIAiICAwIvAh4AAvkCAgJPAgQCBQIGAgcCCAIJAgoCCwIMAg0CCAIIAggCCAIIAggCCAIIAggCCAIIAggCCAIIAggCCAIIAiICAwJpAh4AAvkCAgIzAgQCBQIGAgcCCAIJAicCCwIMAg0CCAIIAggCCAIIAggCCAIIAggCCAIIAggCCAIIAggCCAIIAiICAwJqAh4AAvkCAgJZAgQCBQIGAgcCCAIJAhwCCwIMAg0CCAIIAggCCAIIAggCCAIIAggCCAIIAggCCAIIAggCCAIIAiICAwJuAh4AAvkCAgI1AgQCBQIGAgcCCAIJAicCCwIMAg0CCAIIAggCCAIIAggCCAIIAggCCAIIAggCCAIIAggCCAIIAiICAwI2Ah4AAvkCAgIwAgQCBQIGAgcCCAIJAicCCwIMAg0CCAIIAggCCAIIAggCCAIIAggCCAIIAggCCAIIAggCCAIIAiICAwJsAh4AAvkCAgIbAgQCBQIGAgcCCAIJAgoCCwIMAg0CCAIIAggCCAIIAggCCAIIAggCCAIIAggCCAIIAggCCAIIAiICAwI8Ah4AAvkCAgIrAgQCBQIGAgcCCAIJAgoCCwIMAg0CCAIIAggCCAIIAggCCAIIAggCCAIIAggCCAIIAggCCAIIAiICAwIxAh4AAvkCAgJBAgQCBQIGAgcCCAIJAicCCwIMAg0CCAIIAggCCAIIAggCCAIIAggCCAIIAggCCAIIAggCCAIIAiICAwJCAh4AAvkCAgJSAgQCBQIGAgcCCAIJAgoCCwIMAg0CCAIIAggCCAIIAggCCAIIAggCCAIIAggCCAIIAggCCAIIAiICAwJoAh4AAvoACTg1NjM0NzQ3MgICAlgCBAIFAgYCBwIIAgkCJwILAo4CDQIIAggCCAIIAggCCAIIAggCCAIIAggCCAIIAggCCAIIAggCBQIDAtcCHgAC+gICAlkCBAIFAgYCBwIIAgkCJwILAo4CDQIIAggCCAIIAggCCAIIAggCCAIIAggCCAIIAggCCAIIegAABAACCAIFAgMCrwIeAAL6AgIChAIEAgUCBgIHAggCCQInAgsCjgINAggCCAIIAggCCAIIAggCCAIIAggCCAIIAggCCAIIAggCCAIFAgMC0QIeAAL6AgICNQIEAgUCBgIHAggCCQInAgsCjgINAggCCAIIAggCCAIIAggCCAIIAggCCAIIAggCCAIIAggCCAIFAgMCtwIeAAL6AgICSwIEAgUCBgIHAggCCQInAgsCjgINAggCCAIIAggCCAIIAggCCAIIAggCCAIIAggCCAIIAggCCAIFAgMC2QIeAAL6AgICTwIEAgUCBgIHAggCCQInAgsCjgINAggCCAIIAggCCAIIAggCCAIIAggCCAIIAggCCAIIAggCCAIFAgMCtQIeAAL6AgICLQIEAgUCBgIHAggCCQInAgsCjgINAggCCAIIAggCCAIIAggCCAIIAggCCAIIAggCCAIIAggCCAIFAgMCyAIeAAL6AgICKwIEAgUCBgIHAggCCQInAgsCjgINAggCCAIIAggCCAIIAggCCAIIAggCCAIIAggCCAIIAggCCAIFAgMClwIeAAL6AgICJgIEAgUCBgIHAggCCQInAgsCjgINAggCCAIIAggCCAIIAggCCAIIAggCCAIIAggCCAIIAggCCAIFAgMC1gIeAAL6AgICAwIEAgUCBgIHAggCCQInAgsCjgINAggCCAIIAggCCAIIAggCCAIIAggCCAIIAggCCAIIAggCCAIFAgMCnQIeAAL6AgICHgIEAgUCBgIHAggCCQInAgsCjgINAggCCAIIAggCCAIIAggCCAIIAggCCAIIAggCCAIIAggCCAIFAgMCvgIeAAL6AgICgAIEAgUCBgIHAggCCQInAgsCjgINAggCCAIIAggCCAIIAggCCAIIAggCCAIIAggCCAIIAggCCAIFAgMC5AIeAAL6AgICRQIEAgUCBgIHAggCCQInAgsCjgINAggCCAIIAggCCAIIAggCCAIIAggCCAIIAggCCAIIAggCCAIFAgMCsQIeAAL6AgICggIEAgUCBgIHAggCCQInAgsCjgINAggCCAIIAggCCAIIAggCCAIIAggCCAIIAggCCAIIAggCCAIFAgMClQIeAAL6AgICPwIEAgUCBgIHAggCCQInAgsCjgINAggCCAIIAggCCAIIAggCCAIIAggCCAIIAggCCAIIAggCCAIFAgMCjwIeAAL6AgICMAIEAgUCBgIHAggCCQInAgsCjgINAggCCAIIAggCCAIIAggCCAIIAggCCAIIAggCCAIIAggCCAIFAgMCygIeAAL6AgICQQIEAgUCBgIHAggCCQInAgsCjgINAggCCAIIAggCCAIIAggCCAIIAggCegAABAAIAggCCAIIAggCCAIIAgUCAwK5Ah4AAvoCAgIkAgQCBQIGAgcCCAIJAicCCwKOAg0CCAIIAggCCAIIAggCCAIIAggCCAIIAggCCAIIAggCCAIIAgUCAwKgAh4AAvsACjEyMTYxMzc2NDgCAgIeAgQCBQIGAgcCCAIJAhwCCwIMAg0CCAIIAggCCAIIAggCCAIIAggCCAIIAggCCAIIAggCCAIIAhoCAwJKAh4AAvsCAgIzAgQCBQIGAgcCCAIJAicCCwIMAg0CCAIIAggCCAIIAggCCAIIAggCCAIIAggCCAIIAggCCAIIAhoCAwJqAh4AAvsCAgI6AgQCBQIGAgcCCAIJAicCCwIMAg0CCAIIAggCCAIIAggCCAIIAggCCAIIAggCCAIIAggCCAIIAhoCAwJ4Ah4AAvsCAgJIAgQCBQIGAgcCCAIJAhwCCwIMAg0CCAIIAggCCAIIAggCCAIIAggCCAIIAggCCAIIAggCCAIIAhoCAwJJAh4AAvsCAgI1AgQCBQIGAgcCCAIJAgoCCwIMAg0CCAIIAggCCAIIAggCCAIIAggCCAIIAggCCAIIAggCCAIIAhoCAwIxAh4AAvsCAgJLAgQCBQIGAgcCCAIJAgoCCwIMAg0CCAIIAggCCAIIAggCCAIIAggCCAIIAggCCAIIAggCCAIIAhoCAwJ0Ah4AAvsCAgIiAgQCBQIGAgcCCAIJAicCCwIMAg0CCAIIAggCCAIIAggCCAIIAggCCAIIAggCCAIIAggCCAIIAhoCAwJtAh4AAvsCAgKEAgQCBQIGAgcCCAIJAicCCwIMAg0CCAIIAggCCAIIAggCCAIIAggCCAIIAggCCAIIAggCCAIIAhoCAwKFAh4AAvsCAgJPAgQCBQIGAgcCCAIJAgoCCwIMAg0CCAIIAggCCAIIAggCCAIIAggCCAIIAggCCAIIAggCCAIIAhoCAwJpAh4AAvsCAgJYAgQCBQIGAgcCCAIJAhwCCwIMAg0CCAIIAggCCAIIAggCCAIIAggCCAIIAggCCAIIAggCCAIIAhoCAwJrAh4AAvsCAgIwAgQCBQIGAgcCCAIJAicCCwIMAg0CCAIIAggCCAIIAggCCAIIAggCCAIIAggCCAIIAggCCAIIAhoCAwJsAh4AAvsCAgJSAgQCBQIGAgcCCAIJAgoCCwIMAg0CCAIIAggCCAIIAggCCAIIAggCCAIIAggCCAIIAggCCAIIAhoCAwJoAh4AAvsCAgIkAgQCBQIGAgcCCAIJAicCCwIMAg0CCAIIAggCCAIIAggCCAIIAggCCAIIAggCCAIIAggCCAIIAhoCAwJvAh4AAvsCAgIiAgQCBQIGAgcCCAIJAhwCCwIMegAABAACDQIIAggCCAIIAggCCAIIAggCCAIIAggCCAIIAggCCAIIAggCGgIDAnMCHgAC+wICAoQCBAIFAgYCBwIIAgkCHAILAgwCDQIIAggCCAIIAggCCAIIAggCCAIIAggCCAIIAggCCAIIAggCGgIDAocCHgAC+wICAiQCBAIFAgYCBwIIAgkCHAILAgwCDQIIAggCCAIIAggCCAIIAggCCAIIAggCCAIIAggCCAIIAggCGgIDAn0CHgAC+wICAiACBAIFAgYCBwIIAgkCJwILAgwCDQIIAggCCAIIAggCCAIIAggCCAIIAggCCAIIAggCCAIIAggCGgIDAl4CHgAC+wICAhsCBAIFAgYCBwIIAgkCJwILAgwCDQIIAggCCAIIAggCCAIIAggCCAIIAggCCAIIAggCCAIIAggCGgIDAkQCHgAC+wICAlgCBAIFAgYCBwIIAgkCCgILAgwCDQIIAggCCAIIAggCCAIIAggCCAIIAggCCAIIAggCCAIIAggCGgIDAjECHgAC+wICAkUCBAIFAgYCBwIIAgkCCgILAgwCDQIIAggCCAIIAggCCAIIAggCCAIIAggCCAIIAggCCAIIAggCGgIDAjECHgAC+wICAgMCBAIFAgYCBwIIAgkCHAILAgwCDQIIAggCCAIIAggCCAIIAggCCAIIAggCCAIIAggCCAIIAggCGgIDAnACHgAC+wICAjMCBAIFAgYCBwIIAgkCHAILAgwCDQIIAggCCAIIAggCCAIIAggCCAIIAggCCAIIAggCCAIIAggCGgIDAl0CHgAC+wICAlkCBAIFAgYCBwIIAgkCCgILAgwCDQIIAggCCAIIAggCCAIIAggCCAIIAggCCAIIAggCCAIIAggCGgIDAloCHgAC+wICAisCBAIFAgYCBwIIAgkCJwILAgwCDQIIAggCCAIIAggCCAIIAggCCAIIAggCCAIIAggCCAIIAggCGgIDAlECHgAC+wICAoACBAIFAgYCBwIIAgkCHAILAgwCDQIIAggCCAIIAggCCAIIAggCCAIIAggCCAIIAggCCAIIAggCGgIDAoMCHgAC+wICAi0CBAIFAgYCBwIIAgkCJwILAgwCDQIIAggCCAIIAggCCAIIAggCCAIIAggCCAIIAggCCAIIAggCGgIDAncCHgAC+wICAk0CBAIFAgYCBwIIAgkCCgILAgwCDQIIAggCCAIIAggCCAIIAggCCAIIAggCCAIIAggCCAIIAggCGgIDAk4CHgAC+wICAi0CBAIFAgYCBwIIAgkCHAILAgwCDQIIAggCCAIIAggCCAIIAggCCAIIAggCCAIIAggCCAIIAggCGgIDAi4CHgAC+wICAk0CBAIFAgYCegAABAAHAggCCQIcAgsCDAINAggCCAIIAggCCAIIAggCCAIIAggCCAIIAggCCAIIAggCCAIaAgMCZAIeAAL7AgICOgIEAgUCBgIHAggCCQIcAgsCDAINAggCCAIIAggCCAIIAggCCAIIAggCCAIIAggCCAIIAggCCAIaAgMCWwIeAAL7AgICNQIEAgUCBgIHAggCCQIcAgsCDAINAggCCAIIAggCCAIIAggCCAIIAggCCAIIAggCCAIIAggCCAIaAgMCVQIeAAL7AgICMAIEAgUCBgIHAggCCQIcAgsCDAINAggCCAIIAggCCAIIAggCCAIIAggCCAIIAggCCAIIAggCCAIaAgMCVgIeAAL7AgICJgIEAgUCBgIHAggCCQIKAgsCDAINAggCCAIIAggCCAIIAggCCAIIAggCCAIIAggCCAIIAggCCAIaAgMCXAIeAAL7AgICAwIEAgUCBgIHAggCCQIKAgsCDAINAggCCAIIAggCCAIIAggCCAIIAggCCAIIAggCCAIIAggCCAIaAgMCDgIeAAL7AgICKQIEAgUCBgIHAggCCQIKAgsCDAINAggCCAIIAggCCAIIAggCCAIIAggCCAIIAggCCAIIAggCCAIaAgMCVwIeAAL7AgICPwIEAgUCBgIHAggCCQInAgsCDAINAggCCAIIAggCCAIIAggCCAIIAggCCAIIAggCCAIIAggCCAIaAgMCXwIeAAL7AgICQQIEAgUCBgIHAggCCQInAgsCDAINAggCCAIIAggCCAIIAggCCAIIAggCCAIIAggCCAIIAggCCAIaAgMCQgIeAAL7AgICPQIEAgUCBgIHAggCCQInAgsCDAINAggCCAIIAggCCAIIAggCCAIIAggCCAIIAggCCAIIAggCCAIaAgMCPgIeAAL7AgICJAIEAgUCBgIHAggCCQIKAgsCDAINAggCCAIIAggCCAIIAggCCAIIAggCCAIIAggCCAIIAggCCAIaAgMCJQIeAAL7AgICWQIEAgUCBgIHAggCCQIcAgsCDAINAggCCAIIAggCCAIIAggCCAIIAggCCAIIAggCCAIIAggCCAIaAgMCbgIeAAL7AgICOAIEAgUCBgIHAggCCQIcAgsCDAINAggCCAIIAggCCAIIAggCCAIIAggCCAIIAggCCAIIAggCCAIaAgMCOQIeAAL7AgIChAIEAgUCBgIHAggCCQIKAgsCDAINAggCCAIIAggCCAIIAggCCAIIAggCCAIIAggCCAIIAggCCAIaAgMCMQIeAAL7AgICSAIEAgUCBgIHAggCCQInAgsCDAINAggCCAIIAggCCAIIAggCCAIIAggCCAIIAggCCAIIAggCCAIaAgMCYwIeAAL7egAABAACAgKAAgQCBQIGAgcCCAIJAicCCwIMAg0CCAIIAggCCAIIAggCCAIIAggCCAIIAggCCAIIAggCCAIIAhoCAwKBAh4AAvsCAgIeAgQCBQIGAgcCCAIJAicCCwIMAg0CCAIIAggCCAIIAggCCAIIAggCCAIIAggCCAIIAggCCAIIAhoCAwJiAh4AAvsCAgIiAgQCBQIGAgcCCAIJAgoCCwIMAg0CCAIIAggCCAIIAggCCAIIAggCCAIIAggCCAIIAggCCAIIAhoCAwIjAh4AAvsCAgI1AgQCBQIGAgcCCAIJAicCCwIMAg0CCAIIAggCCAIIAggCCAIIAggCCAIIAggCCAIIAggCCAIIAhoCAwI2Ah4AAvsCAgItAgQCBQIGAgcCCAIJAgoCCwIMAg0CCAIIAggCCAIIAggCCAIIAggCCAIIAggCCAIIAggCCAIIAhoCAwI3Ah4AAvsCAgJSAgQCBQIGAgcCCAIJAicCCwIMAg0CCAIIAggCCAIIAggCCAIIAggCCAIIAggCCAIIAggCCAIIAhoCAwJTAh4AAvsCAgIpAgQCBQIGAgcCCAIJAhwCCwIMAg0CCAIIAggCCAIIAggCCAIIAggCCAIIAggCCAIIAggCCAIIAhoCAwIvAh4AAvsCAgJBAgQCBQIGAgcCCAIJAhwCCwIMAg0CCAIIAggCCAIIAggCCAIIAggCCAIIAggCCAIIAggCCAIIAhoCAwJDAh4AAvsCAgJNAgQCBQIGAgcCCAIJAicCCwIMAg0CCAIIAggCCAIIAggCCAIIAggCCAIIAggCCAIIAggCCAIIAhoCAwJxAh4AAvsCAgIrAgQCBQIGAgcCCAIJAgoCCwIMAg0CCAIIAggCCAIIAggCCAIIAggCCAIIAggCCAIIAggCCAIIAhoCAwIxAh4AAvsCAgIbAgQCBQIGAgcCCAIJAgoCCwIMAg0CCAIIAggCCAIIAggCCAIIAggCCAIIAggCCAIIAggCCAIIAhoCAwI8Ah4AAvsCAgI6AgQCBQIGAgcCCAIJAgoCCwIMAg0CCAIIAggCCAIIAggCCAIIAggCCAIIAggCCAIIAggCCAIIAhoCAwI7Ah4AAvsCAgJFAgQCBQIGAgcCCAIJAicCCwIMAg0CCAIIAggCCAIIAggCCAIIAggCCAIIAggCCAIIAggCCAIIAhoCAwJGAh4AAvsCAgI/AgQCBQIGAgcCCAIJAgoCCwIMAg0CCAIIAggCCAIIAggCCAIIAggCCAIIAggCCAIIAggCCAIIAhoCAwJyAh4AAvsCAgI9AgQCBQIGAgcCCAIJAhwCCwIMAg0CCAIIAggCCAIIAggCCAIIAggCCAIIAggCCAIIAggCCAIIegAABAACGgIDAkcCHgAC+wICAiYCBAIFAgYCBwIIAgkCHAILAgwCDQIIAggCCAIIAggCCAIIAggCCAIIAggCCAIIAggCCAIIAggCGgIDAjICHgAC+wICAjgCBAIFAgYCBwIIAgkCCgILAgwCDQIIAggCCAIIAggCCAIIAggCCAIIAggCCAIIAggCCAIIAggCGgIDAlQCHgAC+wICAk8CBAIFAgYCBwIIAgkCJwILAgwCDQIIAggCCAIIAggCCAIIAggCCAIIAggCCAIIAggCCAIIAggCGgIDAlACHgAC+wICAksCBAIFAgYCBwIIAgkCJwILAgwCDQIIAggCCAIIAggCCAIIAggCCAIIAggCCAIIAggCCAIIAggCGgIDAkwCHgAC+wICAiACBAIFAgYCBwIIAgkCCgILAgwCDQIIAggCCAIIAggCCAIIAggCCAIIAggCCAIIAggCCAIIAggCGgIDAnUCHgAC+wICAikCBAIFAgYCBwIIAgkCJwILAgwCDQIIAggCCAIIAggCCAIIAggCCAIIAggCCAIIAggCCAIIAggCGgIDAioCHgAC+wICAh4CBAIFAgYCBwIIAgkCCgILAgwCDQIIAggCCAIIAggCCAIIAggCCAIIAggCCAIIAggCCAIIAggCGgIDAh8CHgAC+wICAoACBAIFAgYCBwIIAgkCCgILAgwCDQIIAggCCAIIAggCCAIIAggCCAIIAggCCAIIAggCCAIIAggCGgIDAjECHgAC+wICAhsCBAIFAgYCBwIIAgkCHAILAgwCDQIIAggCCAIIAggCCAIIAggCCAIIAggCCAIIAggCCAIIAggCGgIDAh0CHgAC+wICAisCBAIFAgYCBwIIAgkCHAILAgwCDQIIAggCCAIIAggCCAIIAggCCAIIAggCCAIIAggCCAIIAggCGgIDAiwCHgAC+wICAjgCBAIFAgYCBwIIAgkCJwILAgwCDQIIAggCCAIIAggCCAIIAggCCAIIAggCCAIIAggCCAIIAggCGgIDAnkCHgAC+wICAlgCBAIFAgYCBwIIAgkCJwILAgwCDQIIAggCCAIIAggCCAIIAggCCAIIAggCCAIIAggCCAIIAggCGgIDAnwCHgAC+wICAlkCBAIFAgYCBwIIAgkCJwILAgwCDQIIAggCCAIIAggCCAIIAggCCAIIAggCCAIIAggCCAIIAggCGgIDAnoCHgAC+wICAkgCBAIFAgYCBwIIAgkCCgILAgwCDQIIAggCCAIIAggCCAIIAggCCAIIAggCCAIIAggCCAIIAggCGgIDAn4CHgAC+wICAgMCBAIFAgYCBwIIAgkCJwILAgwCDQIIAggCCAIIAggCCAIIAggCCAIIAggCegAABAAIAggCCAIIAggCCAIaAgMCZQIeAAL7AgICIAIEAgUCBgIHAggCCQIcAgsCDAINAggCCAIIAggCCAIIAggCCAIIAggCCAIIAggCCAIIAggCCAIaAgMCIQIeAAL7AgICPwIEAgUCBgIHAggCCQIcAgsCDAINAggCCAIIAggCCAIIAggCCAIIAggCCAIIAggCCAIIAggCCAIaAgMCQAIeAAL7AgICUgIEAgUCBgIHAggCCQIcAgsCDAINAggCCAIIAggCCAIIAggCCAIIAggCCAIIAggCCAIIAggCCAIaAgMCewIeAAL7AgICMwIEAgUCBgIHAggCCQIKAgsCDAINAggCCAIIAggCCAIIAggCCAIIAggCCAIIAggCCAIIAggCCAIaAgMCNAIeAAL7AgICTwIEAgUCBgIHAggCCQIcAgsCDAINAggCCAIIAggCCAIIAggCCAIIAggCCAIIAggCCAIIAggCCAIaAgMCdgIeAAL7AgICSwIEAgUCBgIHAggCCQIcAgsCDAINAggCCAIIAggCCAIIAggCCAIIAggCCAIIAggCCAIIAggCCAIaAgMCZgIeAAL7AgICMAIEAgUCBgIHAggCCQIKAgsCDAINAggCCAIIAggCCAIIAggCCAIIAggCCAIIAggCCAIIAggCCAIaAgMCMQIeAAL7AgICQQIEAgUCBgIHAggCCQIKAgsCDAINAggCCAIIAggCCAIIAggCCAIIAggCCAIIAggCCAIIAggCCAIaAgMCYQIeAAL7AgICRQIEAgUCBgIHAggCCQIcAgsCDAINAggCCAIIAggCCAIIAggCCAIIAggCCAIIAggCCAIIAggCCAIaAgMCZwIeAAL7AgICJgIEAgUCBgIHAggCCQInAgsCDAINAggCCAIIAggCCAIIAggCCAIIAggCCAIIAggCCAIIAggCCAIaAgMCKAIeAAL7AgICPQIEAgUCBgIHAggCCQIKAgsCDAINAggCCAIIAggCCAIIAggCCAIIAggCCAIIAggCCAIIAggCCAIaAgMCYAIeAAL8AAoxMjE2MTM5OTY4AgICAwIEAgUCBgIHAggCCQInAgsCDAINAggCCAIIAggCCAIIAggCCAIIAggCCAIIAggCCAIIAggCCAIcAgMCZQIeAAL8AgICIgIEAgUCBgIHAggCCQInAgsCDAINAggCCAIIAggCCAIIAggCCAIIAggCCAIIAggCCAIIAggCCAIcAgMCbQIeAAL8AgICWQIEAgUCBgIHAggCCQIcAgsCDAINAggCCAIIAggCCAIIAggCCAIIAggCCAIIAggCCAIIAggCCAIcAgMCbgIeAAL8AgICHgIEAgUCBgIHAggCCQInAgsCDAINegAABAACCAIIAggCCAIIAggCCAIIAggCCAIIAggCCAIIAggCCAIIAhwCAwJiAh4AAvwCAgI9AgQCBQIGAgcCCAIJAgoCCwIMAg0CCAIIAggCCAIIAggCCAIIAggCCAIIAggCCAIIAggCCAIIAhwCAwJgAh4AAvwCAgJIAgQCBQIGAgcCCAIJAicCCwIMAg0CCAIIAggCCAIIAggCCAIIAggCCAIIAggCCAIIAggCCAIIAhwCAwJjAh4AAvwCAgKAAgQCBQIGAgcCCAIJAicCCwIMAg0CCAIIAggCCAIIAggCCAIIAggCCAIIAggCCAIIAggCCAIIAhwCAwKBAh4AAvwCAgJBAgQCBQIGAgcCCAIJAgoCCwIMAg0CCAIIAggCCAIIAggCCAIIAggCCAIIAggCCAIIAggCCAIIAhwCAwJhAh4AAvwCAgI1AgQCBQIGAgcCCAIJAgoCCwIMAg0CCAIIAggCCAIIAggCCAIIAggCCAIIAggCCAIIAggCCAIIAhwCAwIxAh4AAvwCAgJFAgQCBQIGAgcCCAIJAhwCCwIMAg0CCAIIAggCCAIIAggCCAIIAggCCAIIAggCCAIIAggCCAIIAhwCAwJnAh4AAvwCAgIwAgQCBQIGAgcCCAIJAicCCwIMAg0CCAIIAggCCAIIAggCCAIIAggCCAIIAggCCAIIAggCCAIIAhwCAwJsAh4AAvwCAgJNAgQCBQIGAgcCCAIJAhwCCwIMAg0CCAIIAggCCAIIAggCCAIIAggCCAIIAggCCAIIAggCCAIIAhwCAwJkAh4AAvwCAgJIAgQCBQIGAgcCCAIJAhwCCwIMAg0CCAIIAggCCAIIAggCCAIIAggCCAIIAggCCAIIAggCCAIIAhwCAwJJAh4AAvwCAgKAAgQCBQIGAgcCCAIJAhwCCwIMAg0CCAIIAggCCAIIAggCCAIIAggCCAIIAggCCAIIAggCCAIIAhwCAwKDAh4AAvwCAgI6AgQCBQIGAgcCCAIJAicCCwIMAg0CCAIIAggCCAIIAggCCAIIAggCCAIIAggCCAIIAggCCAIIAhwCAwJ4Ah4AAvwCAgIeAgQCBQIGAgcCCAIJAhwCCwIMAg0CCAIIAggCCAIIAggCCAIIAggCCAIIAggCCAIIAggCCAIIAhwCAwJKAh4AAvwCAgIzAgQCBQIGAgcCCAIJAicCCwIMAg0CCAIIAggCCAIIAggCCAIIAggCCAIIAggCCAIIAggCCAIIAhwCAwJqAh4AAvwCAgIDAgQCBQIGAgcCCAIJAhwCCwIMAg0CCAIIAggCCAIIAggCCAIIAggCCAIIAggCCAIIAggCCAIIAhwCAwJwAh4AAvwCAgJLAgQCBQIGAgcCegAABAAIAgkCCgILAgwCDQIIAggCCAIIAggCCAIIAggCCAIIAggCCAIIAggCCAIIAggCHAIDAnQCHgAC/AICAkUCBAIFAgYCBwIIAgkCCgILAgwCDQIIAggCCAIIAggCCAIIAggCCAIIAggCCAIIAggCCAIIAggCHAIDAjECHgAC/AICAk8CBAIFAgYCBwIIAgkCCgILAgwCDQIIAggCCAIIAggCCAIIAggCCAIIAggCCAIIAggCCAIIAggCHAIDAmkCHgAC/AICAlICBAIFAgYCBwIIAgkCCgILAgwCDQIIAggCCAIIAggCCAIIAggCCAIIAggCCAIIAggCCAIIAggCHAIDAmgCHgAC/AICAiQCBAIFAgYCBwIIAgkCJwILAgwCDQIIAggCCAIIAggCCAIIAggCCAIIAggCCAIIAggCCAIIAggCHAIDAm8CHgAC/AICAlgCBAIFAgYCBwIIAgkCHAILAgwCDQIIAggCCAIIAggCCAIIAggCCAIIAggCCAIIAggCCAIIAggCHAIDAmsCHgAC/AICAiICBAIFAgYCBwIIAgkCHAILAgwCDQIIAggCCAIIAggCCAIIAggCCAIIAggCCAIIAggCCAIIAggCHAIDAnMCHgAC/AICAk8CBAIFAgYCBwIIAgkCHAILAgwCDQIIAggCCAIIAggCCAIIAggCCAIIAggCCAIIAggCCAIIAggCHAIDAnYCHgAC/AICAk0CBAIFAgYCBwIIAgkCJwILAgwCDQIIAggCCAIIAggCCAIIAggCCAIIAggCCAIIAggCCAIIAggCHAIDAnECHgAC/AICAiQCBAIFAgYCBwIIAgkCHAILAgwCDQIIAggCCAIIAggCCAIIAggCCAIIAggCCAIIAggCCAIIAggCHAIDAn0CHgAC/AICAi0CBAIFAgYCBwIIAgkCJwILAgwCDQIIAggCCAIIAggCCAIIAggCCAIIAggCCAIIAggCCAIIAggCHAIDAncCHgAC/AICAiACBAIFAgYCBwIIAgkCCgILAgwCDQIIAggCCAIIAggCCAIIAggCCAIIAggCCAIIAggCCAIIAggCHAIDAnUCHgAC/AICAj8CBAIFAgYCBwIIAgkCCgILAgwCDQIIAggCCAIIAggCCAIIAggCCAIIAggCCAIIAggCCAIIAggCHAIDAnICHgAC/AICAiYCBAIFAgYCBwIIAgkCJwILAgwCDQIIAggCCAIIAggCCAIIAggCCAIIAggCCAIIAggCCAIIAggCHAIDAigCHgAC/AICAikCBAIFAgYCBwIIAgkCJwILAgwCDQIIAggCCAIIAggCCAIIAggCCAIIAggCCAIIAggCCAIIAggCHAIDAioCHgAC/AICegAABAACSAIEAgUCBgIHAggCCQIKAgsCDAINAggCCAIIAggCCAIIAggCCAIIAggCCAIIAggCCAIIAggCCAIcAgMCfgIeAAL8AgICKwIEAgUCBgIHAggCCQIcAgsCDAINAggCCAIIAggCCAIIAggCCAIIAggCCAIIAggCCAIIAggCCAIcAgMCLAIeAAL8AgICgAIEAgUCBgIHAggCCQIKAgsCDAINAggCCAIIAggCCAIIAggCCAIIAggCCAIIAggCCAIIAggCCAIcAgMCMQIeAAL8AgICSwIEAgUCBgIHAggCCQIcAgsCDAINAggCCAIIAggCCAIIAggCCAIIAggCCAIIAggCCAIIAggCCAIcAgMCZgIeAAL8AgICOAIEAgUCBgIHAggCCQInAgsCDAINAggCCAIIAggCCAIIAggCCAIIAggCCAIIAggCCAIIAggCCAIcAgMCeQIeAAL8AgICWQIEAgUCBgIHAggCCQInAgsCDAINAggCCAIIAggCCAIIAggCCAIIAggCCAIIAggCCAIIAggCCAIcAgMCegIeAAL8AgICUgIEAgUCBgIHAggCCQIcAgsCDAINAggCCAIIAggCCAIIAggCCAIIAggCCAIIAggCCAIIAggCCAIcAgMCewIeAAL8AgICGwIEAgUCBgIHAggCCQIcAgsCDAINAggCCAIIAggCCAIIAggCCAIIAggCCAIIAggCCAIIAggCCAIcAgMCHQIeAAL8AgICHgIEAgUCBgIHAggCCQIKAgsCDAINAggCCAIIAggCCAIIAggCCAIIAggCCAIIAggCCAIIAggCCAIcAgMCHwIeAAL8AgICWAIEAgUCBgIHAggCCQInAgsCDAINAggCCAIIAggCCAIIAggCCAIIAggCCAIIAggCCAIIAggCCAIcAgMCfAIeAAL8AgICIgIEAgUCBgIHAggCCQIKAgsCDAINAggCCAIIAggCCAIIAggCCAIIAggCCAIIAggCCAIIAggCCAIcAgMCIwIeAAL8AgICJAIEAgUCBgIHAggCCQIKAgsCDAINAggCCAIIAggCCAIIAggCCAIIAggCCAIIAggCCAIIAggCCAIcAgMCJQIeAAL8AgICQQIEAgUCBgIHAggCCQInAgsCDAINAggCCAIIAggCCAIIAggCCAIIAggCCAIIAggCCAIIAggCCAIcAgMCQgIeAAL8AgICOAIEAgUCBgIHAggCCQIcAgsCDAINAggCCAIIAggCCAIIAggCCAIIAggCCAIIAggCCAIIAggCCAIcAgMCOQIeAAL8AgICPQIEAgUCBgIHAggCCQInAgsCDAINAggCCAIIAggCCAIIAggCCAIIAggCCAIIAggCCAIIAggCCAIcegAABAACAwI+Ah4AAvwCAgI/AgQCBQIGAgcCCAIJAhwCCwIMAg0CCAIIAggCCAIIAggCCAIIAggCCAIIAggCCAIIAggCCAIIAhwCAwJAAh4AAvwCAgIwAgQCBQIGAgcCCAIJAgoCCwIMAg0CCAIIAggCCAIIAggCCAIIAggCCAIIAggCCAIIAggCCAIIAhwCAwIxAh4AAvwCAgIzAgQCBQIGAgcCCAIJAgoCCwIMAg0CCAIIAggCCAIIAggCCAIIAggCCAIIAggCCAIIAggCCAIIAhwCAwI0Ah4AAvwCAgIgAgQCBQIGAgcCCAIJAhwCCwIMAg0CCAIIAggCCAIIAggCCAIIAggCCAIIAggCCAIIAggCCAIIAhwCAwIhAh4AAvwCAgJPAgQCBQIGAgcCCAIJAicCCwIMAg0CCAIIAggCCAIIAggCCAIIAggCCAIIAggCCAIIAggCCAIIAhwCAwJQAh4AAvwCAgItAgQCBQIGAgcCCAIJAgoCCwIMAg0CCAIIAggCCAIIAggCCAIIAggCCAIIAggCCAIIAggCCAIIAhwCAwI3Ah4AAvwCAgI6AgQCBQIGAgcCCAIJAgoCCwIMAg0CCAIIAggCCAIIAggCCAIIAggCCAIIAggCCAIIAggCCAIIAhwCAwI7Ah4AAvwCAgImAgQCBQIGAgcCCAIJAhwCCwIMAg0CCAIIAggCCAIIAggCCAIIAggCCAIIAggCCAIIAggCCAIIAhwCAwIyAh4AAvwCAgJSAgQCBQIGAgcCCAIJAicCCwIMAg0CCAIIAggCCAIIAggCCAIIAggCCAIIAggCCAIIAggCCAIIAhwCAwJTAh4AAvwCAgIbAgQCBQIGAgcCCAIJAgoCCwIMAg0CCAIIAggCCAIIAggCCAIIAggCCAIIAggCCAIIAggCCAIIAhwCAwI8Ah4AAvwCAgIpAgQCBQIGAgcCCAIJAhwCCwIMAg0CCAIIAggCCAIIAggCCAIIAggCCAIIAggCCAIIAggCCAIIAhwCAwIvAh4AAvwCAgI1AgQCBQIGAgcCCAIJAicCCwIMAg0CCAIIAggCCAIIAggCCAIIAggCCAIIAggCCAIIAggCCAIIAhwCAwI2Ah4AAvwCAgIrAgQCBQIGAgcCCAIJAgoCCwIMAg0CCAIIAggCCAIIAggCCAIIAggCCAIIAggCCAIIAggCCAIIAhwCAwIxAh4AAvwCAgI/AgQCBQIGAgcCCAIJAicCCwIMAg0CCAIIAggCCAIIAggCCAIIAggCCAIIAggCCAIIAggCCAIIAhwCAwJfAh4AAvwCAgI4AgQCBQIGAgcCCAIJAgoCCwIMAg0CCAIIAggCCAIIAggCCAIIAggCCAIIAggCegAABAAIAggCCAIIAggCHAIDAlQCHgAC/AICAlgCBAIFAgYCBwIIAgkCCgILAgwCDQIIAggCCAIIAggCCAIIAggCCAIIAggCCAIIAggCCAIIAggCHAIDAjECHgAC/AICAjACBAIFAgYCBwIIAgkCHAILAgwCDQIIAggCCAIIAggCCAIIAggCCAIIAggCCAIIAggCCAIIAggCHAIDAlYCHgAC/AICAiACBAIFAgYCBwIIAgkCJwILAgwCDQIIAggCCAIIAggCCAIIAggCCAIIAggCCAIIAggCCAIIAggCHAIDAl4CHgAC/AICAhsCBAIFAgYCBwIIAgkCJwILAgwCDQIIAggCCAIIAggCCAIIAggCCAIIAggCCAIIAggCCAIIAggCHAIDAkQCHgAC/AICAjMCBAIFAgYCBwIIAgkCHAILAgwCDQIIAggCCAIIAggCCAIIAggCCAIIAggCCAIIAggCCAIIAggCHAIDAl0CHgAC/AICAj0CBAIFAgYCBwIIAgkCHAILAgwCDQIIAggCCAIIAggCCAIIAggCCAIIAggCCAIIAggCCAIIAggCHAIDAkcCHgAC/AICAisCBAIFAgYCBwIIAgkCJwILAgwCDQIIAggCCAIIAggCCAIIAggCCAIIAggCCAIIAggCCAIIAggCHAIDAlECHgAC/AICAksCBAIFAgYCBwIIAgkCJwILAgwCDQIIAggCCAIIAggCCAIIAggCCAIIAggCCAIIAggCCAIIAggCHAIDAkwCHgAC/AICAk0CBAIFAgYCBwIIAgkCCgILAgwCDQIIAggCCAIIAggCCAIIAggCCAIIAggCCAIIAggCCAIIAggCHAIDAk4CHgAC/AICAkUCBAIFAgYCBwIIAgkCJwILAgwCDQIIAggCCAIIAggCCAIIAggCCAIIAggCCAIIAggCCAIIAggCHAIDAkYCHgAC/AICAlkCBAIFAgYCBwIIAgkCCgILAgwCDQIIAggCCAIIAggCCAIIAggCCAIIAggCCAIIAggCCAIIAggCHAIDAloCHgAC/AICAjoCBAIFAgYCBwIIAgkCHAILAgwCDQIIAggCCAIIAggCCAIIAggCCAIIAggCCAIIAggCCAIIAggCHAIDAlsCHgAC/AICAi0CBAIFAgYCBwIIAgkCHAILAgwCDQIIAggCCAIIAggCCAIIAggCCAIIAggCCAIIAggCCAIIAggCHAIDAi4CHgAC/AICAkECBAIFAgYCBwIIAgkCHAILAgwCDQIIAggCCAIIAggCCAIIAggCCAIIAggCCAIIAggCCAIIAggCHAIDAkMCHgAC/AICAjUCBAIFAgYCBwIIAgkCHAILAgwCDQIIAggCCAIIAggCCAIIegAABAACCAIIAggCCAIIAggCCAIIAggCCAIcAgMCVQIeAAL8AgICKQIEAgUCBgIHAggCCQIKAgsCDAINAggCCAIIAggCCAIIAggCCAIIAggCCAIIAggCCAIIAggCCAIcAgMCVwIeAAL8AgICJgIEAgUCBgIHAggCCQIKAgsCDAINAggCCAIIAggCCAIIAggCCAIIAggCCAIIAggCCAIIAggCCAIcAgMCXAIeAAL8AgICAwIEAgUCBgIHAggCCQIKAgsCDAINAggCCAIIAggCCAIIAggCCAIIAggCCAIIAggCCAIIAggCCAIcAgMCDgIeAAL9AAk5ODczMTA1NjgCAgKCAgQCBQIGAgcCCAIJAhwCCwKOAg0CCAIIAggCCAIIAggCCAIIAggCCAIIAggCCAIIAggCCAIIAgMCAwK9Ah4AAv0CAgI1AgQCBQIGAgcCCAIJAhwCCwKOAg0CCAIIAggCCAIIAggCCAIIAggCCAIIAggCCAIIAggCCAIIAgMCAwKuAh4AAv0CAgJYAgQCBQIGAgcCCAIJAhwCCwKOAg0CCAIIAggCCAIIAggCCAIIAggCCAIIAggCCAIIAggCCAIIAgMCAwLfAh4AAv0CAgI/AgQCBQIGAgcCCAIJAhwCCwKOAg0CCAIIAggCCAIIAggCCAIIAggCCAIIAggCCAIIAggCCAIIAgMCAwKhAh4AAv0CAgJZAgQCBQIGAgcCCAIJAhwCCwKOAg0CCAIIAggCCAIIAggCCAIIAggCCAIIAggCCAIIAggCCAIIAgMCAwK4Ah4AAv0CAgIwAgQCBQIGAgcCCAIJAhwCCwKOAg0CCAIIAggCCAIIAggCCAIIAggCCAIIAggCCAIIAggCCAIIAgMCAwLGAh4AAv0CAgIkAgQCBQIGAgcCCAIJAhwCCwKOAg0CCAIIAggCCAIIAggCCAIIAggCCAIIAggCCAIIAggCCAIIAgMCAwKRAh4AAv0CAgJBAgQCBQIGAgcCCAIJAhwCCwKOAg0CCAIIAggCCAIIAggCCAIIAggCCAIIAggCCAIIAggCCAIIAgMCAwKzAh4AAv0CAgKEAgQCBQIGAgcCCAIJAhwCCwKOAg0CCAIIAggCCAIIAggCCAIIAggCCAIIAggCCAIIAggCCAIIAgMCAwLDAh4AAv0CAgJFAgQCBQIGAgcCCAIJAhwCCwKOAg0CCAIIAggCCAIIAggCCAIIAggCCAIIAggCCAIIAggCCAIIAgMCAwKmAh4AAv0CAgKAAgQCBQIGAgcCCAIJAhwCCwKOAg0CCAIIAggCCAIIAggCCAIIAggCCAIIAggCCAIIAggCCAIIAgMCAwKWAh4AAv0CAgJLAgQCBQIGAgcCCAIJegAABAACHAILAo4CDQIIAggCCAIIAggCCAIIAggCCAIIAggCCAIIAggCCAIIAggCAwIDAtUCHgAC/QICAgMCBAIFAgYCBwIIAgkCHAILAo4CDQIIAggCCAIIAggCCAIIAggCCAIIAggCCAIIAggCCAIIAggCAwIDApgCHgAC/QICAi0CBAIFAgYCBwIIAgkCHAILAo4CDQIIAggCCAIIAggCCAIIAggCCAIIAggCCAIIAggCCAIIAggCAwIDAuYCHgAC/QICAisCBAIFAgYCBwIIAgkCHAILAo4CDQIIAggCCAIIAggCCAIIAggCCAIIAggCCAIIAggCCAIIAggCAwIDAqQCHgAC/QICAk8CBAIFAgYCBwIIAgkCHAILAo4CDQIIAggCCAIIAggCCAIIAggCCAIIAggCCAIIAggCCAIIAggCAwIDAqwCHgAC/QICAh4CBAIFAgYCBwIIAgkCHAILAo4CDQIIAggCCAIIAggCCAIIAggCCAIIAggCCAIIAggCCAIIAggCAwIDAskCHgAC/QICAiYCBAIFAgYCBwIIAgkCHAILAo4CDQIIAggCCAIIAggCCAIIAggCCAIIAggCCAIIAggCCAIIAggCAwIDArYCHgAC/gAJNTgwMTI5NjY0AgICggIEAgUCBgIHAggCCQInAgsCjgINAggCCAIIAggCCAIIAggCCAIIAggCCAIIAggCCAIIAggCCAIXAgMClQIeAAL+AgICSAIEAgUCBgIHAggCCQIcAgsCjgINAggCCAIIAggCCAIIAggCCAIIAggCCAIIAggCCAIIAggCCAIXAgMCmQIeAAL+AgICgAIEAgUCBgIHAggCCQIcAgsCjgINAggCCAIIAggCCAIIAggCCAIIAggCCAIIAggCCAIIAggCCAIXAgMClgIeAAL+AgICKwIEAgUCBgIHAggCCQInAgsCjgINAggCCAIIAggCCAIIAggCCAIIAggCCAIIAggCCAIIAggCCAIXAgMClwIeAAL+AgICAwIEAgUCBgIHAggCCQIcAgsCjgINAggCCAIIAggCCAIIAggCCAIIAggCCAIIAggCCAIIAggCCAIXAgMCmAIeAAL+AgICjAIEAgUCBgIHAggCCQKNAgsCjgINAggCCAIIAggCCAIIAggCCAIIAggCCAIIAggCCAIIAggCCAIXAgMCMQIeAAL+AgICHgIEAgUCBgIHAggCCQKNAgsCjgINAggCCAIIAggCCAIIAggCCAIIAggCCAIIAggCCAIIAggCCAIXAgMCmgIeAAL+AgICOgIEAgUCBgIHAggCCQInAgsCjgINAggCCAIIAggCCAIIAggCCAIIAggCCAIIAggCCAIIAggCCAIXAgMCegAABACUAh4AAv4CAgIkAgQCBQIGAgcCCAIJAicCCwKOAg0CCAIIAggCCAIIAggCCAIIAggCCAIIAggCCAIIAggCCAIIAhcCAwKgAh4AAv4CAgJYAgQCBQIGAgcCCAIJAo0CCwKOAg0CCAIIAggCCAIIAggCCAIIAggCCAIIAggCCAIIAggCCAIIAhcCAwIxAh4AAv4CAgKiAgQCBQIGAgcCCAIJAhwCCwKOAg0CCAIIAggCCAIIAggCCAIIAggCCAIIAggCCAIIAggCCAIIAhcCAwKjAh4AAv4CAgIzAgQCBQIGAgcCCAIJAicCCwKOAg0CCAIIAggCCAIIAggCCAIIAggCCAIIAggCCAIIAggCCAIIAhcCAwK6Ah4AAv4CAgJZAgQCBQIGAgcCCAIJAhwCCwKOAg0CCAIIAggCCAIIAggCCAIIAggCCAIIAggCCAIIAggCCAIIAhcCAwK4Ah4AAv4CAgItAgQCBQIGAgcCCAIJAo0CCwKOAg0CCAIIAggCCAIIAggCCAIIAggCCAIIAggCCAIIAggCCAIIAhcCAwLAAh4AAv4CAgJNAgQCBQIGAgcCCAIJAhwCCwKOAg0CCAIIAggCCAIIAggCCAIIAggCCAIIAggCCAIIAggCCAIIAhcCAwK8Ah4AAv4CAgKAAgQCBQIGAgcCCAIJAicCCwKOAg0CCAIIAggCCAIIAggCCAIIAggCCAIIAggCCAIIAggCCAIIAhcCAwLkAh4AAv4CAgKiAgQCBQIGAgcCCAIJAicCCwKOAg0CCAIIAggCCAIIAggCCAIIAggCCAIIAggCCAIIAggCCAIIAhcCAwLNAh4AAv4CAgKCAgQCBQIGAgcCCAIJAhwCCwKOAg0CCAIIAggCCAIIAggCCAIIAggCCAIIAggCCAIIAggCCAIIAhcCAwK9Ah4AAv4CAgI6AgQCBQIGAgcCCAIJAhwCCwKOAg0CCAIIAggCCAIIAggCCAIIAggCCAIIAggCCAIIAggCCAIIAhcCAwK/Ah4AAv4CAgJIAgQCBQIGAgcCCAIJAicCCwKOAg0CCAIIAggCCAIIAggCCAIIAggCCAIIAggCCAIIAggCCAIIAhcCAwLnAh4AAv4CAgI/AgQCBQIGAgcCCAIJAicCCwKOAg0CCAIIAggCCAIIAggCCAIIAggCCAIIAggCCAIIAggCCAIIAhcCAwKPAh4AAv4CAgIzAgQCBQIGAgcCCAIJAhwCCwKOAg0CCAIIAggCCAIIAggCCAIIAggCCAIIAggCCAIIAggCCAIIAhcCAwKSAh4AAv4CAgJFAgQCBQIGAgcCCAIJAicCCwKOAg0CCAIIAggCCAIIAggCCAIIAggCCAIIAggCCAIIegAABAACCAIIAggCFwIDArECHgAC/gICAjACBAIFAgYCBwIIAgkCjQILAo4CDQIIAggCCAIIAggCCAIIAggCCAIIAggCCAIIAggCCAIIAggCFwIDAjECHgAC/gICAjUCBAIFAgYCBwIIAgkCjQILAo4CDQIIAggCCAIIAggCCAIIAggCCAIIAggCCAIIAggCCAIIAggCFwIDAjECHgAC/gICAkECBAIFAgYCBwIIAgkCjQILAo4CDQIIAggCCAIIAggCCAIIAggCCAIIAggCCAIIAggCCAIIAggCFwIDAtoCHgAC/gICAj0CBAIFAgYCBwIIAgkCHAILAo4CDQIIAggCCAIIAggCCAIIAggCCAIIAggCCAIIAggCCAIIAggCFwIDAtsCHgAC/gICAikCBAIFAgYCBwIIAgkCjQILAo4CDQIIAggCCAIIAggCCAIIAggCCAIIAggCCAIIAggCCAIIAggCFwIDArQCHgAC/gICAjUCBAIFAgYCBwIIAgkCJwILAo4CDQIIAggCCAIIAggCCAIIAggCCAIIAggCCAIIAggCCAIIAggCFwIDArcCHgAC/gICAksCBAIFAgYCBwIIAgkCJwILAo4CDQIIAggCCAIIAggCCAIIAggCCAIIAggCCAIIAggCCAIIAggCFwIDAtkCHgAC/gICAp4CBAIFAgYCBwIIAgkCjQILAo4CDQIIAggCCAIIAggCCAIIAggCCAIIAggCCAIIAggCCAIIAggCFwIDAjECHgAC/gICAlICBAIFAgYCBwIIAgkCJwILAo4CDQIIAggCCAIIAggCCAIIAggCCAIIAggCCAIIAggCCAIIAggCFwIDAtwCHgAC/gICAiYCBAIFAgYCBwIIAgkCHAILAo4CDQIIAggCCAIIAggCCAIIAggCCAIIAggCCAIIAggCCAIIAggCFwIDArYCHgAC/gICApsCBAIFAgYCBwIIAgkCjQILAo4CDQIIAggCCAIIAggCCAIIAggCCAIIAggCCAIIAggCCAIIAggCFwIDAjECHgAC/gICAiACBAIFAgYCBwIIAgkCjQILAo4CDQIIAggCCAIIAggCCAIIAggCCAIIAggCCAIIAggCCAIIAggCFwIDApwCHgAC/gICAjgCBAIFAgYCBwIIAgkCjQILAo4CDQIIAggCCAIIAggCCAIIAggCCAIIAggCCAIIAggCCAIIAggCFwIDArsCHgAC/gICAkECBAIFAgYCBwIIAgkCJwILAo4CDQIIAggCCAIIAggCCAIIAggCCAIIAggCCAIIAggCCAIIAggCFwIDArkCHgAC/gICAj8CBAIFAgYCBwIIAgkCHAILAo4CDQIIAggCCAIIAggCCAIIAggCegAABAA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ggCCAIXAgMCqAIeAAL+AgICTwIEAgUCBgIHAggCCQKNAgsCjgINAggCCAIIAggCCAIIAggCCAIIAggCCAIIAggCCAIIAggCCAIXAgMC2AIeAAL+AgICRQIEAgUCBgIHAggCCQKNAgsCjgINAggCCAIIAggCCAIIAggCCAIIAggCCAIIAggCCAIIAggCCAIXAgMCMQIeAAL+AgICSwIEAgUCBgIHAggCCQIcAgsCjgINAggCCAIIAggCCAIIAggCCAIIAggCCAIIAggCCAIIAggCCAIXAgMC1QIeAAL+AgICUgIEAgUCBgIHAggCCQIcAgsCjgINAggCCAIIAggCCAIIAggCCAIIAggCCAIIAggCCAIIAggCCAIXAgMCqwIeAAL+AgICWQIEAgUCBgIHAggCCQInAgsCjgINAggCCAIIAggCCAIIAggCCAIIAggCCAIIAggCCAIIAggCCAIXAgMCrwIeAAL+AgIChAIEAgUCBgIHAggCCQIcAgsCjgINAggCCAIIAggCCAIIAggCCAIIAggCCAIIAggCCAIIAggCCAIXAgMCwwIeAAL+AgICIgIEAgUCBgIHAggCCQIcAgsCjgINAggCCAIIAggCCAIIAggCCAIIAggCCAIIAggCCAIIAggCCAIXAgMCxwIeAAL+AgICJAIEAgUCBgIHAggCCQKNAgsCjgINAggCCAIIAggCCAIIAggCCAIIAggCCAIIAggCCAIIAggCCAIXAgMCxQIeAAL+AgICTQIEAgUCBgIHAggCCQInAgsCjgINAggCCAIIAggCCAIIAggCCAIIAggCCAIIAggCCAIIAggCCAIXAgMCsAIeAAL+AgICLQIEAgUCBgIHAggCCQInAgsCjgINAggCCAIIAggCCAIIAggCCAIIAggCCAIIAggCCAIIAggCCAIXAgMCyAIeAAL+AgICogIEAgUCBgIHAggCCQKNAgsCjgINAggCCAIIAggCCAIIAggCCAIIAggCCAIIAggCCAIIAggCCAIXAgMCMQIeAAL+AgICSAIEAgUCBgIHAggCCQKNAgsCjgINAggCCAIIegAABAACCAIIAggCCAIIAggCCAIIAggCCAIIAggCCAIIAhcCAwLMAh4AAv4CAgKAAgQCBQIGAgcCCAIJAo0CCwKOAg0CCAIIAggCCAIIAggCCAIIAggCCAIIAggCCAIIAggCCAIIAhcCAwIxAh4AAv4CAgIDAgQCBQIGAgcCCAIJAo0CCwKOAg0CCAIIAggCCAIIAggCCAIIAggCCAIIAggCCAIIAggCCAIIAhcCAwLOAh4AAv4CAgKMAgQCBQIGAgcCCAIJAhwCCwKOAg0CCAIIAggCCAIIAggCCAIIAggCCAIIAggCCAIIAggCCAIIAhcCAwKjAh4AAv4CAgIbAgQCBQIGAgcCCAIJAicCCwKOAg0CCAIIAggCCAIIAggCCAIIAggCCAIIAggCCAIIAggCCAIIAhcCAwLLAh4AAv4CAgIeAgQCBQIGAgcCCAIJAhwCCwKOAg0CCAIIAggCCAIIAggCCAIIAggCCAIIAggCCAIIAggCCAIIAhcCAwLJAh4AAv4CAgJYAgQCBQIGAgcCCAIJAhwCCwKOAg0CCAIIAggCCAIIAggCCAIIAggCCAIIAggCCAIIAggCCAIIAhcCAwLfAh4AAv4CAgKEAgQCBQIGAgcCCAIJAicCCwKOAg0CCAIIAggCCAIIAggCCAIIAggCCAIIAggCCAIIAggCCAIIAhcCAwLRAh4AAv4CAgKMAgQCBQIGAgcCCAIJAicCCwKOAg0CCAIIAggCCAIIAggCCAIIAggCCAIIAggCCAIIAggCCAIIAhcCAwLNAh4AAv4CAgJNAgQCBQIGAgcCCAIJAo0CCwKOAg0CCAIIAggCCAIIAggCCAIIAggCCAIIAggCCAIIAggCCAIIAhcCAwLjAh4AAv4CAgJZAgQCBQIGAgcCCAIJAo0CCwKOAg0CCAIIAggCCAIIAggCCAIIAggCCAIIAggCCAIIAggCCAIIAhcCAwLhAh4AAv4CAgIwAgQCBQIGAgcCCAIJAicCCwKOAg0CCAIIAggCCAIIAggCCAIIAggCCAIIAggCCAIIAggCCAIIAhcCAwLKAh4AAv4CAgIiAgQCBQIGAgcCCAIJAicCCwKOAg0CCAIIAggCCAIIAggCCAIIAggCCAIIAggCCAIIAggCCAIIAhcCAwLQAh4AAv4CAgKCAgQCBQIGAgcCCAIJAo0CCwKOAg0CCAIIAggCCAIIAggCCAIIAggCCAIIAggCCAIIAggCCAIIAhcCAwIxAh4AAv4CAgI6AgQCBQIGAgcCCAIJAo0CCwKOAg0CCAIIAggCCAIIAggCCAIIAggCCAIIAggCCAIIAggCCAIIAhcCAwLlAh4AAv4CAgIeAgQCBQIGAgcCCAIJAicCegAABAALAo4CDQIIAggCCAIIAggCCAIIAggCCAIIAggCCAIIAggCCAIIAggCFwIDAr4CHgAC/gICAjMCBAIFAgYCBwIIAgkCjQILAo4CDQIIAggCCAIIAggCCAIIAggCCAIIAggCCAIIAggCCAIIAggCFwIDAsQCHgAC/gICAi0CBAIFAgYCBwIIAgkCHAILAo4CDQIIAggCCAIIAggCCAIIAggCCAIIAggCCAIIAggCCAIIAggCFwIDAuYCHgAC/gICAjUCBAIFAgYCBwIIAgkCHAILAo4CDQIIAggCCAIIAggCCAIIAggCCAIIAggCCAIIAggCCAIIAggCFwIDAq4CHgAC/gICAj0CBAIFAgYCBwIIAgkCjQILAo4CDQIIAggCCAIIAggCCAIIAggCCAIIAggCCAIIAggCCAIIAggCFwIDArICHgAC/gICApsCBAIFAgYCBwIIAgkCJwILAo4CDQIIAggCCAIIAggCCAIIAggCCAIIAggCCAIIAggCCAIIAggCFwIDAsICHgAC/gICAq0CBAIFAgYCBwIIAgkCjQILAo4CDQIIAggCCAIIAggCCAIIAggCCAIIAggCCAIIAggCCAIIAggCFwIDAjECHgAC/gICAjACBAIFAgYCBwIIAgkCHAILAo4CDQIIAggCCAIIAggCCAIIAggCCAIIAggCCAIIAggCCAIIAggCFwIDAsYCHgAC/gICAiACBAIFAgYCBwIIAgkCJwILAo4CDQIIAggCCAIIAggCCAIIAggCCAIIAggCCAIIAggCCAIIAggCFwIDAsECHgAC/gICAkECBAIFAgYCBwIIAgkCHAILAo4CDQIIAggCCAIIAggCCAIIAggCCAIIAggCCAIIAggCCAIIAggCFwIDArMCHgAC/gICAq0CBAIFAgYCBwIIAgkCHAILAo4CDQIIAggCCAIIAggCCAIIAggCCAIIAggCCAIIAggCCAIIAggCFwIDAqMCHgAC/gICAk8CBAIFAgYCBwIIAgkCJwILAo4CDQIIAggCCAIIAggCCAIIAggCCAIIAggCCAIIAggCCAIIAggCFwIDArUCHgAC/gICAikCBAIFAgYCBwIIAgkCHAILAo4CDQIIAggCCAIIAggCCAIIAggCCAIIAggCCAIIAggCCAIIAggCFwIDAt0CHgAC/gICAp4CBAIFAgYCBwIIAgkCHAILAo4CDQIIAggCCAIIAggCCAIIAggCCAIIAggCCAIIAggCCAIIAggCFwIDAp8CHgAC/gICAiYCBAIFAgYCBwIIAgkCjQILAo4CDQIIAggCCAIIAggCCAIIAggCCAIIAggCCAIIAggCCAIIAggCFwIDAt4CHgAC/gICAj8CBAIFegAABAA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gINAggCCAIIAggCCAIIAggCCAIIAggCCAIIAggCCAIIAggCCAIXAgMC0wIeAAL+AgICmwIEAgUCBgIHAggCCQIcAgsCjgINAggCCAIIAggCCAIIAggCCAIIAggCCAIIAggCCAIIAggCCAIXAgMC0gIeAAL+AgICPQIEAgUCBgIHAggCCQInAgsCjgINAggCCAIIAggCCAIIAggCCAIIAggCCAIIAggCCAIIAggCCAIXAgMC4gIeAAL+AgICGwIEAgUCBgIHAggCCQIcAgsCjgINAggCCAIIAggCCAIIAggCCAIIAggCCAIIAggCCAIIAggCCAIXAgMC1AIeAAL+AgICRQIEAgUCBgIHAggCCQIcAgsCjgINAggCCAIIAggCCAIIAggCCAIIAggCCAIIAggCCAIIAggCCAIXAgMCpgIeAAL+AgICngIEAgUCBgIHAggCCQInAgsCjgINAggCCAIIAggCCAIIAggCCAIIAggCCAIIAggCCAIIAggCCAIXAgMCpQIeAAL+AgICKwIEAgUCBgIHAggCCQKNAgsCjgINAggCCAIIAggCCAIIAggCCAIIAggCCAIIAggCCAIIAggCCAIXAgMCMQIeAAL+AgICSwIEAgUCBgIHAggCCQKNAgsCjgINAggCCAIIAggCCAIIAggCCAIIAggCCAIIAggCCAIIAggCCAIXAgMCqgIeAAL+AgICUgIEAgUCBgIHAggCCQKNAgsCjgINAggCCAIIAggCCAIIAggCCAIIAggCCAIIAggCCAIIAggCCAIXAgMCpwIeAAL+AgICAwIEAgUCBgIHAggCCQInAgsCjgINAggCCAIIAggCCAIIAggCCAIIAggCCAIIAggCCAIIAggCCAIXAgMCnQIeAAL+AgICKQIEAgUCBgIHAggCCQInAgsCjgINAggCCAIIAggCCAIIAggCCAIIAggCCAIIAggCCAIIAggCCAIXAgMCqQIeAAL+AgICTwIEAgUCBgIHAggCCQIcAgsCjgINAggCCAIIAggCCAIIAggCCAIIAggCCAIIAggCCAIIAggCCAIXAgMCrAIeegAABAAAAv4CAgIiAgQCBQIGAgcCCAIJAo0CCwKOAg0CCAIIAggCCAIIAggCCAIIAggCCAIIAggCCAIIAggCCAIIAhcCAwKQAh4AAv4CAgJYAgQCBQIGAgcCCAIJAicCCwKOAg0CCAIIAggCCAIIAggCCAIIAggCCAIIAggCCAIIAggCCAIIAhcCAwLXAh4AAv4CAgKEAgQCBQIGAgcCCAIJAo0CCwKOAg0CCAIIAggCCAIIAggCCAIIAggCCAIIAggCCAIIAggCCAIIAhcCAwIxAh4AAv4CAgIkAgQCBQIGAgcCCAIJAhwCCwKOAg0CCAIIAggCCAIIAggCCAIIAggCCAIIAggCCAIIAggCCAIIAhcCAwKRAh4AAv4CAgI4AgQCBQIGAgcCCAIJAicCCwKOAg0CCAIIAggCCAIIAggCCAIIAggCCAIIAggCCAIIAggCCAIIAhcCAwKTAh4AAv8ACjEyMTYxNDQ2MDgCAgIpAgQCBQIGAgcCCAIJAgoCCwIMAg0CCAIIAggCCAIIAggCCAIIAggCCAIIAggCCAIIAggCCAIIAiACAwJXAh4AAv8CAgImAgQCBQIGAgcCCAIJAgoCCwIMAg0CCAIIAggCCAIIAggCCAIIAggCCAIIAggCCAIIAggCCAIIAiACAwJcAh4AAv8CAgJNAgQCBQIGAgcCCAIJAhwCCwIMAg0CCAIIAggCCAIIAggCCAIIAggCCAIIAggCCAIIAggCCAIIAiACAwJkAh4AAv8CAgJPAgQCBQIGAgcCCAIJAhwCCwIMAg0CCAIIAggCCAIIAggCCAIIAggCCAIIAggCCAIIAggCCAIIAiACAwJ2Ah4AAv8CAgJSAgQCBQIGAgcCCAIJAhwCCwIMAg0CCAIIAggCCAIIAggCCAIIAggCCAIIAggCCAIIAggCCAIIAiACAwJ7Ah4AAv8CAgJLAgQCBQIGAgcCCAIJAhwCCwIMAg0CCAIIAggCCAIIAggCCAIIAggCCAIIAggCCAIIAggCCAIIAiACAwJmAh4AAv8CAgJFAgQCBQIGAgcCCAIJAhwCCwIMAg0CCAIIAggCCAIIAggCCAIIAggCCAIIAggCCAIIAggCCAIIAiACAwJnAh4AAv8CAgI4AgQCBQIGAgcCCAIJAgoCCwIMAg0CCAIIAggCCAIIAggCCAIIAggCCAIIAggCCAIIAggCCAIIAiACAwJUAh4AAv8CAgI9AgQCBQIGAgcCCAIJAgoCCwIMAg0CCAIIAggCCAIIAggCCAIIAggCCAIIAggCCAIIAggCCAIIAiACAwJgAh4AAv8CAgIeAgQCBQIGAgcCCAIJAicCCwIMAg0CCAIIAggCCAIIAggCCAIIAggCegAABAAIAggCCAIIAggCCAIIAggCIAIDAmICHgAC/wICAkgCBAIFAgYCBwIIAgkCJwILAgwCDQIIAggCCAIIAggCCAIIAggCCAIIAggCCAIIAggCCAIIAggCIAIDAmMCHgAC/wICAiACBAIFAgYCBwIIAgkCCgILAgwCDQIIAggCCAIIAggCCAIIAggCCAIIAggCCAIIAggCCAIIAggCIAIDAnUCHgAC/wICAkUCBAIFAgYCBwIIAgkCJwILAgwCDQIIAggCCAIIAggCCAIIAggCCAIIAggCCAIIAggCCAIIAggCIAIDAkYCHgAC/wICAj8CBAIFAgYCBwIIAgkCCgILAgwCDQIIAggCCAIIAggCCAIIAggCCAIIAggCCAIIAggCCAIIAggCIAIDAnICHgAC/wICAksCBAIFAgYCBwIIAgkCJwILAgwCDQIIAggCCAIIAggCCAIIAggCCAIIAggCCAIIAggCCAIIAggCIAIDAkwCHgAC/wICAj0CBAIFAgYCBwIIAgkCHAILAgwCDQIIAggCCAIIAggCCAIIAggCCAIIAggCCAIIAggCCAIIAggCIAIDAkcCHgAC/wICAkECBAIFAgYCBwIIAgkCHAILAgwCDQIIAggCCAIIAggCCAIIAggCCAIIAggCCAIIAggCCAIIAggCIAIDAkMCHgAC/wICAjUCBAIFAgYCBwIIAgkCHAILAgwCDQIIAggCCAIIAggCCAIIAggCCAIIAggCCAIIAggCCAIIAggCIAIDAlUCHgAC/wICAk0CBAIFAgYCBwIIAgkCJwILAgwCDQIIAggCCAIIAggCCAIIAggCCAIIAggCCAIIAggCCAIIAggCIAIDAnECHgAC/wICAlkCBAIFAgYCBwIIAgkCJwILAgwCDQIIAggCCAIIAggCCAIIAggCCAIIAggCCAIIAggCCAIIAggCIAIDAnoCHgAC/wICAjACBAIFAgYCBwIIAgkCJwILAgwCDQIIAggCCAIIAggCCAIIAggCCAIIAggCCAIIAggCCAIIAggCIAIDAmwCHgAC/wICAjMCBAIFAgYCBwIIAgkCJwILAgwCDQIIAggCCAIIAggCCAIIAggCCAIIAggCCAIIAggCCAIIAggCIAIDAmoCHgAC/wICAikCBAIFAgYCBwIIAgkCHAILAgwCDQIIAggCCAIIAggCCAIIAggCCAIIAggCCAIIAggCCAIIAggCIAIDAi8CHgAC/wICAjUCBAIFAgYCBwIIAgkCJwILAgwCDQIIAggCCAIIAggCCAIIAggCCAIIAggCCAIIAggCCAIIAggCIAIDAjYCHgAC/wICAk8CBAIFAgYCBwIIAgkCCgILAgwCDQIIAggCCAIIegAABAACCAIIAggCCAIIAggCCAIIAggCCAIIAggCCAIgAgMCaQIeAAL/AgICLQIEAgUCBgIHAggCCQInAgsCDAINAggCCAIIAggCCAIIAggCCAIIAggCCAIIAggCCAIIAggCCAIgAgMCdwIeAAL/AgICOgIEAgUCBgIHAggCCQInAgsCDAINAggCCAIIAggCCAIIAggCCAIIAggCCAIIAggCCAIIAggCCAIgAgMCeAIeAAL/AgICRQIEAgUCBgIHAggCCQIKAgsCDAINAggCCAIIAggCCAIIAggCCAIIAggCCAIIAggCCAIIAggCCAIgAgMCMQIeAAL/AgICJgIEAgUCBgIHAggCCQIcAgsCDAINAggCCAIIAggCCAIIAggCCAIIAggCCAIIAggCCAIIAggCCAIgAgMCMgIeAAL/AgICIgIEAgUCBgIHAggCCQIKAgsCDAINAggCCAIIAggCCAIIAggCCAIIAggCCAIIAggCCAIIAggCCAIgAgMCIwIeAAL/AgICAwIEAgUCBgIHAggCCQIcAgsCDAINAggCCAIIAggCCAIIAggCCAIIAggCCAIIAggCCAIIAggCCAIgAgMCcAIeAAL/AgICPQIEAgUCBgIHAggCCQInAgsCDAINAggCCAIIAggCCAIIAggCCAIIAggCCAIIAggCCAIIAggCCAIgAgMCPgIeAAL/AgICQQIEAgUCBgIHAggCCQInAgsCDAINAggCCAIIAggCCAIIAggCCAIIAggCCAIIAggCCAIIAggCCAIgAgMCQgIeAAL/AgICJAIEAgUCBgIHAggCCQIKAgsCDAINAggCCAIIAggCCAIIAggCCAIIAggCCAIIAggCCAIIAggCCAIgAgMCJQIeAAL/AgICSwIEAgUCBgIHAggCCQIKAgsCDAINAggCCAIIAggCCAIIAggCCAIIAggCCAIIAggCCAIIAggCCAIgAgMCdAIeAAL/AgICOAIEAgUCBgIHAggCCQIcAgsCDAINAggCCAIIAggCCAIIAggCCAIIAggCCAIIAggCCAIIAggCCAIgAgMCOQIeAAL/AgICGwIEAgUCBgIHAggCCQIKAgsCDAINAggCCAIIAggCCAIIAggCCAIIAggCCAIIAggCCAIIAggCCAIgAgMCPAIeAAL/AgICKwIEAgUCBgIHAggCCQIKAgsCDAINAggCCAIIAggCCAIIAggCCAIIAggCCAIIAggCCAIIAggCCAIgAgMCMQIeAAL/AgICWQIEAgUCBgIHAggCCQIcAgsCDAINAggCCAIIAggCCAIIAggCCAIIAggCCAIIAggCCAIIAggCCAIgAgMCbgIeAAL/AgICUgIEAgUCBgIHAggCCQIKAgsCegAABAAMAg0CCAIIAggCCAIIAggCCAIIAggCCAIIAggCCAIIAggCCAIIAiACAwJoAh4AAv8CAgItAgQCBQIGAgcCCAIJAhwCCwIMAg0CCAIIAggCCAIIAggCCAIIAggCCAIIAggCCAIIAggCCAIIAiACAwIuAh4AAv8CAgI6AgQCBQIGAgcCCAIJAhwCCwIMAg0CCAIIAggCCAIIAggCCAIIAggCCAIIAggCCAIIAggCCAIIAiACAwJbAh4AAv8CAgIeAgQCBQIGAgcCCAIJAgoCCwIMAg0CCAIIAggCCAIIAggCCAIIAggCCAIIAggCCAIIAggCCAIIAiACAwIfAh4AAv8CAgIbAgQCBQIGAgcCCAIJAhwCCwIMAg0CCAIIAggCCAIIAggCCAIIAggCCAIIAggCCAIIAggCCAIIAiACAwIdAh4AAv8CAgIzAgQCBQIGAgcCCAIJAhwCCwIMAg0CCAIIAggCCAIIAggCCAIIAggCCAIIAggCCAIIAggCCAIIAiACAwJdAh4AAv8CAgIrAgQCBQIGAgcCCAIJAhwCCwIMAg0CCAIIAggCCAIIAggCCAIIAggCCAIIAggCCAIIAggCCAIIAiACAwIsAh4AAv8CAgJZAgQCBQIGAgcCCAIJAgoCCwIMAg0CCAIIAggCCAIIAggCCAIIAggCCAIIAggCCAIIAggCCAIIAiACAwJaAh4AAv8CAgImAgQCBQIGAgcCCAIJAicCCwIMAg0CCAIIAggCCAIIAggCCAIIAggCCAIIAggCCAIIAggCCAIIAiACAwIoAh4AAv8CAgIpAgQCBQIGAgcCCAIJAicCCwIMAg0CCAIIAggCCAIIAggCCAIIAggCCAIIAggCCAIIAggCCAIIAiACAwIqAh4AAv8CAgIDAgQCBQIGAgcCCAIJAgoCCwIMAg0CCAIIAggCCAIIAggCCAIIAggCCAIIAggCCAIIAggCCAIIAiACAwIOAh4AAv8CAgIiAgQCBQIGAgcCCAIJAhwCCwIMAg0CCAIIAggCCAIIAggCCAIIAggCCAIIAggCCAIIAggCCAIIAiACAwJzAh4AAv8CAgIwAgQCBQIGAgcCCAIJAhwCCwIMAg0CCAIIAggCCAIIAggCCAIIAggCCAIIAggCCAIIAggCCAIIAiACAwJWAh4AAv8CAgJIAgQCBQIGAgcCCAIJAgoCCwIMAg0CCAIIAggCCAIIAggCCAIIAggCCAIIAggCCAIIAggCCAIIAiACAwJ+Ah4AAv8CAgI4AgQCBQIGAgcCCAIJAicCCwIMAg0CCAIIAggCCAIIAggCCAIIAggCCAIIAggCCAIIAggCCAIIAiACAwJ5Ah4AAv8CAgIgAgQCBQIGegAABAACBwIIAgkCJwILAgwCDQIIAggCCAIIAggCCAIIAggCCAIIAggCCAIIAggCCAIIAggCIAIDAl4CHgAC/wICAj8CBAIFAgYCBwIIAgkCJwILAgwCDQIIAggCCAIIAggCCAIIAggCCAIIAggCCAIIAggCCAIIAggCIAIDAl8CHgAC/wICAiQCBAIFAgYCBwIIAgkCHAILAgwCDQIIAggCCAIIAggCCAIIAggCCAIIAggCCAIIAggCCAIIAggCIAIDAn0CHgAC/wICAk8CBAIFAgYCBwIIAgkCJwILAgwCDQIIAggCCAIIAggCCAIIAggCCAIIAggCCAIIAggCCAIIAggCIAIDAlACHgAC/wICAlICBAIFAgYCBwIIAgkCJwILAgwCDQIIAggCCAIIAggCCAIIAggCCAIIAggCCAIIAggCCAIIAggCIAIDAlMCHgAC/wICAjoCBAIFAgYCBwIIAgkCCgILAgwCDQIIAggCCAIIAggCCAIIAggCCAIIAggCCAIIAggCCAIIAggCIAIDAjsCHgAC/wICAkgCBAIFAgYCBwIIAgkCHAILAgwCDQIIAggCCAIIAggCCAIIAggCCAIIAggCCAIIAggCCAIIAggCIAIDAkkCHgAC/wICAjUCBAIFAgYCBwIIAgkCCgILAgwCDQIIAggCCAIIAggCCAIIAggCCAIIAggCCAIIAggCCAIIAggCIAIDAjECHgAC/wICAjACBAIFAgYCBwIIAgkCCgILAgwCDQIIAggCCAIIAggCCAIIAggCCAIIAggCCAIIAggCCAIIAggCIAIDAjECHgAC/wICAi0CBAIFAgYCBwIIAgkCCgILAgwCDQIIAggCCAIIAggCCAIIAggCCAIIAggCCAIIAggCCAIIAggCIAIDAjcCHgAC/wICAk0CBAIFAgYCBwIIAgkCCgILAgwCDQIIAggCCAIIAggCCAIIAggCCAIIAggCCAIIAggCCAIIAggCIAIDAk4CHgAC/wICAh4CBAIFAgYCBwIIAgkCHAILAgwCDQIIAggCCAIIAggCCAIIAggCCAIIAggCCAIIAggCCAIIAggCIAIDAkoCHgAC/wICAjMCBAIFAgYCBwIIAgkCCgILAgwCDQIIAggCCAIIAggCCAIIAggCCAIIAggCCAIIAggCCAIIAggCIAIDAjQCHgAC/wICAisCBAIFAgYCBwIIAgkCJwILAgwCDQIIAggCCAIIAggCCAIIAggCCAIIAggCCAIIAggCCAIIAggCIAIDAlECHgAC/wICAgMCBAIFAgYCBwIIAgkCJwILAgwCDQIIAggCCAIIAggCCAIIAggCCAIIAggCCAIIAggCCAIIAggCIAIDAmUCHgACegAABAD/AgICGwIEAgUCBgIHAggCCQInAgsCDAINAggCCAIIAggCCAIIAggCCAIIAggCCAIIAggCCAIIAggCCAIgAgMCRAIeAAL/AgICPwIEAgUCBgIHAggCCQIcAgsCDAINAggCCAIIAggCCAIIAggCCAIIAggCCAIIAggCCAIIAggCCAIgAgMCQAIeAAL/AgICQQIEAgUCBgIHAggCCQIKAgsCDAINAggCCAIIAggCCAIIAggCCAIIAggCCAIIAggCCAIIAggCCAIgAgMCYQIeAAL/AgICIAIEAgUCBgIHAggCCQIcAgsCDAINAggCCAIIAggCCAIIAggCCAIIAggCCAIIAggCCAIIAggCCAIgAgMCIQIeAAL/AgICIgIEAgUCBgIHAggCCQInAgsCDAINAggCCAIIAggCCAIIAggCCAIIAggCCAIIAggCCAIIAggCCAIgAgMCbQIeAAL/AgICJAIEAgUCBgIHAggCCQInAgsCDAINAggCCAIIAggCCAIIAggCCAIIAggCCAIIAggCCAIIAggCCAIgAgMCbwIeAAQAAQAJNzEzNzUxNzg0AgICSwIEAgUCBgIHAggCCQIcAgsCDAINAggCCAIIAggCCAIIAggCCAIIAggCCAIIAggCCAIIAggCCAISAgMCZgIeAAQAAQICAh4CBAIFAgYCBwIIAgkCJwILAgwCDQIIAggCCAIIAggCCAIIAggCCAIIAggCCAIIAggCCAIIAggCEgIDAmICHgAEAAECAgI9AgQCBQIGAgcCCAIJAgoCCwIMAg0CCAIIAggCCAIIAggCCAIIAggCCAIIAggCCAIIAggCCAIIAhICAwJgAh4ABAABAgICWAIEAgUCBgIHAggCCQInAgsCDAINAggCCAIIAggCCAIIAggCCAIIAggCCAIIAggCCAIIAggCCAISAgMCfAIeAAQAAQICAiYCBAIFAgYCBwIIAgkCCgILAgwCDQIIAggCCAIIAggCCAIIAggCCAIIAggCCAIIAggCCAIIAggCEgIDAlwCHgAEAAECAgJSAgQCBQIGAgcCCAIJAhwCCwIMAg0CCAIIAggCCAIIAggCCAIIAggCCAIIAggCCAIIAggCCAIIAhICAwJ7Ah4ABAABAgICNQIEAgUCBgIHAggCCQIcAgsCDAINAggCCAIIAggCCAIIAggCCAIIAggCCAIIAggCCAIIAggCCAISAgMCVQIeAAQAAQICAiACBAIFAgYCBwIIAgkCCgILAgwCDQIIAggCCAIIAggCCAIIAggCCAIIAggCCAIIAggCCAIIAggCEgIDAnUCHgAEAAECAgJBAgQCBQIGAgcCCAIJAhwCCwIMAg0CCAIIAggCCAIIAggCegAABAAIAggCCAIIAggCCAIIAggCCAIIAggCEgIDAkMCHgAEAAECAgKbAgQCBQIGAgcCCAIJAgoCCwIMAg0CCAIIAggCCAIIAggCCAIIAggCCAIIAggCCAIIAggCCAIIAhICAwIxAh4ABAABAgICHgIEAgUCBgIHAggCCQIcAgsCDAINAggCCAIIAggCCAIIAggCCAIIAggCCAIIAggCCAIIAggCCAISAgMCSgIeAAQAAQICAk0CBAIFAgYCBwIIAgkCCgILAgwCDQIIAggCCAIIAggCCAIIAggCCAIIAggCCAIIAggCCAIIAggCEgIDAk4CHgAEAAECAgJLAgQCBQIGAgcCCAIJAicCCwIMAg0CCAIIAggCCAIIAggCCAIIAggCCAIIAggCCAIIAggCCAIIAhICAwJMAh4ABAABAgICUgIEAgUCBgIHAggCCQInAgsCDAINAggCCAIIAggCCAIIAggCCAIIAggCCAIIAggCCAIIAggCCAISAgMCUwIeAAQAAQICAhsCBAIFAgYCBwIIAgkCJwILAgwCDQIIAggCCAIIAggCCAIIAggCCAIIAggCCAIIAggCCAIIAggCEgIDAkQCHgAEAAECAgItAgQCBQIGAgcCCAIJAgoCCwIMAg0CCAIIAggCCAIIAggCCAIIAggCCAIIAggCCAIIAggCCAIIAhICAwI3Ah4ABAABAgICIgIEAgUCBgIHAggCCQInAgsCDAINAggCCAIIAggCCAIIAggCCAIIAggCCAIIAggCCAIIAggCCAISAgMCbQIeAAQAAQICAoQCBAIFAgYCBwIIAgkCJwILAgwCDQIIAggCCAIIAggCCAIIAggCCAIIAggCCAIIAggCCAIIAggCEgIDAoUCHgAEAAECAgIwAgQCBQIGAgcCCAIJAgoCCwIMAg0CCAIIAggCCAIIAggCCAIIAggCCAIIAggCCAIIAggCCAIIAhICAwIxAh4ABAABAgICjAIEAgUCBgIHAggCCQInAgsCDAINAggCCAIIAggCCAIIAggCCAIIAggCCAIIAggCCAIIAggCCAISAgMC8AIeAAQAAQICAj8CBAIFAgYCBwIIAgkCHAILAgwCDQIIAggCCAIIAggCCAIIAggCCAIIAggCCAIIAggCCAIIAggCEgIDAkACHgAEAAECAgKtAgQCBQIGAgcCCAIJAgoCCwIMAg0CCAIIAggCCAIIAggCCAIIAggCCAIIAggCCAIIAggCCAIIAhICAwIxAh4ABAABAgICGwIEAgUCBgIHAggCCQIcAgsCDAINAggCCAIIAggCCAIIAggCCAIIAggCCAIIAggCCAIIAggCCAISAgMCHQIeAAQAAQICAp4CBAIFAgYCegAABAAHAggCCQInAgsCDAINAggCCAIIAggCCAIIAggCCAIIAggCCAIIAggCCAIIAggCCAISAgMC7gIeAAQAAQICAkgCBAIFAgYCBwIIAgkCCgILAgwCDQIIAggCCAIIAggCCAIIAggCCAIIAggCCAIIAggCCAIIAggCEgIDAn4CHgAEAAECAgKtAgQCBQIGAgcCCAIJAicCCwIMAg0CCAIIAggCCAIIAggCCAIIAggCCAIIAggCCAIIAggCCAIIAhICAwLwAh4ABAABAgICLQIEAgUCBgIHAggCCQIcAgsCDAINAggCCAIIAggCCAIIAggCCAIIAggCCAIIAggCCAIIAggCCAISAgMCLgIeAAQAAQICAikCBAIFAgYCBwIIAgkCJwILAgwCDQIIAggCCAIIAggCCAIIAggCCAIIAggCCAIIAggCCAIIAggCEgIDAioCHgAEAAECAgKAAgQCBQIGAgcCCAIJAgoCCwIMAg0CCAIIAggCCAIIAggCCAIIAggCCAIIAggCCAIIAggCCAIIAhICAwIxAh4ABAABAgICjAIEAgUCBgIHAggCCQIKAgsCDAINAggCCAIIAggCCAIIAggCCAIIAggCCAIIAggCCAIIAggCCAISAgMCMQIeAAQAAQICAlkCBAIFAgYCBwIIAgkCCgILAgwCDQIIAggCCAIIAggCCAIIAggCCAIIAggCCAIIAggCCAIIAggCEgIDAloCHgAEAAECAgI/AgQCBQIGAgcCCAIJAicCCwIMAg0CCAIIAggCCAIIAggCCAIIAggCCAIIAggCCAIIAggCCAIIAhICAwJfAh4ABAABAgICngIEAgUCBgIHAggCCQIcAgsCDAINAggCCAIIAggCCAIIAggCCAIIAggCCAIIAggCCAIIAggCCAISAgMC7wIeAAQAAQICAiQCBAIFAgYCBwIIAgkCHAILAgwCDQIIAggCCAIIAggCCAIIAggCCAIIAggCCAIIAggCCAIIAggCEgIDAn0CHgAEAAECAgIwAgQCBQIGAgcCCAIJAhwCCwIMAg0CCAIIAggCCAIIAggCCAIIAggCCAIIAggCCAIIAggCCAIIAhICAwJWAh4ABAABAgICOAIEAgUCBgIHAggCCQInAgsCDAINAggCCAIIAggCCAIIAggCCAIIAggCCAIIAggCCAIIAggCCAISAgMCeQIeAAQAAQICAqICBAIFAgYCBwIIAgkCCgILAgwCDQIIAggCCAIIAggCCAIIAggCCAIIAggCCAIIAggCCAIIAggCEgIDAjECHgAEAAECAgItAgQCBQIGAgcCCAIJAicCCwIMAg0CCAIIAggCCAIIAggCCAIIAggCCAIIAggCCAIIAggCegAABAAIAggCEgIDAncCHgAEAAECAgIrAgQCBQIGAgcCCAIJAgoCCwIMAg0CCAIIAggCCAIIAggCCAIIAggCCAIIAggCCAIIAggCCAIIAhICAwIxAh4ABAABAgICSwIEAgUCBgIHAggCCQIKAgsCDAINAggCCAIIAggCCAIIAggCCAIIAggCCAIIAggCCAIIAggCCAISAgMCdAIeAAQAAQICAq0CBAIFAgYCBwIIAgkCHAILAgwCDQIIAggCCAIIAggCCAIIAggCCAIIAggCCAIIAggCCAIIAggCEgIDAvECHgAEAAECAgIDAgQCBQIGAgcCCAIJAhwCCwIMAg0CCAIIAggCCAIIAggCCAIIAggCCAIIAggCCAIIAggCCAIIAhICAwJwAh4ABAABAgICKQIEAgUCBgIHAggCCQIcAgsCDAINAggCCAIIAggCCAIIAggCCAIIAggCCAIIAggCCAIIAggCCAISAgMCLwIeAAQAAQICAlgCBAIFAgYCBwIIAgkCHAILAgwCDQIIAggCCAIIAggCCAIIAggCCAIIAggCCAIIAggCCAIIAggCEgIDAmsCHgAEAAECAgI4AgQCBQIGAgcCCAIJAhwCCwIMAg0CCAIIAggCCAIIAggCCAIIAggCCAIIAggCCAIIAggCCAIIAhICAwI5Ah4ABAABAgICIgIEAgUCBgIHAggCCQIKAgsCDAINAggCCAIIAggCCAIIAggCCAIIAggCCAIIAggCCAIIAggCCAISAgMCIwIeAAQAAQICAlICBAIFAgYCBwIIAgkCCgILAgwCDQIIAggCCAIIAggCCAIIAggCCAIIAggCCAIIAggCCAIIAggCEgIDAmgCHgAEAAECAgIwAgQCBQIGAgcCCAIJAicCCwIMAg0CCAIIAggCCAIIAggCCAIIAggCCAIIAggCCAIIAggCCAIIAhICAwJsAh4ABAABAgICPQIEAgUCBgIHAggCCQInAgsCDAINAggCCAIIAggCCAIIAggCCAIIAggCCAIIAggCCAIIAggCCAISAgMCPgIeAAQAAQICAoACBAIFAgYCBwIIAgkCJwILAgwCDQIIAggCCAIIAggCCAIIAggCCAIIAggCCAIIAggCCAIIAggCEgIDAoECHgAEAAECAgKEAgQCBQIGAgcCCAIJAgoCCwIMAg0CCAIIAggCCAIIAggCCAIIAggCCAIIAggCCAIIAggCCAIIAhICAwIxAh4ABAABAgICTQIEAgUCBgIHAggCCQIcAgsCDAINAggCCAIIAggCCAIIAggCCAIIAggCCAIIAggCCAIIAggCCAISAgMCZAIeAAQAAQICAqICBAIFAgYCBwIIAgkCJwILAgwCDQIIAggCegAABAAIAggCCAIIAggCCAIIAggCCAIIAggCCAIIAggCCAISAgMC8AIeAAQAAQICAkUCBAIFAgYCBwIIAgkCHAILAgwCDQIIAggCCAIIAggCCAIIAggCCAIIAggCCAIIAggCCAIIAggCEgIDAmcCHgAEAAECAgJIAgQCBQIGAgcCCAIJAicCCwIMAg0CCAIIAggCCAIIAggCCAIIAggCCAIIAggCCAIIAggCCAIIAhICAwJjAh4ABAABAgICngIEAgUCBgIHAggCCQIKAgsCDAINAggCCAIIAggCCAIIAggCCAIIAggCCAIIAggCCAIIAggCCAISAgMCMQIeAAQAAQICAjgCBAIFAgYCBwIIAgkCCgILAgwCDQIIAggCCAIIAggCCAIIAggCCAIIAggCCAIIAggCCAIIAggCEgIDAlQCHgAEAAECAgJZAgQCBQIGAgcCCAIJAicCCwIMAg0CCAIIAggCCAIIAggCCAIIAggCCAIIAggCCAIIAggCCAIIAhICAwJ6Ah4ABAABAgICKQIEAgUCBgIHAggCCQIKAgsCDAINAggCCAIIAggCCAIIAggCCAIIAggCCAIIAggCCAIIAggCCAISAgMCVwIeAAQAAQICAk0CBAIFAgYCBwIIAgkCJwILAgwCDQIIAggCCAIIAggCCAIIAggCCAIIAggCCAIIAggCCAIIAggCEgIDAnECHgAEAAECAgJFAgQCBQIGAgcCCAIJAicCCwIMAg0CCAIIAggCCAIIAggCCAIIAggCCAIIAggCCAIIAggCCAIIAhICAwJGAh4ABAABAgICPwIEAgUCBgIHAggCCQIKAgsCDAINAggCCAIIAggCCAIIAggCCAIIAggCCAIIAggCCAIIAggCCAISAgMCcgIeAAQAAQICAj0CBAIFAgYCBwIIAgkCHAILAgwCDQIIAggCCAIIAggCCAIIAggCCAIIAggCCAIIAggCCAIIAggCEgIDAkcCHgAEAAECAgKAAgQCBQIGAgcCCAIJAhwCCwIMAg0CCAIIAggCCAIIAggCCAIIAggCCAIIAggCCAIIAggCCAIIAhICAwKDAh4ABAABAgICOgIEAgUCBgIHAggCCQIKAgsCDAINAggCCAIIAggCCAIIAggCCAIIAggCCAIIAggCCAIIAggCCAISAgMCOwIeAAQAAQICAk8CBAIFAgYCBwIIAgkCJwILAgwCDQIIAggCCAIIAggCCAIIAggCCAIIAggCCAIIAggCCAIIAggCEgIDAlACHgAEAAECAgIrAgQCBQIGAgcCCAIJAicCCwIMAg0CCAIIAggCCAIIAggCCAIIAggCCAIIAggCCAIIAggCCAIIAhICAwJRAh4ABAABAgICegAABABIAgQCBQIGAgcCCAIJAhwCCwIMAg0CCAIIAggCCAIIAggCCAIIAggCCAIIAggCCAIIAggCCAIIAhICAwJJAh4ABAABAgICggIEAgUCBgIHAggCCQIKAgsCDAINAggCCAIIAggCCAIIAggCCAIIAggCCAIIAggCCAIIAggCCAISAgMCMQIeAAQAAQICAk8CBAIFAgYCBwIIAgkCHAILAgwCDQIIAggCCAIIAggCCAIIAggCCAIIAggCCAIIAggCCAIIAggCEgIDAnYCHgAEAAECAgIDAgQCBQIGAgcCCAIJAicCCwIMAg0CCAIIAggCCAIIAggCCAIIAggCCAIIAggCCAIIAggCCAIIAhICAwJlAh4ABAABAgICMwIEAgUCBgIHAggCCQIKAgsCDAINAggCCAIIAggCCAIIAggCCAIIAggCCAIIAggCCAIIAggCCAISAgMCNAIeAAQAAQICAiQCBAIFAgYCBwIIAgkCJwILAgwCDQIIAggCCAIIAggCCAIIAggCCAIIAggCCAIIAggCCAIIAggCEgIDAm8CHgAEAAECAgKbAgQCBQIGAgcCCAIJAhwCCwIMAg0CCAIIAggCCAIIAggCCAIIAggCCAIIAggCCAIIAggCCAIIAhICAwLyAh4ABAABAgICIAIEAgUCBgIHAggCCQIcAgsCDAINAggCCAIIAggCCAIIAggCCAIIAggCCAIIAggCCAIIAggCCAISAgMCIQIeAAQAAQICAqICBAIFAgYCBwIIAgkCHAILAgwCDQIIAggCCAIIAggCCAIIAggCCAIIAggCCAIIAggCCAIIAggCEgIDAvECHgAEAAECAgJBAgQCBQIGAgcCCAIJAgoCCwIMAg0CCAIIAggCCAIIAggCCAIIAggCCAIIAggCCAIIAggCCAIIAhICAwJhAh4ABAABAgICNQIEAgUCBgIHAggCCQIKAgsCDAINAggCCAIIAggCCAIIAggCCAIIAggCCAIIAggCCAIIAggCCAISAgMCMQIeAAQAAQICAisCBAIFAgYCBwIIAgkCHAILAgwCDQIIAggCCAIIAggCCAIIAggCCAIIAggCCAIIAggCCAIIAggCEgIDAiwCHgAEAAECAgIeAgQCBQIGAgcCCAIJAgoCCwIMAg0CCAIIAggCCAIIAggCCAIIAggCCAIIAggCCAIIAggCCAIIAhICAwIfAh4ABAABAgICJgIEAgUCBgIHAggCCQInAgsCDAINAggCCAIIAggCCAIIAggCCAIIAggCCAIIAggCCAIIAggCCAISAgMCKAIeAAQAAQICAoICBAIFAgYCBwIIAgkCHAILAgwCDQIIAggCCAIIAggCCAIIAggCCAIIAggCegAABAAIAggCCAIIAggCCAISAgMChgIeAAQAAQICAjoCBAIFAgYCBwIIAgkCHAILAgwCDQIIAggCCAIIAggCCAIIAggCCAIIAggCCAIIAggCCAIIAggCEgIDAlsCHgAEAAECAgIDAgQCBQIGAgcCCAIJAgoCCwIMAg0CCAIIAggCCAIIAggCCAIIAggCCAIIAggCCAIIAggCCAIIAhICAwIOAh4ABAABAgICIAIEAgUCBgIHAggCCQInAgsCDAINAggCCAIIAggCCAIIAggCCAIIAggCCAIIAggCCAIIAggCCAISAgMCXgIeAAQAAQICAjMCBAIFAgYCBwIIAgkCHAILAgwCDQIIAggCCAIIAggCCAIIAggCCAIIAggCCAIIAggCCAIIAggCEgIDAl0CHgAEAAECAgKbAgQCBQIGAgcCCAIJAicCCwIMAg0CCAIIAggCCAIIAggCCAIIAggCCAIIAggCCAIIAggCCAIIAhICAwLzAh4ABAABAgIChAIEAgUCBgIHAggCCQIcAgsCDAINAggCCAIIAggCCAIIAggCCAIIAggCCAIIAggCCAIIAggCCAISAgMChwIeAAQAAQICAiICBAIFAgYCBwIIAgkCHAILAgwCDQIIAggCCAIIAggCCAIIAggCCAIIAggCCAIIAggCCAIIAggCEgIDAnMCHgAEAAECAgJYAgQCBQIGAgcCCAIJAgoCCwIMAg0CCAIIAggCCAIIAggCCAIIAggCCAIIAggCCAIIAggCCAIIAhICAwIxAh4ABAABAgICOgIEAgUCBgIHAggCCQInAgsCDAINAggCCAIIAggCCAIIAggCCAIIAggCCAIIAggCCAIIAggCCAISAgMCeAIeAAQAAQICAoICBAIFAgYCBwIIAgkCJwILAgwCDQIIAggCCAIIAggCCAIIAggCCAIIAggCCAIIAggCCAIIAggCEgIDAogCHgAEAAECAgKMAgQCBQIGAgcCCAIJAhwCCwIMAg0CCAIIAggCCAIIAggCCAIIAggCCAIIAggCCAIIAggCCAIIAhICAwLxAh4ABAABAgICGwIEAgUCBgIHAggCCQIKAgsCDAINAggCCAIIAggCCAIIAggCCAIIAggCCAIIAggCCAIIAggCCAISAgMCPAIeAAQAAQICAjUCBAIFAgYCBwIIAgkCJwILAgwCDQIIAggCCAIIAggCCAIIAggCCAIIAggCCAIIAggCCAIIAggCEgIDAjYCHgAEAAECAgImAgQCBQIGAgcCCAIJAhwCCwIMAg0CCAIIAggCCAIIAggCCAIIAggCCAIIAggCCAIIAggCCAIIAhICAwIyAh4ABAABAgICRQIEAgUCBgIHAggCCQIKAgsCegAABAAMAg0CCAIIAggCCAIIAggCCAIIAggCCAIIAggCCAIIAggCCAIIAhICAwIxAh4ABAABAgICWQIEAgUCBgIHAggCCQIcAgsCDAINAggCCAIIAggCCAIIAggCCAIIAggCCAIIAggCCAIIAggCCAISAgMCbgIeAAQAAQICAiQCBAIFAgYCBwIIAgkCCgILAgwCDQIIAggCCAIIAggCCAIIAggCCAIIAggCCAIIAggCCAIIAggCEgIDAiUCHgAEAAECAgJPAgQCBQIGAgcCCAIJAgoCCwIMAg0CCAIIAggCCAIIAggCCAIIAggCCAIIAggCCAIIAggCCAIIAhICAwJpAh4ABAABAgICQQIEAgUCBgIHAggCCQInAgsCDAINAggCCAIIAggCCAIIAggCCAIIAggCCAIIAggCCAIIAggCCAISAgMCQgIeAAQAAQICAjMCBAIFAgYCBwIIAgkCJwILAgwCDQIIAggCCAIIAggCCAIIAggCCAIIAggCCAIIAggCCAIIAggCEgIDAmoCHgAEAQEACTU4MDEyODUwNAICAlkCBAIFAgYCBwIIAgkCJwILAgwCDQIIAggCCAIIAggCCAIIAggCCAIIAggCCAIIAggCCAIIAggCFgIDAnoCHgAEAQECAgIpAgQCBQIGAgcCCAIJAgoCCwIMAg0CCAIIAggCCAIIAggCCAIIAggCCAIIAggCCAIIAggCCAIIAhYCAwJXAh4ABAEBAgICTwIEAgUCBgIHAggCCQIcAgsCDAINAggCCAIIAggCCAIIAggCCAIIAggCCAIIAggCCAIIAggCCAIWAgMCdgIeAAQBAQICAp4CBAIFAgYCBwIIAgkCCgILAgwCDQIIAggCCAIIAggCCAIIAggCCAIIAggCCAIIAggCCAIIAggCFgIDAjECHgAEAQECAgJNAgQCBQIGAgcCCAIJAhwCCwIMAg0CCAIIAggCCAIIAggCCAIIAggCCAIIAggCCAIIAggCCAIIAhYCAwJkAh4ABAEBAgICOAIEAgUCBgIHAggCCQIKAgsCDAINAggCCAIIAggCCAIIAggCCAIIAggCCAIIAggCCAIIAggCCAIWAgMCVAIeAAQBAQICAkUCBAIFAgYCBwIIAgkCHAILAgwCDQIIAggCCAIIAggCCAIIAggCCAIIAggCCAIIAggCCAIIAggCFgIDAmcCHgAEAQECAgJFAgQCBQIGAgcCCAIJAicCCwIMAg0CCAIIAggCCAIIAggCCAIIAggCCAIIAggCCAIIAggCCAIIAhYCAwJGAh4ABAEBAgICPwIEAgUCBgIHAggCCQIKAgsCDAINAggCCAIIAggCCAIIAggCCAIIAggCCAIIAggCCAIIegAABAACCAIIAhYCAwJyAh4ABAEBAgICTQIEAgUCBgIHAggCCQInAgsCDAINAggCCAIIAggCCAIIAggCCAIIAggCCAIIAggCCAIIAggCCAIWAgMCcQIeAAQBAQICAkgCBAIFAgYCBwIIAgkCJwILAgwCDQIIAggCCAIIAggCCAIIAggCCAIIAggCCAIIAggCCAIIAggCFgIDAmMCHgAEAQECAgI9AgQCBQIGAgcCCAIJAhwCCwIMAg0CCAIIAggCCAIIAggCCAIIAggCCAIIAggCCAIIAggCCAIIAhYCAwJHAh4ABAEBAgICrQIEAgUCBgIHAggCCQIcAgsCDAINAggCCAIIAggCCAIIAggCCAIIAggCCAIIAggCCAIIAggCCAIWAgMC8QIeAAQBAQICAqICBAIFAgYCBwIIAgkCJwILAgwCDQIIAggCCAIIAggCCAIIAggCCAIIAggCCAIIAggCCAIIAggCFgIDAvACHgAEAQECAgI1AgQCBQIGAgcCCAIJAgoCCwIMAg0CCAIIAggCCAIIAggCCAIIAggCCAIIAggCCAIIAggCCAIIAhYCAwIxAh4ABAEBAgICMwIEAgUCBgIHAggCCQIKAgsCDAINAggCCAIIAggCCAIIAggCCAIIAggCCAIIAggCCAIIAggCCAIWAgMCNAIeAAQBAQICAqICBAIFAgYCBwIIAgkCHAILAgwCDQIIAggCCAIIAggCCAIIAggCCAIIAggCCAIIAggCCAIIAggCFgIDAvECHgAEAQECAgKCAgQCBQIGAgcCCAIJAgoCCwIMAg0CCAIIAggCCAIIAggCCAIIAggCCAIIAggCCAIIAggCCAIIAhYCAwIxAh4ABAEBAgICgAIEAgUCBgIHAggCCQIcAgsCDAINAggCCAIIAggCCAIIAggCCAIIAggCCAIIAggCCAIIAggCCAIWAgMCgwIeAAQBAQICAgMCBAIFAgYCBwIIAgkCJwILAgwCDQIIAggCCAIIAggCCAIIAggCCAIIAggCCAIIAggCCAIIAggCFgIDAmUCHgAEAQECAgJPAgQCBQIGAgcCCAIJAicCCwIMAg0CCAIIAggCCAIIAggCCAIIAggCCAIIAggCCAIIAggCCAIIAhYCAwJQAh4ABAEBAgICQQIEAgUCBgIHAggCCQIKAgsCDAINAggCCAIIAggCCAIIAggCCAIIAggCCAIIAggCCAIIAggCCAIWAgMCYQIeAAQBAQICApsCBAIFAgYCBwIIAgkCHAILAgwCDQIIAggCCAIIAggCCAIIAggCCAIIAggCCAIIAggCCAIIAggCFgIDAvICHgAEAQECAgIgAgQCBQIGAgcCCAIJAhwCCwIMAg0CCAIIegAABAACCAIIAggCCAIIAggCCAIIAggCCAIIAggCCAIIAggCFgIDAiECHgAEAQECAgIrAgQCBQIGAgcCCAIJAicCCwIMAg0CCAIIAggCCAIIAggCCAIIAggCCAIIAggCCAIIAggCCAIIAhYCAwJRAh4ABAEBAgICSAIEAgUCBgIHAggCCQIcAgsCDAINAggCCAIIAggCCAIIAggCCAIIAggCCAIIAggCCAIIAggCCAIWAgMCSQIeAAQBAQICAjoCBAIFAgYCBwIIAgkCCgILAgwCDQIIAggCCAIIAggCCAIIAggCCAIIAggCCAIIAggCCAIIAggCFgIDAjsCHgAEAQECAgIkAgQCBQIGAgcCCAIJAicCCwIMAg0CCAIIAggCCAIIAggCCAIIAggCCAIIAggCCAIIAggCCAIIAhYCAwJvAh4ABAEBAgICMwIEAgUCBgIHAggCCQIcAgsCDAINAggCCAIIAggCCAIIAggCCAIIAggCCAIIAggCCAIIAggCCAIWAgMCXQIeAAQBAQICAlgCBAIFAgYCBwIIAgkCCgILAgwCDQIIAggCCAIIAggCCAIIAggCCAIIAggCCAIIAggCCAIIAggCFgIDAjECHgAEAQECAgI6AgQCBQIGAgcCCAIJAhwCCwIMAg0CCAIIAggCCAIIAggCCAIIAggCCAIIAggCCAIIAggCCAIIAhYCAwJbAh4ABAEBAgICJgIEAgUCBgIHAggCCQInAgsCDAINAggCCAIIAggCCAIIAggCCAIIAggCCAIIAggCCAIIAggCCAIWAgMCKAIeAAQBAQICAiICBAIFAgYCBwIIAgkCHAILAgwCDQIIAggCCAIIAggCCAIIAggCCAIIAggCCAIIAggCCAIIAggCFgIDAnMCHgAEAQECAgKCAgQCBQIGAgcCCAIJAhwCCwIMAg0CCAIIAggCCAIIAggCCAIIAggCCAIIAggCCAIIAggCCAIIAhYCAwKGAh4ABAEBAgICAwIEAgUCBgIHAggCCQIKAgsCDAINAggCCAIIAggCCAIIAggCCAIIAggCCAIIAggCCAIIAggCCAIWAgMCDgIeAAQBAQICAisCBAIFAgYCBwIIAgkCHAILAgwCDQIIAggCCAIIAggCCAIIAggCCAIIAggCCAIIAggCCAIIAggCFgIDAiwCHgAEAQECAgIgAgQCBQIGAgcCCAIJAicCCwIMAg0CCAIIAggCCAIIAggCCAIIAggCCAIIAggCCAIIAggCCAIIAhYCAwJeAh4ABAEBAgICmwIEAgUCBgIHAggCCQInAgsCDAINAggCCAIIAggCCAIIAggCCAIIAggCCAIIAggCCAIIAggCCAIWAgMC8wIeAAQBAQICegAABAACHgIEAgUCBgIHAggCCQIKAgsCDAINAggCCAIIAggCCAIIAggCCAIIAggCCAIIAggCCAIIAggCCAIWAgMCHwIeAAQBAQICAoQCBAIFAgYCBwIIAgkCHAILAgwCDQIIAggCCAIIAggCCAIIAggCCAIIAggCCAIIAggCCAIIAggCFgIDAocCHgAEAQECAgImAgQCBQIGAgcCCAIJAhwCCwIMAg0CCAIIAggCCAIIAggCCAIIAggCCAIIAggCCAIIAggCCAIIAhYCAwIyAh4ABAEBAgICMwIEAgUCBgIHAggCCQInAgsCDAINAggCCAIIAggCCAIIAggCCAIIAggCCAIIAggCCAIIAggCCAIWAgMCagIeAAQBAQICAlkCBAIFAgYCBwIIAgkCHAILAgwCDQIIAggCCAIIAggCCAIIAggCCAIIAggCCAIIAggCCAIIAggCFgIDAm4CHgAEAQECAgIkAgQCBQIGAgcCCAIJAgoCCwIMAg0CCAIIAggCCAIIAggCCAIIAggCCAIIAggCCAIIAggCCAIIAhYCAwIlAh4ABAEBAgICggIEAgUCBgIHAggCCQInAgsCDAINAggCCAIIAggCCAIIAggCCAIIAggCCAIIAggCCAIIAggCCAIWAgMCiAIeAAQBAQICAowCBAIFAgYCBwIIAgkCHAILAgwCDQIIAggCCAIIAggCCAIIAggCCAIIAggCCAIIAggCCAIIAggCFgIDAvECHgAEAQECAgJFAgQCBQIGAgcCCAIJAgoCCwIMAg0CCAIIAggCCAIIAggCCAIIAggCCAIIAggCCAIIAggCCAIIAhYCAwIxAh4ABAEBAgICOgIEAgUCBgIHAggCCQInAgsCDAINAggCCAIIAggCCAIIAggCCAIIAggCCAIIAggCCAIIAggCCAIWAgMCeAIeAAQBAQICAhsCBAIFAgYCBwIIAgkCCgILAgwCDQIIAggCCAIIAggCCAIIAggCCAIIAggCCAIIAggCCAIIAggCFgIDAjwCHgAEAQECAgI1AgQCBQIGAgcCCAIJAicCCwIMAg0CCAIIAggCCAIIAggCCAIIAggCCAIIAggCCAIIAggCCAIIAhYCAwI2Ah4ABAEBAgICQQIEAgUCBgIHAggCCQInAgsCDAINAggCCAIIAggCCAIIAggCCAIIAggCCAIIAggCCAIIAggCCAIWAgMCQgIeAAQBAQICAk8CBAIFAgYCBwIIAgkCCgILAgwCDQIIAggCCAIIAggCCAIIAggCCAIIAggCCAIIAggCCAIIAggCFgIDAmkCHgAEAQECAgJYAgQCBQIGAgcCCAIJAicCCwIMAg0CCAIIAggCCAIIAggCCAIIAggCCAIIegAABAACCAIIAggCCAIIAggCFgIDAnwCHgAEAQECAgImAgQCBQIGAgcCCAIJAgoCCwIMAg0CCAIIAggCCAIIAggCCAIIAggCCAIIAggCCAIIAggCCAIIAhYCAwJcAh4ABAEBAgICNQIEAgUCBgIHAggCCQIcAgsCDAINAggCCAIIAggCCAIIAggCCAIIAggCCAIIAggCCAIIAggCCAIWAgMCVQIeAAQBAQICAlICBAIFAgYCBwIIAgkCHAILAgwCDQIIAggCCAIIAggCCAIIAggCCAIIAggCCAIIAggCCAIIAggCFgIDAnsCHgAEAQECAgJLAgQCBQIGAgcCCAIJAicCCwIMAg0CCAIIAggCCAIIAggCCAIIAggCCAIIAggCCAIIAggCCAIIAhYCAwJMAh4ABAEBAgICIAIEAgUCBgIHAggCCQIKAgsCDAINAggCCAIIAggCCAIIAggCCAIIAggCCAIIAggCCAIIAggCCAIWAgMCdQIeAAQBAQICAh4CBAIFAgYCBwIIAgkCJwILAgwCDQIIAggCCAIIAggCCAIIAggCCAIIAggCCAIIAggCCAIIAggCFgIDAmICHgAEAQECAgI9AgQCBQIGAgcCCAIJAgoCCwIMAg0CCAIIAggCCAIIAggCCAIIAggCCAIIAggCCAIIAggCCAIIAhYCAwJgAh4ABAEBAgICmwIEAgUCBgIHAggCCQIKAgsCDAINAggCCAIIAggCCAIIAggCCAIIAggCCAIIAggCCAIIAggCCAIWAgMCMQIeAAQBAQICAksCBAIFAgYCBwIIAgkCHAILAgwCDQIIAggCCAIIAggCCAIIAggCCAIIAggCCAIIAggCCAIIAggCFgIDAmYCHgAEAQECAgJBAgQCBQIGAgcCCAIJAhwCCwIMAg0CCAIIAggCCAIIAggCCAIIAggCCAIIAggCCAIIAggCCAIIAhYCAwJDAh4ABAEBAgICMAIEAgUCBgIHAggCCQIKAgsCDAINAggCCAIIAggCCAIIAggCCAIIAggCCAIIAggCCAIIAggCCAIWAgMCMQIeAAQBAQICAiICBAIFAgYCBwIIAgkCJwILAgwCDQIIAggCCAIIAggCCAIIAggCCAIIAggCCAIIAggCCAIIAggCFgIDAm0CHgAEAQECAgJSAgQCBQIGAgcCCAIJAicCCwIMAg0CCAIIAggCCAIIAggCCAIIAggCCAIIAggCCAIIAggCCAIIAhYCAwJTAh4ABAEBAgICHgIEAgUCBgIHAggCCQIcAgsCDAINAggCCAIIAggCCAIIAggCCAIIAggCCAIIAggCCAIIAggCCAIWAgMCSgIeAAQBAQICAk0CBAIFAgYCBwIIAgkCCgILegAABAACDAINAggCCAIIAggCCAIIAggCCAIIAggCCAIIAggCCAIIAggCCAIWAgMCTgIeAAQBAQICAowCBAIFAgYCBwIIAgkCJwILAgwCDQIIAggCCAIIAggCCAIIAggCCAIIAggCCAIIAggCCAIIAggCFgIDAvACHgAEAQECAgKtAgQCBQIGAgcCCAIJAgoCCwIMAg0CCAIIAggCCAIIAggCCAIIAggCCAIIAggCCAIIAggCCAIIAhYCAwIxAh4ABAEBAgICGwIEAgUCBgIHAggCCQInAgsCDAINAggCCAIIAggCCAIIAggCCAIIAggCCAIIAggCCAIIAggCCAIWAgMCRAIeAAQBAQICAj8CBAIFAgYCBwIIAgkCHAILAgwCDQIIAggCCAIIAggCCAIIAggCCAIIAggCCAIIAggCCAIIAggCFgIDAkACHgAEAQECAgItAgQCBQIGAgcCCAIJAgoCCwIMAg0CCAIIAggCCAIIAggCCAIIAggCCAIIAggCCAIIAggCCAIIAhYCAwI3Ah4ABAEBAgIChAIEAgUCBgIHAggCCQInAgsCDAINAggCCAIIAggCCAIIAggCCAIIAggCCAIIAggCCAIIAggCCAIWAgMChQIeAAQBAQICAjgCBAIFAgYCBwIIAgkCJwILAgwCDQIIAggCCAIIAggCCAIIAggCCAIIAggCCAIIAggCCAIIAggCFgIDAnkCHgAEAQECAgItAgQCBQIGAgcCCAIJAhwCCwIMAg0CCAIIAggCCAIIAggCCAIIAggCCAIIAggCCAIIAggCCAIIAhYCAwIuAh4ABAEBAgICogIEAgUCBgIHAggCCQIKAgsCDAINAggCCAIIAggCCAIIAggCCAIIAggCCAIIAggCCAIIAggCCAIWAgMCMQIeAAQBAQICAikCBAIFAgYCBwIIAgkCJwILAgwCDQIIAggCCAIIAggCCAIIAggCCAIIAggCCAIIAggCCAIIAggCFgIDAioCHgAEAQECAgIwAgQCBQIGAgcCCAIJAhwCCwIMAg0CCAIIAggCCAIIAggCCAIIAggCCAIIAggCCAIIAggCCAIIAhYCAwJWAh4ABAEBAgICngIEAgUCBgIHAggCCQInAgsCDAINAggCCAIIAggCCAIIAggCCAIIAggCCAIIAggCCAIIAggCCAIWAgMC7gIeAAQBAQICAlkCBAIFAgYCBwIIAgkCCgILAgwCDQIIAggCCAIIAggCCAIIAggCCAIIAggCCAIIAggCCAIIAggCFgIDAloCHgAEAQECAgKMAgQCBQIGAgcCCAIJAgoCCwIMAg0CCAIIAggCCAIIAggCCAIIAggCCAIIAggCCAIIAggCCAIIAhYCAwIxegAABAACHgAEAQECAgKAAgQCBQIGAgcCCAIJAgoCCwIMAg0CCAIIAggCCAIIAggCCAIIAggCCAIIAggCCAIIAggCCAIIAhYCAwIxAh4ABAEBAgICJAIEAgUCBgIHAggCCQIcAgsCDAINAggCCAIIAggCCAIIAggCCAIIAggCCAIIAggCCAIIAggCCAIWAgMCfQIeAAQBAQICAj8CBAIFAgYCBwIIAgkCJwILAgwCDQIIAggCCAIIAggCCAIIAggCCAIIAggCCAIIAggCCAIIAggCFgIDAl8CHgAEAQECAgJIAgQCBQIGAgcCCAIJAgoCCwIMAg0CCAIIAggCCAIIAggCCAIIAggCCAIIAggCCAIIAggCCAIIAhYCAwJ+Ah4ABAEBAgICGwIEAgUCBgIHAggCCQIcAgsCDAINAggCCAIIAggCCAIIAggCCAIIAggCCAIIAggCCAIIAggCCAIWAgMCHQIeAAQBAQICAikCBAIFAgYCBwIIAgkCHAILAgwCDQIIAggCCAIIAggCCAIIAggCCAIIAggCCAIIAggCCAIIAggCFgIDAi8CHgAEAQECAgKeAgQCBQIGAgcCCAIJAhwCCwIMAg0CCAIIAggCCAIIAggCCAIIAggCCAIIAggCCAIIAggCCAIIAhYCAwLvAh4ABAEBAgIChAIEAgUCBgIHAggCCQIKAgsCDAINAggCCAIIAggCCAIIAggCCAIIAggCCAIIAggCCAIIAggCCAIWAgMCMQIeAAQBAQICAiICBAIFAgYCBwIIAgkCCgILAgwCDQIIAggCCAIIAggCCAIIAggCCAIIAggCCAIIAggCCAIIAggCFgIDAiMCHgAEAQECAgI4AgQCBQIGAgcCCAIJAhwCCwIMAg0CCAIIAggCCAIIAggCCAIIAggCCAIIAggCCAIIAggCCAIIAhYCAwI5Ah4ABAEBAgICLQIEAgUCBgIHAggCCQInAgsCDAINAggCCAIIAggCCAIIAggCCAIIAggCCAIIAggCCAIIAggCCAIWAgMCdwIeAAQBAQICAoACBAIFAgYCBwIIAgkCJwILAgwCDQIIAggCCAIIAggCCAIIAggCCAIIAggCCAIIAggCCAIIAggCFgIDAoECHgAEAQECAgJLAgQCBQIGAgcCCAIJAgoCCwIMAg0CCAIIAggCCAIIAggCCAIIAggCCAIIAggCCAIIAggCCAIIAhYCAwJ0Ah4ABAEBAgICPQIEAgUCBgIHAggCCQInAgsCDAINAggCCAIIAggCCAIIAggCCAIIAggCCAIIAggCCAIIAggCCAIWAgMCPgIeAAQBAQICAgMCBAIFAgYCBwIIAgkCHAILAgwCDQIIAggCCAIIAggCCAIIegAAAXgCCAIIAggCCAIIAggCCAIIAggCCAIWAgMCcAIeAAQBAQICAlgCBAIFAgYCBwIIAgkCHAILAgwCDQIIAggCCAIIAggCCAIIAggCCAIIAggCCAIIAggCCAIIAggCFgIDAmsCHgAEAQECAgIwAgQCBQIGAgcCCAIJAicCCwIMAg0CCAIIAggCCAIIAggCCAIIAggCCAIIAggCCAIIAggCCAIIAhYCAwJsAh4ABAEBAgICrQIEAgUCBgIHAggCCQInAgsCDAINAggCCAIIAggCCAIIAggCCAIIAggCCAIIAggCCAIIAggCCAIWAgMC8AIeAAQBAQICAisCBAIFAgYCBwIIAgkCCgILAgwCDQIIAggCCAIIAggCCAIIAggCCAIIAggCCAIIAggCCAIIAggCFgIDAjECHgAEAQECAgJSAgQCBQIGAgcCCAIJAgoCCwIMAg0CCAIIAggCCAIIAggCCAIIAggCCAIIAggCCAIIAggCCAIIAhYCAwJo]]></xxe4awand>
</file>

<file path=customXml/item11.xml><?xml version="1.0" encoding="utf-8"?>
<xxe4awand xmlns="http://www.excel4apps.com"><![CDATA[rO0ABXfZCMCtii8ABLo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5ICHgACAQICAm8ABjIwMTgwOAIEAgUCBgIHAggCCQIKAgsCDAINAggCCAIIAggCCAIIAggCCAIIAggCCAIIAggCCAIIAggCCAITAgMCSQIeAAIBAgICSgIEAgUCBgIHAggCCQIjAgsCDAINAggCCAIIAggCCAIIAggCCAIIAggCCAIIAggCCAIIAggCCAITAgMCcHNxAH4AAAAAAAJzcQB+AAT///////////////7////+/////3VxAH4ABwAAAAQL0RJ0eHh3RQIeAAIBAgICZwIEAgUCBgIHAggCCQIjAgsCDAINAggCCAIIAggCCAIIAggCCAIIAggCCAIIAggCCAIIAggCCAITAgMCcXNxAH4AAAAAAAJzcQB+AAT///////////////7////+/////3VxAH4ABwAAAAQjxnj9eHh3kgIeAAIBAgICcgAGMjAxODA2AgQCBQIGAgcCCAIJAhwCCwIMAg0CCAIIAggCCAIIAggCCAIIAggCCAIIAggCCAIIAggCCAIIAhMCAwIfAh4AAgECAgJrAgQCBQIGAgcCCAIJAhwCCwIMAg0CCAIIAggCCAIIAggCCAIIAggCCAIIAggCCAIIAggCCAIIAhMCAwJzc3EAfgAAAAAAAnNxAH4ABP///////////////v////7/////dXEAfgAHAAAAAxKSynh4d0UCHgACAQICAloCBAIFAgYCBwIIAgkCIwILAgwCDQIIAggCCAIIAggCCAIIAggCCAIIAggCCAIIAggCCAIIAggCEwIDAnRzcQB+AAAAAAACc3EAfgAE///////////////+/////v////91cQB+AAcAAAAEJDRt9Hh4d0UCHgACAQICAmQCBAIFAgYCBwIIAgkCHAILAgwCDQIIAggCCAIIAggCCAIIAggCCAIIAggCCAIIAggCCAIIAggCEwIDAnVzcQB+AAAAAAACc3EAfgAE///////////////+/////v////91cQB+AAcAAAADEn8GeHh3RQIeAAIBAgICcgIEAgUCBgIHAggCCQIjAgsCDAINAggCCAIIAggCCAIIAggCCAIIAggCCAIIAggCCAIIAggCCAITAgMCdnNxAH4AAAAAAAJzcQB+AAT///////////////7////+/////3VxAH4ABwAAAAQw8IEoeHh3TQIeAAIBAgICdwAGMjAxNzA3AgQCBQIGAgcCCAIJAgoCCwIMAg0CCAIIAggCCAIIAggCCAIIAggCCAIIAggCCAIIAggCCAIIAhMCAwJ4c3EAfgAAAAAAAnNxAH4ABP///////////////v////7/////dXEAfgAHAAAAA064Cnh4d0UCHgACAQICAiwCBAIFAgYCBwIIAgkCIwILAgwCDQIIAggCCAIIAggCCAIIAggCCAIIAggCCAIIAggCCAIIAggCEwIDAnlzcQB+AAAAAAACc3EAfgAE///////////////+/////v////91cQB+AAcAAAAEKeDlE3h4d0UCHgACAQICAicCBAIFAgYCBwIIAgkCIwILAgwCDQIIAggCCAIIAggCCAIIAggCCAIIAggCCAIIAggCCAIIAggCEwIDAnpzcQB+AAAAAAACc3EAfgAE///////////////+/////v////91cQB+AAcAAAAEHq4JT3h4d0UCHgACAQICAjMCBAIFAgYCBwIIAgkCIwILAgwCDQIIAggCCAIIAggCCAIIAggCCAIIAggCCAIIAggCCAIIAggCEwIDAntzcQB+AAAAAAACc3EAfgAE///////////////+/////v////91cQB+AAcAAAAEMe+1GXh4d0UCHgACAQICAgMCBAIFAgYCBwIIAgkCHAILAgwCDQIIAggCCAIIAggCCAIIAggCCAIIAggCCAIIAggCCAIIAggCEwIDAnxzcQB+AAAAAAACc3EAfgAE///////////////+/////v////91cQB+AAcAAAADEqaieHh3RQIeAAIBAgICLAIEAgUCBgIHAggCCQIcAgsCDAINAggCCAIIAggCCAIIAggCCAIIAggCCAIIAggCCAIIAggCCAITAgMCfXNxAH4AAAAAAAJzcQB+AAT///////////////7////+/////3VxAH4ABwAAAAMSjtR4eHeKAh4AAgECAgIlAgQCBQIGAgcCCAIJAhwCCwIMAg0CCAIIAggCCAIIAggCCAIIAggCCAIIAggCCAIIAggCCAIIAhMCAwIfAh4AAgECAgJkAgQCBQIGAgcCCAIJAgoCCwIMAg0CCAIIAggCCAIIAggCCAIIAggCCAIIAggCCAIIAggCCAIIAhMCAwJ+c3EAfgAAAAAAAnNxAH4ABP///////////////v////7/////dXEAfgAHAAAABB0QqXR4eHdFAh4AAgECAgIgAgQCBQIGAgcCCAIJAgoCCwIMAg0CCAIIAggCCAIIAggCCAIIAggCCAIIAggCCAIIAggCCAIIAhMCAwJ/c3EAfgAAAAAAAnNxAH4ABP///////////////v////7/////dXEAfgAHAAAAAzL3EXh4d0UCHgACAQICAiUCBAIFAgYCBwIIAgkCIwILAgwCDQIIAggCCAIIAggCCAIIAggCCAIIAggCCAIIAggCCAIIAggCEwIDAoBzcQB+AAAAAAACc3EAfgAE///////////////+/////v////91cQB+AAcAAAAEL/7GXHh4d0UCHgACAQICAiICBAIFAgYCBwIIAgkCCgILAgwCDQIIAggCCAIIAggCCAIIAggCCAIIAggCCAIIAggCCAIIAggCEwIDAoFzcQB+AAAAAAACc3EAfgAE///////////////+/////v////91cQB+AAcAAAAEDgscSnh4d0UCHgACAQICAlACBAIFAgYCBwIIAgkCCgILAgwCDQIIAggCCAIIAggCCAIIAggCCAIIAggCCAIIAggCCAIIAggCEwIDAoJzcQB+AAAAAAACc3EAfgAE///////////////+/////v////91cQB+AAcAAAAEEKaLJHh4d0UCHgACAQICAm0CBAIFAgYCBwIIAgkCHAILAgwCDQIIAggCCAIIAggCCAIIAggCCAIIAggCCAIIAggCCAIIAggCEwIDAoNzcQB+AAAAAAACc3EAfgAE///////////////+/////v////91cQB+AAcAAAADEmdreHh3RQIeAAIBAgICdwIEAgUCBgIHAggCCQIcAgsCDAINAggCCAIIAggCCAIIAggCCAIIAggCCAIIAggCCAIIAggCCAITAgMChHNxAH4AAAAAAAJzcQB+AAT///////////////7////+/////3VxAH4ABwAAAAMSmrd4eHdFAh4AAgECAgJtAgQCBQIGAgcCCAIJAiMCCwIMAg0CCAIIAggCCAIIAggCCAIIAggCCAIIAggCCAIIAggCCAIIAhMCAwKFc3EAfgAAAAAAAnNxAH4ABP///////////////v////7/////dXEAfgAHAAAABCsQC1F4eHdFAh4AAgECAgInAgQCBQIGAgcCCAIJAhwCCwIMAg0CCAIIAggCCAIIAggCCAIIAggCCAIIAggCCAIIAggCCAIIAhMCAwKGc3EAfgAAAAAAAnNxAH4ABP///////////////v////7/////dXEAfgAHAAAAAxJbqXh4d0UCHgACAQICAgMCBAIFAgYCBwIIAgkCIwILAgwCDQIIAggCCAIIAggCCAIIAggCCAIIAggCCAIIAggCCAIIAggCEwIDAodzcQB+AAAAAAACc3EAfgAE///////////////+/////v////91cQB+AAcAAAAEQ0RN4Hh4d0UCHgACAQICAncCBAIFAgYCBwIIAgkCIwILAgwCDQIIAggCCAIIAggCCAIIAggCCAIIAggCCAIIAggCCAIIAggCEwIDAohzcQB+AAAAAAACc3EAfgAE///////////////+/////v////91cQB+AAcAAAAELpGFK3h4d0UCHgACAQICAnICBAIFAgYCBwIIAgkCCgILAgwCDQIIAggCCAIIAggCCAIIAggCCAIIAggCCAIIAggCCAIIAggCEwIDAolzcQB+AAAAAAACc3EAfgAE///////////////+/////gAAAAF1cQB+AAcAAAAEAaNwu3h4d0UCHgACAQICAmcCBAIFAgYCBwIIAgkCCgILAgwCDQIIAggCCAIIAggCCAIIAggCCAIIAggCCAIIAggCCAIIAggCEwIDAopzcQB+AAAAAAACc3EAfgAE///////////////+/////v////91cQB+AAcAAAAEAlAe6Xh4d4oCHgACAQICAm8CBAIFAgYCBwIIAgkCHAILAgwCDQIIAggCCAIIAggCCAIIAggCCAIIAggCCAIIAggCCAIIAggCEwIDAh8CHgACAQICAmsCBAIFAgYCBwIIAgkCCgILAgwCDQIIAggCCAIIAggCCAIIAggCCAIIAggCCAIIAggCCAIIAggCEwIDAotzcQB+AAAAAAACc3EAfgAE///////////////+/////v////91cQB+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AgQCBQIGAgcCCAIJAiMCCwIMAg0CCAIIAggCCAIIAggCCAIIAggCCAIIAggCCAIIAggCCAIIAh8CAwJVAh4AAo0CAgJKAgQCBQIGAgcCCAIJAgoCCwIMAg0CCAIIAggCCAIIAggCCAIIAggCCAIIAggCCAIIAggCCAIIAh8CAwJLAh4AAo0CAgI/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AAT///////////////7////+/////3VxAH4ABwAAAAMD3Kt4eHdFAh4AAo4CAgI8AgQCBQIGAgcCCAIJAo8CCwKQAg0CCAIIAggCCAIIAggCCAIIAggCCAIIAggCCAIIAggCCAIIAhQCAwKSc3EAfgAAAAAAAnNxAH4ABP///////////////v////7/////dXEAfgAHAAAAAxIVy3h4d0UCHgACjgICAkMCBAIFAgYCBwIIAgkCCgILApACDQIIAggCCAIIAggCCAIIAggCCAIIAggCCAIIAggCCAIIAggCFAIDApNzcQB+AAAAAAACc3EAfgAE///////////////+/////v////91cQB+AAcAAAADMpTWeHh3RQIeAAKOAgICZAIEAgUCBgIHAggCCQIjAgsCkAINAggCCAIIAggCCAIIAggCCAIIAggCCAIIAggCCAIIAggCCAIUAgMClHNxAH4AAAAAAAJzcQB+AAT///////////////7////+/////3VxAH4ABwAAAAQoo9pZeHh3RQIeAAKOAgICLAIEAgUCBgIHAggCCQKPAgsCkAINAggCCAIIAggCCAIIAggCCAIIAggCCAIIAggCCAIIAggCCAIUAgMClXNxAH4AAAAAAAJzcQB+AAT///////////////7////+/////3VxAH4ABwAAAAMEdI14eHdFAh4AAo4CAgJBAgQCBQIGAgcCCAIJAgoCCwKQAg0CCAIIAggCCAIIAggCCAIIAggCCAIIAggCCAIIAggCCAIIAhQCAwKWc3EAfgAAAAAAAnNxAH4ABP///////////////v////7/////dXEAfgAHAAAABAM2kpl4eHdFAh4AAo4CAgJGAgQCBQIGAgcCCAIJAiMCCwKQAg0CCAIIAggCCAIIAggCCAIIAggCCAIIAggCCAIIAggCCAIIAhQCAwKXc3EAfgAAAAAAAnNxAH4ABP///////////////v////7/////dXEAfgAHAAAABEwrC4B4eHdFAh4AAo4CAgJSAgQCBQIGAgcCCAIJAiMCCwKQAg0CCAIIAggCCAIIAggCCAIIAggCCAIIAggCCAIIAggCCAIIAhQCAwKYc3EAfgAAAAAAAnNxAH4ABP///////////////v////7/////dXEAfgAHAAAABFgLByx4eHeKAh4AAo4CAgIlAgQCBQIGAgcCCAIJAo8CCwKQAg0CCAIIAggCCAIIAggCCAIIAggCCAIIAggCCAIIAggCCAIIAhQCAwIfAh4AAo4CAgJtAgQCBQIGAgcCCAIJAiMCCwKQAg0CCAIIAggCCAIIAggCCAIIAggCCAIIAggCCAIIAggCCAIIAhQCAwKZc3EAfgAAAAAAAnNxAH4ABP///////////////v////7/////dXEAfgAHAAAABFSIS5t4eHdFAh4AAo4CAgJ3AgQCBQIGAgcCCAIJAiMCCwKQAg0CCAIIAggCCAIIAggCCAIIAggCCAIIAggCCAIIAggCCAIIAhQCAwKac3EAfgAAAAAAAnNxAH4ABP///////////////v////7/////dXEAfgAHAAAABF7UYvh4eHdFAh4AAo4CAgIxAgQCBQIGAgcCCAIJAiMCCwKQAg0CCAIIAggCCAIIAggCCAIIAggCCAIIAggCCAIIAggCCAIIAhQCAwKbc3EAfgAAAAAAAnNxAH4ABP///////////////v////7/////dXEAfgAHAAAABGKNyxZ4eHdFAh4AAo4CAgIiAgQCBQIGAgcCCAIJAo8CCwKQAg0CCAIIAggCCAIIAggCCAIIAggCCAIIAggCCAIIAggCCAIIAhQCAwKcc3EAfgAAAAAAAnNxAH4ABP///////////////v////7/////dXEAfgAHAAAAAwT7aHh4d0UCHgACjgICAi8CBAIFAgYCBwIIAgkCCgILApACDQIIAggCCAIIAggCCAIIAggCCAIIAggCCAIIAggCCAIIAggCFAIDAp1zcQB+AAAAAAACc3EAfgAE///////////////+/////gAAAAF1cQB+AAcAAAAEAo6woHh4d0UCHgACjgICAmcCBAIFAgYCBwIIAgkCjwILApACDQIIAggCCAIIAggCCAIIAggCCAIIAggCCAIIAggCCAIIAggCFAIDAp5zcQB+AAAAAAACc3EAfgAE///////////////+/////v////91cQB+AAcAAAADDMb+eHh3RQIeAAKOAgICUAIEAgUCBgIHAggCCQIKAgsCkAINAggCCAIIAggCCAIIAggCCAIIAggCCAIIAggCCAIIAggCCAIUAgMCn3NxAH4AAAAAAAJzcQB+AAT///////////////7////+/////3VxAH4ABwAAAAQmcaNXeHh3RQIeAAKOAgICawIEAgUCBgIHAggCCQKPAgsCkAINAggCCAIIAggCCAIIAggCCAIIAggCCAIIAggCCAIIAggCCAIUAgMCoHNxAH4AAAAAAAJzcQB+AAT///////////////7////+/////3VxAH4ABwAAAAMEVit4eHdFAh4AAo4CAgIzAgQCBQIGAgcCCAIJAgoCCwKQAg0CCAIIAggCCAIIAggCCAIIAggCCAIIAggCCAIIAggCCAIIAhQCAwKhc3EAfgAAAAAAAnNxAH4ABP///////////////v////7/////dXEAfgAHAAAABAK9P6R4eHdFAh4AAo4CAgJKAgQCBQIGAgcCCAIJAgoCCwKQAg0CCAIIAggCCAIIAggCCAIIAggCCAIIAggCCAIIAggCCAIIAhQCAwKic3EAfgAAAAAAAnNxAH4ABP///////////////v////7/////dXEAfgAHAAAABExDDhV4eHeKAh4AAo4CAgJyAgQCBQIGAgcCCAIJAo8CCwKQAg0CCAIIAggCCAIIAggCCAIIAggCCAIIAggCCAIIAggCCAIIAhQCAwIfAh4AAo4CAgIDAgQCBQIGAgcCCAIJAiMCCwKQAg0CCAIIAggCCAIIAggCCAIIAggCCAIIAggCCAIIAggCCAIIAhQCAwKjc3EAfgAAAAAAAnNxAH4ABP///////////////v////7/////dXEAfgAHAAAABILciPF4eHdFAh4AAo4CAgIgAgQCBQIGAgcCCAIJAgoCCwKQAg0CCAIIAggCCAIIAggCCAIIAggCCAIIAggCCAIIAggCCAIIAhQCAwKkc3EAfgAAAAAAAnNxAH4ABP///////////////v////7/////dXEAfgAHAAAABAIbp254eHdFAh4AAo4CAgJyAgQCBQIGAgcCCAIJAgoCCwKQAg0CCAIIAggCCAIIAggCCAIIAggCCAIIAggCCAIIAggCCAIIAhQCAwKlc3EAfgAAAAAAAnNxAH4ABP///////////////v////7/////dXEAfgAHAAAABAHuetZ4eHdFAh4AAo4CAgJrAgQCBQIGAgcCCAIJAgoCCwKQAg0CCAIIAggCCAIIAggCCAIIAggCCAIIAggCCAIIAggCCAIIAhQCAwKmc3EAfgAAAAAAAnNxAH4ABP///////////////v////7/////dXEAfgAHAAAABAYhGIV4eHdFAh4AAo4CAgJGAgQCBQIGAgcCCAIJAo8CCwKQAg0CCAIIAggCCAIIAggCCAIIAggCCAIIAggCCAIIAggCCAIIAhQCAwKnc3EAfgAAAAAAAnNxAH4ABP///////////////v////7/////dXEAfgAHAAAAAwuCrXh4d0UCHgACjgICAiwCBAIFAgYCBwIIAgkCIwILApACDQIIAggCCAIIAggCCAIIAggCCAIIAggCCAIIAggCCAIIAggCFAIDAqhzcQB+AAAAAAACc3EAfgAE///////////////+/////v////91cQB+AAcAAAAEWnDZd3h4d0UCHgACjgICAicCBAIFAgYCBwIIAgkCIwILApACDQIIAggCCAIIAggCCAIIAggCCAIIAggCCAIIAggCCAIIAggCFAIDAqlzcQB+AAAAAAACc3EAfgAE///////////////+/////v////91cQB+AAcAAAAEPftW4nh4d0UCHgACjgICAiUCBAIFAgYCBwIIAgkCIwILApACDQIIAggCCAIIAggCCAIIAggCCAIIAggCCAIIAggCCAIIAggCFAIDAqpzcQB+AAAAAAACc3EAfgAE///////////////+/////v////91cQB+AAcAAAAEXOXAsHh4d0UCHgACjgICAlICBAIFAgYCBwIIAgkCjwILApACDQIIAggCCAIIAggCCAIIAggCCAIIAggCCAIIAggCCAIIAggCFAIDAqtzcQB+AAAAAAACc3EAfgAE///////////////+/////v////91cQB+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AAT///////////////7////+/////3VxAH4ABwAAAAMFP694eHdFAh4AAo4CAgJkAgQCBQIGAgcCCAIJAgoCCwKQAg0CCAIIAggCCAIIAggCCAIIAggCCAIIAggCCAIIAggCCAIIAhQCAwKtc3EAfgAAAAAAAnNxAH4ABP///////////////v////7/////dXEAfgAHAAAABDuLiL14eHdFAh4AAo4CAgIpAgQCBQIGAgcCCAIJAgoCCwKQAg0CCAIIAggCCAIIAggCCAIIAggCCAIIAggCCAIIAggCCAIIAhQCAwKuc3EAfgAAAAAAAnNxAH4ABP///////////////v////7/////dXEAfgAHAAAABA5TyYx4eHdFAh4AAo4CAgIiAgQCBQIGAgcCCAIJAgoCCwKQAg0CCAIIAggCCAIIAggCCAIIAggCCAIIAggCCAIIAggCCAIIAhQCAwKvc3EAfgAAAAAAAnNxAH4ABP///////////////v////7/////dXEAfgAHAAAABBtHMdN4eHdFAh4AAo4CAgJ3AgQCBQIGAgcCCAIJAgoCCwKQAg0CCAIIAggCCAIIAggCCAIIAggCCAIIAggCCAIIAggCCAIIAhQCAwKwc3EAfgAAAAAAAnNxAH4ABP///////////////v////7/////dXEAfgAHAAAABAIK9vR4eHdFAh4AAo4CAgIDAgQCBQIGAgcCCAIJAgoCCwKQAg0CCAIIAggCCAIIAggCCAIIAggCCAIIAggCCAIIAggCCAIIAhQCAwKxc3EAfgAAAAAAAnNxAH4ABP///////////////v////4AAAABdXEAfgAHAAAABAkNFf14eHdFAh4AAo4CAgJtAgQCBQIGAgcCCAIJAgoCCwKQAg0CCAIIAggCCAIIAggCCAIIAggCCAIIAggCCAIIAggCCAIIAhQCAwKyc3EAfgAAAAAAAnNxAH4ABP///////////////v////7/////dXEAfgAHAAAABAOri614eHdFAh4AAo4CAgI/AgQCBQIGAgcCCAIJAo8CCwKQAg0CCAIIAggCCAIIAggCCAIIAggCCAIIAggCCAIIAggCCAIIAhQCAwKzc3EAfgAAAAAAAnNxAH4ABP///////////////v////7/////dXEAfgAHAAAAAwSrl3h4d0UCHgACjgICAloCBAIFAgYCBwIIAgkCIwILApACDQIIAggCCAIIAggCCAIIAggCCAIIAggCCAIIAggCCAIIAggCFAIDArRzcQB+AAAAAAACc3EAfgAE///////////////+/////v////91cQB+AAcAAAAEQjS8fHh4d0UCHgACjgICAkoCBAIFAgYCBwIIAgkCIwILApACDQIIAggCCAIIAggCCAIIAggCCAIIAggCCAIIAggCCAIIAggCFAIDArVzcQB+AAAAAAACc3EAfgAE///////////////+/////v////91cQB+AAcAAAAEElQVqnh4d0UCHgACjgICAi8CBAIFAgYCBwIIAgkCIwILApACDQIIAggCCAIIAggCCAIIAggCCAIIAggCCAIIAggCCAIIAggCFAIDArZzcQB+AAAAAAACc3EAfgAE///////////////+/////v////91cQB+AAcAAAAEcQZZSXh4d0UCHgACjgICAjMCBAIFAgYCBwIIAgkCIwILApACDQIIAggCCAIIAggCCAIIAggCCAIIAggCCAIIAggCCAIIAggCFAIDArdzcQB+AAAAAAACc3EAfgAE///////////////+/////v////91cQB+AAcAAAAEXVdQyXh4d0UCHgACjgICAhsCBAIFAgYCBwIIAgkCIwILApACDQIIAggCCAIIAggCCAIIAggCCAIIAggCCAIIAggCCAIIAggCFAIDArhzcQB+AAAAAAACc3EAfgAE///////////////+/////v////91cQB+AAcAAAAEPRU7dnh4d4oCHgACjgICAjkCBAIFAgYCBwIIAgkCjwILApACDQIIAggCCAIIAggCCAIIAggCCAIIAggCCAIIAggCCAIIAggCFAIDAh8CHgACjgICAjwCBAIFAgYCBwIIAgkCCgILApACDQIIAggCCAIIAggCCAIIAggCCAIIAggCCAIIAggCCAIIAggCFAIDArlzcQB+AAAAAAACc3EAfgAE///////////////+/////v////91cQB+AAcAAAAECCX/sXh4d0UCHgACjgICAjkCBAIFAgYCBwIIAgkCCgILApACDQIIAggCCAIIAggCCAIIAggCCAIIAggCCAIIAggCCAIIAggCFAIDArpzcQB+AAAAAAACc3EAfgAE///////////////+/////v////91cQB+AAcAAAAEBxk/mXh4d0UCHgACjgICAkECBAIFAgYCBwIIAgkCjwILApACDQIIAggCCAIIAggCCAIIAggCCAIIAggCCAIIAggCCAIIAggCFAIDArtzcQB+AAAAAAACc3EAfgAE///////////////+/////v////91cQB+AAcAAAADCZ5/eHh3RQIeAAKOAgICQwIEAgUCBgIHAggCCQKPAgsCkAINAggCCAIIAggCCAIIAggCCAIIAggCCAIIAggCCAIIAggCCAIUAgMCvHNxAH4AAAAAAAJzcQB+AAT///////////////7////+/////3VxAH4ABwAAAAMEJQl4eHdFAh4AAo4CAgI/AgQCBQIGAgcCCAIJAgoCCwKQAg0CCAIIAggCCAIIAggCCAIIAggCCAIIAggCCAIIAggCCAIIAhQCAwK9c3EAfgAAAAAAAnNxAH4ABP///////////////v////7/////dXEAfgAHAAAABBD98iN4eHdFAh4AAo4CAgIeAgQCBQIGAgcCCAIJAiMCCwKQAg0CCAIIAggCCAIIAggCCAIIAggCCAIIAggCCAIIAggCCAIIAhQCAwK+c3EAfgAAAAAAAnNxAH4ABP///////////////v////7/////dXEAfgAHAAAABE8qcfl4eHdFAh4AAo4CAgIgAgQCBQIGAgcCCAIJAiMCCwKQAg0CCAIIAggCCAIIAggCCAIIAggCCAIIAggCCAIIAggCCAIIAhQCAwK/c3EAfgAAAAAAAnNxAH4ABP///////////////v////7/////dXEAfgAHAAAABGExCBR4eHdFAh4AAo4CAgIiAgQCBQIGAgcCCAIJAiMCCwKQAg0CCAIIAggCCAIIAggCCAIIAggCCAIIAggCCAIIAggCCAIIAhQCAwLAc3EAfgAAAAAAAnNxAH4ABP///////////////v////7/////dXEAfgAHAAAABEmLU8l4eHdFAh4AAo4CAgIvAgQCBQIGAgcCCAIJAo8CCwKQAg0CCAIIAggCCAIIAggCCAIIAggCCAIIAggCCAIIAggCCAIIAhQCAwLBc3EAfgAAAAAAAnNxAH4ABP///////////////v////7/////dXEAfgAHAAAAAwQOrnh4d0UCHgACjgICAicCBAIFAgYCBwIIAgkCCgILApACDQIIAggCCAIIAggCCAIIAggCCAIIAggCCAIIAggCCAIIAggCFAIDAsJzcQB+AAAAAAACc3EAfgAE///////////////+/////v////91cQB+AAcAAAAEBeiObnh4d0UCHgACjgICAiUCBAIFAgYCBwIIAgkCCgILApACDQIIAggCCAIIAggCCAIIAggCCAIIAggCCAIIAggCCAIIAggCFAIDAsNzcQB+AAAAAAACc3EAfgAE///////////////+/////v////91cQB+AAcAAAAEBEpBlXh4d0UCHgACjgICAioCBAIFAgYCBwIIAgkCCgILApACDQIIAggCCAIIAggCCAIIAggCCAIIAggCCAIIAggCCAIIAggCFAIDAsRzcQB+AAAAAAACc3EAfgAE///////////////+/////v////91cQB+AAcAAAAERLpXvHh4d0UCHgACjgICAmQCBAIFAgYCBwIIAgkCjwILApACDQIIAggCCAIIAggCCAIIAggCCAIIAggCCAIIAggCCAIIAggCFAIDAsVzcQB+AAAAAAACc3EAfgAE///////////////+/////v////91cQB+AAcAAAADBtyTeHh3RQIeAAKOAgICKQIEAgUCBgIHAggCCQIjAgsCkAINAggCCAIIAggCCAIIAggCCAIIAggCCAIIAggCCAIIAggCCAIUAgMCxnNxAH4AAAAAAAJzcQB+AAT///////////////7////+/////3VxAH4ABwAAAARSfqMaeHh3RQIeAAKOAgICLAIEAgUCBgIHAggCCQIKAgsCkAINAggCCAIIAggCCAIIAggCCAIIAggCCAIIAggCCAIIAggCCAIUAgMCx3NxAH4AAAAAAAJzcQB+AAT///////////////7////+/////3VxAH4ABwAAAAQJ8GpGeHh3RQIeAAKOAgICMwIEAgUCBgIHAggCCQKPAgsCkAINAggCCAIIAggCCAIIAggCCAIIAggCCAIIAggCCAIIAggCCAIUAgMCyHNxAH4AAAAAAAJzcQB+AAT///////////////7////+/////3VxAH4ABwAAAAMItpx4eHdFAh4AAo4CAgI5AgQCBQIGAgcCCAIJAiMCCwKQAg0CCAIIAggCCAIIAggCCAIIAggCCAIIAggCCAIIAggCCAIIAhQCAwLJc3EAfgAAAAAAAnNxAH4ABP///////////////v////7/////dXEAfgAHAAAABFqpyF94eHdFAh4AAo4CAgI/AgQCBQIGAgcCCAIJAiMCCwKQAg0CCAIIAggCCAIIAggCCAIIAggCCAIIAggCCAIIAggCCAIIAhQCAwLKc3EAfgAAAAAAAnNxAH4ABP///////////////v////7/////dXEAfgAHAAAABFNjmyZ4eHdFAh4AAo4CAgI8AgQCBQIGAgcCCAIJAiMCCwKQAg0CCAIIAggCCAIIAggCCAIIAggCCAIIAggCCAIIAggCCAIIAhQCAwLLc3EAfgAAAAAAAnNxAH4ABP///////////////v////7/////dXEAfgAHAAAABDc49U94eHdFAh4AAo4CAgJnAgQCBQIGAgcCCAIJAgoCCwKQAg0CCAIIAggCCAIIAggCCAIIAggCCAIIAggCCAIIAggCCAIIAhQCAwLMc3EAfgAAAAAAAnNxAH4ABP///////////////v////7/////dXEAfgAHAAAABATkMA94eHeKAh4AAo4CAgIeAgQCBQIGAgcCCAIJAo8CCwKQAg0CCAIIAggCCAIIAggCCAIIAggCCAIIAggCCAIIAggCCAIIAhQCAwIfAh4AAo4CAgJBAgQCBQIGAgcCCAIJAiMCCwKQAg0CCAIIAggCCAIIAggCCAIIAggCCAIIAggCCAIIAggCCAIIAhQCAwLNc3EAfgAAAAAAAnNxAH4ABP///////////////v////7/////dXEAfgAHAAAABFovta14eHdFAh4AAo4CAgJDAgQCBQIGAgcCCAIJAiMCCwKQAg0CCAIIAggCCAIIAggCCAIIAggCCAIIAggCCAIIAggCCAIIAhQCAwLOc3EAfgAAAAAAAnNxAH4ABP///////////////v////7/////dXEAfgAHAAAABGUxQat4eHeKAh4AAo4CAgJaAgQCBQIGAgcCCAIJAo8CCwKQAg0CCAIIAggCCAIIAggCCAIIAggCCAIIAggCCAIIAggCCAIIAhQCAwIfAh4AAo4CAgIbAgQCBQIGAgcCCAIJAo8CCwKQAg0CCAIIAggCCAIIAggCCAIIAggCCAIIAggCCAIIAggCCAIIAhQCAwLPc3EAfgAAAAAAAnNxAH4ABP///////////////v////7/////dXEAfgAHAAAAAwVk/3h4d0UCHgACjgICAh4CBAIFAgYCBwIIAgkCCgILApACDQIIAggCCAIIAggCCAIIAggCCAIIAggCCAIIAggCCAIIAggCFAIDAtBzcQB+AAAAAAACc3EAfgAE///////////////+/////v////91cQB+AAcAAAAEGWLnZXh4d0UCHgACjgICAiACBAIFAgYCBwIIAgkCjwILApACDQIIAggCCAIIAggCCAIIAggCCAIIAggCCAIIAggCCAIIAggCFAIDAtFzcQB+AAAAAAACc3EAfgAE///////////////+/////v////91cQB+AAcAAAADB43UeHh3RQIeAAKOAgICGwIEAgUCBgIHAggCCQIKAgsCkAINAggCCAIIAggCCAIIAggCCAIIAggCCAIIAggCCAIIAggCCAIUAgMC0nNxAH4AAAAAAAJzcQB+AAT///////////////7////+/////3VxAH4ABwAAAAQo6Ya2eHh3RQIeAAKOAgICWgIEAgUCBgIHAggCCQIKAgsCkAINAggCCAIIAggCCAIIAggCCAIIAggCCAIIAggCCAIIAggCCAIUAgMC03NxAH4AAAAAAAJzcQB+AAT///////////////7////+/////3VxAH4ABwAAAAQ0Sb4jeHh3RQIeAAKOAgICSgIEAgUCBgIHAggCCQKPAgsCkAINAggCCAIIAggCCAIIAggCCAIIAggCCAIIAggCCAIIAggCCAIUAgMC1HNxAH4AAAAAAAJzcQB+AAT///////////////7////+/////3VxAH4ABwAAAAMGaCt4eHdFAh4AAo4CAgJGAgQCBQIGAgcCCAIJAgoCCwKQAg0CCAIIAggCCAIIAggCCAIIAggCCAIIAggCCAIIAggCCAIIAhQCAwLVc3EAfgAAAAAAAnNxAH4ABP///////////////v////7/////dXEAfgAHAAAABAQ2ieN4eHdFAh4AAo4CAgIxAgQCBQIGAgcCCAIJAgoCCwKQAg0CCAIIAggCCAIIAggCCAIIAggCCAIIAggCCAIIAggCCAIIAhQCAwLWc3EAfgAAAAAAAnNxAH4ABP///////////////v////7/////dXEAfgAHAAAAA7xcsnh4d0UCHgACjgICAioCBAIFAgYCBwIIAgkCIwILApACDQIIAggCCAIIAggCCAIIAggCCAIIAggCCAIIAggCCAIIAggCFAIDAtdzcQB+AAAAAAACc3EAfgAE///////////////+/////v////91cQB+AAcAAAAEMNCqs3h4d4oCHgACjgICAikCBAIFAgYCBwIIAgkCjwILApACDQIIAggCCAIIAggCCAIIAggCCAIIAggCCAIIAggCCAIIAggCFAIDAh8CHgACjgICAlACBAIFAgYCBwIIAgkCIwILApACDQIIAggCCAIIAggCCAIIAggCCAIIAggCCAIIAggCCAIIAggCFAIDAthzcQB+AAAAAAACc3EAfgAE///////////////+/////v////91cQB+AAcAAAAETu7o2nh4d0UCHgACjgICAncCBAIFAgYCBwIIAgkCjwILApACDQIIAggCCAIIAggCCAIIAggCCAIIAggCCAIIAggCCAIIAggCFAIDAtlzcQB+AAAAAAACc3EAfgAE///////////////+/////v////91cQB+AAcAAAADBDQ4eHh3RQIeAAKOAgICcgIEAgUCBgIHAggCCQIjAgsCkAINAggCCAIIAggCCAIIAggCCAIIAggCCAIIAggCCAIIAggCCAIUAgMC2nNxAH4AAAAAAAJzcQB+AAT///////////////7////+/////3VxAH4ABwAAAARdGgPTeHh3RQIeAAKOAgICUgIEAgUCBgIHAggCCQIKAgsCkAINAggCCAIIAggCCAIIAggCCAIIAggCCAIIAggCCAIIAggCCAIUAgMC23NxAH4AAAAAAAJzcQB+AAT///////////////7////+/////3VxAH4ABwAAAAQD3U0geHh3RQIeAAKOAgICbQIEAgUCBgIHAggCCQKPAgsCkAINAggCCAIIAggCCAIIAggCCAIIAggCCAIIAggCCAIIAggCCAIUAgMC3HNxAH4AAAAAAAJzcQB+AAT///////////////7////+/////3VxAH4ABwAAAAMKgFR4eHdFAh4AAo4CAgInAgQCBQIGAgcCCAIJAo8CCwKQAg0CCAIIAggCCAIIAggCCAIIAggCCAIIAggCCAIIAggCCAIIAhQCAwLdc3EAfgAAAAAAAnNxAH4ABP///////////////v////7/////dXEAfgAHAAAAAw6D3Xh4d0UCHgACjgICAmcCBAIFAgYCBwIIAgkCIwILApACDQIIAggCCAIIAggCCAIIAggCCAIIAggCCAIIAggCCAIIAggCFAIDAt5zcQB+AAAAAAACc3EAfgAE///////////////+/////v////91cQB+AAcAAAAESHB4r3h4d0UCHgACjgICAmsCBAIFAgYCBwIIAgkCIwILApACDQIIAggCCAIIAggCCAIIAggCCAIIAggCCAIIAggCCAIIAggCFAIDAt9zcQB+AAAAAAACc3EAfgAE///////////////+/////v////91cQB+AAcAAAAEWf3l8nh4d1gCHgAC4AAJMjI2Mzc1Mjk2AgIC4QAGMjAxMzEyAgQCBQIGAgcCCAIJAo8CCwKQAg0CCAIIAggCCAIIAggCCAIIAggCCAIIAggCCAIIAggCCAIIAiYCAwLic3EAfgAAAAAAAnNxAH4ABP///////////////v////7/////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Ah4AAuQCAgI8AgQCBQIGAgcCCAIJAgoCCwKQAg0CCAIIAggCCAIIAggCCAIIAggCCAIIAggCCAIIAggCCAIIAhgCAwK5Ah4AAuQCAgJBAgQCBQIGAgcCCAIJAo8CCwKQAg0CCAIIAggCCAIIAggCCAIIAggCCAIIAggCCAIIAggCCAIIAhgCAwK7Ah4AAuQCAgI/AgQCBQIGAgcCCAIJAgoCCwKQAg0CCAIIAggCCAIIAggCCAIIAggCCAIIAggCCAIIAggCCAIIAhgCAwK9Ah4AAuQCAgIeAgQCBQIGAgcCCAIJAiMCCwKQAg0CCAIIAggCCAIIAggCCAIIAggCCAIIAggCCAIIAggCCAIIAhgCAwK+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Ah4AAusCAgIbAgQCBQIGAgcCCAIJAiMCCwKQAg0CCAIIAggCCAIIAggCCAIIAggCCAIIAggCCAIIAggCCAIIAgICAwK4Ah4AAusCAgI/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AAAAAAAAcQB+AA14d0UCHgAC7gICAkgCBAIFAgYCBwIIAgkCCgILApACDQIIAggCCAIIAggCCAIIAggCCAIIAggCCAIIAggCCAIIAggCEgIDAvFzcQB+AAAAAAACc3EAfgAE///////////////+/////gAAAAF1cQB+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v////7/////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xxe4awand>
</file>

<file path=customXml/item12.xml><?xml version="1.0" encoding="utf-8"?>
<xxe4awand xmlns="http://www.excel4apps.com"><![CDATA[rO0ABXfaCMCtii8ABJsFAh4AAERjb20uZXhjZWw0YXBwcy53YW5kLm9yYWNsZS5n
bHdhbmQuY2FsY3VsYXRpb25zLmdldGJhbGFuY2UuR2V0QmFsYW5jZQIBAAoxMDU5
NzA0MjI0AgIAATACAwAGMjAxNzA0AgQAA1lURAIFAANVU0QCBgAFVG90YWwCBwAB
QQIIAAACCQADMDAxAgoABjE5MTAwMAILAAJHRAIMAAJJRAINAAJETAIIAggCCAII
AggCCAIIAggCCAIIAggCCAIIAggCCAIIAggCH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UEo0F4eHdNAh4AAgECAgIbAAYyMDE2MDMCBAIFAgYCBwIIAgkCCgILAgwCDQIIAggCCAIIAggCCAIIAggCCAIIAggCCAIIAggCCAIIAggCHAIDAhxzcQB+AAAAAAACc3EAfgAE///////////////+/////v////91cQB+AAcAAAAEAvtLi3h4d1UCHgACAQICAh0ABjIwMTgwMwIEAgUCBgIHAggCCQIeAAYxOTEwMTACCwIMAg0CCAIIAggCCAIIAggCCAIIAggCCAIIAggCCAIIAggCCAIIAhwCAwIfc3EAfgAAAAAAAnNxAH4ABP///////////////v////7/////dXEAfgAHAAAABCrCsfh4eHdNAh4AAgECAgIdAgQCBQIGAgcCCAIJAiAABjE5MTAxNQILAgwCDQIIAggCCAIIAggCCAIIAggCCAIIAggCCAIIAggCCAIIAggCHAIDAiFzcQB+AAAAAAACc3EAfgAE///////////////+/////gAAAAB1cQB+AAcAAAAAeHh3TQIeAAIBAgICIgAGMjAxNzAyAgQCBQIGAgcCCAIJAh4CCwIMAg0CCAIIAggCCAIIAggCCAIIAggCCAIIAggCCAIIAggCCAIIAhwCAwIjc3EAfgAAAAAAAnNxAH4ABP///////////////v////7/////dXEAfgAHAAAABCIKrDF4eHeaAh4AAgECAgIkAAYyMDE4MDICBAIFAgYCBwIIAgkCIAILAgwCDQIIAggCCAIIAggCCAIIAggCCAIIAggCCAIIAggCCAIIAggCHAIDAiECHgACAQICAiUABjIwMTcxMAIEAgUCBgIHAggCCQIKAgsCDAINAggCCAIIAggCCAIIAggCCAIIAggCCAIIAggCCAIIAggCCAIcAgMCJnNxAH4AAAAAAAJzcQB+AAT///////////////7////+AAAAAXVxAH4ABwAAAAQGG1pqeHh3TQIeAAIBAgICJwAGMjAxNjEwAgQCBQIGAgcCCAIJAgoCCwIMAg0CCAIIAggCCAIIAggCCAIIAggCCAIIAggCCAIIAggCCAIIAhwCAwIoc3EAfgAAAAAAAnNxAH4ABP///////////////v////4AAAABdXEAfgAHAAAAA7lyfHh4d0UCHgACAQICAiICBAIFAgYCBwIIAgkCIAILAgwCDQIIAggCCAIIAggCCAIIAggCCAIIAggCCAIIAggCCAIIAggCHAIDAilzcQB+AAAAAAACc3EAfgAE///////////////+/////v////91cQB+AAcAAAADEobreHh3TQIeAAIBAgICKgAGMjAxNjA5AgQCBQIGAgcCCAIJAiACCwIMAg0CCAIIAggCCAIIAggCCAIIAggCCAIIAggCCAIIAggCCAIIAhwCAwIrc3EAfgAAAAAAAnNxAH4ABP///////////////v////7/////dXEAfgAHAAAAAxJzNXh4d00CHgACAQICAiwABjIwMTcwNQIEAgUCBgIHAggCCQIKAgsCDAINAggCCAIIAggCCAIIAggCCAIIAggCCAIIAggCCAIIAggCCAIcAgMCLXNxAH4AAAAAAAJzcQB+AAT///////////////7////+/////3VxAH4ABwAAAAQC12dUeHh3TQIeAAIBAgICLgAGMjAxNzAzAgQCBQIGAgcCCAIJAiACCwIMAg0CCAIIAggCCAIIAggCCAIIAggCCAIIAggCCAIIAggCCAIIAhwCAwIvc3EAfgAAAAAAAnNxAH4ABP///////////////v////7/////dXEAfgAHAAAAAxKK33h4d00CHgACAQICAjAABjIwMTcxMgIEAgUCBgIHAggCCQIKAgsCDAINAggCCAIIAggCCAIIAggCCAIIAggCCAIIAggCCAIIAggCCAIcAgMCMXNxAH4AAAAAAAJzcQB+AAT///////////////7////+/////3VxAH4ABwAAAAQWt6iieHh3RQIeAAIBAgICLgIEAgUCBgIHAggCCQIeAgsCDAINAggCCAIIAggCCAIIAggCCAIIAggCCAIIAggCCAIIAggCCAIcAgMCMnNxAH4AAAAAAAJzcQB+AAT///////////////7////+/////3VxAH4ABwAAAAQmeB9xeHh3RQIeAAIBAgICJQIEAgUCBgIHAggCCQIeAgsCDAINAggCCAIIAggCCAIIAggCCAIIAggCCAIIAggCCAIIAggCCAIcAgMCM3NxAH4AAAAAAAJzcQB+AAT///////////////7////+/////3VxAH4ABwAAAARDRE3geHh3TQIeAAIBAgICNAAGMjAxNjExAgQCBQIGAgcCCAIJAgoCCwIMAg0CCAIIAggCCAIIAggCCAIIAggCCAIIAggCCAIIAggCCAIIAhwCAwI1c3EAfgAAAAAAAnNxAH4ABP///////////////v////7/////dXEAfgAHAAAABCWQ0ft4eHdNAh4AAgECAgI2AAYyMDE2MDQCBAIFAgYCBwIIAgkCCgILAgwCDQIIAggCCAIIAggCCAIIAggCCAIIAggCCAIIAggCCAIIAggCHAIDAjdzcQB+AAAAAAACc3EAfgAE///////////////+/////v////91cQB+AAcAAAAEAlAe6Xh4d00CHgACAQICAjgABjIwMTcxMQIEAgUCBgIHAggCCQIKAgsCDAINAggCCAIIAggCCAIIAggCCAIIAggCCAIIAggCCAIIAggCCAIcAgMCOXNxAH4AAAAAAAJzcQB+AAT///////////////7////+/////3VxAH4ABwAAAAQewHRseHh3RQIeAAIBAgICJQIEAgUCBgIHAggCCQIgAgsCDAINAggCCAIIAggCCAIIAggCCAIIAggCCAIIAggCCAIIAggCCAIcAgMCOnNxAH4AAAAAAAJzcQB+AAT///////////////7////+/////3VxAH4ABwAAAAMSpqJ4eHdNAh4AAgECAgI7AAYyMDE2MDICBAIFAgYCBwIIAgkCHgILAgwCDQIIAggCCAIIAggCCAIIAggCCAIIAggCCAIIAggCCAIIAggCHAIDAjxzcQB+AAAAAAACc3EAfgAE///////////////+/////v////91cQB+AAcAAAAEG7MeXHh4d0UCHgACAQICAjsCBAIFAgYCBwIIAgkCIAILAgwCDQIIAggCCAIIAggCCAIIAggCCAIIAggCCAIIAggCCAIIAggCHAIDAj1zcQB+AAAAAAACc3EAfgAE///////////////+/////v////91cQB+AAcAAAADEle/eHh3TQIeAAIBAgICPgAGMjAxNjA4AgQCBQIGAgcCCAIJAh4CCwIMAg0CCAIIAggCCAIIAggCCAIIAggCCAIIAggCCAIIAggCCAIIAhwCAwI/c3EAfgAAAAAAAnNxAH4ABP///////////////v////7/////dXEAfgAHAAAABDHvtRl4eHdNAh4AAgECAgJAAAYyMDE3MDkCBAIFAgYCBwIIAgkCHgILAgwCDQIIAggCCAIIAggCCAIIAggCCAIIAggCCAIIAggCCAIIAggCHAIDAkFzcQB+AAAAAAACc3EAfgAE///////////////+/////v////91cQB+AAcAAAAEOUUu/nh4d0UCHgACAQICAgMCBAIFAgYCBwIIAgkCIAILAgwCDQIIAggCCAIIAggCCAIIAggCCAIIAggCCAIIAggCCAIIAggCHAIDAkJzcQB+AAAAAAACc3EAfgAE///////////////+/////v////91cQB+AAcAAAADEo7UeHh3RQIeAAIBAgICIgIEAgUCBgIHAggCCQIKAgsCDAINAggCCAIIAggCCAIIAggCCAIIAggCCAIIAggCCAIIAggCCAIcAgMCQ3NxAH4AAAAAAAJzcQB+AAT///////////////7////+/////3VxAH4ABwAAAAQOCxxKeHh3TQIeAAIBAgICRAAGMjAxNjEyAgQCBQIGAgcCCAIJAgoCCwIMAg0CCAIIAggCCAIIAggCCAIIAggCCAIIAggCCAIIAggCCAIIAhwCAwJFc3EAfgAAAAAAAnNxAH4ABP///////////////v////7/////dXEAfgAHAAAABB0QqXR4eHdFAh4AAgECAgIbAgQCBQIGAgcCCAIJAh4CCwIMAg0CCAIIAggCCAIIAggCCAIIAggCCAIIAggCCAIIAggCCAIIAhwCAwJGc3EAfgAAAAAAAnNxAH4ABP///////////////v////7/////dXEAfgAHAAAABB6uCU94eHdFAh4AAgECAgIDAgQCBQIGAgcCCAIJAh4CCwIMAg0CCAIIAggCCAIIAggCCAIIAggCCAIIAggCCAIIAggCCAIIAhwCAwJHc3EAfgAAAAAAAnNxAH4ABP///////////////v////7/////dXEAfgAHAAAABCng5RN4eHdNAh4AAgECAgJIAAYyMDE3MDcCBAIFAgYCBwIIAgkCCgILAgwCDQIIAggCCAIIAggCCAIIAggCCAIIAggCCAIIAggCCAIIAggCHAIDAklzcQB+AAAAAAACc3EAfgAE///////////////+/////v////91cQB+AAcAAAADTrgKeHh3RQIeAAIBAgICGwIEAgUCBgIHAggCCQIgAgsCDAINAggCCAIIAggCCAIIAggCCAIIAggCCAIIAggCCAIIAggCCAIcAgMCSnNxAH4AAAAAAAJzcQB+AAT///////////////7////+/////3VxAH4ABwAAAAMSW6l4eHdFAh4AAgECAgIkAgQCBQIGAgcCCAIJAh4CCwIMAg0CCAIIAggCCAIIAggCCAIIAggCCAIIAggCCAIIAggCCAIIAhwCAwJLc3EAfgAAAAAAAnNxAH4ABP///////////////v////7/////dXEAfgAHAAAABClGhLZ4eHdNAh4AAgECAgJMAAYyMDE3MDECBAIFAgYCBwIIAgkCHgILAgwCDQIIAggCCAIIAggCCAIIAggCCAIIAggCCAIIAggCCAIIAggCHAIDAk1zcQB+AAAAAAACc3EAfgAE///////////////+/////v////91cQB+AAcAAAAEHbH6THh4d0UCHgACAQICAjACBAIFAgYCBwIIAgkCHgILAgwCDQIIAggCCAIIAggCCAIIAggCCAIIAggCCAIIAggCCAIIAggCHAIDAk5zcQB+AAAAAAACc3EAfgAE///////////////+/////v////91cQB+AAcAAAAEJDRt9Hh4d0UCHgACAQICAioCBAIFAgYCBwIIAgkCCgILAgwCDQIIAggCCAIIAggCCAIIAggCCAIIAggCCAIIAggCCAIIAggCHAIDAk9zcQB+AAAAAAACc3EAfgAE///////////////+/////v////91cQB+AAcAAAADMvcReHh3TQIeAAIBAgICUAAGMjAxNjA2AgQCBQIGAgcCCAIJAgoCCwIMAg0CCAIIAggCCAIIAggCCAIIAggCCAIIAggCCAIIAggCCAIIAhwCAwJRc3EAfgAAAAAAAnNxAH4ABP///////////////v////7/////dXEAfgAHAAAABAFkyvJ4eHdFAh4AAgECAgJAAgQCBQIGAgcCCAIJAiACCwIMAg0CCAIIAggCCAIIAggCCAIIAggCCAIIAggCCAIIAggCCAIIAhwCAwJSc3EAfgAAAAAAAnNxAH4ABP///////////////v////7/////dXEAfgAHAAAAAxKiqHh4d0UCHgACAQICAkwCBAIFAgYCBwIIAgkCIAILAgwCDQIIAggCCAIIAggCCAIIAggCCAIIAggCCAIIAggCCAIIAggCHAIDAlNzcQB+AAAAAAACc3EAfgAE///////////////+/////v////91cQB+AAcAAAADEoL4eHh3igIeAAIBAgICMAIEAgUCBgIHAggCCQIgAgsCDAINAggCCAIIAggCCAIIAggCCAIIAggCCAIIAggCCAIIAggCCAIcAgMCIQIeAAIBAgICNAIEAgUCBgIHAggCCQIeAgsCDAINAggCCAIIAggCCAIIAggCCAIIAggCCAIIAggCCAIIAggCCAIcAgMCVHNxAH4AAAAAAAJzcQB+AAT///////////////7////+/////3VxAH4ABwAAAAQL0RJ0eHh3RQIeAAIBAgICPgIEAgUCBgIHAggCCQIgAgsCDAINAggCCAIIAggCCAIIAggCCAIIAggCCAIIAggCCAIIAggCCAIcAgMCVXNxAH4AAAAAAAJzcQB+AAT///////////////7////+/////3VxAH4ABwAAAAMSb0Z4eHdFAh4AAgECAgIdAgQCBQIGAgcCCAIJAgoCCwIMAg0CCAIIAggCCAIIAggCCAIIAggCCAIIAggCCAIIAggCCAIIAhwCAwJWc3EAfgAAAAAAAnNxAH4ABP///////////////v////7/////dXEAfgAHAAAABATh3pl4eHdFAh4AAgECAgI0AgQCBQIGAgcCCAIJAiACCwIMAg0CCAIIAggCCAIIAggCCAIIAggCCAIIAggCCAIIAggCCAIIAhwCAwJXc3EAfgAAAAAAAnNxAH4ABP///////////////v////7/////dXEAfgAHAAAAAxJ7FXh4d00CHgACAQICAlgABjIwMTcwNgIEAgUCBgIHAggCCQIgAgsCDAINAggCCAIIAggCCAIIAggCCAIIAggCCAIIAggCCAIIAggCCAIcAgMCWXNxAH4AAAAAAAJzcQB+AAT///////////////7////+/////3VxAH4ABwAAAAMSlsB4eHdFAh4AAgECAgJIAgQCBQIGAgcCCAIJAh4CCwIMAg0CCAIIAggCCAIIAggCCAIIAggCCAIIAggCCAIIAggCCAIIAhwCAwJac3EAfgAAAAAAAnNxAH4ABP///////////////v////7/////dXEAfgAHAAAABC6RhSt4eHdFAh4AAgECAgI+AgQCBQIGAgcCCAIJAgoCCwIMAg0CCAIIAggCCAIIAggCCAIIAggCCAIIAggCCAIIAggCCAIIAhwCAwJbc3EAfgAAAAAAAnNxAH4ABP///////////////v////7/////dXEAfgAHAAAAA56yqnh4d00CHgACAQICAlwABjIwMTYwNwIEAgUCBgIHAggCCQIKAgsCDAINAggCCAIIAggCCAIIAggCCAIIAggCCAIIAggCCAIIAggCCAIcAgMCXXNxAH4AAAAAAAJzcQB+AAT///////////////7////+/////3VxAH4ABwAAAAQBBpRgeHh3RQIeAAIBAgICQAIEAgUCBgIHAggCCQIKAgsCDAINAggCCAIIAggCCAIIAggCCAIIAggCCAIIAggCCAIIAggCCAIcAgMCXnNxAH4AAAAAAAJzcQB+AAT///////////////7////+AAAAAXVxAH4ABwAAAAQCWhLSeHh3RQIeAAIBAgICRAIEAgUCBgIHAggCCQIeAgsCDAINAggCCAIIAggCCAIIAggCCAIIAggCCAIIAggCCAIIAggCCAIcAgMCX3NxAH4AAAAAAAJzcQB+AAT///////////////7////+/////3VxAH4ABwAAAAQVrLWfeHh3RQIeAAIBAgICRAIEAgUCBgIHAggCCQIgAgsCDAINAggCCAIIAggCCAIIAggCCAIIAggCCAIIAggCCAIIAggCCAIcAgMCYHNxAH4AAAAAAAJzcQB+AAT///////////////7////+/////3VxAH4ABwAAAAMSfwZ4eHdNAh4AAgECAgJhAAYyMDE2MDUCBAIFAgYCBwIIAgkCHgILAgwCDQIIAggCCAIIAggCCAIIAggCCAIIAggCCAIIAggCCAIIAggCHAIDAmJzcQB+AAAAAAACc3EAfgAE///////////////+/////v////91cQB+AAcAAAAEJi8ywnh4d0UCHgACAQICAmECBAIFAgYCBwIIAgkCIAILAgwCDQIIAggCCAIIAggCCAIIAggCCAIIAggCCAIIAggCCAIIAggCHAIDAmNzcQB+AAAAAAACc3EAfgAE///////////////+/////v////91cQB+AAcAAAADEmN/eHh3RQIeAAIBAgICSAIEAgUCBgIHAggCCQIgAgsCDAINAggCCAIIAggCCAIIAggCCAIIAggCCAIIAggCCAIIAggCCAIcAgMCZHNxAH4AAAAAAAJzcQB+AAT///////////////7////+/////3VxAH4ABwAAAAMSmrd4eHdFAh4AAgECAgJYAgQCBQIGAgcCCAIJAh4CCwIMAg0CCAIIAggCCAIIAggCCAIIAggCCAIIAggCCAIIAggCCAIIAhwCAwJlc3EAfgAAAAAAAnNxAH4ABP///////////////v////7/////dXEAfgAHAAAABCoLRiF4eHdNAh4AAgECAgJmAAYyMDE3MDgCBAIFAgYCBwIIAgkCCgILAgwCDQIIAggCCAIIAggCCAIIAggCCAIIAggCCAIIAggCCAIIAggCHAIDAmdzcQB+AAAAAAACc3EAfgAE///////////////+/////gAAAAF1cQB+AAcAAAAD/4leeHh3RQIeAAIBAgICUAIEAgUCBgIHAggCCQIeAgsCDAINAggCCAIIAggCCAIIAggCCAIIAggCCAIIAggCCAIIAggCCAIcAgMCaHNxAH4AAAAAAAJzcQB+AAT///////////////7////+/////3VxAH4ABwAAAAQrEAtReHh3TQIeAAIBAgICaQAGMjAxODAxAgQCBQIGAgcCCAIJAgoCCwIMAg0CCAIIAggCCAIIAggCCAIIAggCCAIIAggCCAIIAggCCAIIAhwCAwJqc3EAfgAAAAAAAnNxAH4ABP///////////////v////7/////dXEAfgAHAAAABBCmiyR4eHdFAh4AAgECAgJQAgQCBQIGAgcCCAIJAiACCwIMAg0CCAIIAggCCAIIAggCCAIIAggCCAIIAggCCAIIAggCCAIIAhwCAwJrc3EAfgAAAAAAAnNxAH4ABP///////////////v////7/////dXEAfgAHAAAAAxJna3h4d0UCHgACAQICAicCBAIFAgYCBwIIAgkCHgILAgwCDQIIAggCCAIIAggCCAIIAggCCAIIAggCCAIIAggCCAIIAggCHAIDAmxzcQB+AAAAAAACc3EAfgAE///////////////+/////v////91cQB+AAcAAAAENJhHI3h4d0UCHgACAQICAjgCBAIFAgYCBwIIAgkCHgILAgwCDQIIAggCCAIIAggCCAIIAggCCAIIAggCCAIIAggCCAIIAggCHAIDAm1zcQB+AAAAAAACc3EAfgAE///////////////+/////v////91cQB+AAcAAAAEHCN8kHh4d0UCHgACAQICAmkCBAIFAgYCBwIIAgkCHgILAgwCDQIIAggCCAIIAggCCAIIAggCCAIIAggCCAIIAggCCAIIAggCHAIDAm5zcQB+AAAAAAACc3EAfgAE///////////////+/////v////91cQB+AAcAAAAEKSCPhXh4d0UCHgACAQICAmECBAIFAgYCBwIIAgkCCgILAgwCDQIIAggCCAIIAggCCAIIAggCCAIIAggCCAIIAggCCAIIAggCHAIDAm9zcQB+AAAAAAACc3EAfgAE///////////////+/////v////91cQB+AAcAAAAEAc1Kd3h4d0UCHgACAQICAlgCBAIFAgYCBwIIAgkCCgILAgwCDQIIAggCCAIIAggCCAIIAggCCAIIAggCCAIIAggCCAIIAggCHAIDAnBzcQB+AAAAAAACc3EAfgAE///////////////+/////v////91cQB+AAcAAAAEAW1K0nh4d0UCHgACAQICAkwCBAIFAgYCBwIIAgkCCgILAgwCDQIIAggCCAIIAggCCAIIAggCCAIIAggCCAIIAggCCAIIAggCHAIDAnFzcQB+AAAAAAACc3EAfgAE///////////////+/////v////91cQB+AAcAAAAEFDr3g3h4d0UCHgACAQICAmYCBAIFAgYCBwIIAgkCIAILAgwCDQIIAggCCAIIAggCCAIIAggCCAIIAggCCAIIAggCCAIIAggCHAIDAnJzcQB+AAAAAAACc3EAfgAE///////////////+/////v////91cQB+AAcAAAADEp6veHh3igIeAAIBAgICOAIEAgUCBgIHAggCCQIgAgsCDAINAggCCAIIAggCCAIIAggCCAIIAggCCAIIAggCCAIIAggCCAIcAgMCIQIeAAIBAgICKgIEAgUCBgIHAggCCQIeAgsCDAINAggCCAIIAggCCAIIAggCCAIIAggCCAIIAggCCAIIAggCCAIcAgMCc3NxAH4AAAAAAAJzcQB+AAT///////////////7////+/////3VxAH4ABwAAAAQzvJaSeHh3RQIeAAIBAgICJAIEAgUCBgIHAggCCQIKAgsCDAINAggCCAIIAggCCAIIAggCCAIIAggCCAIIAggCCAIIAggCCAIcAgMCdHNxAH4AAAAAAAJzcQB+AAT///////////////7////+/////3VxAH4ABwAAAAQKK9PneHh3RQIeAAIBAgICJwIEAgUCBgIHAggCCQIgAgsCDAINAggCCAIIAggCCAIIAggCCAIIAggCCAIIAggCCAIIAggCCAIcAgMCdXNxAH4AAAAAAAJzcQB+AAT///////////////7////+/////3VxAH4ABwAAAAMSdyV4eHdFAh4AAgECAgJcAgQCBQIGAgcCCAIJAiACCwIMAg0CCAIIAggCCAIIAggCCAIIAggCCAIIAggCCAIIAggCCAIIAhwCAwJ2c3EAfgAAAAAAAnNxAH4ABP///////////////v////7/////dXEAfgAHAAAAAxJrWHh4d0UCHgACAQICAiwCBAIFAgYCBwIIAgkCIAILAgwCDQIIAggCCAIIAggCCAIIAggCCAIIAggCCAIIAggCCAIIAggCHAIDAndzcQB+AAAAAAACc3EAfgAE///////////////+/////v////91cQB+AAcAAAADEpLKeHh3RQIeAAIBAgICXAIEAgUCBgIHAggCCQIeAgsCDAINAggCCAIIAggCCAIIAggCCAIIAggCCAIIAggCCAIIAggCCAIcAgMCeHNxAH4AAAAAAAJzcQB+AAT///////////////7////+/////3VxAH4ABwAAAAQu/eCSeHh3RQIeAAIBAgICZgIEAgUCBgIHAggCCQIeAgsCDAINAggCCAIIAggCCAIIAggCCAIIAggCCAIIAggCCAIIAggCCAIcAgMCeXNxAH4AAAAAAAJzcQB+AAT///////////////7////+/////3VxAH4ABwAAAAQ0OVToeHh3RQIeAAIBAgICLgIEAgUCBgIHAggCCQIKAgsCDAINAggCCAIIAggCCAIIAggCCAIIAggCCAIIAggCCAIIAggCCAIcAgMCenNxAH4AAAAAAAJzcQB+AAT///////////////7////+/////3VxAH4ABwAAAAQIvUgheHh3RQIeAAIBAgICOwIEAgUCBgIHAggCCQIKAgsCDAINAggCCAIIAggCCAIIAggCCAIIAggCCAIIAggCCAIIAggCCAIcAgMCe3NxAH4AAAAAAAJzcQB+AAT///////////////7////+/////3VxAH4ABwAAAAQEW5IQeHh3igIeAAIBAgICaQIEAgUCBgIHAggCCQIgAgsCDAINAggCCAIIAggCCAIIAggCCAIIAggCCAIIAggCCAIIAggCCAIcAgMCIQIeAAIBAgICLAIEAgUCBgIHAggCCQIeAgsCDAINAggCCAIIAggCCAIIAggCCAIIAggCCAIIAggCCAIIAggCCAIcAgMCfHNxAH4AAAAAAAJzcQB+AAT///////////////7////+/////3VxAH4ABwAAAAQqJk8LeHh3RQIeAAIBAgICNgIEAgUCBgIHAggCCQIeAgsCDAINAggCCAIIAggCCAIIAggCCAIIAggCCAIIAggCCAIIAggCCAIcAgMCfXNxAH4AAAAAAAJzcQB+AAT///////////////7////+/////3VxAH4ABwAAAAQjxnj9eHh3RQIeAAIBAgICNgIEAgUCBgIHAggCCQIgAgsCDAINAggCCAIIAggCCAIIAggCCAIIAggCCAIIAggCCAIIAggCCAIcAgMCfnNxAH4AAAAAAAJzcQB+AAT///////////////7////+/////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AgICYQIEAgUCBgIHAggCCQIgAgsCDAINAggCCAIIAggCCAIIAggCCAIIAggCCAIIAggCCAIIAggCCAIWAgMCYwIeAAJ/AgICTAIEAgUCBgIHAggCCQIeAgsCDAINAggCCAIIAggCCAIIAggCCAIIAggCCAIIAggCCAIIAggCCAIWAgMCTQIeAAJ/AgICQAIEAgUCBgIHAggCCQIeAgsCDAINAggCCAIIAggCCAIIAggCCAIIAggCCAIIAggCCAIIAggCCAIWAgMCQQIeAAJ/AgICOwIEAgUCBgIHAggCCQIKAgsCDAINAggCCAIIAggCCAIIAggCCAIIAggCCAIIAggCCAIIAggCCAIWAgMCewIeAAJ/AgICLgIEAgUCBgIHAggCCQIKAgsCDAINAggCCAIIAggCCAIIAggCCAIIAggCCAIIAggCCAIIAggCCAIWAgMCegIeAAJ/AgICJAIEAgUCBgIHAggCCQIeAgsCDAINAggCCAIIAggCCAIIAggCCAIIAggCCAIIAggCCAIIAggCCAIWAgMCSwIeAAJ/AgICWAIEAgUCBgIHAggCCQIeAgsCDAINAggCCAIIAggCCAIIAggCCAIIAggCCAIIAggCCAIIAggCCAIWAgMCZQIeAAJ/AgICYQIEAgUCBgIHAggCCQIeAgsCDAINAggCCAIIAggCCAIIAggCCAIIAggCCAIIAggCCAIIAggCCAIWAgMCYgIeAAJ/AgICNgIEAgUCBgIHAggCCQIgAgsCDAINAggCCAIIAggCCAIIAggCCAIIAggCCAIIAggCCAIIAggCCAIWAgMCfgIeAAJ/AgICWAIEAgUCBgIHAggCCQIgAgsCDAINAggCCAIIAggCCAIIAggCCAIIAggCCAIIAggCCAIIAggCCAIWAgMCWQIeAAJ/AgICgAAGMjAxODA1AgQCBQIGAgcCCAIJAgoCCwIMAg0CCAIIAggCCAIIAggCCAIIAggCCAIIAggCCAIIAggCCAIIAhYCAwKBc3EAfgAAAAAAAnNxAH4ABP///////////////v////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AgICMAIEAgUCBgIHAggCCQIKAgsCDAINAggCCAIIAggCCAIIAggCCAIIAggCCAIIAggCCAIIAggCCAIWAgMCMQIeAAJ/AgICggIEAgUCBgIHAggCCQIeAgsCDAINAggCCAIIAggCCAIIAggCCAIIAggCCAIIAggCCAIIAggCCAIWAgMCg3NxAH4AAAAAAAJzcQB+AAT///////////////7////+/////3VxAH4ABwAAAAQu9BT/eHh6AAADgQIeAAJ/AgICAwIEAgUCBgIHAggCCQIeAgsCDAINAggCCAIIAggCCAIIAggCCAIIAggCCAIIAggCCAIIAggCCAIWAgMCRwIeAAJ/AgICNAIEAgUCBgIHAggCCQIKAgsCDAINAggCCAIIAggCCAIIAggCCAIIAggCCAIIAggCCAIIAggCCAIWAgMCNQIeAAJ/AgICJQIEAgUCBgIHAggCCQIeAgsCDAINAggCCAIIAggCCAIIAggCCAIIAggCCAIIAggCCAIIAggCCAIWAgMCMwIeAAJ/AgICLgIEAgUCBgIHAggCCQIgAgsCDAINAggCCAIIAggCCAIIAggCCAIIAggCCAIIAggCCAIIAggCCAIWAgMCLwIeAAJ/AgICJQIEAgUCBgIHAggCCQIgAgsCDAINAggCCAIIAggCCAIIAggCCAIIAggCCAIIAggCCAIIAggCCAIWAgMCOgIeAAJ/AgICOwIEAgUCBgIHAggCCQIgAgsCDAINAggCCAIIAggCCAIIAggCCAIIAggCCAIIAggCCAIIAggCCAIWAgMCPQIeAAJ/AgICGwIEAgUCBgIHAggCCQIeAgsCDAINAggCCAIIAggCCAIIAggCCAIIAggCCAIIAggCCAIIAggCCAIWAgMCRgIeAAJ/AgICOAIEAgUCBgIHAggCCQIeAgsCDAINAggCCAIIAggCCAIIAggCCAIIAggCCAIIAggCCAIIAggCCAIWAgMCbQIeAAJ/AgICYQIEAgUCBgIHAggCCQIKAgsCDAINAggCCAIIAggCCAIIAggCCAIIAggCCAIIAggCCAIIAggCCAIWAgMCbwIeAAJ/AgICgAIEAgUCBgIHAggCCQIgAgsCDAINAggCCAIIAggCCAIIAggCCAIIAggCCAIIAggCCAIIAggCCAIWAgMCIQIeAAJ/AgICWAIEAgUCBgIHAggCCQIKAgsCDAINAggCCAIIAggCCAIIAggCCAIIAggCCAIIAggCCAIIAggCCAIWAgMCcAIeAAJ/AgICOAIEAgUCBgIHAggCCQIKAgsCDAINAggCCAIIAggCCAIIAggCCAIIAggCCAIIAggCCAIIAggCCAIWAgMCOQIeAAJ/AgICgAIEAgUCBgIHAggCCQIeAgsCDAINAggCCAIIAggCCAIIAggCCAIIAggCCAIIAggCCAIIAggCCAIWAgMChHNxAH4AAAAAAAJzcQB+AAT///////////////7////+/////3VxAH4ABwAAAAQv/sZceHh6AAADiQIeAAJ/AgICHQIEAgUCBgIHAggCCQIgAgsCDAINAggCCAIIAggCCAIIAggCCAIIAggCCAIIAggCCAIIAggCCAIWAgMCIQIeAAJ/AgICIgIEAgUCBgIHAggCCQIgAgsCDAINAggCCAIIAggCCAIIAggCCAIIAggCCAIIAggCCAIIAggCCAIWAgMCKQIeAAJ/AgICJwIEAgUCBgIHAggCCQIKAgsCDAINAggCCAIIAggCCAIIAggCCAIIAggCCAIIAggCCAIIAggCCAIWAgMCKAIeAAJ/AgICUAIEAgUCBgIHAggCCQIKAgsCDAINAggCCAIIAggCCAIIAggCCAIIAggCCAIIAggCCAIIAggCCAIWAgMCUQIeAAJ/AgICLAIEAgUCBgIHAggCCQIeAgsCDAINAggCCAIIAggCCAIIAggCCAIIAggCCAIIAggCCAIIAggCCAIWAgMCfAIeAAJ/AgICNgIEAgUCBgIHAggCCQIeAgsCDAINAggCCAIIAggCCAIIAggCCAIIAggCCAIIAggCCAIIAggCCAIWAgMCfQIeAAJ/AgICMAIEAgUCBgIHAggCCQIeAgsCDAINAggCCAIIAggCCAIIAggCCAIIAggCCAIIAggCCAIIAggCCAIWAgMCTgIeAAJ/AgICLAIEAgUCBgIHAggCCQIgAgsCDAINAggCCAIIAggCCAIIAggCCAIIAggCCAIIAggCCAIIAggCCAIWAgMCdwIeAAJ/AgICSAIEAgUCBgIHAggCCQIKAgsCDAINAggCCAIIAggCCAIIAggCCAIIAggCCAIIAggCCAIIAggCCAIWAgMCSQIeAAJ/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v////7/////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v////7/////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AAAAAAACc3EAfgAE///////////////+/////gAAAAF1cQB+AAcAAAAEAaNwu3h4d5kCHgACfwICAjYCBAIFAgYCBwIIAgkCCgILAgwCDQIIAggCCAIIAggCCAIIAggCCAIIAggCCAIIAggCCAIIAggCFgIDAjcCHgACiQAJOTc1NTI3NzY4AgICOwIEAgUCBgIHAggCCQIeAgsCigACV0ECDQIIAggCCAIIAggCCAIIAggCCAIIAggCCAIIAggCCAIIAggCGQIDAotzcQB+AAAAAAACc3EAfgAE///////////////+/////v////91cQB+AAcAAAAENzj1T3h4d00CHgACiQICAioCBAIFAgYCBwIIAgkCjAAGMTkxMDI1AgsCigINAggCCAIIAggCCAIIAggCCAIIAggCCAIIAggCCAIIAggCCAIZAgMCjXNxAH4AAAAAAAJzcQB+AAT///////////////7////+/////3VxAH4ABwAAAAMHjdR4eHdFAh4AAokCAgIsAgQCBQIGAgcCCAIJAgoCCwKKAg0CCAIIAggCCAIIAggCCAIIAggCCAIIAggCCAIIAggCCAIIAhkCAwKOc3EAfgAAAAAAAnNxAH4ABP///////////////v////7/////dXEAfgAHAAAABAYhGIV4eHdFAh4AAokCAgKCAgQCBQIGAgcCCAIJAh4CCwKKAg0CCAIIAggCCAIIAggCCAIIAggCCAIIAggCCAIIAggCCAIIAhkCAwKPc3EAfgAAAAAAAnNxAH4ABP///////////////v////7/////dXEAfgAHAAAABFqpyF94eHdFAh4AAokCAgJMAgQCBQIGAgcCCAIJAowCCwKKAg0CCAIIAggCCAIIAggCCAIIAggCCAIIAggCCAIIAggCCAIIAhkCAwKQc3EAfgAAAAAAAnNxAH4ABP///////////////v////7/////dXEAfgAHAAAAAwVk/3h4d0UCHgACiQICAjQCBAIFAgYCBwIIAgkCCgILAooCDQIIAggCCAIIAggCCAIIAggCCAIIAggCCAIIAggCCAIIAggCGQIDApFzcQB+AAAAAAACc3EAfgAE///////////////+/////v////91cQB+AAcAAAAETEMOFXh4d0UCHgACiQICAjACBAIFAgYCBwIIAgkCCgILAooCDQIIAggCCAIIAggCCAIIAggCCAIIAggCCAIIAggCCAIIAggCGQIDApJzcQB+AAAAAAACc3EAfgAE///////////////+/////v////91cQB+AAcAAAAENEm+I3h4d4oCHgACiQICAiQCBAIFAgYCBwIIAgkCjAILAooCDQIIAggCCAIIAggCCAIIAggCCAIIAggCCAIIAggCCAIIAggCGQIDAiECHgACiQICAiUCBAIFAgYCBwIIAgkCHgILAooCDQIIAggCCAIIAggCCAIIAggCCAIIAggCCAIIAggCCAIIAggCGQIDApNzcQB+AAAAAAACc3EAfgAE///////////////+/////v////91cQB+AAcAAAAEgtyI8Xh4d0UCHgACiQICAi4CBAIFAgYCBwIIAgkCHgILAooCDQIIAggCCAIIAggCCAIIAggCCAIIAggCCAIIAggCCAIIAggCGQIDApRzcQB+AAAAAAACc3EAfgAE///////////////+/////v////91cQB+AAcAAAAEU2ObJnh4d0UCHgACiQICAjYCBAIFAgYCBwIIAgkCCgILAooCDQIIAggCCAIIAggCCAIIAggCCAIIAggCCAIIAggCCAIIAggCGQIDApVzcQB+AAAAAAACc3EAfgAE///////////////+/////v////91cQB+AAcAAAAEBOQwD3h4d0UCHgACiQICAh0CBAIFAgYCBwIIAgkCHgILAooCDQIIAggCCAIIAggCCAIIAggCCAIIAggCCAIIAggCCAIIAggCGQIDApZzcQB+AAAAAAACc3EAfgAE///////////////+/////v////91cQB+AAcAAAAEUn6jGnh4d0UCHgACiQICAgMCBAIFAgYCBwIIAgkCCgILAooCDQIIAggCCAIIAggCCAIIAggCCAIIAggCCAIIAggCCAIIAggCGQIDApdzcQB+AAAAAAACc3EAfgAE///////////////+/////v////91cQB+AAcAAAAECfBqRnh4d0UCHgACiQICAiUCBAIFAgYCBwIIAgkCCgILAooCDQIIAggCCAIIAggCCAIIAggCCAIIAggCCAIIAggCCAIIAggCGQIDAphzcQB+AAAAAAACc3EAfgAE///////////////+/////gAAAAF1cQB+AAcAAAAECQ0V/Xh4d0UCHgACiQICAj4CBAIFAgYCBwIIAgkCjAILAooCDQIIAggCCAIIAggCCAIIAggCCAIIAggCCAIIAggCCAIIAggCGQIDAplzcQB+AAAAAAACc3EAfgAE///////////////+/////v////91cQB+AAcAAAADCLaceHh3RQIeAAKJAgICQAIEAgUCBgIHAggCCQKMAgsCigINAggCCAIIAggCCAIIAggCCAIIAggCCAIIAggCCAIIAggCCAIZAgMCmnNxAH4AAAAAAAJzcQB+AAT///////////////7////+/////3VxAH4ABwAAAAMEDq54eHeKAh4AAokCAgJpAgQCBQIGAgcCCAIJAowCCwKKAg0CCAIIAggCCAIIAggCCAIIAggCCAIIAggCCAIIAggCCAIIAhkCAwIhAh4AAokCAgI4AgQCBQIGAgcCCAIJAgoCCwKKAg0CCAIIAggCCAIIAggCCAIIAggCCAIIAggCCAIIAggCCAIIAhkCAwKbc3EAfgAAAAAAAnNxAH4ABP///////////////v////7/////dXEAfgAHAAAABES6V7x4eHdFAh4AAokCAgInAgQCBQIGAgcCCAIJAgoCCwKKAg0CCAIIAggCCAIIAggCCAIIAggCCAIIAggCCAIIAggCCAIIAhkCAwKcc3EAfgAAAAAAAnNxAH4ABP///////////////v////7/////dXEAfgAHAAAAA7xcsnh4d0UCHgACiQICAiICBAIFAgYCBwIIAgkCHgILAooCDQIIAggCCAIIAggCCAIIAggCCAIIAggCCAIIAggCCAIIAggCGQIDAp1zcQB+AAAAAAACc3EAfgAE///////////////+/////v////91cQB+AAcAAAAESYtTyXh4d0UCHgACiQICAhsCBAIFAgYCBwIIAgkCCgILAooCDQIIAggCCAIIAggCCAIIAggCCAIIAggCCAIIAggCCAIIAggCGQIDAp5zcQB+AAAAAAACc3EAfgAE///////////////+/////v////91cQB+AAcAAAAEBeiObnh4d0UCHgACiQICAi4CBAIFAgYCBwIIAgkCjAILAooCDQIIAggCCAIIAggCCAIIAggCCAIIAggCCAIIAggCCAIIAggCGQIDAp9zcQB+AAAAAAACc3EAfgAE///////////////+/////v////91cQB+AAcAAAADBKuXeHh3igIeAAKJAgICggIEAgUCBgIHAggCCQKMAgsCigINAggCCAIIAggCCAIIAggCCAIIAggCCAIIAggCCAIIAggCCAIZAgMCIQIeAAKJAgICOwIEAgUCBgIHAggCCQKMAgsCigINAggCCAIIAggCCAIIAggCCAIIAggCCAIIAggCCAIIAggCCAIZAgMCoHNxAH4AAAAAAAJzcQB+AAT///////////////7////+/////3VxAH4ABwAAAAMSFct4eHdFAh4AAokCAgI0AgQCBQIGAgcCCAIJAh4CCwKKAg0CCAIIAggCCAIIAggCCAIIAggCCAIIAggCCAIIAggCCAIIAhkCAwKhc3EAfgAAAAAAAnNxAH4ABP///////////////v////7/////dXEAfgAHAAAABBJUFap4eHdFAh4AAokCAgIkAgQCBQIGAgcCCAIJAh4CCwKKAg0CCAIIAggCCAIIAggCCAIIAggCCAIIAggCCAIIAggCCAIIAhkCAwKic3EAfgAAAAAAAnNxAH4ABP///////////////v////7/////dXEAfgAHAAAABE8qcfl4eHdFAh4AAokCAgJIAgQCBQIGAgcCCAIJAgoCCwKKAg0CCAIIAggCCAIIAggCCAIIAggCCAIIAggCCAIIAggCCAIIAhkCAwKjc3EAfgAAAAAAAnNxAH4ABP///////////////v////7/////dXEAfgAHAAAABAIK9vR4eHdFAh4AAokCAgJmAgQCBQIGAgcCCAIJAowCCwKKAg0CCAIIAggCCAIIAggCCAIIAggCCAIIAggCCAIIAggCCAIIAhkCAwKkc3EAfgAAAAAAAnNxAH4ABP///////////////v////7/////dXEAfgAHAAAAAwQlCXh4d0UCHgACiQICAh0CBAIFAgYCBwIIAgkCCgILAooCDQIIAggCCAIIAggCCAIIAggCCAIIAggCCAIIAggCCAIIAggCGQIDAqVzcQB+AAAAAAACc3EAfgAE///////////////+/////v////91cQB+AAcAAAAEDlPJjHh4d0UCHgACiQICAlwCBAIFAgYCBwIIAgkCjAILAooCDQIIAggCCAIIAggCCAIIAggCCAIIAggCCAIIAggCCAIIAggCGQIDAqZzcQB+AAAAAAACc3EAfgAE///////////////+/////v////91cQB+AAcAAAADCZ5/eHh3RQIeAAKJAgICQAIEAgUCBgIHAggCCQIeAgsCigINAggCCAIIAggCCAIIAggCCAIIAggCCAIIAggCCAIIAggCCAIZAgMCp3NxAH4AAAAAAAJzcQB+AAT///////////////7////+/////3VxAH4ABwAAAARxBllJeHh3RQIeAAKJAgICMAIEAgUCBgIHAggCCQIeAgsCigINAggCCAIIAggCCAIIAggCCAIIAggCCAIIAggCCAIIAggCCAIZAgMCqHNxAH4AAAAAAAJzcQB+AAT///////////////7////+/////3VxAH4ABwAAAARCNLx8eHh3RQIeAAKJAgICTAIEAgUCBgIHAggCCQIeAgsCigINAggCCAIIAggCCAIIAggCCAIIAggCCAIIAggCCAIIAggCCAIZAgMCqXNxAH4AAAAAAAJzcQB+AAT///////////////7////+/////3VxAH4ABwAAAAQ9FTt2eHh3RQIeAAKJAgICUAIEAgUCBgIHAggCCQIKAgsCigINAggCCAIIAggCCAIIAggCCAIIAggCCAIIAggCCAIIAggCCAIZAgMCqnNxAH4AAAAAAAJzcQB+AAT///////////////7////+/////3VxAH4ABwAAAAQDq4uteHh3RQIeAAKJAgICPgIEAgUCBgIHAggCCQIeAgsCigINAggCCAIIAggCCAIIAggCCAIIAggCCAIIAggCCAIIAggCCAIZAgMCq3NxAH4AAAAAAAJzcQB+AAT///////////////7////+/////3VxAH4ABwAAAARdV1DJeHh3RQIeAAKJAgICGwIEAgUCBgIHAggCCQIeAgsCigINAggCCAIIAggCCAIIAggCCAIIAggCCAIIAggCCAIIAggCCAIZAgMCrHNxAH4AAAAAAAJzcQB+AAT///////////////7////+/////3VxAH4ABwAAAAQ9+1bieHh3RQIeAAKJAgICWAIEAgUCBgIHAggCCQKMAgsCigINAggCCAIIAggCCAIIAggCCAIIAggCCAIIAggCCAIIAggCCAIZAgMCrXNxAH4AAAAAAAJzcQB+AAT///////////////7////+/////3VxAH4ABwAAAAMEQ3p4eHdFAh4AAokCAgIiAgQCBQIGAgcCCAIJAgoCCwKKAg0CCAIIAggCCAIIAggCCAIIAggCCAIIAggCCAIIAggCCAIIAhkCAwKuc3EAfgAAAAAAAnNxAH4ABP///////////////v////7/////dXEAfgAHAAAABBtHMdN4eHdFAh4AAokCAgJEAgQCBQIGAgcCCAIJAgoCCwKKAg0CCAIIAggCCAIIAggCCAIIAggCCAIIAggCCAIIAggCCAIIAhkCAwKvc3EAfgAAAAAAAnNxAH4ABP///////////////v////7/////dXEAfgAHAAAABDuLiL14eHdFAh4AAokCAgIqAgQCBQIGAgcCCAIJAgoCCwKKAg0CCAIIAggCCAIIAggCCAIIAggCCAIIAggCCAIIAggCCAIIAhkCAwKwc3EAfgAAAAAAAnNxAH4ABP///////////////v////7/////dXEAfgAHAAAABAIbp254eHdFAh4AAokCAgIDAgQCBQIGAgcCCAIJAh4CCwKKAg0CCAIIAggCCAIIAggCCAIIAggCCAIIAggCCAIIAggCCAIIAhkCAwKxc3EAfgAAAAAAAnNxAH4ABP///////////////v////7/////dXEAfgAHAAAABFpw2Xd4eHdFAh4AAokCAgI0AgQCBQIGAgcCCAIJAowCCwKKAg0CCAIIAggCCAIIAggCCAIIAggCCAIIAggCCAIIAggCCAIIAhkCAwKyc3EAfgAAAAAAAnNxAH4ABP///////////////v////7/////dXEAfgAHAAAAAwZoK3h4d0UCHgACiQICAmkCBAIFAgYCBwIIAgkCCgILAooCDQIIAggCCAIIAggCCAIIAggCCAIIAggCCAIIAggCCAIIAggCGQIDArNzcQB+AAAAAAACc3EAfgAE///////////////+/////v////91cQB+AAcAAAAEJnGjV3h4d0UCHgACiQICAlwCBAIFAgYCBwIIAgkCHgILAooCDQIIAggCCAIIAggCCAIIAggCCAIIAggCCAIIAggCCAIIAggCGQIDArRzcQB+AAAAAAACc3EAfgAE///////////////+/////v////91cQB+AAcAAAAEWi+1rXh4d0UCHgACiQICAjYCBAIFAgYCBwIIAgkCjAILAooCDQIIAggCCAIIAggCCAIIAggCCAIIAggCCAIIAggCCAIIAggCGQIDArVzcQB+AAAAAAACc3EAfgAE///////////////+/////v////91cQB+AAcAAAADDMb+eHh3RQIeAAKJAgICLAIEAgUCBgIHAggCCQKMAgsCigINAggCCAIIAggCCAIIAggCCAIIAggCCAIIAggCCAIIAggCCAIZAgMCtnNxAH4AAAAAAAJzcQB+AAT///////////////7////+/////3VxAH4ABwAAAAMEVit4eHeKAh4AAokCAgIwAgQCBQIGAgcCCAIJAowCCwKKAg0CCAIIAggCCAIIAggCCAIIAggCCAIIAggCCAIIAggCCAIIAhkCAwIhAh4AAokCAgJQAgQCBQIGAgcCCAIJAh4CCwKKAg0CCAIIAggCCAIIAggCCAIIAggCCAIIAggCCAIIAggCCAIIAhkCAwK3c3EAfgAAAAAAAnNxAH4ABP///////////////v////7/////dXEAfgAHAAAABFSIS5t4eHdFAh4AAokCAgJhAgQCBQIGAgcCCAIJAowCCwKKAg0CCAIIAggCCAIIAggCCAIIAggCCAIIAggCCAIIAggCCAIIAhkCAwK4c3EAfgAAAAAAAnNxAH4ABP///////////////v////7/////dXEAfgAHAAAAAwuCrXh4d0UCHgACiQICAkACBAIFAgYCBwIIAgkCCgILAooCDQIIAggCCAIIAggCCAIIAggCCAIIAggCCAIIAggCCAIIAggCGQIDArlzcQB+AAAAAAACc3EAfgAE///////////////+/////gAAAAF1cQB+AAcAAAAEAo6woHh4d0UCHgACiQICAkwCBAIFAgYCBwIIAgkCCgILAooCDQIIAggCCAIIAggCCAIIAggCCAIIAggCCAIIAggCCAIIAggCGQIDArpzcQB+AAAAAAACc3EAfgAE///////////////+/////v////91cQB+AAcAAAAEKOmGtnh4d0UCHgACiQICAicCBAIFAgYCBwIIAgkCjAILAooCDQIIAggCCAIIAggCCAIIAggCCAIIAggCCAIIAggCCAIIAggCGQIDArtzcQB+AAAAAAACc3EAfgAE///////////////+/////v////91cQB+AAcAAAADBT+veHh3RQIeAAKJAgICSAIEAgUCBgIHAggCCQIeAgsCigINAggCCAIIAggCCAIIAggCCAIIAggCCAIIAggCCAIIAggCCAIZAgMCvHNxAH4AAAAAAAJzcQB+AAT///////////////7////+/////3VxAH4ABwAAAARe1GL4eHh3RQIeAAKJAgICPgIEAgUCBgIHAggCCQIKAgsCigINAggCCAIIAggCCAIIAggCCAIIAggCCAIIAggCCAIIAggCCAIZAgMCvXNxAH4AAAAAAAJzcQB+AAT///////////////7////+/////3VxAH4ABwAAAAQCvT+keHh3RQIeAAKJAgICRAIEAgUCBgIHAggCCQIeAgsCigINAggCCAIIAggCCAIIAggCCAIIAggCCAIIAggCCAIIAggCCAIZAgMCvnNxAH4AAAAAAAJzcQB+AAT///////////////7////+/////3VxAH4ABwAAAAQoo9pZeHh3RQIeAAKJAgICGwIEAgUCBgIHAggCCQKMAgsCigINAggCCAIIAggCCAIIAggCCAIIAggCCAIIAggCCAIIAggCCAIZAgMCv3NxAH4AAAAAAAJzcQB+AAT///////////////7////+/////3VxAH4ABwAAAAMOg914eHdFAh4AAokCAgIDAgQCBQIGAgcCCAIJAowCCwKKAg0CCAIIAggCCAIIAggCCAIIAggCCAIIAggCCAIIAggCCAIIAhkCAwLAc3EAfgAAAAAAAnNxAH4ABP///////////////v////7/////dXEAfgAHAAAAAwR0jXh4d4oCHgACiQICAjgCBAIFAgYCBwIIAgkCjAILAooCDQIIAggCCAIIAggCCAIIAggCCAIIAggCCAIIAggCCAIIAggCGQIDAiECHgACiQICAmECBAIFAgYCBwIIAgkCHgILAooCDQIIAggCCAIIAggCCAIIAggCCAIIAggCCAIIAggCCAIIAggCGQIDAsFzcQB+AAAAAAACc3EAfgAE///////////////+/////v////91cQB+AAcAAAAETCsLgHh4d0UCHgACiQICAmYCBAIFAgYCBwIIAgkCCgILAooCDQIIAggCCAIIAggCCAIIAggCCAIIAggCCAIIAggCCAIIAggCGQIDAsJzcQB+AAAAAAACc3EAfgAE///////////////+/////v////91cQB+AAcAAAADMpTWeHh3RQIeAAKJAgICWAIEAgUCBgIHAggCCQIeAgsCigINAggCCAIIAggCCAIIAggCCAIIAggCCAIIAggCCAIIAggCCAIZAgMCw3NxAH4AAAAAAAJzcQB+AAT///////////////7////+/////3VxAH4ABwAAAARYCwcseHh3RQIeAAKJAgICXAIEAgUCBgIHAggCCQIKAgsCigINAggCCAIIAggCCAIIAggCCAIIAggCCAIIAggCCAIIAggCCAIZAgMCxHNxAH4AAAAAAAJzcQB+AAT///////////////7////+/////3VxAH4ABwAAAAQDNpKZeHh3RQIeAAKJAgICKgIEAgUCBgIHAggCCQIeAgsCigINAggCCAIIAggCCAIIAggCCAIIAggCCAIIAggCCAIIAggCCAIZAgMCxXNxAH4AAAAAAAJzcQB+AAT///////////////7////+/////3VxAH4ABwAAAARhMQgUeHh3RQIeAAKJAgICggIEAgUCBgIHAggCCQIKAgsCigINAggCCAIIAggCCAIIAggCCAIIAggCCAIIAggCCAIIAggCCAIZAgMCxnNxAH4AAAAAAAJzcQB+AAT///////////////7////+/////3VxAH4ABwAAAAQHGT+ZeHh3RQIeAAKJAgICJQIEAgUCBgIHAggCCQKMAgsCigINAggCCAIIAggCCAIIAggCCAIIAggCCAIIAggCCAIIAggCCAIZAgMCx3NxAH4AAAAAAAJzcQB+AAT///////////////7////+/////3VxAH4ABwAAAAMD3Kt4eHdFAh4AAokCAgJIAgQCBQIGAgcCCAIJAowCCwKKAg0CCAIIAggCCAIIAggCCAIIAggCCAIIAggCCAIIAggCCAIIAhkCAwLIc3EAfgAAAAAAAnNxAH4ABP///////////////v////7/////dXEAfgAHAAAAAwQ0OHh4d0UCHgACiQICAjYCBAIFAgYCBwIIAgkCHgILAooCDQIIAggCCAIIAggCCAIIAggCCAIIAggCCAIIAggCCAIIAggCGQIDAslzcQB+AAAAAAACc3EAfgAE///////////////+/////v////91cQB+AAcAAAAESHB4r3h4d0UCHgACiQICAi4CBAIFAgYCBwIIAgkCCgILAooCDQIIAggCCAIIAggCCAIIAggCCAIIAggCCAIIAggCCAIIAggCGQIDAspzcQB+AAAAAAACc3EAfgAE///////////////+/////v////91cQB+AAcAAAAEEP3yI3h4d0UCHgACiQICAiwCBAIFAgYCBwIIAgkCHgILAooCDQIIAggCCAIIAggCCAIIAggCCAIIAggCCAIIAggCCAIIAggCGQIDAstzcQB+AAAAAAACc3EAfgAE///////////////+/////v////91cQB+AAcAAAAEWf3l8nh4d0UCHgACiQICAjsCBAIFAgYCBwIIAgkCCgILAooCDQIIAggCCAIIAggCCAIIAggCCAIIAggCCAIIAggCCAIIAggCGQIDAsxzcQB+AAAAAAACc3EAfgAE///////////////+/////v////91cQB+AAcAAAAECCX/sXh4d4oCHgACiQICAh0CBAIFAgYCBwIIAgkCjAILAooCDQIIAggCCAIIAggCCAIIAggCCAIIAggCCAIIAggCCAIIAggCGQIDAiECHgACiQICAlgCBAIFAgYCBwIIAgkCCgILAooCDQIIAggCCAIIAggCCAIIAggCCAIIAggCCAIIAggCCAIIAggCGQIDAs1zcQB+AAAAAAACc3EAfgAE///////////////+/////v////91cQB+AAcAAAAEA91NIHh4d0UCHgACiQICAkQCBAIFAgYCBwIIAgkCjAILAooCDQIIAggCCAIIAggCCAIIAggCCAIIAggCCAIIAggCCAIIAggCGQIDAs5zcQB+AAAAAAACc3EAfgAE///////////////+/////v////91cQB+AAcAAAADBtyTeHh3RQIeAAKJAgICJwIEAgUCBgIHAggCCQIeAgsCigINAggCCAIIAggCCAIIAggCCAIIAggCCAIIAggCCAIIAggCCAIZAgMCz3NxAH4AAAAAAAJzcQB+AAT///////////////7////+/////3VxAH4ABwAAAARijcsWeHh3RQIeAAKJAgICJAIEAgUCBgIHAggCCQIKAgsCigINAggCCAIIAggCCAIIAggCCAIIAggCCAIIAggCCAIIAggCCAIZAgMC0HNxAH4AAAAAAAJzcQB+AAT///////////////7////+/////3VxAH4ABwAAAAQZYudleHh3RQIeAAKJAgICIgIEAgUCBgIHAggCCQKMAgsCigINAggCCAIIAggCCAIIAggCCAIIAggCCAIIAggCCAIIAggCCAIZAgMC0XNxAH4AAAAAAAJzcQB+AAT///////////////7////+/////3VxAH4ABwAAAAME+2h4eHdFAh4AAokCAgJQAgQCBQIGAgcCCAIJAowCCwKKAg0CCAIIAggCCAIIAggCCAIIAggCCAIIAggCCAIIAggCCAIIAhkCAwLSc3EAfgAAAAAAAnNxAH4ABP///////////////v////7/////dXEAfgAHAAAAAwqAVHh4d0UCHgACiQICAmkCBAIFAgYCBwIIAgkCHgILAooCDQIIAggCCAIIAggCCAIIAggCCAIIAggCCAIIAggCCAIIAggCGQIDAtNzcQB+AAAAAAACc3EAfgAE///////////////+/////v////91cQB+AAcAAAAETu7o2nh4d0UCHgACiQICAjgCBAIFAgYCBwIIAgkCHgILAooCDQIIAggCCAIIAggCCAIIAggCCAIIAggCCAIIAggCCAIIAggCGQIDAtRzcQB+AAAAAAACc3EAfgAE///////////////+/////v////91cQB+AAcAAAAEMNCqs3h4d0UCHgACiQICAmECBAIFAgYCBwIIAgkCCgILAooCDQIIAggCCAIIAggCCAIIAggCCAIIAggCCAIIAggCCAIIAggCGQIDAtVzcQB+AAAAAAACc3EAfgAE///////////////+/////v////91cQB+AAcAAAAEBDaJ43h4d0UCHgACiQICAmYCBAIFAgYCBwIIAgkCHgILAooCDQIIAggCCAIIAggCCAIIAggCCAIIAggCCAIIAggCCAIIAggCGQIDAtZzcQB+AAAAAAACc3EAfgAE///////////////+/////v////91cQB+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AAAAAAACc3EAfgAE///////////////+/////v////91cQB+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AAAAAAACc3EAfgAE///////////////+/////v////91cQB+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v////7/////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v////7/////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v////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AAT///////////////7////+/////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AAT///////////////7////+/////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Ah4AAuACAgLoAgQCBQIGAgcCCAIJAowCCwKKAg0CCAIIAggCCAIIAggCCAIIAggCCAIIAggCCAIIAggCCAIIAhMCAwLiAh4AAuACAgJEAgQCBQIGAgcCCAIJAh4CCwKKAg0CCAIIAggCCAIIAggCCAIIAggCCAIIAggCCAIIAggCCAIIAhMCAwK+Ah4AAuACAgKCAgQCBQIGAgcCCAIJAgoCCwKKAg0CCAIIAggCCAIIAggCCAIIAggCCAIIAggCCAIIAggCCAIIAhMCAwLGAh4AAuACAgI+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AAT///////////////7////+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AAT///////////////7////+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AAT///////////////7////+/////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AAT///////////////7////+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AAT///////////////7////+/////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AgQCBQIGAgcCCAIJAh4CCwIMAg0CCAIIAggCCAIIAggCCAIIAggCCAIIAggCCAIIAggCCAIIAikCAwI/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v////7/////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AICAkwCBAIFAgYCBwIIAgkCIAILAgwCDQIIAggCCAIIAggCCAIIAggCCAIIAggCCAIIAggCCAIIAggCGgIDAlMCHgAC+AICAmECBAIFAgYCBwIIAgkCIAILAgwCDQIIAggCCAIIAggCCAIIAggCCAIIAggCCAIIAggCCAIIAggCGgIDAmMCHgAC+AICAiUCBAIFAgYCBwIIAgkCCgILAgwCDQIIAggCCAIIAggCCAIIAggCCAIIAggCCAIIAggCCAIIAggCGgIDAiYCHgAC+AICAkgCBAIFAgYCBwIIAgkCCgILAgwCDQIIAggCCAIIAggCCAIIAggCCAIIAggCCAIIAggCCAIIAggCGgIDAkkCHgAC+AICAiQCBAIFAgYCBwIIAgkCHgILAgwCDQIIAggCCAIIAggCCAIIAggCCAIIAggCCAIIAggCCAIIAggCGgIDAksCHgAC+AICAjYCBAIFAgYCBwIIAgkCHgILAgwCDQIIAggCCAIIAggCCAIIAggCCAIIAggCCAIIAggCCAIIAggCGgIDAn0CHgAC+AICAjgCBAIFAgYCBwIIAgkCIAILAgwCDQIIAggCCAIIAggCCAIIAggCCAIIAggCCAIIAggCCAIIAggCGgIDAiECHgAC+AICAjgCBAIFAgYCBwIIAgkCHgILAgwCDQIIAggCCAIIAggCCAIIAggCCAIIAggCCAIIAggCCAIIAggCGgIDAm0CHgAC+AICAlACBAIFAgYCBwIIAgkCCgILAgwCDQIIAggCCAIIAggCCAIIAggCCAIIAggCCAIIAggCCAIIAggCGgIDAlECHgAC+AICAiwCBAIFAgYCBwIIAgkCHgILAgwCDQIIAggCCAIIAggCCAIIAggCCAIIAggCCAIIAggCCAIIAggCGgIDAnwCHgAC+AICAkQCBAIFAgYCBwIIAgkCCgILAgwCDQIIAggCCAIIAggCCAIIAggCCAIIAggCCAIIAggCCAIIAggCGgIDAkUCHgAC+AICAgMCBAIFAgYCBwIIAgkCIAILAgwCDQIIAggCCAIIAggCCAIIAggCCAIIAggCCAIIAggCCAIIAggCGgIDAkICHgAC+AICAmECBAIFAgYCBwIIAgkCCgILAgwCDQIIAggCCAIIAggCCAIIAggCCAIIAggCCAIIAggCCAIIAggCGgIDAm8CHgAC+AICAlgCBAIFAgYCBwIIAgkCCgILAgwCDQIIAggCCAIIAggCCAIIAggCCAIIAggCCAIIAggCCAIIAggCGgIDAnACHgAC+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AICAioCBAIFAgYCBwIIAgkCIAILAgwCDQIIAggCCAIIAggCCAIIAggCCAIIAggCCAIIAggCCAIIAggCGgIDAisCHgAC+AICAoICBAIFAgYCBwIIAgkCCgILAgwCDQIIAggCCAIIAggCCAIIAggCCAIIAggCCAIIAggCCAIIAggCGgIDAocCHgAC+AICAjsCBAIFAgYCBwIIAgkCCgILAgwCDQIIAggCCAIIAggCCAIIAggCCAIIAggCCAIIAggCCAIIAggCGgIDAnsCHgAC+AICAlwCBAIFAgYCBwIIAgkCCgILAgwCDQIIAggCCAIIAggCCAIIAggCCAIIAggCCAIIAggCCAIIAggCGgIDAl0CHgAC+AICAiwCBAIFAgYCBwIIAgkCIAILAgwCDQIIAggCCAIIAggCCAIIAggCCAIIAggCCAIIAggCCAIIAggCGgIDAncCHgAC+AICAioCBAIFAgYCBwIIAgkCHgILAgwCDQIIAggCCAIIAggCCAIIAggCCAIIAggCCAIIAggCCAIIAggCGgIDAnMCHgAC+AICAkQCBAIFAgYCBwIIAgkCHgILAgwCDQIIAggCCAIIAggCCAIIAggCCAIIAggCCAIIAggCCAIIAggCGgIDAl8CHgAC+AICAi4CBAIFAgYCBwIIAgkCCgILAgwCDQIIAggCCAIIAggCCAIIAggCCAIIAggCCAIIAggCCAIIAggCGgIDAnoCHgAC+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QICAjQCBAIFAgYCBwIIAgkCIAILAgwCDQIIAggCCAIIAggCCAIIAggCCAIIAggCCAIIAggCCAIIAggCFAIDAlcCHgAC+QICAkwCBAIFAgYCBwIIAgkCIAILAgwCDQIIAggCCAIIAggCCAIIAggCCAIIAggCCAIIAggCCAIIAggCFAIDAlMCHgAC+QICAjACBAIFAgYCBwIIAgkCHgILAgwCDQIIAggCCAIIAggCCAIIAggCCAIIAggCCAIIAggCCAIIAggCFAIDAk4CHgAC+QICAj4CBAIFAgYCBwIIAgkCCgILAgwCDQIIAggCCAIIAggCCAIIAggCCAIIAggCCAIIAggCCAIIAggCFAIDAlsCHgAC+QICAjsCBAIFAgYCBwIIAgkCHgILAgwCDQIIAggCCAIIAggCCAIIAggCCAIIAggCCAIIAggCCAIIAggCFAIDAjwCHgAC+QICAiQCBAIFAgYCBwIIAgkCHgILAgwCDQIIAggCCAIIAggCCAIIAggCCAIIAggCCAIIAggCCAIIAggCFAIDAksCHgAC+QICAukCBAIFAgYCBwIIAgkCCgILAgwCDQIIAggCCAIIAggCCAIIAggCCAIIAggCCAIIAggCCAIIAggCFAIDAu0CHgAC+QICAugCBAIFAgYCBwIIAgkCHgILAgwCDQIIAggCCAIIAggCCAIIAggCCAIIAggCCAIIAggCCAIIAggCFAIDAuICHgAC+QICAlgCBAIFAgYCBwIIAgkCHgILAgwCDQIIAggCCAIIAggCCAIIAggCCAIIAggCCAIIAggCCAIIAggCFAIDAmUCHgAC+QICAh0CBAIFAgYCBwIIAgkCCgILAgwCDQIIAggCCAIIAggCCAIIAggCCAIIAggCCAIIAggCCAIIAggCFAIDAlYCHgAC+QICAkwCBAIFAgYCBwIIAgkCCgILAgwCDQIIAggCCAIIAggCCAIIAggCCAIIAggCCAIIAggCCAIIAggCFAIDAnECHgAC+QICAkACBAIFAgYCBwIIAgkCHgILAgwCDQIIAggCCAIIAggCCAIIAggCCAIIAggCCAIIAggCCAIIAggCFAIDAkECHgAC+QICAlwCBAIFAgYCBwIIAgkCHgILAgwCDQIIAggCCAIIAggCCAIIAggCCAIIAggCCAIIAggCCAIIAggCFAIDAngCHgAC+QICAj4CBAIFAgYCBwIIAgkCIAILAgwCDQIIAggCCAIIAggCCAIIAggCCAIIAggCCAIIAggCCAIIAggCFAIDAlUCHgAC+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Ah4AAvkCAgI4AgQCBQIGAgcCCAIJAh4CCwIMAg0CCAIIegAABAACCAIIAggCCAIIAggCCAIIAggCCAIIAggCCAIIAggCFAIDAm0CHgAC+QICAgMCBAIFAgYCBwIIAgkCIAILAgwCDQIIAggCCAIIAggCCAIIAggCCAIIAggCCAIIAggCCAIIAggCFAIDAkICHgAC+QICAmECBAIFAgYCBwIIAgkCCgILAgwCDQIIAggCCAIIAggCCAIIAggCCAIIAggCCAIIAggCCAIIAggCFAIDAm8CHgAC+QICAlgCBAIFAgYCBwIIAgkCIAILAgwCDQIIAggCCAIIAggCCAIIAggCCAIIAggCCAIIAggCCAIIAggCFAIDAlkCHgAC+QICAoACBAIFAgYCBwIIAgkCCgILAgwCDQIIAggCCAIIAggCCAIIAggCCAIIAggCCAIIAggCCAIIAggCFAIDAoECHgAC+QICAuECBAIFAgYCBwIIAgkCCgILAgwCDQIIAggCCAIIAggCCAIIAggCCAIIAggCCAIIAggCCAIIAggCFAIDAuICHgAC+QICAjACBAIFAgYCBwIIAgkCIAILAgwCDQIIAggCCAIIAggCCAIIAggCCAIIAggCCAIIAggCCAIIAggCFAIDAiECHgAC+QICAkACBAIFAgYCBwIIAgkCCgILAgwCDQIIAggCCAIIAggCCAIIAggCCAIIAggCCAIIAggCCAIIAggCFAIDAl4CHgAC+QICAiQCBAIFAgYCBwIIAgkCIAILAgwCDQIIAggCCAIIAggCCAIIAggCCAIIAggCCAIIAggCCAIIAggCFAIDAiECHgAC+QICAi4CBAIFAgYCBwIIAgkCHgILAgwCDQIIAggCCAIIAggCCAIIAggCCAIIAggCCAIIAggCCAIIAggCFAIDAjICHgAC+QICAkwCBAIFAgYCBwIIAgkCHgILAgwCDQIIAggCCAIIAggCCAIIAggCCAIIAggCCAIIAggCCAIIAggCFAIDAk0CHgAC+QICAugCBAIFAgYCBwIIAgkCIAILAgwCDQIIAggCCAIIAggCCAIIAggCCAIIAggCCAIIAggCCAIIAggCFAIDAuICHgAC+QICAkgCBAIFAgYCBwIIAgkCCgILAgwCDQIIAggCCAIIAggCCAIIAggCCAIIAggCCAIIAggCCAIIAggCFAIDAkkCHgAC+QICAmECBAIFAgYCBwIIAgkCHgILAgwCDQIIAggCCAIIAggCCAIIAggCCAIIAggCCAIIAggCCAIIAggCFAIDAmICHgAC+QICAuMCBAIFAgYCBwIIAgkCHgILAgwCDQIIAggCCAIIAggCCAIIAggCCAIIAggCCAIIAggCCAIIAggCFAIDAu4CHgAC+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gICAkwCBAIFAgYCBwIIAgkCHgILAooCDQIIAggCCAIIAggCCAIIAggCCAIIAggCCAIIAggCCAIIAggCAgIDAqkCHgAC+gICAiQCBAIFAgYCBwIIAgkCHgILAooCDQIIAggCCAIIAggCCAIIAggCCAIIAggCCAIIAggCCAIIAggCAgIDAqICHgAC+gICAiUCBAIFAgYCBwIIAgkCHgILAooCDQIIAggCCAIIAggCCAIIAggCCAIIAggCCAIIAggCCAIIAggCAgIDApMCHgAC+gICAi4CBAIFAgYCBwIIAgkCHgILAooCDQIIAggCCAIIAggCCAIIAggCCAIIAggCCAIIAggCCAIIAggCAgIDApQCHgAC+gICAmYCBAIFAgYCBwIIAgkCHgILAooCDQIIAggCCAIIAggCCAIIAggCCAIIAggCCAIIAggCCAIIAggCAgIDAtYCHgAC+gICAiwCBAIFAgYCBwIIAgkCHgILAooCDQIIAggCCAIIAggCCAIIAggCCAIIAggCCAIIAggCCAIIAggCAgIDAssCHgAC+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wICAlgCBAIFAgYCBwIIAgkCHgILAgwCDQIIAggCCAIIAggCCAIIAggCCAIIAggCCAIIAggCCAIIAggCAwIDAmUCHgAC+wICAjgCBAIFAgYCBwIIAgkCHgILAgwCDQIIAggCCAIIAggCCAIIAggCCAIIAggCCAIIAggCCAIIAggCAwIDAm0CHgAC+wICAgMCBAIFAgYCBwIIAgkCHgILAgwCDQIIAggCCAIIAggCCAIIAggCCAIIAggCCAIIAggCCAIIAggCAwIDAkcCHgAC+wICAmYCBAIFAgYCBwIIAgkCHgILAgwCDQIIAggCCAIIAggCCAIIAggCCAIIAggCCAIIAggCCAIIAggCAwIDAnkCHgAC+wICAi4CBAIFAgYCBwIIAgkCHgILAgwCDQIIAggCCAIIAggCCAIIAggCCAIIAggCCAIIAggCCAIIAggCAwIDAjICHgAC+wICAjACBAIFAgYCBwIIAgkCHgILAgwCDQIIAggCCAIIAggCCAIIAggCCAIIAggCCAIIAggCCAIIAggCAwIDAk4CHgAC+wICAkwCBAIFAgYCBwIIAgkCHgILAgwCDQIIAggCCAIIAggCCAIIAggCCAIIAggCCAIIAggCCAIIAggCAwIDAk0CHgAC+wICAoICBAIFAgYCBwIIAgkCHgILAgwCDQIIAggCCAIIAggCCAIIAggCCAIIAggCCAIIAggCCAIIAggCAwIDAoMCHgAC+wICAiQCBAIFAgYCBwIIAgkCHgILAgwCDQIIAggCCAIIAggCCAIIAggCCAIIAggCCAIIAggCCAIIAggCAwIDAksCHgAC+wICAoUCBAIFAgYCBwIIAgkCHgILAgwCDQIIAggCCAIIAggCCAIIAggCCAIIAggCCAIIAggCCAIIAggCAwIDAoYCHgAC+wICAkgCBAIFAgYCBwIIAgkCHgILAgwCDQIIAggCCAIIAggCCAIIAggCCAIIAggCCAIIAggCCAIIAggCAwIDAloCHgAC+wICAiUCBAIFAgYCBwIIAgkCHgILAgwCDQIIAggCCAIIAggCCAIIAggCCAIIAggCCAIIAggCCAIIAggCAwIDAjMCHgAC+wICAiwCBAIFAgYCBwIIAgkCHgILAgwCDQIIAggCCAIIAggCCAIIAggCCAIIAggCCAIIAggCCAIIAggCAwIDAnwCHgAC/AAKMTA1OTcwNzcwNAICAmECBAIFAgYCBwIIAgkCHgILAooCDQIIAggCCAIIAggCCAIIAggCCAIIAggCCAIIAggCCAIIAggCHwIDAsECHgAC/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AICAjYCBAIFAgYCBwIIAgkCHgILAooCDQIIAggCCAIIAggCCAIIAggCCAIIAggCCAIIAggCCAIIAggCHwIDAskCHgAC/AICAjgCBAIFAgYCBwIIAgkCCgILAooCDQIIAggCCAIIAggCCAIIAggCCAIIAggCCAIIAggCCAIIAggCHwIDApsCHgAC/AICAkgCBAIFAgYCBwIIAgkCjAILAooCDQIIAggCCAIIAggCCAIIAggCCAIIAggCCAIIAggCCAIIAggCHwIDAsgCHgAC/AICAioCBAIFAgYCBwIIAgkCHgILAooCDQIIAggCCAIIAggCCAIIAggCCAIIAggCCAIIAggCCAIIAggCHwIDAsUCHgAC/AICAkQCBAIFAgYCBwIIAgkCHgILAooCDQIIAggCCAIIAggCCAIIAggCCAIIAggCCAIIAggCCAIIAggCHwIDAr4CHgAC/AICAgMCBAIFAgYCBwIIAgkCjAILAooCDQIIAggCCAIIAggCCAIIAggCCAIIAggCCAIIAggCCAIIAggCHwIDAsACHgAC/AICAhsCBAIFAgYCBwIIAgkCjAILAooCDQIIAggCCAIIAggCCAIIAggCCAIIAggCCAIIAggCCAIIAggCHwIDAr8CHgAC/AICAi4CBAIFAgYCBwIIAgkCCgILAooCDQIIAggCCAIIAggCCAIIAggCCAIIAggCCAIIAggCCAIIAggCHwIDAsoCHgAC/AICAjsCBAIFAgYCBwIIAgkCCgILAooCDQIIAggCCAIIAggCCAIIAggCCAIIAggCCAIIAggCCAIIAggCHwIDAswCHgAC/AICAiICBAIFAgYCBwIIAgkCHgILAooCDQIIAggCCAIIAggCCAIIAggCCAIIAggCCAIIAggCCAIIAggCHwIDAp0CHgAC/AICAhsCBAIFAgYCBwIIAgkCCgILAooCDQIIAggCCAIIAggCCAIIAggCCAIIAggCCAIIAggCCAIIAggCHwIDAp4CHgAC/AICAkACBAIFAgYCBwIIAgkCjAILAooCDQIIAggCCAIIAggCCAIIAggCCAIIAggCCAIIAggCCAIIAggCHwIDApoCHgAC/AICAgMCBAIFAgYCBwIIAgkCCgILAooCDQIIAggCCAIIAggCCAIIAggCCAIIAggCCAIIAggCCAIIAggCHwIDApcCHgAC/AICAj4CBAIFAgYCBwIIAgkCjAILAooCDQIIAggCCAIIAggCCAIIAggCCAIIAggCCAIIAggCCAIIAggCHwIDApkCHgAC/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xxe4awand>
</file>

<file path=customXml/item13.xml><?xml version="1.0" encoding="utf-8"?>
<xxe4awand xmlns="http://www.excel4apps.com"><![CDATA[rO0ABXfZCMCtii8ABM8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14.xml><?xml version="1.0" encoding="utf-8"?>
<xxe4awand xmlns="http://www.excel4apps.com"><![CDATA[rO0ABXfZCMCtii8ABJsFAh4AAERjb20uZXhjZWw0YXBwcy53YW5kLm9yYWNsZS5n
bHdhbmQuY2FsY3VsYXRpb25zLmdldGJhbGFuY2UuR2V0QmFsYW5jZQIBAAkyMzUy
MjUxNzYCAgABMAIDAAYyMDE2MTACBAADWVREAgUAA1VTRAIGAAVUb3RhbAIHAAFB
AggAAAIJAAMwMDECCgAGMTkxMDEw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Yo3LFnh4d1UCHgACAQICAhsABjIwMTgwMwIEAgUCBgIHAggCCQIcAAYxOTEw
MjUCCwIMAg0CCAIIAggCCAIIAggCCAIIAggCCAIIAggCCAIIAggCCAIIAhMCAwId
c3EAfgAAAAAAAnNxAH4ABP///////////////v////4AAAAAdXEAfgAHAAAAAHh4
d1UCHgACAQICAh4ABjIwMTYxMgIEAgUCBgIHAggCCQIfAAYxOTEwMDACCwIMAg0C
CAIIAggCCAIIAggCCAIIAggCCAIIAggCCAIIAggCCAIIAhMCAwIgc3EAfgAAAAAA
AnNxAH4ABP///////////////v////7/////dXEAfgAHAAAABDuLiL14eHdNAh4A
AgECAgIhAAYyMDE2MDYCBAIFAgYCBwIIAgkCHwILAgwCDQIIAggCCAIIAggCCAII
AggCCAIIAggCCAIIAggCCAIIAggCEwIDAiJzcQB+AAAAAAACc3EAfgAE////////
///////+/////v////91cQB+AAcAAAAEA6uLrXh4d00CHgACAQICAiMABjIwMTgw
OAIEAgUCBgIHAggCCQIfAgsCDAINAggCCAIIAggCCAIIAggCCAIIAggCCAIIAggC
CAIIAggCCAITAgMCJHNxAH4AAAAAAAJzcQB+AAT///////////////7////+AAAA
AXVxAH4ABwAAAAQCCDy9eHh3TQIeAAIBAgICJQAGMjAxODA2AgQCBQIGAgcCCAIJ
AgoCCwIMAg0CCAIIAggCCAIIAggCCAIIAggCCAIIAggCCAIIAggCCAIIAhMCAwIm
c3EAfgAAAAAAAnNxAH4ABP///////////////v////7/////dXEAfgAHAAAABF0a
A9N4eHdNAh4AAgECAgInAAYyMDE3MTICBAIFAgYCBwIIAgkCHwILAgwCDQIIAggC
CAIIAggCCAIIAggCCAIIAggCCAIIAggCCAIIAggCEwIDAihzcQB+AAAAAAACc3EA
fgAE///////////////+/////v////91cQB+AAcAAAAENEm+I3h4d00CHgACAQIC
AikABjIwMTcwMQIEAgUCBgIHAggCCQIcAgsCDAINAggCCAIIAggCCAIIAggCCAII
AggCCAIIAggCCAIIAggCCAITAgMCKnNxAH4AAAAAAAJzcQB+AAT/////////////
//7////+/////3VxAH4ABwAAAAMFZP94eHdNAh4AAgECAgIrAAYyMDE3MDYCBAIF
AgYCBwIIAgkCCgILAgwCDQIIAggCCAIIAggCCAIIAggCCAIIAggCCAIIAggCCAII
AggCEwIDAixzcQB+AAAAAAACc3EAfgAE///////////////+/////v////91cQB+
AAcAAAAEWAsHLHh4d00CHgACAQICAi0ABjIwMTYwNAIEAgUCBgIHAggCCQIfAgsC
DAINAggCCAIIAggCCAIIAggCCAIIAggCCAIIAggCCAIIAggCCAITAgMCLnNxAH4A
AAAAAAJzcQB+AAT///////////////7////+/////3VxAH4ABwAAAAQE5DAPeHh3
TQIeAAIBAgICLwAGMjAxNzEwAgQCBQIGAgcCCAIJAgoCCwIMAg0CCAIIAggCCAII
AggCCAIIAggCCAIIAggCCAIIAggCCAIIAhMCAwIwc3EAfgAAAAAAAnNxAH4ABP///////////////v////7/////dXEAfgAHAAAABILciPF4eHdNAh4AAgECAgIxAAYyMDE3MDgCBAIFAgYCBwIIAgkCHwILAgwCDQIIAggCCAIIAggCCAIIAggCCAIIAggCCAIIAggCCAIIAggCEwIDAjJzcQB+AAAAAAACc3EAfgAE///////////////+/////v////91cQB+AAcAAAADMpTWeHh3TQIeAAIBAgICMwAGMjAxNjAyAgQCBQIGAgcCCAIJAgoCCwIMAg0CCAIIAggCCAIIAggCCAIIAggCCAIIAggCCAIIAggCCAIIAhMCAwI0c3EAfgAAAAAAAnNxAH4ABP///////////////v////7/////dXEAfgAHAAAABDc49U94eHdNAh4AAgECAgI1AAYyMDE4MTACBAIFAgYCBwIIAgkCCgILAgwCDQIIAggCCAIIAggCCAIIAggCCAIIAggCCAIIAggCCAIIAggCEwIDAjZzcQB+AAAAAAAAcQB+AAp4d00CHgACAQICAjcABjIwMTYwOAIEAgUCBgIHAggCCQIcAgsCDAINAggCCAIIAggCCAIIAggCCAIIAggCCAIIAggCCAIIAggCCAITAgMCOHNxAH4AAAAAAAJzcQB+AAT///////////////7////+/////3VxAH4ABwAAAAMItpx4eHdNAh4AAgECAgI5AAYyMDE3MDICBAIFAgYCBwIIAgkCCgILAgwCDQIIAggCCAIIAggCCAIIAggCCAIIAggCCAIIAggCCAIIAggCEwIDAjpzcQB+AAAAAAACc3EAfgAE///////////////+/////v////91cQB+AAcAAAAESYtTyXh4d0UCHgACAQICAjcCBAIFAgYCBwIIAgkCHwILAgwCDQIIAggCCAIIAggCCAIIAggCCAIIAggCCAIIAggCCAIIAggCEwIDAjtzcQB+AAAAAAACc3EAfgAE///////////////+/////v////91cQB+AAcAAAAEAr0/pHh4d0UCHgACAQICAgMCBAIFAgYCBwIIAgkCHwILAgwCDQIIAggCCAIIAggCCAIIAggCCAIIAggCCAIIAggCCAIIAggCEwIDAjxzcQB+AAAAAAACc3EAfgAE///////////////+/////v////91cQB+AAcAAAADvFyyeHh3mgIeAAIBAgICPQAGMjAxODA1AgQCBQIGAgcCCAIJAhwCCwIMAg0CCAIIAggCCAIIAggCCAIIAggCCAIIAggCCAIIAggCCAIIAhMCAwIdAh4AAgECAgI+AAYyMDE2MDMCBAIFAgYCBwIIAgkCHAILAgwCDQIIAggCCAIIAggCCAIIAggCCAIIAggCCAIIAggCCAIIAggCEwIDAj9zcQB+AAAAAAACc3EAfgAE///////////////+/////v////91cQB+AAcAAAADDoPdeHh3TQIeAAIBAgICQAAGMjAxODA0AgQCBQIGAgcCCAIJAgoCCwIMAg0CCAIIAggCCAIIAggCCAIIAggCCAIIAggCCAIIAggCCAIIAhMCAwJBc3EAfgAAAAAAAnNxAH4ABP///////////////v////7/////dXEAfgAHAAAABFqpyF94eHdFAh4AAgECAgIeAgQCBQIGAgcCCAIJAgoCCwIMAg0CCAIIAggCCAIIAggCCAIIAggCCAIIAggCCAIIAggCCAIIAhMCAwJCc3EAfgAAAAAAAnNxAH4ABP///////////////v////7/////dXEAfgAHAAAABCij2ll4eHdFAh4AAgECAgIxAgQCBQIGAgcCCAIJAgoCCwIMAg0CCAIIAggCCAIIAggCCAIIAggCCAIIAggCCAIIAggCCAIIAhMCAwJDc3EAfgAAAAAAAnNxAH4ABP///////////////v////7/////dXEAfgAHAAAABGUxQat4eHdFAh4AAgECAgIzAgQCBQIGAgcCCAIJAh8CCwIMAg0CCAIIAggCCAIIAggCCAIIAggCCAIIAggCCAIIAggCCAIIAhMCAwJEc3EAfgAAAAAAAnNxAH4ABP///////////////v////7/////dXEAfgAHAAAABAgl/7F4eHeSAh4AAgECAgJFAAYyMDE4MTECBAIFAgYCBwIIAgkCHAILAgwCDQIIAggCCAIIAggCCAIIAggCCAIIAggCCAIIAggCCAIIAggCEwIDAjYCHgACAQICAi0CBAIFAgYCBwIIAgkCCgILAgwCDQIIAggCCAIIAggCCAIIAggCCAIIAggCCAIIAggCCAIIAggCEwIDAkZzcQB+AAAAAAACc3EAfgAE///////////////+/////v////91cQB+AAcAAAAESHB4r3h4d0UCHgACAQICAisCBAIFAgYCBwIIAgkCHwILAgwCDQIIAggCCAIIAggCCAIIAggCCAIIAggCCAIIAggCCAIIAggCEwIDAkdzcQB+AAAAAAACc3EAfgAE///////////////+/////v////91cQB+AAcAAAAEA91NIHh4d0UCHgACAQICAiECBAIFAgYCBwIIAgkCHAILAgwCDQIIAggCCAIIAggCCAIIAggCCAIIAggCCAIIAggCCAIIAggCEwIDAkhzcQB+AAAAAAACc3EAfgAE///////////////+/////v////91cQB+AAcAAAADCoBUeHh3kgIeAAIBAgICNQIEAgUCBgIHAggCCQIfAgsCDAINAggCCAIIAggCCAIIAggCCAIIAggCCAIIAggCCAIIAggCCAITAgMCNgIeAAIBAgICSQAGMjAxODAxAgQCBQIGAgcCCAIJAgoCCwIMAg0CCAIIAggCCAIIAggCCAIIAggCCAIIAggCCAIIAggCCAIIAhMCAwJKc3EAfgAAAAAAAnNxAH4ABP///////////////v////7/////dXEAfgAHAAAABE7u6Np4eHdNAh4AAgECAgJLAAYyMDE3MDkCBAIFAgYCBwIIAgkCCgILAgwCDQIIAggCCAIIAggCCAIIAggCCAIIAggCCAIIAggCCAIIAggCEwIDAkxzcQB+AAAAAAACc3EAfgAE///////////////+/////v////91cQB+AAcAAAAEcQZZSXh4d0UCHgACAQICAh4CBAIFAgYCBwIIAgkCHAILAgwCDQIIAggCCAIIAggCCAIIAggCCAIIAggCCAIIAggCCAIIAggCEwIDAk1zcQB+AAAAAAACc3EAfgAE///////////////+/////v////91cQB+AAcAAAADBtyTeHh3TQIeAAIBAgICTgAGMjAxODAyAgQCBQIGAgcCCAIJAh8CCwIMAg0CCAIIAggCCAIIAggCCAIIAggCCAIIAggCCAIIAggCCAIIAhMCAwJPc3EAfgAAAAAAAnNxAH4ABP///////////////v////7/////dXEAfgAHAAAABBli52V4eHdFAh4AAgECAgIrAgQCBQIGAgcCCAIJAhwCCwIMAg0CCAIIAggCCAIIAggCCAIIAggCCAIIAggCCAIIAggCCAIIAhMCAwJQc3EAfgAAAAAAAnNxAH4ABP///////////////v////7/////dXEAfgAHAAAAAwRDenh4d0UCHgACAQICAkACBAIFAgYCBwIIAgkCHwILAgwCDQIIAggCCAIIAggCCAIIAggCCAIIAggCCAIIAggCCAIIAggCEwIDAlFzcQB+AAAAAAACc3EAfgAE///////////////+/////v////91cQB+AAcAAAAEBxk/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v////7/////dXEAfgAHAAAAAwRWK3h4d0UCHgACAQICAhsCBAIFAgYCBwIIAgkCCgILAgwCDQIIAggCCAIIAggCCAIIAggCCAIIAggCCAIIAggCCAIIAggCEwIDAlVzcQB+AAAAAAACc3EAfgAE///////////////+/////v////91cQB+AAcAAAAEUn6jGnh4d5oCHgACAQICAlYABjIwMTcxMQIEAgUCBgIHAggCCQIcAgsCDAINAggCCAIIAggCCAIIAggCCAIIAggCCAIIAggCCAIIAggCCAITAgMCHQIeAAIBAgICVwAGMjAxNzA0AgQCBQIGAgcCCAIJAh8CCwIMAg0CCAIIAggCCAIIAggCCAIIAggCCAIIAggCCAIIAggCCAIIAhMCAwJYc3EAfgAAAAAAAnNxAH4ABP///////////////v////7/////dXEAfgAHAAAABAnwakZ4eHdFAh4AAgECAgIhAgQCBQIGAgcCCAIJAgoCCwIMAg0CCAIIAggCCAIIAggCCAIIAggCCAIIAggCCAIIAggCCAIIAhMCAwJZc3EAfgAAAAAAAnNxAH4ABP///////////////v////7/////dXEAfgAHAAAABFSIS5t4eHdFAh4AAgECAgIjAgQCBQIGAgcCCAIJAgoCCwIMAg0CCAIIAggCCAIIAggCCAIIAggCCAIIAggCCAIIAggCCAIIAhMCAwJac3EAfgAAAAAAAnNxAH4ABP///////////////v////7/////dXEAfgAHAAAABG9TFvJ4eHdFAh4AAgECAgIvAgQCBQIGAgcCCAIJAh8CCwIMAg0CCAIIAggCCAIIAggCCAIIAggCCAIIAggCCAIIAggCCAIIAhMCAwJbc3EAfgAAAAAAAnNxAH4ABP///////////////v////4AAAABdXEAfgAHAAAABAkNFf14eHdFAh4AAgECAgJTAgQCBQIGAgcCCAIJAh8CCwIMAg0CCAIIAggCCAIIAggCCAIIAggCCAIIAggCCAIIAggCCAIIAhMCAwJcc3EAfgAAAAAAAnNxAH4ABP///////////////v////7/////dXEAfgAHAAAABAYhGIV4eHdNAh4AAgECAgJdAAYyMDE2MDcCBAIFAgYCBwIIAgkCHAILAgwCDQIIAggCCAIIAggCCAIIAggCCAIIAggCCAIIAggCCAIIAggCEwIDAl5zcQB+AAAAAAACc3EAfgAE///////////////+/////v////91cQB+AAcAAAADCZ5/eHh3RQIeAAIBAgICTgIEAgUCBgIHAggCCQIKAgsCDAINAggCCAIIAggCCAIIAggCCAIIAggCCAIIAggCCAIIAggCCAITAgMCX3NxAH4AAAAAAAJzcQB+AAT///////////////7////+/////3VxAH4ABwAAAARPKnH5eHh3TQIeAAIBAgICYAAGMjAxNjExAgQCBQIGAgcCCAIJAgoCCwIMAg0CCAIIAggCCAIIAggCCAIIAggCCAIIAggCCAIIAggCCAIIAhMCAwJhc3EAfgAAAAAAAnNxAH4ABP///////////////v////7/////dXEAfgAHAAAABBJUFap4eHeKAh4AAgECAgJAAgQCBQIGAgcCCAIJAhwCCwIMAg0CCAIIAggCCAIIAggCCAIIAggCCAIIAggCCAIIAggCCAIIAhMCAwIdAh4AAgECAgJXAgQCBQIGAgcCCAIJAgoCCwIMAg0CCAIIAggCCAIIAggCCAIIAggCCAIIAggCCAIIAggCCAIIAhMCAwJic3EAfgAAAAAAAnNxAH4ABP///////////////v////7/////dXEAfgAHAAAABFpw2Xd4eHdFAh4AAgECAgIzAgQCBQIGAgcCCAIJAhwCCwIMAg0CCAIIAggCCAIIAggCCAIIAggCCAIIAggCCAIIAggCCAIIAhMCAwJjc3EAfgAAAAAAAnNxAH4ABP///////////////v////7/////dXEAfgAHAAAAAxIVy3h4d0UCHgACAQICAhsCBAIFAgYCBwIIAgkCHwILAgwCDQIIAggCCAIIAggCCAIIAggCCAIIAggCCAIIAggCCAIIAggCEwIDAmRzcQB+AAAAAAACc3EAfgAE///////////////+/////v////91cQB+AAcAAAAEDlPJjHh4d0UCHgACAQICAjkCBAIFAgYCBwIIAgkCHAILAgwCDQIIAggCCAIIAggCCAIIAggCCAIIAggCCAIIAggCCAIIAggCEwIDAmVzcQB+AAAAAAACc3EAfgAE///////////////+/////v////91cQB+AAcAAAADBPtoeHh3igIeAAIBAgICNQIEAgUCBgIHAggCCQIcAgsCDAINAggCCAIIAggCCAIIAggCCAIIAggCCAIIAggCCAIIAggCCAITAgMCNgIeAAIBAgICUwIEAgUCBgIHAggCCQIKAgsCDAINAggCCAIIAggCCAIIAggCCAIIAggCCAIIAggCCAIIAggCCAITAgMCZnNxAH4AAAAAAAJzcQB+AAT///////////////7////+/////3VxAH4ABwAAAARZ/eXyeHh3TQIeAAIBAgICZwAGMjAxNjA1AgQCBQIGAgcCCAIJAh8CCwIMAg0CCAIIAggCCAIIAggCCAIIAggCCAIIAggCCAIIAggCCAIIAhMCAwJoc3EAfgAAAAAAAnNxAH4ABP///////////////v////7/////dXEAfgAHAAAABAQ2ieN4eHdFAh4AAgECAgJWAgQCBQIGAgcCCAIJAgoCCwIMAg0CCAIIAggCCAIIAggCCAIIAggCCAIIAggCCAIIAggCCAIIAhMCAwJpc3EAfgAAAAAAAnNxAH4ABP///////////////v////7/////dXEAfgAHAAAABDDQqrN4eHdFAh4AAgECAgI+AgQCBQIGAgcCCAIJAgoCCwIMAg0CCAIIAggCCAIIAggCCAIIAggCCAIIAggCCAIIAggCCAIIAhMCAwJqc3EAfgAAAAAAAnNxAH4ABP///////////////v////7/////dXEAfgAHAAAABD37VuJ4eHdNAh4AAgECAgJrAAYyMDE3MDcCBAIFAgYCBwIIAgkCHwILAgwCDQIIAggCCAIIAggCCAIIAggCCAIIAggCCAIIAggCCAIIAggCEwIDAmxzcQB+AAAAAAACc3EAfgAE///////////////+/////v////91cQB+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AAAAAAACc3EAfgAE///////////////+/////v////91cQB+AAcAAAAETCsLgHh4d0UCHgACAQICAmACBAIFAgYCBwIIAgkCHwILAgwCDQIIAggCCAIIAggCCAIIAggCCAIIAggCCAIIAggCCAIIAggCEwIDAm5zcQB+AAAAAAACc3EAfgAE///////////////+/////v////91cQB+AAcAAAAETEMOFXh4d00CHgACAQICAm8ABjIwMTcwMwIEAgUCBgIHAggCCQIKAgsCDAINAggCCAIIAggCCAIIAggCCAIIAggCCAIIAggCCAIIAggCCAITAgMCcHNxAH4AAAAAAAJzcQB+AAT///////////////7////+/////3VxAH4ABwAAAARTY5smeHh3RQIeAAIBAgICXQIEAgUCBgIHAggCCQIfAgsCDAINAggCCAIIAggCCAIIAggCCAIIAggCCAIIAggCCAIIAggCCAITAgMCcXNxAH4AAAAAAAJzcQB+AAT///////////////7////+/////3VxAH4ABwAAAAQDNpKZeHh3igIeAAIBAgICUgIEAgUCBgIHAggCCQIfAgsCDAINAggCCAIIAggCCAIIAggCCAIIAggCCAIIAggCCAIIAggCCAITAgMCJAIeAAIBAgICVgIEAgUCBgIHAggCCQIfAgsCDAINAggCCAIIAggCCAIIAggCCAIIAggCCAIIAggCCAIIAggCCAITAgMCcnNxAH4AAAAAAAJzcQB+AAT///////////////7////+/////3VxAH4ABwAAAAREule8eHh3TQIeAAIBAgICcwAGMjAxODA3AgQCBQIGAgcCCAIJAgoCCwIMAg0CCAIIAggCCAIIAggCCAIIAggCCAIIAggCCAIIAggCCAIIAhMCAwJ0c3EAfgAAAAAAAnNxAH4ABP///////////////v////7/////dXEAfgAHAAAABGPPmgl4eHdFAh4AAgECAgI9AgQCBQIGAgcCCAIJAh8CCwIMAg0CCAIIAggCCAIIAggCCAIIAggCCAIIAggCCAIIAggCCAIIAhMCAwJ1c3EAfgAAAAAAAnNxAH4ABP///////////////v////7/////dXEAfgAHAAAABARKQZV4eHdFAh4AAgECAgJXAgQCBQIGAgcCCAIJAhwCCwIMAg0CCAIIAggCCAIIAggCCAIIAggCCAIIAggCCAIIAggCCAIIAhMCAwJ2c3EAfgAAAAAAAnNxAH4ABP///////////////v////7/////dXEAfgAHAAAAAwR0jXh4d0UCHgACAQICAksCBAIFAgYCBwIIAgkCHwILAgwCDQIIAggCCAIIAggCCAIIAggCCAIIAggCCAIIAggCCAIIAggCEwIDAndzcQB+AAAAAAACc3EAfgAE///////////////+/////gAAAAF1cQB+AAcAAAAEAo6woHh4d00CHgACAQICAngABjIwMTYwOQIEAgUCBgIHAggCCQIcAgsCDAINAggCCAIIAggCCAIIAggCCAIIAggCCAIIAggCCAIIAggCCAITAgMCeXNxAH4AAAAAAAJzcQB+AAT///////////////7////+/////3VxAH4ABwAAAAMHjdR4eHdFAh4AAgECAgJdAgQCBQIGAgcCCAIJAgoCCwIMAg0CCAIIAggCCAIIAggCCAIIAggCCAIIAggCCAIIAggCCAIIAhMCAwJ6c3EAfgAAAAAAAnNxAH4ABP///////////////v////7/////dXEAfgAHAAAABFovta14eHeKAh4AAgECAgJSAgQCBQIGAgcCCAIJAgoCCwIMAg0CCAIIAggCCAIIAggCCAIIAggCCAIIAggCCAIIAggCCAIIAhMCAwJaAh4AAgECAgJvAgQCBQIGAgcCCAIJAh8CCwIMAg0CCAIIAggCCAIIAggCCAIIAggCCAIIAggCCAIIAggCCAIIAhMCAwJ7c3EAfgAAAAAAAnNxAH4ABP///////////////v////7/////dXEAfgAHAAAABBD98iN4eHdFAh4AAgECAgJrAgQCBQIGAgcCCAIJAhwCCwIMAg0CCAIIAggCCAIIAggCCAIIAggCCAIIAggCCAIIAggCCAIIAhMCAwJ8c3EAfgAAAAAAAnNxAH4ABP///////////////v////7/////dXEAfgAHAAAAAwQ0OHh4d0UCHgACAQICAi8CBAIFAgYCBwIIAgkCHAILAgwCDQIIAggCCAIIAggCCAIIAggCCAIIAggCCAIIAggCCAIIAggCEwIDAn1zcQB+AAAAAAACc3EAfgAE///////////////+/////v////91cQB+AAcAAAADA9yreHh3RQIeAAIBAgICcwIEAgUCBgIHAggCCQIfAgsCDAINAggCCAIIAggCCAIIAggCCAIIAggCCAIIAggCCAIIAggCCAITAgMCfnNxAH4AAAAAAAJzcQB+AAT///////////////7////+AAAAAXVxAH4ABwAAAAMJSVB4eHdFAh4AAgECAgI3AgQCBQIGAgcCCAIJAgoCCwIMAg0CCAIIAggCCAIIAggCCAIIAggCCAIIAggCCAIIAggCCAIIAhMCAwJ/c3EAfgAAAAAAAnNxAH4ABP///////////////v////7/////dXEAfgAHAAAABF1XUMl4eHeKAh4AAgECAgIjAgQCBQIGAgcCCAIJAhwCCwIMAg0CCAIIAggCCAIIAggCCAIIAggCCAIIAggCCAIIAggCCAIIAhMCAwIdAh4AAgECAgIpAgQCBQIGAgcCCAIJAh8CCwIMAg0CCAIIAggCCAIIAggCCAIIAggCCAIIAggCCAIIAggCCAIIAhMCAwKAc3EAfgAAAAAAAnNxAH4ABP///////////////v////7/////dXEAfgAHAAAABCjphrZ4eHdFAh4AAgECAgJnAgQCBQIGAgcCCAIJAhwCCwIMAg0CCAIIAggCCAIIAggCCAIIAggCCAIIAggCCAIIAggCCAIIAhMCAwKBc3EAfgAAAAAAAnNxAH4ABP///////////////v////7/////dXEAfgAHAAAAAwuCrXh4d0UCHgACAQICAjECBAIFAgYCBwIIAgkCHAILAgwCDQIIAggCCAIIAggCCAIIAggCCAIIAggCCAIIAggCCAIIAggCEwIDAoJzcQB+AAAAAAACc3EAfgAE///////////////+/////v////91cQB+AAcAAAADBCUJeHh3RQIeAAIBAgICYAIEAgUCBgIHAggCCQIcAgsCDAINAggCCAIIAggCCAIIAggCCAIIAggCCAIIAggCCAIIAggCCAITAgMCg3NxAH4AAAAAAAJzcQB+AAT///////////////7////+/////3VxAH4ABwAAAAMGaCt4eHdFAh4AAgECAgJ4AgQCBQIGAgcCCAIJAgoCCwIMAg0CCAIIAggCCAIIAggCCAIIAggCCAIIAggCCAIIAggCCAIIAhMCAwKEc3EAfgAAAAAAAnNxAH4ABP///////////////v////7/////dXEAfgAHAAAABGExCBR4eHeKAh4AAgECAgIlAgQCBQIGAgcCCAIJAhwCCwIMAg0CCAIIAggCCAIIAggCCAIIAggCCAIIAggCCAIIAggCCAIIAhMCAwIdAh4AAgECAgJJAgQCBQIGAgcCCAIJAh8CCwIMAg0CCAIIAggCCAIIAggCCAIIAggCCAIIAggCCAIIAggCCAIIAhMCAwKFc3EAfgAAAAAAAnNxAH4ABP///////////////v////7/////dXEAfgAHAAAABCZxo1d4eHdFAh4AAgECAgItAgQCBQIGAgcCCAIJAhwCCwIMAg0CCAIIAggCCAIIAggCCAIIAggCCAIIAggCCAIIAggCCAIIAhMCAwKGc3EAfgAAAAAAAnNxAH4ABP///////////////v////7/////dXEAfgAHAAAAAwzG/nh4d0UCHgACAQICAgMCBAIFAgYCBwIIAgkCHAILAgwCDQIIAggCCAIIAggCCAIIAggCCAIIAggCCAIIAggCCAIIAggCEwIDAodzcQB+AAAAAAACc3EAfgAE///////////////+/////v////91cQB+AAcAAAADBT+veHh3RQIeAAIBAgICSwIEAgUCBgIHAggCCQIcAgsCDAINAggCCAIIAggCCAIIAggCCAIIAggCCAIIAggCCAIIAggCCAITAgMCiHNxAH4AAAAAAAJzcQB+AAT///////////////7////+/////3VxAH4ABwAAAAMEDq54eHdFAh4AAgECAgJrAgQCBQIGAgcCCAIJAgoCCwIMAg0CCAIIAggCCAIIAggCCAIIAggCCAIIAggCCAIIAggCCAIIAhMCAwKJc3EAfgAAAAAAAnNxAH4ABP///////////////v////7/////dXEAfgAHAAAABF7UYvh4eHdFAh4AAgECAgI+AgQCBQIGAgcCCAIJAh8CCwIMAg0CCAIIAggCCAIIAggCCAIIAggCCAIIAggCCAIIAggCCAIIAhMCAwKKc3EAfgAAAAAAAnNxAH4ABP///////////////v////7/////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v////7/////dXEAfgAHAAAABAHuetZ4eHeKAh4AAgECAgJzAgQCBQIGAgcCCAIJAhwCCwIMAg0CCAIIAggCCAIIAggCCAIIAggCCAIIAggCCAIIAggCCAIIAhMCAwIdAh4AAgECAgIpAgQCBQIGAgcCCAIJAgoCCwIMAg0CCAIIAggCCAIIAggCCAIIAggCCAIIAggCCAIIAggCCAIIAhMCAwKMc3EAfgAAAAAAAnNxAH4ABP///////////////v////7/////dXEAfgAHAAAABD0VO3Z4eHdFAh4AAgECAgJ4AgQCBQIGAgcCCAIJAh8CCwIMAg0CCAIIAggCCAIIAggCCAIIAggCCAIIAggCCAIIAggCCAIIAhMCAwKNc3EAfgAAAAAAAnNxAH4ABP///////////////v////7/////dXEAfgAHAAAABAIbp254eHdFAh4AAgECAgInAgQCBQIGAgcCCAIJAgoCCwIMAg0CCAIIAggCCAIIAggCCAIIAggCCAIIAggCCAIIAggCCAIIAhMCAwKOc3EAfgAAAAAAAnNxAH4ABP///////////////v////7/////dXEAfgAHAAAABEI0vHx4eHdFAh4AAgECAgI9AgQCBQIGAgcCCAIJAgoCCwIMAg0CCAIIAggCCAIIAggCCAIIAggCCAIIAggCCAIIAggCCAIIAhMCAwKPc3EAfgAAAAAAAnNxAH4ABP///////////////v////7/////dXEAfgAHAAAABFzlwLB4eHdFAh4AAgECAgJvAgQCBQIGAgcCCAIJAhwCCwIMAg0CCAIIAggCCAIIAggCCAIIAggCCAIIAggCCAIIAggCCAIIAhMCAwKQc3EAfgAAAAAAAnNxAH4ABP///////////////v////7/////dXEAfgAHAAAAAwSrl3h4d0UCHgACAQICAjkCBAIFAgYCBwIIAgkCHwILAgwCDQIIAggCCAIIAggCCAIIAggCCAIIAggCCAIIAggCCAIIAggCEwIDApFzcQB+AAAAAAACc3EAfgAE///////////////+/////v////91cQB+AAcAAAAEG0cx03h4d1QCHgACkgAJMjM1MjI4NjU2AgICPQIEAgUCBgIHAggCCQIfAgsCkwACSUQCDQIIAggCCAIIAggCCAIIAggCCAIIAggCCAIIAggCCAIIAggCFgIDApRzcQB+AAAAAAACc3EAfgAE///////////////+/////gAAAAF1cQB+AAcAAAADNqW2eHh3RQIeAAKSAgICVwIEAgUCBgIHAggCCQIfAgsCkwINAggCCAIIAggCCAIIAggCCAIIAggCCAIIAggCCAIIAggCCAIWAgMClXNxAH4AAAAAAAJzcQB+AAT///////////////7////+/////3VxAH4ABwAAAAQFBKNBeHh3RQIeAAKSAgICGwIEAgUCBgIHAggCCQIKAgsCkwINAggCCAIIAggCCAIIAggCCAIIAggCCAIIAggCCAIIAggCCAIWAgMClnNxAH4AAAAAAAJzcQB+AAT///////////////7////+/////3VxAH4ABwAAAAQqwrH4eHh3TQIeAAKSAgICKQIEAgUCBgIHAggCCQKXAAYxOTEwMTUCCwKTAg0CCAIIAggCCAIIAggCCAIIAggCCAIIAggCCAIIAggCCAIIAhYCAwKYc3EAfgAAAAAAAnNxAH4ABP///////////////v////7/////dXEAfgAHAAAAAxKC+Hh4d4oCHgACkgICAk4CBAIFAgYCBwIIAgkClwILApMCDQIIAggCCAIIAggCCAIIAggCCAIIAggCCAIIAggCCAIIAggCFgIDAh0CHgACkgICAjMCBAIFAgYCBwIIAgkCCgILApMCDQIIAggCCAIIAggCCAIIAggCCAIIAggCCAIIAggCCAIIAggCFgIDAplzcQB+AAAAAAACc3EAfgAE///////////////+/////v////91cQB+AAcAAAAEG7MeXHh4d0UCHgACkgICAi8CBAIFAgYCBwIIAgkCHwILApMCDQIIAggCCAIIAggCCAIIAggCCAIIAggCCAIIAggCCAIIAggCFgIDAppzcQB+AAAAAAACc3EAfgAE///////////////+/////gAAAAF1cQB+AAcAAAAEBhtaanh4d0UCHgACkgICAkACBAIFAgYCBwIIAgkCCgILApMCDQIIAggCCAIIAggCCAIIAggCCAIIAggCCAIIAggCCAIIAggCFgIDAptzcQB+AAAAAAACc3EAfgAE///////////////+/////v////91cQB+AAcAAAAELvQU/3h4d0UCHgACkgICAjMCBAIFAgYCBwIIAgkCHwILApMCDQIIAggCCAIIAggCCAIIAggCCAIIAggCCAIIAggCCAIIAggCFgIDApxzcQB+AAAAAAACc3EAfgAE///////////////+/////v////91cQB+AAcAAAAEBFuSEHh4d0UCHgACkgICAm8CBAIFAgYCBwIIAgkCCgILApMCDQIIAggCCAIIAggCCAIIAggCCAIIAggCCAIIAggCCAIIAggCFgIDAp1zcQB+AAAAAAACc3EAfgAE///////////////+/////v////91cQB+AAcAAAAEJngfcXh4d0UCHgACkgICAi0CBAIFAgYCBwIIAgkCHwILApMCDQIIAggCCAIIAggCCAIIAggCCAIIAggCCAIIAggCCAIIAggCFgIDAp5zcQB+AAAAAAACc3EAfgAE///////////////+/////v////91cQB+AAcAAAAEAlAe6Xh4d0UCHgACkgICAm8CBAIFAgYCBwIIAgkCHwILApMCDQIIAggCCAIIAggCCAIIAggCCAIIAggCCAIIAggCCAIIAggCFgIDAp9zcQB+AAAAAAACc3EAfgAE///////////////+/////v////91cQB+AAcAAAAECL1IIXh4d0UCHgACkgICAk4CBAIFAgYCBwIIAgkCCgILApMCDQIIAggCCAIIAggCCAIIAggCCAIIAggCCAIIAggCCAIIAggCFgIDAqBzcQB+AAAAAAACc3EAfgAE///////////////+/////v////91cQB+AAcAAAAEKUaEtnh4d0UCHgACkgICAngCBAIFAgYCBwIIAgkCCgILApMCDQIIAggCCAIIAggCCAIIAggCCAIIAggCCAIIAggCCAIIAggCFgIDAqFzcQB+AAAAAAACc3EAfgAE///////////////+/////v////91cQB+AAcAAAAEM7yWknh4d0UCHgACkgICAngCBAIFAgYCBwIIAgkClwILApMCDQIIAggCCAIIAggCCAIIAggCCAIIAggCCAIIAggCCAIIAggCFgIDAqJzcQB+AAAAAAACc3EAfgAE///////////////+/////v////91cQB+AAcAAAADEnM1eHh3RQIeAAKSAgICMwIEAgUCBgIHAggCCQKXAgsCkwINAggCCAIIAggCCAIIAggCCAIIAggCCAIIAggCCAIIAggCCAIWAgMCo3NxAH4AAAAAAAJzcQB+AAT///////////////7////+/////3VxAH4ABwAAAAMSV794eHdFAh4AApICAgJAAgQCBQIGAgcCCAIJAh8CCwKTAg0CCAIIAggCCAIIAggCCAIIAggCCAIIAggCCAIIAggCCAIIAhYCAwKkc3EAfgAAAAAAAnNxAH4ABP///////////////v////7/////dXEAfgAHAAAABAEya894eHdFAh4AApICAgJWAgQCBQIGAgcCCAIJAh8CCwKTAg0CCAIIAggCCAIIAggCCAIIAggCCAIIAggCCAIIAggCCAIIAhYCAwKlc3EAfgAAAAAAAnNxAH4ABP///////////////v////7/////dXEAfgAHAAAABB7AdGx4eHeKAh4AApICAgIbAgQCBQIGAgcCCAIJApcCCwKTAg0CCAIIAggCCAIIAggCCAIIAggCCAIIAggCCAIIAggCCAIIAhYCAwIdAh4AApICAgI5AgQCBQIGAgcCCAIJApcCCwKTAg0CCAIIAggCCAIIAggCCAIIAggCCAIIAggCCAIIAggCCAIIAhYCAwKmc3EAfgAAAAAAAnNxAH4ABP///////////////v////7/////dXEAfgAHAAAAAxKG63h4d0UCHgACkgICAgMCBAIFAgYCBwIIAgkCHwILApMCDQIIAggCCAIIAggCCAIIAggCCAIIAggCCAIIAggCCAIIAggCFgIDAqdzcQB+AAAAAAACc3EAfgAE///////////////+/////gAAAAF1cQB+AAcAAAADuXJ8eHh3RQIeAAKSAgICPgIEAgUCBgIHAggCCQIfAgsCkwINAggCCAIIAggCCAIIAggCCAIIAggCCAIIAggCCAIIAggCCAIWAgMCqHNxAH4AAAAAAAJzcQB+AAT///////////////7////+/////3VxAH4ABwAAAAQC+0uLeHh3RQIeAAKSAgICOQIEAgUCBgIHAggCCQIKAgsCkwINAggCCAIIAggCCAIIAggCCAIIAggCCAIIAggCCAIIAggCCAIWAgMCqXNxAH4AAAAAAAJzcQB+AAT///////////////7////+/////3VxAH4ABwAAAAQiCqwxeHh3RQIeAAKSAgICVwIEAgUCBgIHAggCCQKXAgsCkwINAggCCAIIAggCCAIIAggCCAIIAggCCAIIAggCCAIIAggCCAIWAgMCqnNxAH4AAAAAAAJzcQB+AAT///////////////7////+/////3VxAH4ABwAAAAMSjtR4eHdFAh4AApICAgI+AgQCBQIGAgcCCAIJApcCCwKTAg0CCAIIAggCCAIIAggCCAIIAggCCAIIAggCCAIIAggCCAIIAhYCAwKrc3EAfgAAAAAAAnNxAH4ABP///////////////v////7/////dXEAfgAHAAAAAxJbqXh4d4oCHgACkgICAj0CBAIFAgYCBwIIAgkClwILApMCDQIIAggCCAIIAggCCAIIAggCCAIIAggCCAIIAggCCAIIAggCFgIDAh0CHgACkgICAjcCBAIFAgYCBwIIAgkCCgILApMCDQIIAggCCAIIAggCCAIIAggCCAIIAggCCAIIAggCCAIIAggCFgIDAqxzcQB+AAAAAAACc3EAfgAE///////////////+/////v////91cQB+AAcAAAAEMe+1GXh4d0UCHgACkgICAjkCBAIFAgYCBwIIAgkCHwILApMCDQIIAggCCAIIAggCCAIIAggCCAIIAggCCAIIAggCCAIIAggCFgIDAq1zcQB+AAAAAAACc3EAfgAE///////////////+/////v////91cQB+AAcAAAAEDgscSnh4d0UCHgACkgICAhsCBAIFAgYCBwIIAgkCHwILApMCDQIIAggCCAIIAggCCAIIAggCCAIIAggCCAIIAggCCAIIAggCFgIDAq5zcQB+AAAAAAACc3EAfgAE///////////////+/////v////91cQB+AAcAAAAEBOHemXh4d0UCHgACkgICAjcCBAIFAgYCBwIIAgkClwILApMCDQIIAggCCAIIAggCCAIIAggCCAIIAggCCAIIAggCCAIIAggCFgIDAq9zcQB+AAAAAAACc3EAfgAE///////////////+/////v////91cQB+AAcAAAADEm9GeHh3RQIeAAKSAgICSwIEAgUCBgIHAggCCQKXAgsCkwINAggCCAIIAggCCAIIAggCCAIIAggCCAIIAggCCAIIAggCCAIWAgMCsHNxAH4AAAAAAAJzcQB+AAT///////////////7////+/////3VxAH4ABwAAAAMSoqh4eHdFAh4AApICAgIvAgQCBQIGAgcCCAIJApcCCwKTAg0CCAIIAggCCAIIAggCCAIIAggCCAIIAggCCAIIAggCCAIIAhYCAwKxc3EAfgAAAAAAAnNxAH4ABP///////////////v////7/////dXEAfgAHAAAAAxKmonh4d0UCHgACkgICAmsCBAIFAgYCBwIIAgkCHwILApMCDQIIAggCCAIIAggCCAIIAggCCAIIAggCCAIIAggCCAIIAggCFgIDArJzcQB+AAAAAAACc3EAfgAE///////////////+/////v////91cQB+AAcAAAADTrgKeHh3RQIeAAKSAgICLwIEAgUCBgIHAggCCQIKAgsCkwINAggCCAIIAggCCAIIAggCCAIIAggCCAIIAggCCAIIAggCCAIWAgMCs3NxAH4AAAAAAAJzcQB+AAT///////////////7////+/////3VxAH4ABwAAAARDRE3geHh3RQIeAAKSAgICJwIEAgUCBgIHAggCCQIKAgsCkwINAggCCAIIAggCCAIIAggCCAIIAggCCAIIAggCCAIIAggCCAIWAgMCtHNxAH4AAAAAAAJzcQB+AAT///////////////7////+/////3VxAH4ABwAAAAQkNG30eHh3RQIeAAKSAgICIQIEAgUCBgIHAggCCQIfAgsCkwINAggCCAIIAggCCAIIAggCCAIIAggCCAIIAggCCAIIAggCCAIWAgMCtXNxAH4AAAAAAAJzcQB+AAT///////////////7////+/////3VxAH4ABwAAAAQBZMryeHh3RQIeAAKSAgICKQIEAgUCBgIHAggCCQIKAgsCkwINAggCCAIIAggCCAIIAggCCAIIAggCCAIIAggCCAIIAggCCAIWAgMCtnNxAH4AAAAAAAJzcQB+AAT///////////////7////+/////3VxAH4ABwAAAAQdsfpMeHh3RQIeAAKSAgICSwIEAgUCBgIHAggCCQIKAgsCkwINAggCCAIIAggCCAIIAggCCAIIAggCCAIIAggCCAIIAggCCAIWAgMCt3NxAH4AAAAAAAJzcQB+AAT///////////////7////+/////3VxAH4ABwAAAAQ5RS7+eHh3RQIeAAKSAgICYAIEAgUCBgIHAggCCQIKAgsCkwINAggCCAIIAggCCAIIAggCCAIIAggCCAIIAggCCAIIAggCCAIWAgMCuHNxAH4AAAAAAAJzcQB+AAT///////////////7////+/////3VxAH4ABwAAAAQL0RJ0eHh3RQIeAAKSAgICUwIEAgUCBgIHAggCCQIfAgsCkwINAggCCAIIAggCCAIIAggCCAIIAggCCAIIAggCCAIIAggCCAIWAgMCuXNxAH4AAAAAAAJzcQB+AAT///////////////7////+/////3VxAH4ABwAAAAQC12dUeHh3RQIeAAKSAgICJQIEAgUCBgIHAggCCQIfAgsCkwINAggCCAIIAggCCAIIAggCCAIIAggCCAIIAggCCAIIAggCCAIWAgMCunNxAH4AAAAAAAJzcQB+AAT///////////////7////+AAAAAXVxAH4ABwAAAAQBo3C7eHh3RQIeAAKSAgICYAIEAgUCBgIHAggCCQKXAgsCkwINAggCCAIIAggCCAIIAggCCAIIAggCCAIIAggCCAIIAggCCAIWAgMCu3NxAH4AAAAAAAJzcQB+AAT///////////////7////+/////3VxAH4ABwAAAAMSexV4eHdFAh4AApICAgI+AgQCBQIGAgcCCAIJAgoCCwKTAg0CCAIIAggCCAIIAggCCAIIAggCCAIIAggCCAIIAggCCAIIAhYCAwK8c3EAfgAAAAAAAnNxAH4ABP///////////////v////7/////dXEAfgAHAAAABB6uCU94eHdFAh4AApICAgI9AgQCBQIGAgcCCAIJAgoCCwKTAg0CCAIIAggCCAIIAggCCAIIAggCCAIIAggCCAIIAggCCAIIAhYCAwK9c3EAfgAAAAAAAnNxAH4ABP///////////////v////7/////dXEAfgAHAAAABC/+xlx4eHdFAh4AApICAgIeAgQCBQIGAgcCCAIJAh8CCwKTAg0CCAIIAggCCAIIAggCCAIIAggCCAIIAggCCAIIAggCCAIIAhYCAwK+c3EAfgAAAAAAAnNxAH4ABP///////////////v////7/////dXEAfgAHAAAABB0QqXR4eHdFAh4AApICAgJ4AgQCBQIGAgcCCAIJAh8CCwKTAg0CCAIIAggCCAIIAggCCAIIAggCCAIIAggCCAIIAggCCAIIAhYCAwK/c3EAfgAAAAAAAnNxAH4ABP///////////////v////7/////dXEAfgAHAAAAAzL3EXh4d0UCHgACkgICAlcCBAIFAgYCBwIIAgkCCgILApMCDQIIAggCCAIIAggCCAIIAggCCAIIAggCCAIIAggCCAIIAggCFgIDAsBzcQB+AAAAAAACc3EAfgAE///////////////+/////v////91cQB+AAcAAAAEKeDlE3h4d0UCHgACkgICAiECBAIFAgYCBwIIAgkCCgILApMCDQIIAggCCAIIAggCCAIIAggCCAIIAggCCAIIAggCCAIIAggCFgIDAsFzcQB+AAAAAAACc3EAfgAE///////////////+/////v////91cQB+AAcAAAAEKxALUXh4d0UCHgACkgICAh4CBAIFAgYCBwIIAgkCCgILApMCDQIIAggCCAIIAggCCAIIAggCCAIIAggCCAIIAggCCAIIAggCFgIDAsJzcQB+AAAAAAACc3EAfgAE///////////////+/////v////91cQB+AAcAAAAEFay1n3h4d0UCHgACkgICAh4CBAIFAgYCBwIIAgkClwILApMCDQIIAggCCAIIAggCCAIIAggCCAIIAggCCAIIAggCCAIIAggCFgIDAsNzcQB+AAAAAAACc3EAfgAE///////////////+/////v////91cQB+AAcAAAADEn8GeHh3RQIeAAKSAgICZwIEAgUCBgIHAggCCQKXAgsCkwINAggCCAIIAggCCAIIAggCCAIIAggCCAIIAggCCAIIAggCCAIWAgMCxHNxAH4AAAAAAAJzcQB+AAT///////////////7////+/////3VxAH4ABwAAAAMSY394eHdFAh4AApICAgJJAgQCBQIGAgcCCAIJAh8CCwKTAg0CCAIIAggCCAIIAggCCAIIAggCCAIIAggCCAIIAggCCAIIAhYCAwLFc3EAfgAAAAAAAnNxAH4ABP///////////////v////7/////dXEAfgAHAAAABBCmiyR4eHeKAh4AApICAgInAgQCBQIGAgcCCAIJApcCCwKTAg0CCAIIAggCCAIIAggCCAIIAggCCAIIAggCCAIIAggCCAIIAhYCAwIdAh4AApICAgJLAgQCBQIGAgcCCAIJAh8CCwKTAg0CCAIIAggCCAIIAggCCAIIAggCCAIIAggCCAIIAggCCAIIAhYCAwLGc3EAfgAAAAAAAnNxAH4ABP///////////////v////4AAAABdXEAfgAHAAAABAJaEtJ4eHdFAh4AApICAgJrAgQCBQIGAgcCCAIJApcCCwKTAg0CCAIIAggCCAIIAggCCAIIAggCCAIIAggCCAIIAggCCAIIAhYCAwLHc3EAfgAAAAAAAnNxAH4ABP///////////////v////7/////dXEAfgAHAAAAAxKat3h4d0UCHgACkgICAjcCBAIFAgYCBwIIAgkCHwILApMCDQIIAggCCAIIAggCCAIIAggCCAIIAggCCAIIAggCCAIIAggCFgIDAshzcQB+AAAAAAACc3EAfgAE///////////////+/////v////91cQB+AAcAAAADnrKqeHh3RQIeAAKSAgICawIEAgUCBgIHAggCCQIKAgsCkwINAggCCAIIAggCCAIIAggCCAIIAggCCAIIAggCCAIIAggCCAIWAgMCyXNxAH4AAAAAAAJzcQB+AAT///////////////7////+/////3VxAH4ABwAAAAQukYUreHh3igIeAAKSAgICJQIEAgUCBgIHAggCCQKXAgsCkwINAggCCAIIAggCCAIIAggCCAIIAggCCAIIAggCCAIIAggCCAIWAgMCHQIeAAKSAgICZwIEAgUCBgIHAggCCQIKAgsCkwINAggCCAIIAggCCAIIAggCCAIIAggCCAIIAggCCAIIAggCCAIWAgMCynNxAH4AAAAAAAJzcQB+AAT///////////////7////+/////3VxAH4ABwAAAAQmLzLCeHh3RQIeAAKSAgICIQIEAgUCBgIHAggCCQKXAgsCkwINAggCCAIIAggCCAIIAggCCAIIAggCCAIIAggCCAIIAggCCAIWAgMCy3NxAH4AAAAAAAJzcQB+AAT///////////////7////+/////3VxAH4ABwAAAAMSZ2t4eHdFAh4AApICAgIxAgQCBQIGAgcCCAIJAh8CCwKTAg0CCAIIAggCCAIIAggCCAIIAggCCAIIAggCCAIIAggCCAIIAhYCAwLMc3EAfgAAAAAAAnNxAH4ABP///////////////v////4AAAABdXEAfgAHAAAAA/+JXnh4d0UCHgACkgICAisCBAIFAgYCBwIIAgkClwILApMCDQIIAggCCAIIAggCCAIIAggCCAIIAggCCAIIAggCCAIIAggCFgIDAs1zcQB+AAAAAAACc3EAfgAE///////////////+/////v////91cQB+AAcAAAADEpbAeHh3RQIeAAKSAgICXQIEAgUCBgIHAggCCQIfAgsCkwINAggCCAIIAggCCAIIAggCCAIIAggCCAIIAggCCAIIAggCCAIWAgMCznNxAH4AAAAAAAJzcQB+AAT///////////////7////+/////3VxAH4ABwAAAAQBBpRgeHh3RQIeAAKSAgICKwIEAgUCBgIHAggCCQIKAgsCkwINAggCCAIIAggCCAIIAggCCAIIAggCCAIIAggCCAIIAggCCAIWAgMCz3NxAH4AAAAAAAJzcQB+AAT///////////////7////+/////3VxAH4ABwAAAAQqC0YheHh3RQIeAAKSAgICAwIEAgUCBgIHAggCCQIKAgsCkwINAggCCAIIAggCCAIIAggCCAIIAggCCAIIAggCCAIIAggCCAIWAgMC0HNxAH4AAAAAAAJzcQB+AAT///////////////7////+/////3VxAH4ABwAAAAQ0mEcjeHh3RQIeAAKSAgICVgIEAgUCBgIHAggCCQIKAgsCkwINAggCCAIIAggCCAIIAggCCAIIAggCCAIIAggCCAIIAggCCAIWAgMC0XNxAH4AAAAAAAJzcQB+AAT///////////////7////+/////3VxAH4ABwAAAAQcI3yQeHh3RQIeAAKSAgICSQIEAgUCBgIHAggCCQIKAgsCkwINAggCCAIIAggCCAIIAggCCAIIAggCCAIIAggCCAIIAggCCAIWAgMC0nNxAH4AAAAAAAJzcQB+AAT///////////////7////+/////3VxAH4ABwAAAAQpII+FeHh3RQIeAAKSAgICKQIEAgUCBgIHAggCCQIfAgsCkwINAggCCAIIAggCCAIIAggCCAIIAggCCAIIAggCCAIIAggCCAIWAgMC03NxAH4AAAAAAAJzcQB+AAT///////////////7////+/////3VxAH4ABwAAAAQUOveDeHh3RQIeAAKSAgICLQIEAgUCBgIHAggCCQIKAgsCkwINAggCCAIIAggCCAIIAggCCAIIAggCCAIIAggCCAIIAggCCAIWAgMC1HNxAH4AAAAAAAJzcQB+AAT///////////////7////+/////3VxAH4ABwAAAAQjxnj9eHh3RQIeAAKSAgICJwIEAgUCBgIHAggCCQIfAgsCkwINAggCCAIIAggCCAIIAggCCAIIAggCCAIIAggCCAIIAggCCAIWAgMC1XNxAH4AAAAAAAJzcQB+AAT///////////////7////+/////3VxAH4ABwAAAAQWt6iieHh3RQIeAAKSAgICJQIEAgUCBgIHAggCCQIKAgsCkwINAggCCAIIAggCCAIIAggCCAIIAggCCAIIAggCCAIIAggCCAIWAgMC1nNxAH4AAAAAAAJzcQB+AAT///////////////7////+/////3VxAH4ABwAAAAQw8IEoeHh3RQIeAAKSAgICYAIEAgUCBgIHAggCCQIfAgsCkwINAggCCAIIAggCCAIIAggCCAIIAggCCAIIAggCCAIIAggCCAIWAgMC13NxAH4AAAAAAAJzcQB+AAT///////////////7////+/////3VxAH4ABwAAAAQlkNH7eHh3RQIeAAKSAgICbwIEAgUCBgIHAggCCQKXAgsCkwINAggCCAIIAggCCAIIAggCCAIIAggCCAIIAggCCAIIAggCCAIWAgMC2HNxAH4AAAAAAAJzcQB+AAT///////////////7////+/////3VxAH4ABwAAAAMSit94eHeKAh4AApICAgJAAgQCBQIGAgcCCAIJApcCCwKTAg0CCAIIAggCCAIIAggCCAIIAggCCAIIAggCCAIIAggCCAIIAhYCAwIdAh4AApICAgJTAgQCBQIGAgcCCAIJAgoCCwKTAg0CCAIIAggCCAIIAggCCAIIAggCCAIIAggCCAIIAggCCAIIAhYCAwLZc3EAfgAAAAAAAnNxAH4ABP///////////////v////7/////dXEAfgAHAAAABComTwt4eHdFAh4AApICAgJdAgQCBQIGAgcCCAIJAgoCCwKTAg0CCAIIAggCCAIIAggCCAIIAggCCAIIAggCCAIIAggCCAIIAhYCAwLac3EAfgAAAAAAAnNxAH4ABP///////////////v////7/////dXEAfgAHAAAABC794JJ4eHdFAh4AApICAgJTAgQCBQIGAgcCCAIJApcCCwKTAg0CCAIIAggCCAIIAggCCAIIAggCCAIIAggCCAIIAggCCAIIAhYCAwLbc3EAfgAAAAAAAnNxAH4ABP///////////////v////7/////dXEAfgAHAAAAAxKSynh4d0UCHgACkgICAi0CBAIFAgYCBwIIAgkClwILApMCDQIIAggCCAIIAggCCAIIAggCCAIIAggCCAIIAggCCAIIAggCFgIDAtxzcQB+AAAAAAACc3EAfgAE///////////////+/////v////91cQB+AAcAAAADEl+UeHh3RQIeAAKSAgICTgIEAgUCBgIHAggCCQIfAgsCkwINAggCCAIIAggCCAIIAggCCAIIAggCCAIIAggCCAIIAggCCAIWAgMC3XNxAH4AAAAAAAJzcQB+AAT///////////////7////+/////3VxAH4ABwAAAAQKK9PneHh3igIeAAKSAgICVgIEAgUCBgIHAggCCQKXAgsCkwINAggCCAIIAggCCAIIAggCCAIIAggCCAIIAggCCAIIAggCCAIWAgMCHQIeAAKSAgICAwIEAgUCBgIHAggCCQKXAgsCkwINAggCCAIIAggCCAIIAggCCAIIAggCCAIIAggCCAIIAggCCAIWAgMC3nNxAH4AAAAAAAJzcQB+AAT///////////////7////+/////3VxAH4ABwAAAAMSdyV4eHdFAh4AApICAgIxAgQCBQIGAgcCCAIJApcCCwKTAg0CCAIIAggCCAIIAggCCAIIAggCCAIIAggCCAIIAggCCAIIAhYCAwLfc3EAfgAAAAAAAnNxAH4ABP///////////////v////7/////dXEAfgAHAAAAAxKer3h4d0UCHgACkgICAl0CBAIFAgYCBwIIAgkClwILApMCDQIIAggCCAIIAggCCAIIAggCCAIIAggCCAIIAggCCAIIAggCFgIDAuBzcQB+AAAAAAACc3EAfgAE///////////////+/////v////91cQB+AAcAAAADEmtYeHh3igIeAAKSAgICSQIEAgUCBgIHAggCCQKXAgsCkwINAggCCAIIAggCCAIIAggCCAIIAggCCAIIAggCCAIIAggCCAIWAgMCHQIeAAKSAgICKwIEAgUCBgIHAggCCQIfAgsCkwINAggCCAIIAggCCAIIAggCCAIIAggCCAIIAggCCAIIAggCCAIWAgMC4XNxAH4AAAAAAAJzcQB+AAT///////////////7////+/////3VxAH4ABwAAAAQBbUrSeHh3RQIeAAKSAgICZwIEAgUCBgIHAggCCQIfAgsCkwINAggCCAIIAggCCAIIAggCCAIIAggCCAIIAggCCAIIAggCCAIWAgMC4nNxAH4AAAAAAAJzcQB+AAT///////////////7////+/////3VxAH4ABwAAAAQBzUp3eHh3RQIeAAKSAgICMQIEAgUCBgIHAggCCQIKAgsCkwINAggCCAIIAggCCAIIAggCCAIIAggCCAIIAggCCAIIAggCCAIWAgMC43NxAH4AAAAAAAJzcQB+AAT///////////////7////+/////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AAT///////////////7////+/////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AAAAAAACc3EAfgAE///////////////+/////gAAAAF1cQB+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AAAAAAACc3EAfgAE///////////////+/////gAAAAF1cQB+AAcAAAAEA+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AAAAAAACc3EAfgAE///////////////+/////v////91cQB+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AgQCBQIGAgcCCAIJApcCCwKTAg0CCAIIAggCCAIIAggCCAIIAggCCAIIAggCCAIIAggCCAIIAhwCAwKrAh4AAusCAgIrAgQCBQIGAgcCCAIJAh8CCwKTAg0CCAIIAggCCAIIAggCCAIIAggCCAIIAggCCAIIAggCCAIIAhwCAwLhAh4AAusCAgIDAgQCBQIGAgcCCAIJApcCCwKTAg0CCAIIAggCCAIIAggCCAIIAggCCAIIAggCCAIIAggCCAIIAhwCAwLeAh4AAusCAgI+AgQCBQIGAgcCCAIJAgoCCwKTAg0CCAIIAggCCAIIAggCCAIIAggCCAIIAggCCAIIAggCCAIIAhwCAwK8Ah4AAusCAgJXAgQCBQIGAgcCCAIJAgoCCwKTAg0CCAIIAggCCAIIAggCCAIIAggCCAIIAggCCAIIAggCCAIIAhwCAwLAAh4AAusCAgIeAgQCBQIGAgcCCAIJAh8CCwKTAg0CCAIIAggCCAIIAggCCAIIAggCCAIIAggCCAIIAggCCAIIAhwCAwK+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AgQCBQIGAgcCCAIJApcCCwKTAg0CCAIIAggCCAIIAggCCAIIAggCCAIIAggCCAIIAggCCAIIAhQCAwKrAh4AAu0CAgI9AgQCBQIGAgcCCAIJApcCCwKTAg0CCAIIAggCCAIIAggCCAIIAggCCAIIAggCCAIIAggCCAIIAhQCAwIdAh4AAu0CAgIeAgQCBQIGAgcCCAIJAh8CCwKTAg0CCAIIAggCCAIIAggCCAIIAggCCAIIAggCCAIIAggCCAIIAhQCAwK+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AICAl0CBAIFAgYCBwIIAgkCHAILAgwCDQIIAggCCAIIAggCCAIIAggCCAIIAggCCAIIAggCCAIIAggCHwIDAl4CHgAC+AICAm8CBAIFAgYCBwIIAgkCHwILAgwCDQIIAggCCAIIAggCCAIIAggCCAIIAggCCAIIAggCCAIIAggCHwIDAnsCHgAC+AICAjMCBAIFAgYCBwIIAgkCHwILAgwCDQIIAggCCAIIAggCCAIIAggCCAIIAggCCAIIAggCCAIIAggCHwIDAkQCHgAC+AICAmsCBAIFAgYCBwIIAgkCHAILAgwCDQIIAggCCAIIAggCCAIIAggCCAIIAggCCAIIAggCCAIIAggCHwIDAnwCHgAC+AICAksCBAIFAgYCBwIIAgkCCgILAgwCDQIIAggCCAIIAggCCAIIAggCCAIIAggCCAIIAggCCAIIAggCHwIDAkwCHgAC+AICAikCBAIFAgYCBwIIAgkCCgILAgwCDQIIAggCCAIIAggCCAIIAggCCAIIAggCCAIIAggCCAIIAggCHwIDAowCHgAC+AICAjcCBAIFAgYCBwIIAgkCCgILAgwCDQIIAggCCAIIAggCCAIIAggCCAIIAggCCAIIAggCCAIIAggCHwIDAn8CHgAC+AICAmcCBAIFAgYCBwIIAgkCHwILAgwCDQIIAggCCAIIAggCCAIIAggCCAIIAggCCAIIAggCCAIIAggCHwIDAmgCHgAC+AICAkkCBAIFAgYCBwIIAgkCCgILAgwCDQIIAggCCAIIAggCCAIIAggCCAIIAggCCAIIAggCCAIIAggCHwIDAkoCHgAC+AICAicCBAIFAgYCBwIIAgkCHwILAgwCDQIIAggCCAIIAggCCAIIAggCCAIIAggCCAIIAggCCAIIAggCHwIDAigCHgAC+AICAh4CBAIFAgYCBwIIAgkCHAILAgwCDQIIAggCCAIIAggCCAIIAggCCAIIAggCCAIIAggCCAIIAggCHwIDAk0CHgAC+AICAikCBAIFAgYCBwIIAgkCHwILAgwCDQIIAggCCAIIAggCCAIIAggCCAIIAggCCAIIAggCCAIIAggCHwIDAoACHgAC+AICAisCBAIFAgYCBwIIAgkCHwILAgwCDQIIAggCCAIIAggCCAIIAggCCAIIAggCCAIIAggCCAIIAggCHwIDAkcCHgAC+AICAjECBAIFAgYCBwIIAgkCCgILAgwCDQIIAggCCAIIAggCCAIIAggCCAIIAggCCAIIAggCCAIIAggCHwIDAkMCHgAC+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AgQCBQIGAgcCCAIJAhwCCwIMAg0CCAIIAggCCAIIAggCCAIIAggCCAIIAggCCAIIAggCCAIIAh8CAwI/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AICAmcCBAIFAgYCBwIIAgkCHAILAgwCDQIIAggCCAIIAggCCAIIAggCCAIIAggCCAIIAggCCAIIAggCHwIDAoECHgAC+AICAngCBAIFAgYCBwIIAgkCHwILAgwCDQIIAggCCAIIAggCCAIIAggCCAIIAggCCAIIAggCCAIIAggCHwIDAo0CHgAC+AICAh4CBAIFAgYCBwIIAgkCHwILAgwCDQIIAggCCAIIAggCCAIIAggCCAIIAggCCAIIAggCCAIIAggCHwIDAiACHgAC+AICAisCBAIFAgYCBwIIAgkCHAILAgwCDQIIAggCCAIIAggCCAIIAggCCAIIAggCCAIIAggCCAIIAggCHwIDAlACHgAC+AICAj4CBAIFAgYCBwIIAgkCCgILAgwCDQIIAggCCAIIAggCCAIIAggCCAIIAggCCAIIAggCCAIIAggCHwIDAmoCHgAC+AICAi0CBAIFAgYCBwIIAgkCHwILAgwCDQIIAggCCAIIAggCCAIIAggCCAIIAggCCAIIAggCCAIIAggCHwIDAi4CHgAC+AICAkkCBAIFAgYCBwIIAgkCHwILAgwCDQIIAggCCAIIAggCCAIIAggCCAIIAggCCAIIAggCCAIIAggCHwIDAoUCHgAC+AICAmACBAIFAgYCBwIIAgkCHAILAgwCDQIIAggCCAIIAggCCAIIAggCCAIIAggCCAIIAggCCAIIAggCHwIDAoMCHgAC+AICAlYCBAIFAgYCBwIIAgkCHwILAgwCDQIIAggCCAIIAggCCAIIAggCCAIIAggCCAIIAggCCAIIAggCHwIDAnICHgAC+AICAlMCBAIFAgYCBwIIAgkCHwILAgwCDQIIAggCCAIIAggCCAIIAggCCAIIAggCCAIIAggCCAIIAggCHwIDAlwCHgAC+AICAmsCBAIFAgYCBwIIAgkCCgILAgwCDQIIAggCCAIIAggCCAIIAggCCAIIAggCCAIIAggCCAIIAggCHwIDAokCHgAC+AICAiECBAIFAgYCBwIIAgkCCgILAgwCDQIIAggCCAIIAggCCAIIAggCCAIIAggCCAIIAggCCAIIAggCHwIDAlkCHgAC+AICAi8CBAIFAgYCBwIIAgkCCgILAgwCDQIIAggCCAIIAggCCAIIAggCCAIIAggCCAIIAggCCAIIAggCHwIDAjACHgAC+AICAikCBAIFAgYCBwIIAgkCHAILAgwCDQIIAggCCAIIAggCCAIIAggCCAIIAggCCAIIAggCCAIIAggCHwIDd+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AAAAAAACc3EAfgAE///////////////+/////v////91cQB+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AICAhsCBAIFAgYCBwIIAgkCCgILAgwCDQIIAggCCAIIAggCCAIIAggCCAIIAggCCAIIAggCCAIIAggCFQIDAlUCHgAC/AICAlMCBAIFAgYCBwIIAgkCCgILAgwCDQIIAggCCAIIAggCCAIIAggCCAIIAggCCAIIAggCCAIIAggCFQIDAmYCHgAC/AICAjkCBAIFAgYCBwIIAgkCCgILAgwCDQIIAggCCAIIAggCCAIIAggCCAIIAggCCAIIAggCCAIIAggCFQIDAjoCHgAC/AICAgMCBAIFAgYCBwIIAgkCHwILAgwCDQIIAggCCAIIAggCCAIIAggCCAIIAggCCAIIAggCCAIIAggCFQIDAjwCHgAC/AICAlYCBAIFAgYCBwIIAgkCHwILAgwCDQIIAggCCAIIAggCCAIIAggCCAIIAggCCAIIAggCCAIIAggCFQIDAnICHgAC/AICAj4CBAIFAgYCBwIIAgkCHwILAgwCDQIIAggCCAIIAggCCAIIAggCCAIIAggCCAIIAggCCAIIAggCFQIDAooCHgAC/AICAmsCBAIFAgYCBwIIAgkCHwILAgwCDQIIAggCCAIIAggCCAIIAggCCAIIAggCCAIIAggCCAIIAggCFQIDAmwCHgAC/AICAi8CBAIFAgYCBwIIAgkCHwILAgwCDQIIAggCCAIIAggCCAIIAggCCAIIAggCCAIIAggCCAIIAggCFQIDAlsCHgAC/AICAiUCBAIFAgYCBwIIAgkCCgILAgwCDQIIAggCCAIIAggCCAIIAggCCAIIAggCCAIIAggCCAIIAggCFQIDAiYCHgAC/AICAjECBAIFAgYCBwIIAgkCHAILAgwCDQIIAggCCAIIAggCCAIIAggCCAIIAggCCAIIAggCCAIIAggCFQIDAoICHgAC/AICAl0CBAIFAgYCBwIIAgkCHAILAgwCDQIIAggCCAIIAggCCAIIAggCCAIIAggCCAIIAggCCAIIAggCFQIDAl4CHgAC/AICAk4CBAIFAgYCBwIIAgkCCgILAgwCDQIIAggCCAIIAggCCAIIAggCCAIIAggCCAIIAggCCAIIAggCFQIDAl8CHgAC/AICAicCBAIFAgYCBwIIAgkCCgILAgwCDQIIAggCCAIIAggCCAIIAggCCAIIAggCCAIIAggCCAIIAggCFQIDAo4CHgAC/AICAikCBAIFAgYCBwIIAgkCCgILAgwCDQIIAggCCAIIAggCCAIIAggCCAIIAggCCAIIAggCCAIIAggCFQIDAowCHgAC/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AICAksCBAIFAgYCBwIIAgkCCgILAgwCDQIIAggCCAIIAggCCAIIAggCCAIIAggCCAIIAggCCAIIAggCFQIDAkwCHgAC/AICAj4CBAIFAgYCBwIIAgkCHAILAgwCDQIIAggCCAIIAggCCAIIAggCCAIIAggCCAIIAggCCAIIAggCFQIDAj8CHgAC/AICAj0CBAIFAgYCBwIIAgkCHAILAgwCDQIIAggCCAIIAggCCAIIAggCCAIIAggCCAIIAggCCAIIAggCFQIDAh0CHgAC/AICAngCBAIFAgYCBwIIAgkCCgILAgwCDQIIAggCCAIIAggCCAIIAggCCAIIAggCCAIIAggCCAIIAggCFQIDAoQCHgAC/AICAmcCBAIFAgYCBwIIAgkCCgILAgwCDQIIAggCCAIIAggCCAIIAggCCAIIAggCCAIIAggCCAIIAggCFQIDAm0CHgAC/AICAh4CBAIFAgYCBwIIAgkCCgILAgwCDQIIAggCCAIIAggCCAIIAggCCAIIAggCCAIIAggCCAIIAggCFQIDAkICHgAC/AICAlcCBAIFAgYCBwIIAgkCHAILAgwCDQIIAggCCAIIAggCCAIIAggCCAIIAggCCAIIAggCCAIIAggCFQIDAnYCHgAC/AICAkACBAIFAgYCBwIIAgkCHwILAgwCDQIIAggCCAIIAggCCAIIAggCCAIIAggCCAIIAggCCAIIAggCFQIDAlECHgAC/AICAjMCBAIFAgYCBwIIAgkCHwILAgwCDQIIAggCCAIIAggCCAIIAggCCAIIAggCCAIIAggCCAIIAggCFQIDAkQCHgAC/AICAm8CBAIFAgYCBwIIAgkCHwILAgwCDQIIAggCCAIIAggCCAIIAggCCAIIAggCCAIIAggCCAIIAggCFQIDAnsCHgAC/AICAisCBAIFAgYCBwIIAgkCCgILAgwCDQIIAggCCAIIAggCCAIIAggCCAIIAggCCAIIAggCCAIIAggCFQIDAiwCHgAC/AICAi0CBAIFAgYCBwIIAgkCCgILAgwCDQIIAggCCAIIAggCCAIIAggCCAIIAggCCAIIAggCCAIIAggCFQIDAkYCHgAC/AICAj0CBAIFAgYCBwIIAgkCHwILAgwCDQIIAggCCAIIAggCCAIIAggCCAIIAggCCAIIAggCCAIIAggCFQIDAnUCHgAC/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xxe4awand>
</file>

<file path=customXml/item15.xml><?xml version="1.0" encoding="utf-8"?>
<xxe4awand xmlns="http://www.excel4apps.com"><![CDATA[rO0ABXfbCMCtii8CAQTNBg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A00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zM0NAICAowABjIwMTgxMQIEAgUCBgIHAggCCQKNAAYxOTEwMTUCCwKOAAJJRAINAggCCAIIAggCCAIIAggCCAIIAggCCAIIAggCCAIIAggCCAIVAgMCMQIeAAKLAgIChAIEAgUCBgIHAggCCQKNAgsCjgINAggCCAIIAggCCAIIAggCCAIIAggCCAIIAggCCAIIAggCCAIVAgMCMQIeAAKLAgICPwIEAgUCBgIHAggCCQInAgsCjgINAggCCAIIAggCCAIIAggCCAIIAggCCAIIAggCCAIIAggCCAIVAgMCj3NxAH4AAAAAAAJzcQB+AAT///////////////7////+/////3VxAH4ABwAAAAQBbUrSeHh3RQIeAAKLAgICIgIEAgUCBgIHAggCCQKNAgsCjgINAggCCAIIAggCCAIIAggCCAIIAggCCAIIAggCCAIIAggCCAIVAgMCkHNxAH4AAAAAAAJzcQB+AAT///////////////7////+/////3VxAH4ABwAAAAMSW6l4eHdFAh4AAosCAgIkAgQCBQIGAgcCCAIJAhwCCwKOAg0CCAIIAggCCAIIAggCCAIIAggCCAIIAggCCAIIAggCCAIIAhUCAwKRc3EAfgAAAAAAAnNxAH4ABP///////////////v////7/////dXEAfgAHAAAABCng5RN4eHdFAh4AAosCAgIzAgQCBQIGAgcCCAIJAhwCCwKOAg0CCAIIAggCCAIIAggCCAIIAggCCAIIAggCCAIIAggCCAIIAhUCAwKSc3EAfgAAAAAAAnNxAH4ABP///////////////v////7/////dXEAfgAHAAAABDSYRyN4eHdFAh4AAosCAgI4AgQCBQIGAgcCCAIJAicCCwKOAg0CCAIIAggCCAIIAggCCAIIAggCCAIIAggCCAIIAggCCAIIAhUCAwKTc3EAfgAAAAAAAnNxAH4ABP///////////////v////7/////dXEAfgAHAAAABB0QqXR4eHeKAh4AAosCAgIwAgQCBQIGAgcCCAIJAo0CCwKOAg0CCAIIAggCCAIIAggCCAIIAggCCAIIAggCCAIIAggCCAIIAhUCAwIxAh4AAosCAgI6AgQCBQIGAgcCCAIJAicCCwKOAg0CCAIIAggCCAIIAggCCAIIAggCCAIIAggCCAIIAggCCAIIAhUCAwKUc3EAfgAAAAAAAnNxAH4ABP///////////////v////7/////dXEAfgAHAAAABAJQHul4eHdFAh4AAosCAgKCAgQCBQIGAgcCCAIJAicCCwKOAg0CCAIIAggCCAIIAggCCAIIAggCCAIIAggCCAIIAggCCAIIAhUCAwKVc3EAfgAAAAAAAnNxAH4ABP///////////////v////4AAAABdXEAfgAHAAAABAGjcLt4eHdFAh4AAosCAgKAAgQCBQIGAgcCCAIJAhwCCwKOAg0CCAIIAggCCAIIAggCCAIIAggCCAIIAggCCAIIAggCCAIIAhUCAwKWc3EAfgAAAAAAAnNxAH4ABP///////////////v////7/////dXEAfgAHAAAABC70FP94eHdFAh4AAosCAgIrAgQCBQIGAgcCCAIJAicCCwKOAg0CCAIIAggCCAIIAggCCAIIAggCCAIIAggCCAIIAggCCAIIAhUCAwKXc3EAfgAAAAAAAnNxAH4ABP///////////////v////7/////dXEAfgAHAAAABBa3qKJ4eHdFAh4AAosCAgIDAgQCBQIGAgcCCAIJAhwCCwKOAg0CCAIIAggCCAIIAggCCAIIAggCCAIIAggCCAIIAggCCAIIAhUCAwKYc3EAfgAAAAAAAnNxAH4ABP///////////////v////7/////dXEAfgAHAAAABENETeB4eHdFAh4AAosCAgJIAgQCBQIGAgcCCAIJAhwCCwKOAg0CCAIIAggCCAIIAggCCAIIAggCCAIIAggCCAIIAggCCAIIAhUCAwKZc3EAfgAAAAAAAnNxAH4ABP///////////////v////7/////dXEAfgAHAAAABBuzHlx4eHdFAh4AAosCAgIeAgQCBQIGAgcCCAIJAo0CCwKOAg0CCAIIAggCCAIIAggCCAIIAggCCAIIAggCCAIIAggCCAIIAhUCAwKac3EAfgAAAAAAAnNxAH4ABP///////////////v////7/////dXEAfgAHAAAAAxKK33h4d5ICHgACiwICApsABjIwMTgwNwIEAgUCBgIHAggCCQKNAgsCjgINAggCCAIIAggCCAIIAggCCAIIAggCCAIIAggCCAIIAggCCAIVAgMCMQIeAAKLAgICIAIEAgUCBgIHAggCCQKNAgsCjgINAggCCAIIAggCCAIIAggCCAIIAggCCAIIAggCCAIIAggCCAIVAgMCnHNxAH4AAAAAAAJzcQB+AAT///////////////7////+/////3VxAH4ABwAAAAMSY394eHdFAh4AAosCAgIDAgQCBQIGAgcCCAIJAicCCwKOAg0CCAIIAggCCAIIAggCCAIIAggCCAIIAggCCAIIAggCCAIIAhUCAwKdc3EAfgAAAAAAAnNxAH4ABP///////////////v////4AAAABdXEAfgAHAAAABAYbWmp4eHdNAh4AAosCAgKeAAYyMDE4MDgCBAIFAgYCBwIIAgkCHAILAo4CDQIIAggCCAIIAggCCAIIAggCCAIIAggCCAIIAggCCAIIAggCFQIDAp9zcQB+AAAAAAACc3EAfgAE///////////////+/////v////91cQB+AAcAAAAEO/PRJHh4d0UCHgACiwICAiQCBAIFAgYCBwIIAgkCJwILAo4CDQIIAggCCAIIAggCCAIIAggCCAIIAggCCAIIAggCCAIIAggCFQIDAqBzcQB+AAAAAAACc3EAfgAE///////////////+/////v////91cQB+AAcAAAAEBQSjQXh4d0UCHgACiwICAj8CBAIFAgYCBwIIAgkCHAILAo4CDQIIAggCCAIIAggCCAIIAggCCAIIAggCCAIIAggCCAIIAggCFQIDAqFzcQB+AAAAAAACc3EAfgAE///////////////+/////v////91cQB+AAcAAAAEKgtGIXh4d00CHgACiwICAqIABjIwMTgxMAIEAgUCBgIHAggCCQIcAgsCjgINAggCCAIIAggCCAIIAggCCAIIAggCCAIIAggCCAIIAggCCAIVAgMCo3NxAH4AAAAAAAJzcQB+AAT///////////////7////+/////3VxAH4ABwAAAAQ+Iz64eHh3RQIeAAKLAgICKwIEAgUCBgIHAggCCQIcAgsCjgINAggCCAIIAggCCAIIAggCCAIIAggCCAIIAggCCAIIAggCCAIVAgMCpHNxAH4AAAAAAAJzcQB+AAT///////////////7////+/////3VxAH4ABwAAAAQkNG30eHh3RQIeAAKLAgICngIEAgUCBgIHAggCCQInAgsCjgINAggCCAIIAggCCAIIAggCCAIIAggCCAIIAggCCAIIAggCCAIVAgMCpXNxAH4AAAAAAAJzcQB+AAT///////////////7////+AAAAAXVxAH4ABwAAAAQD7jMGeHh3RQIeAAKLAgICRQIEAgUCBgIHAggCCQIcAgsCjgINAggCCAIIAggCCAIIAggCCAIIAggCCAIIAggCCAIIAggCCAIVAgMCpnNxAH4AAAAAAAJzcQB+AAT///////////////7////+/////3VxAH4ABwAAAAQpRoS2eHh3RQIeAAKLAgICUgIEAgUCBgIHAggCCQKNAgsCjgINAggCCAIIAggCCAIIAggCCAIIAggCCAIIAggCCAIIAggCCAIVAgMCp3NxAH4AAAAAAAJzcQB+AAT///////////////7////+/////3VxAH4ABwAAAAMSb0Z4eHdFAh4AAosCAgIbAgQCBQIGAgcCCAIJAo0CCwKOAg0CCAIIAggCCAIIAggCCAIIAggCCAIIAggCCAIIAggCCAIIAhUCAwKoc3EAfgAAAAAAAnNxAH4ABP///////////////v////7/////dXEAfgAHAAAAAxJ7FXh4d0UCHgACiwICAikCBAIFAgYCBwIIAgkCJwILAo4CDQIIAggCCAIIAggCCAIIAggCCAIIAggCCAIIAggCCAIIAggCFQIDAqlzcQB+AAAAAAACc3EAfgAE///////////////+/////v////91cQB+AAcAAAAEAWTK8nh4d0UCHgACiwICAksCBAIFAgYCBwIIAgkCjQILAo4CDQIIAggCCAIIAggCCAIIAggCCAIIAggCCAIIAggCCAIIAggCFQIDAqpzcQB+AAAAAAACc3EAfgAE///////////////+/////v////91cQB+AAcAAAADEoL4eHh3RQIeAAKLAgICUgIEAgUCBgIHAggCCQIcAgsCjgINAggCCAIIAggCCAIIAggCCAIIAggCCAIIAggCCAIIAggCCAIVAgMCq3NxAH4AAAAAAAJzcQB+AAT///////////////7////+/////3VxAH4ABwAAAAQx77UZeHh3RQIeAAKLAgICTwIEAgUCBgIHAggCCQIcAgsCjgINAggCCAIIAggCCAIIAggCCAIIAggCCAIIAggCCAIIAggCCAIVAgMCrHNxAH4AAAAAAAJzcQB+AAT///////////////7////+/////3VxAH4ABwAAAAQ5RS7+eHh3kgIeAAKLAgICrQAGMjAxODA5AgQCBQIGAgcCCAIJAo0CCwKOAg0CCAIIAggCCAIIAggCCAIIAggCCAIIAggCCAIIAggCCAIIAhUCAwIxAh4AAosCAgI1AgQCBQIGAgcCCAIJAhwCCwKOAg0CCAIIAggCCAIIAggCCAIIAggCCAIIAggCCAIIAggCCAIIAhUCAwKuc3EAfgAAAAAAAnNxAH4ABP///////////////v////7/////dXEAfgAHAAAABCkgj4V4eHdFAh4AAosCAgJZAgQCBQIGAgcCCAIJAicCCwKOAg0CCAIIAggCCAIIAggCCAIIAggCCAIIAggCCAIIAggCCAIIAhUCAwKvc3EAfgAAAAAAAnNxAH4ABP///////////////v////7/////dXEAfgAHAAAABA4LHEp4eHdFAh4AAosCAgJNAgQCBQIGAgcCCAIJAicCCwKOAg0CCAIIAggCCAIIAggCCAIIAggCCAIIAggCCAIIAggCCAIIAhUCAwKwc3EAfgAAAAAAAnNxAH4ABP///////////////v////7/////dXEAfgAHAAAAAzL3EXh4d0UCHgACiwICAkUCBAIFAgYCBwIIAgkCJwILAo4CDQIIAggCCAIIAggCCAIIAggCCAIIAggCCAIIAggCCAIIAggCFQIDArFzcQB+AAAAAAACc3EAfgAE///////////////+/////v////91cQB+AAcAAAAECivT53h4d0UCHgACiwICAj0CBAIFAgYCBwIIAgkCjQILAo4CDQIIAggCCAIIAggCCAIIAggCCAIIAggCCAIIAggCCAIIAggCFQIDArJzcQB+AAAAAAACc3EAfgAE///////////////+/////v////91cQB+AAcAAAADEmtYeHh3RQIeAAKLAgICQQIEAgUCBgIHAggCCQIcAgsCjgINAggCCAIIAggCCAIIAggCCAIIAggCCAIIAggCCAIIAggCCAIVAgMCs3NxAH4AAAAAAAJzcQB+AAT///////////////7////+/////3VxAH4ABwAAAAQ0OVToeHh3RQIeAAKLAgICKQIEAgUCBgIHAggCCQKNAgsCjgINAggCCAIIAggCCAIIAggCCAIIAggCCAIIAggCCAIIAggCCAIVAgMCtHNxAH4AAAAAAAJzcQB+AAT///////////////7////+/////3VxAH4ABwAAAAMSZ2t4eHeKAh4AAosCAgKeAgQCBQIGAgcCCAIJAo0CCwKOAg0CCAIIAggCCAIIAggCCAIIAggCCAIIAggCCAIIAggCCAIIAhUCAwIxAh4AAosCAgJPAgQCBQIGAgcCCAIJAicCCwKOAg0CCAIIAggCCAIIAggCCAIIAggCCAIIAggCCAIIAggCCAIIAhUCAwK1c3EAfgAAAAAAAnNxAH4ABP///////////////v////4AAAABdXEAfgAHAAAABAJaEtJ4eHdFAh4AAosCAgImAgQCBQIGAgcCCAIJAhwCCwKOAg0CCAIIAggCCAIIAggCCAIIAggCCAIIAggCCAIIAggCCAIIAhUCAwK2c3EAfgAAAAAAAnNxAH4ABP///////////////v////7/////dXEAfgAHAAAABC6RhSt4eHdFAh4AAosCAgI1AgQCBQIGAgcCCAIJAicCCwKOAg0CCAIIAggCCAIIAggCCAIIAggCCAIIAggCCAIIAggCCAIIAhUCAwK3c3EAfgAAAAAAAnNxAH4ABP///////////////v////7/////dXEAfgAHAAAABBCmiyR4eHdFAh4AAosCAgJZAgQCBQIGAgcCCAIJAhwCCwKOAg0CCAIIAggCCAIIAggCCAIIAggCCAIIAggCCAIIAggCCAIIAhUCAwK4c3EAfgAAAAAAAnNxAH4ABP///////////////v////7/////dXEAfgAHAAAABCIKrDF4eHdFAh4AAosCAgJBAgQCBQIGAgcCCAIJAicCCwKOAg0CCAIIAggCCAIIAggCCAIIAggCCAIIAggCCAIIAggCCAIIAhUCAwK5c3EAfgAAAAAAAnNxAH4ABP///////////////v////4AAAABdXEAfgAHAAAAA/+JXnh4d4oCHgACiwICAlgCBAIFAgYCBwIIAgkCjQILAo4CDQIIAggCCAIIAggCCAIIAggCCAIIAggCCAIIAggCCAIIAggCFQIDAjECHgACiwICAjMCBAIFAgYCBwIIAgkCJwILAo4CDQIIAggCCAIIAggCCAIIAggCCAIIAggCCAIIAggCCAIIAggCFQIDArpzcQB+AAAAAAACc3EAfgAE///////////////+/////gAAAAF1cQB+AAcAAAADuXJ8eHh3RQIeAAKLAgICOAIEAgUCBgIHAggCCQKNAgsCjgINAggCCAIIAggCCAIIAggCCAIIAggCCAIIAggCCAIIAggCCAIVAgMCu3NxAH4AAAAAAAJzcQB+AAT///////////////7////+/////3VxAH4ABwAAAAMSfwZ4eHdFAh4AAosCAgJNAgQCBQIGAgcCCAIJAhwCCwKOAg0CCAIIAggCCAIIAggCCAIIAggCCAIIAggCCAIIAggCCAIIAhUCAwK8c3EAfgAAAAAAAnNxAH4ABP///////////////v////7/////dXEAfgAHAAAABDO8lpJ4eHdFAh4AAosCAgKCAgQCBQIGAgcCCAIJAhwCCwKOAg0CCAIIAggCCAIIAggCCAIIAggCCAIIAggCCAIIAggCCAIIAhUCAwK9c3EAfgAAAAAAAnNxAH4ABP///////////////v////7/////dXEAfgAHAAAABDDwgSh4eHdFAh4AAosCAgIeAgQCBQIGAgcCCAIJAicCCwKOAg0CCAIIAggCCAIIAggCCAIIAggCCAIIAggCCAIIAggCCAIIAhUCAwK+c3EAfgAAAAAAAnNxAH4ABP///////////////v////7/////dXEAfgAHAAAABAi9SCF4eHdFAh4AAosCAgI6AgQCBQIGAgcCCAIJAhwCCwKOAg0CCAIIAggCCAIIAggCCAIIAggCCAIIAggCCAIIAggCCAIIAhUCAwK/c3EAfgAAAAAAAnNxAH4ABP///////////////v////7/////dXEAfgAHAAAABCPGeP14eHdFAh4AAosCAgItAgQCBQIGAgcCCAIJAo0CCwKOAg0CCAIIAggCCAIIAggCCAIIAggCCAIIAggCCAIIAggCCAIIAhUCAwLAc3EAfgAAAAAAAnNxAH4ABP///////////////v////7/////dXEAfgAHAAAAAxKSynh4d0UCHgACiwICAiACBAIFAgYCBwIIAgkCJwILAo4CDQIIAggCCAIIAggCCAIIAggCCAIIAggCCAIIAggCCAIIAggCFQIDAsFzcQB+AAAAAAACc3EAfgAE///////////////+/////v////91cQB+AAcAAAAEAc1Kd3h4d0UCHgACiwICApsCBAIFAgYCBwIIAgkCJwILAo4CDQIIAggCCAIIAggCCAIIAggCCAIIAggCCAIIAggCCAIIAggCFQIDAsJzcQB+AAAAAAACc3EAfgAE///////////////+/////gAAAAF1cQB+AAcAAAAEAtQ47Hh4d0UCHgACiwICAoQCBAIFAgYCBwIIAgkCHAILAo4CDQIIAggCCAIIAggCCAIIAggCCAIIAggCCAIIAggCCAIIAggCFQIDAsNzcQB+AAAAAAACc3EAfgAE///////////////+/////v////91cQB+AAcAAAAEL/7GXHh4d0UCHgACiwICAjMCBAIFAgYCBwIIAgkCjQILAo4CDQIIAggCCAIIAggCCAIIAggCCAIIAggCCAIIAggCCAIIAggCFQIDAsRzcQB+AAAAAAACc3EAfgAE///////////////+/////v////91cQB+AAcAAAADEncleHh3RQIeAAKLAgICJAIEAgUCBgIHAggCCQKNAgsCjgINAggCCAIIAggCCAIIAggCCAIIAggCCAIIAggCCAIIAggCCAIVAgMCxXNxAH4AAAAAAAJzcQB+AAT///////////////7////+/////3VxAH4ABwAAAAMSjtR4eHdFAh4AAosCAgIwAgQCBQIGAgcCCAIJAhwCCwKOAg0CCAIIAggCCAIIAggCCAIIAggCCAIIAggCCAIIAggCCAIIAhUCAwLGc3EAfgAAAAAAAnNxAH4ABP///////////////v////7/////dXEAfgAHAAAABBwjfJB4eHdFAh4AAosCAgIiAgQCBQIGAgcCCAIJAhwCCwKOAg0CCAIIAggCCAIIAggCCAIIAggCCAIIAggCCAIIAggCCAIIAhUCAwLHc3EAfgAAAAAAAnNxAH4ABP///////////////v////7/////dXEAfgAHAAAABB6uCU94eHdFAh4AAosCAgItAgQCBQIGAgcCCAIJAicCCwKOAg0CCAIIAggCCAIIAggCCAIIAggCCAIIAggCCAIIAggCCAIIAhUCAwLIc3EAfgAAAAAAAnNxAH4ABP///////////////v////7/////dXEAfgAHAAAABALXZ1R4eHeKAh4AAosCAgKiAgQCBQIGAgcCCAIJAo0CCwKOAg0CCAIIAggCCAIIAggCCAIIAggCCAIIAggCCAIIAggCCAIIAhUCAwIxAh4AAosCAgIeAgQCBQIGAgcCCAIJAhwCCwKOAg0CCAIIAggCCAIIAggCCAIIAggCCAIIAggCCAIIAggCCAIIAhUCAwLJc3EAfgAAAAAAAnNxAH4ABP///////////////v////7/////dXEAfgAHAAAABCZ4H3F4eHeKAh4AAosCAgKMAgQCBQIGAgcCCAIJAhwCCwKOAg0CCAIIAggCCAIIAggCCAIIAggCCAIIAggCCAIIAggCCAIIAhUCAwKjAh4AAosCAgIwAgQCBQIGAgcCCAIJAicCCwKOAg0CCAIIAggCCAIIAggCCAIIAggCCAIIAggCCAIIAggCCAIIAhUCAwLKc3EAfgAAAAAAAnNxAH4ABP///////////////v////7/////dXEAfgAHAAAABB7AdGx4eHdFAh4AAosCAgIbAgQCBQIGAgcCCAIJAicCCwKOAg0CCAIIAggCCAIIAggCCAIIAggCCAIIAggCCAIIAggCCAIIAhUCAwLLc3EAfgAAAAAAAnNxAH4ABP///////////////v////7/////dXEAfgAHAAAABCWQ0ft4eHdFAh4AAosCAgJIAgQCBQIGAgcCCAIJAo0CCwKOAg0CCAIIAggCCAIIAggCCAIIAggCCAIIAggCCAIIAggCCAIIAhUCAwLMc3EAfgAAAAAAAnNxAH4ABP///////////////v////7/////dXEAfgAHAAAAAxJXv3h4d4oCHgACiwICAoACBAIFAgYCBwIIAgkCjQILAo4CDQIIAggCCAIIAggCCAIIAggCCAIIAggCCAIIAggCCAIIAggCFQIDAjECHgACiwICAq0CBAIFAgYCBwIIAgkCJwILAo4CDQIIAggCCAIIAggCCAIIAggCCAIIAggCCAIIAggCCAIIAggCFQIDAs1zcQB+AAAAAAACc3EAfgAE///////////////+/////gAAAAF1cQB+AAcAAAAEBXlFQnh4d0UCHgACiwICAgMCBAIFAgYCBwIIAgkCjQILAo4CDQIIAggCCAIIAggCCAIIAggCCAIIAggCCAIIAggCCAIIAggCFQIDAs5zcQB+AAAAAAACc3EAfgAE///////////////+/////v////91cQB+AAcAAAADEqaieHh3RQIeAAKLAgICPwIEAgUCBgIHAggCCQKNAgsCjgINAggCCAIIAggCCAIIAggCCAIIAggCCAIIAggCCAIIAggCCAIVAgMCz3NxAH4AAAAAAAJzcQB+AAT///////////////7////+/////3VxAH4ABwAAAAMSlsB4eHdFAh4AAosCAgIiAgQCBQIGAgcCCAIJAicCCwKOAg0CCAIIAggCCAIIAggCCAIIAggCCAIIAggCCAIIAggCCAIIAhUCAwLQc3EAfgAAAAAAAnNxAH4ABP///////////////v////7/////dXEAfgAHAAAABAL7S4t4eHdFAh4AAosCAgKEAgQCBQIGAgcCCAIJAicCCwKOAg0CCAIIAggCCAIIAggCCAIIAggCCAIIAggCCAIIAggCCAIIAhUCAwLRc3EAfgAAAAAAAnNxAH4ABP///////////////v////4AAAABdXEAfgAHAAAAAzaltnh4d4oCHgACiwICAowCBAIFAgYCBwIIAgkCJwILAo4CDQIIAggCCAIIAggCCAIIAggCCAIIAggCCAIIAggCCAIIAggCFQIDAs0CHgACiwICApsCBAIFAgYCBwIIAgkCHAILAo4CDQIIAggCCAIIAggCCAIIAggCCAIIAggCCAIIAggCCAIIAggCFQIDAtJzcQB+AAAAAAACc3EAfgAE///////////////+/////v////91cQB+AAcAAAAENab75Xh4d0UCHgACiwICAiACBAIFAgYCBwIIAgkCHAILAo4CDQIIAggCCAIIAggCCAIIAggCCAIIAggCCAIIAggCCAIIAggCFQIDAtNzcQB+AAAAAAACc3EAfgAE///////////////+/////v////91cQB+AAcAAAAEJi8ywnh4d0UCHgACiwICAhsCBAIFAgYCBwIIAgkCHAILAo4CDQIIAggCCAIIAggCCAIIAggCCAIIAggCCAIIAggCCAIIAggCFQIDAtRzcQB+AAAAAAACc3EAfgAE///////////////+/////v////91cQB+AAcAAAAEC9ESdHh4d0UCHgACiwICAksCBAIFAgYCBwIIAgkCHAILAo4CDQIIAggCCAIIAggCCAIIAggCCAIIAggCCAIIAggCCAIIAggCFQIDAtVzcQB+AAAAAAACc3EAfgAE///////////////+/////v////91cQB+AAcAAAAEHbH6THh4d0UCHgACiwICAiYCBAIFAgYCBwIIAgkCJwILAo4CDQIIAggCCAIIAggCCAIIAggCCAIIAggCCAIIAggCCAIIAggCFQIDAtZzcQB+AAAAAAACc3EAfgAE///////////////+/////v////91cQB+AAcAAAADTrgKeHh3igIeAAKLAgICRQIEAgUCBgIHAggCCQKNAgsCjgINAggCCAIIAggCCAIIAggCCAIIAggCCAIIAggCCAIIAggCCAIVAgMCMQIeAAKLAgICWAIEAgUCBgIHAggCCQInAgsCjgINAggCCAIIAggCCAIIAggCCAIIAggCCAIIAggCCAIIAggCCAIVAgMC13NxAH4AAAAAAAJzcQB+AAT///////////////7////+/////3VxAH4ABwAAAAQE4d6ZeHh3RQIeAAKLAgICTwIEAgUCBgIHAggCCQKNAgsCjgINAggCCAIIAggCCAIIAggCCAIIAggCCAIIAggCCAIIAggCCAIVAgMC2HNxAH4AAAAAAAJzcQB+AAT///////////////7////+/////3VxAH4ABwAAAAMSoqh4eHeKAh4AAosCAgIrAgQCBQIGAgcCCAIJAo0CCwKOAg0CCAIIAggCCAIIAggCCAIIAggCCAIIAggCCAIIAggCCAIIAhUCAwIxAh4AAosCAgJLAgQCBQIGAgcCCAIJAicCCwKOAg0CCAIIAggCCAIIAggCCAIIAggCCAIIAggCCAIIAggCCAIIAhUCAwLZc3EAfgAAAAAAAnNxAH4ABP///////////////v////7/////dXEAfgAHAAAABBQ694N4eHdFAh4AAosCAgJBAgQCBQIGAgcCCAIJAo0CCwKOAg0CCAIIAggCCAIIAggCCAIIAggCCAIIAggCCAIIAggCCAIIAhUCAwLac3EAfgAAAAAAAnNxAH4ABP///////////////v////7/////dXEAfgAHAAAAAxKer3h4d0UCHgACiwICAj0CBAIFAgYCBwIIAgkCHAILAo4CDQIIAggCCAIIAggCCAIIAggCCAIIAggCCAIIAggCCAIIAggCFQIDAttzcQB+AAAAAAACc3EAfgAE///////////////+/////v////91cQB+AAcAAAAELv3gknh4d0UCHgACiwICAlICBAIFAgYCBwIIAgkCJwILAo4CDQIIAggCCAIIAggCCAIIAggCCAIIAggCCAIIAggCCAIIAggCFQIDAtxzcQB+AAAAAAACc3EAfgAE///////////////+/////v////91cQB+AAcAAAADnrKqeHh3RQIeAAKLAgICKQIEAgUCBgIHAggCCQIcAgsCjgINAggCCAIIAggCCAIIAggCCAIIAggCCAIIAggCCAIIAggCCAIVAgMC3XNxAH4AAAAAAAJzcQB+AAT///////////////7////+/////3VxAH4ABwAAAAQrEAtReHh3RQIeAAKLAgICJgIEAgUCBgIHAggCCQKNAgsCjgINAggCCAIIAggCCAIIAggCCAIIAggCCAIIAggCCAIIAggCCAIVAgMC3nNxAH4AAAAAAAJzcQB+AAT///////////////7////+/////3VxAH4ABwAAAAMSmrd4eHdFAh4AAosCAgJYAgQCBQIGAgcCCAIJAhwCCwKOAg0CCAIIAggCCAIIAggCCAIIAggCCAIIAggCCAIIAggCCAIIAhUCAwLfc3EAfgAAAAAAAnNxAH4ABP///////////////v////7/////dXEAfgAHAAAABCrCsfh4eHdFAh4AAosCAgI4AgQCBQIGAgcCCAIJAhwCCwKOAg0CCAIIAggCCAIIAggCCAIIAggCCAIIAggCCAIIAggCCAIIAhUCAwLgc3EAfgAAAAAAAnNxAH4ABP///////////////v////7/////dXEAfgAHAAAABBWstZ94eHdFAh4AAosCAgJZAgQCBQIGAgcCCAIJAo0CCwKOAg0CCAIIAggCCAIIAggCCAIIAggCCAIIAggCCAIIAggCCAIIAhUCAwLhc3EAfgAAAAAAAnNxAH4ABP///////////////v////7/////dXEAfgAHAAAAAxKG63h4d0UCHgACiwICAj0CBAIFAgYCBwIIAgkCJwILAo4CDQIIAggCCAIIAggCCAIIAggCCAIIAggCCAIIAggCCAIIAggCFQIDAuJzcQB+AAAAAAACc3EAfgAE///////////////+/////v////91cQB+AAcAAAAEAQaUYHh4d0UCHgACiwICAk0CBAIFAgYCBwIIAgkCjQILAo4CDQIIAggCCAIIAggCCAIIAggCCAIIAggCCAIIAggCCAIIAggCFQIDAuNzcQB+AAAAAAACc3EAfgAE///////////////+/////v////91cQB+AAcAAAADEnM1eHh3RQIeAAKLAgICgAIEAgUCBgIHAggCCQInAgsCjgINAggCCAIIAggCCAIIAggCCAIIAggCCAIIAggCCAIIAggCCAIVAgMC5HNxAH4AAAAAAAJzcQB+AAT///////////////7////+/////3VxAH4ABwAAAAQBMmvPeHh3zwIeAAKLAgICggIEAgUCBgIHAggCCQKNAgsCjgINAggCCAIIAggCCAIIAggCCAIIAggCCAIIAggCCAIIAggCCAIVAgMCMQIeAAKLAgICogIEAgUCBgIHAggCCQInAgsCjgINAggCCAIIAggCCAIIAggCCAIIAggCCAIIAggCCAIIAggCCAIVAgMCzQIeAAKLAgICOgIEAgUCBgIHAggCCQKNAgsCjgINAggCCAIIAggCCAIIAggCCAIIAggCCAIIAggCCAIIAggCCAIVAgMC5XNxAH4AAAAAAAJzcQB+AAT///////////////7////+/////3VxAH4ABwAAAAMSX5R4eHfPAh4AAosCAgI1AgQCBQIGAgcCCAIJAo0CCwKOAg0CCAIIAggCCAIIAggCCAIIAggCCAIIAggCCAIIAggCCAIIAhUCAwIxAh4AAosCAgKtAgQCBQIGAgcCCAIJAhwCCwKOAg0CCAIIAggCCAIIAggCCAIIAggCCAIIAggCCAIIAggCCAIIAhUCAwKjAh4AAosCAgItAgQCBQIGAgcCCAIJAhwCCwKOAg0CCAIIAggCCAIIAggCCAIIAggCCAIIAggCCAIIAggCCAIIAhUCAwLmc3EAfgAAAAAAAnNxAH4ABP///////////////v////7/////dXEAfgAHAAAABComTwt4eHdFAh4AAosCAgJIAgQCBQIGAgcCCAIJAicCCwKOAg0CCAIIAggCCAIIAggCCAIIAggCCAIIAggCCAIIAggCCAIIAhUCAwLnc3EAfgAAAAAAAnNxAH4ABP///////////////v////7/////dXEAfgAHAAAABARbkhB4eHoAAAQAAh4AAugACTU4MDEyNTAyNAICAisCBAIFAgYCBwIIAgkCHAILAo4CDQIIAggCCAIIAggCCAIIAggCCAIIAggCCAIIAggCCAIIAggCEwIDAqQCHgAC6AICAi0CBAIFAgYCBwIIAgkCjQILAo4CDQIIAggCCAIIAggCCAIIAggCCAIIAggCCAIIAggCCAIIAggCEwIDAsACHgAC6AICAoICBAIFAgYCBwIIAgkCHAILAo4CDQIIAggCCAIIAggCCAIIAggCCAIIAggCCAIIAggCCAIIAggCEwIDAr0CHgAC6AICAikCBAIFAgYCBwIIAgkCJwILAo4CDQIIAggCCAIIAggCCAIIAggCCAIIAggCCAIIAggCCAIIAggCEwIDAqkCHgAC6AICAhsCBAIFAgYCBwIIAgkCjQILAo4CDQIIAggCCAIIAggCCAIIAggCCAIIAggCCAIIAggCCAIIAggCEwIDAqgCHgAC6AICAjoCBAIFAgYCBwIIAgkCHAILAo4CDQIIAggCCAIIAggCCAIIAggCCAIIAggCCAIIAggCCAIIAggCEwIDAr8CHgAC6AICAj8CBAIFAgYCBwIIAgkCJwILAo4CDQIIAggCCAIIAggCCAIIAggCCAIIAggCCAIIAggCCAIIAggCEwIDAo8CHgAC6AICAiQCBAIFAgYCBwIIAgkCHAILAo4CDQIIAggCCAIIAggCCAIIAggCCAIIAggCCAIIAggCCAIIAggCEwIDApECHgAC6AICAowCBAIFAgYCBwIIAgkCjQILAo4CDQIIAggCCAIIAggCCAIIAggCCAIIAggCCAIIAggCCAIIAggCEwIDAjECHgAC6AICAoQCBAIFAgYCBwIIAgkCjQILAo4CDQIIAggCCAIIAggCCAIIAggCCAIIAggCCAIIAggCCAIIAggCEwIDAjECHgAC6AICAisCBAIFAgYCBwIIAgkCJwILAo4CDQIIAggCCAIIAggCCAIIAggCCAIIAggCCAIIAggCCAIIAggCEwIDApcCHgAC6AICAp4CBAIFAgYCBwIIAgkCHAILAo4CDQIIAggCCAIIAggCCAIIAggCCAIIAggCCAIIAggCCAIIAggCEwIDAp8CHgAC6AICAjgCBAIFAgYCBwIIAgkCJwILAo4CDQIIAggCCAIIAggCCAIIAggCCAIIAggCCAIIAggCCAIIAggCEwIDApMCHgAC6AICAjACBAIFAgYCBwIIAgkCjQILAo4CDQIIAggCCAIIAggCCAIIAggCCAIIAggCCAIIAggCCAIIAggCEwIDAjECHgAC6AICAiICBAIFAgYCBwIIAgkCjQILAo4CDQIIAggCCAIIAggCCAIIAggCCHoAAAQAAggCCAIIAggCCAIIAggCCAITAgMCkAIeAALoAgICggIEAgUCBgIHAggCCQInAgsCjgINAggCCAIIAggCCAIIAggCCAIIAggCCAIIAggCCAIIAggCCAITAgMClQIeAALoAgICMwIEAgUCBgIHAggCCQIcAgsCjgINAggCCAIIAggCCAIIAggCCAIIAggCCAIIAggCCAIIAggCCAITAgMCkgIeAALoAgICOgIEAgUCBgIHAggCCQInAgsCjgINAggCCAIIAggCCAIIAggCCAIIAggCCAIIAggCCAIIAggCCAITAgMClAIeAALoAgICJgIEAgUCBgIHAggCCQKNAgsCjgINAggCCAIIAggCCAIIAggCCAIIAggCCAIIAggCCAIIAggCCAITAgMC3gIeAALoAgICQQIEAgUCBgIHAggCCQIcAgsCjgINAggCCAIIAggCCAIIAggCCAIIAggCCAIIAggCCAIIAggCCAITAgMCswIeAALoAgICWAIEAgUCBgIHAggCCQKNAgsCjgINAggCCAIIAggCCAIIAggCCAIIAggCCAIIAggCCAIIAggCCAITAgMCMQIeAALoAgICAwIEAgUCBgIHAggCCQIcAgsCjgINAggCCAIIAggCCAIIAggCCAIIAggCCAIIAggCCAIIAggCCAITAgMCmAIeAALoAgICNQIEAgUCBgIHAggCCQInAgsCjgINAggCCAIIAggCCAIIAggCCAIIAggCCAIIAggCCAIIAggCCAITAgMCtwIeAALoAgICKQIEAgUCBgIHAggCCQIcAgsCjgINAggCCAIIAggCCAIIAggCCAIIAggCCAIIAggCCAIIAggCCAITAgMC3QIeAALoAgICWQIEAgUCBgIHAggCCQIcAgsCjgINAggCCAIIAggCCAIIAggCCAIIAggCCAIIAggCCAIIAggCCAITAgMCuAIeAALoAgICQQIEAgUCBgIHAggCCQInAgsCjgINAggCCAIIAggCCAIIAggCCAIIAggCCAIIAggCCAIIAggCCAITAgMCuQIeAALoAgICMwIEAgUCBgIHAggCCQInAgsCjgINAggCCAIIAggCCAIIAggCCAIIAggCCAIIAggCCAIIAggCCAITAgMCugIeAALoAgICgAIEAgUCBgIHAggCCQInAgsCjgINAggCCAIIAggCCAIIAggCCAIIAggCCAIIAggCCAIIAggCCAITAgMC5AIeAALoAgICOAIEAgUCBgIHAggCCQIcAgsCjgINAggCCAIIAggCCAIIAggCCAIIAggCCAIIAggCCAIIAggCCAITAgMC4AIeAALoAgICHgIEAgUCBgIHAggCCQInAgsCjgINAggCCAIIAnoAAAQACAIIAggCCAIIAggCCAIIAggCCAIIAggCCAIIAhMCAwK+Ah4AAugCAgJFAgQCBQIGAgcCCAIJAhwCCwKOAg0CCAIIAggCCAIIAggCCAIIAggCCAIIAggCCAIIAggCCAIIAhMCAwKmAh4AAugCAgJYAgQCBQIGAgcCCAIJAicCCwKOAg0CCAIIAggCCAIIAggCCAIIAggCCAIIAggCCAIIAggCCAIIAhMCAwLXAh4AAugCAgJLAgQCBQIGAgcCCAIJAo0CCwKOAg0CCAIIAggCCAIIAggCCAIIAggCCAIIAggCCAIIAggCCAIIAhMCAwKqAh4AAugCAgJSAgQCBQIGAgcCCAIJAo0CCwKOAg0CCAIIAggCCAIIAggCCAIIAggCCAIIAggCCAIIAggCCAIIAhMCAwKnAh4AAugCAgI1AgQCBQIGAgcCCAIJAhwCCwKOAg0CCAIIAggCCAIIAggCCAIIAggCCAIIAggCCAIIAggCCAIIAhMCAwKuAh4AAugCAgKtAgQCBQIGAgcCCAIJAo0CCwKOAg0CCAIIAggCCAIIAggCCAIIAggCCAIIAggCCAIIAggCCAIIAhMCAwIxAh4AAugCAgI9AgQCBQIGAgcCCAIJAo0CCwKOAg0CCAIIAggCCAIIAggCCAIIAggCCAIIAggCCAIIAggCCAIIAhMCAwKyAh4AAugCAgJFAgQCBQIGAgcCCAIJAicCCwKOAg0CCAIIAggCCAIIAggCCAIIAggCCAIIAggCCAIIAggCCAIIAhMCAwKxAh4AAugCAgKiAgQCBQIGAgcCCAIJAo0CCwKOAg0CCAIIAggCCAIIAggCCAIIAggCCAIIAggCCAIIAggCCAIIAhMCAwIxAh4AAugCAgIeAgQCBQIGAgcCCAIJAhwCCwKOAg0CCAIIAggCCAIIAggCCAIIAggCCAIIAggCCAIIAggCCAIIAhMCAwLJAh4AAugCAgKAAgQCBQIGAgcCCAIJAo0CCwKOAg0CCAIIAggCCAIIAggCCAIIAggCCAIIAggCCAIIAggCCAIIAhMCAwIxAh4AAugCAgIbAgQCBQIGAgcCCAIJAicCCwKOAg0CCAIIAggCCAIIAggCCAIIAggCCAIIAggCCAIIAggCCAIIAhMCAwLLAh4AAugCAgJIAgQCBQIGAgcCCAIJAo0CCwKOAg0CCAIIAggCCAIIAggCCAIIAggCCAIIAggCCAIIAggCCAIIAhMCAwLMAh4AAugCAgJPAgQCBQIGAgcCCAIJAhwCCwKOAg0CCAIIAggCCAIIAggCCAIIAggCCAIIAggCCAIIAggCCAIIAhMCAwKsAh4AAugCAgI/AgQCBQIGAgcCCAIJAo0CC3oAAAQAAo4CDQIIAggCCAIIAggCCAIIAggCCAIIAggCCAIIAggCCAIIAggCEwIDAs8CHgAC6AICAgMCBAIFAgYCBwIIAgkCJwILAo4CDQIIAggCCAIIAggCCAIIAggCCAIIAggCCAIIAggCCAIIAggCEwIDAp0CHgAC6AICAiQCBAIFAgYCBwIIAgkCJwILAo4CDQIIAggCCAIIAggCCAIIAggCCAIIAggCCAIIAggCCAIIAggCEwIDAqACHgAC6AICAiACBAIFAgYCBwIIAgkCHAILAo4CDQIIAggCCAIIAggCCAIIAggCCAIIAggCCAIIAggCCAIIAggCEwIDAtMCHgAC6AICAp4CBAIFAgYCBwIIAgkCJwILAo4CDQIIAggCCAIIAggCCAIIAggCCAIIAggCCAIIAggCCAIIAggCEwIDAqUCHgAC6AICAiYCBAIFAgYCBwIIAgkCJwILAo4CDQIIAggCCAIIAggCCAIIAggCCAIIAggCCAIIAggCCAIIAggCEwIDAtYCHgAC6AICAi0CBAIFAgYCBwIIAgkCHAILAo4CDQIIAggCCAIIAggCCAIIAggCCAIIAggCCAIIAggCCAIIAggCEwIDAuYCHgAC6AICAoICBAIFAgYCBwIIAgkCjQILAo4CDQIIAggCCAIIAggCCAIIAggCCAIIAggCCAIIAggCCAIIAggCEwIDAjECHgAC6AICApsCBAIFAgYCBwIIAgkCHAILAo4CDQIIAggCCAIIAggCCAIIAggCCAIIAggCCAIIAggCCAIIAggCEwIDAtICHgAC6AICAisCBAIFAgYCBwIIAgkCjQILAo4CDQIIAggCCAIIAggCCAIIAggCCAIIAggCCAIIAggCCAIIAggCEwIDAjECHgAC6AICAq0CBAIFAgYCBwIIAgkCJwILAo4CDQIIAggCCAIIAggCCAIIAggCCAIIAggCCAIIAggCCAIIAggCEwIDAs0CHgAC6AICAjoCBAIFAgYCBwIIAgkCjQILAo4CDQIIAggCCAIIAggCCAIIAggCCAIIAggCCAIIAggCCAIIAggCEwIDAuUCHgAC6AICAhsCBAIFAgYCBwIIAgkCHAILAo4CDQIIAggCCAIIAggCCAIIAggCCAIIAggCCAIIAggCCAIIAggCEwIDAtQCHgAC6AICApsCBAIFAgYCBwIIAgkCJwILAo4CDQIIAggCCAIIAggCCAIIAggCCAIIAggCCAIIAggCCAIIAggCEwIDAsICHgAC6AICAiACBAIFAgYCBwIIAgkCJwILAo4CDQIIAggCCAIIAggCCAIIAggCCAIIAggCCAIIAggCCAIIAggCEwIDAsECHgAC6AICAgMCBAIFAnoAAAQABgIHAggCCQKNAgsCjgINAggCCAIIAggCCAIIAggCCAIIAggCCAIIAggCCAIIAggCCAITAgMCzgIeAALoAgICMAIEAgUCBgIHAggCCQIcAgsCjgINAggCCAIIAggCCAIIAggCCAIIAggCCAIIAggCCAIIAggCCAITAgMCxgIeAALoAgIChAIEAgUCBgIHAggCCQIcAgsCjgINAggCCAIIAggCCAIIAggCCAIIAggCCAIIAggCCAIIAggCCAITAgMCwwIeAALoAgICTwIEAgUCBgIHAggCCQInAgsCjgINAggCCAIIAggCCAIIAggCCAIIAggCCAIIAggCCAIIAggCCAITAgMCtQIeAALoAgICJAIEAgUCBgIHAggCCQKNAgsCjgINAggCCAIIAggCCAIIAggCCAIIAggCCAIIAggCCAIIAggCCAITAgMCxQIeAALoAgICMwIEAgUCBgIHAggCCQKNAgsCjgINAggCCAIIAggCCAIIAggCCAIIAggCCAIIAggCCAIIAggCCAITAgMCxAIeAALoAgICIgIEAgUCBgIHAggCCQIcAgsCjgINAggCCAIIAggCCAIIAggCCAIIAggCCAIIAggCCAIIAggCCAITAgMCxwIeAALoAgICLQIEAgUCBgIHAggCCQInAgsCjgINAggCCAIIAggCCAIIAggCCAIIAggCCAIIAggCCAIIAggCCAITAgMCyAIeAALoAgICrQIEAgUCBgIHAggCCQIcAgsCjgINAggCCAIIAggCCAIIAggCCAIIAggCCAIIAggCCAIIAggCCAITAgMCowIeAALoAgICMAIEAgUCBgIHAggCCQInAgsCjgINAggCCAIIAggCCAIIAggCCAIIAggCCAIIAggCCAIIAggCCAITAgMCygIeAALoAgICjAIEAgUCBgIHAggCCQIcAgsCjgINAggCCAIIAggCCAIIAggCCAIIAggCCAIIAggCCAIIAggCCAITAgMCowIeAALoAgICngIEAgUCBgIHAggCCQKNAgsCjgINAggCCAIIAggCCAIIAggCCAIIAggCCAIIAggCCAIIAggCCAITAgMCMQIeAALoAgICJgIEAgUCBgIHAggCCQIcAgsCjgINAggCCAIIAggCCAIIAggCCAIIAggCCAIIAggCCAIIAggCCAITAgMCtgIeAALoAgICKQIEAgUCBgIHAggCCQKNAgsCjgINAggCCAIIAggCCAIIAggCCAIIAggCCAIIAggCCAIIAggCCAITAgMCtAIeAALoAgICWAIEAgUCBgIHAggCCQIcAgsCjgINAggCCAIIAggCCAIIAggCCAIIAggCCAIIAggCCAIIAggCCAITAgMC3wIeAHoAAAQAAugCAgI9AgQCBQIGAgcCCAIJAicCCwKOAg0CCAIIAggCCAIIAggCCAIIAggCCAIIAggCCAIIAggCCAIIAhMCAwLiAh4AAugCAgJNAgQCBQIGAgcCCAIJAo0CCwKOAg0CCAIIAggCCAIIAggCCAIIAggCCAIIAggCCAIIAggCCAIIAhMCAwLjAh4AAugCAgI4AgQCBQIGAgcCCAIJAo0CCwKOAg0CCAIIAggCCAIIAggCCAIIAggCCAIIAggCCAIIAggCCAIIAhMCAwK7Ah4AAugCAgJZAgQCBQIGAgcCCAIJAo0CCwKOAg0CCAIIAggCCAIIAggCCAIIAggCCAIIAggCCAIIAggCCAIIAhMCAwLhAh4AAugCAgJNAgQCBQIGAgcCCAIJAhwCCwKOAg0CCAIIAggCCAIIAggCCAIIAggCCAIIAggCCAIIAggCCAIIAhMCAwK8Ah4AAugCAgKiAgQCBQIGAgcCCAIJAicCCwKOAg0CCAIIAggCCAIIAggCCAIIAggCCAIIAggCCAIIAggCCAIIAhMCAwLNAh4AAugCAgJIAgQCBQIGAgcCCAIJAicCCwKOAg0CCAIIAggCCAIIAggCCAIIAggCCAIIAggCCAIIAggCCAIIAhMCAwLnAh4AAugCAgJLAgQCBQIGAgcCCAIJAhwCCwKOAg0CCAIIAggCCAIIAggCCAIIAggCCAIIAggCCAIIAggCCAIIAhMCAwLVAh4AAugCAgI1AgQCBQIGAgcCCAIJAo0CCwKOAg0CCAIIAggCCAIIAggCCAIIAggCCAIIAggCCAIIAggCCAIIAhMCAwIxAh4AAugCAgJZAgQCBQIGAgcCCAIJAicCCwKOAg0CCAIIAggCCAIIAggCCAIIAggCCAIIAggCCAIIAggCCAIIAhMCAwKvAh4AAugCAgJPAgQCBQIGAgcCCAIJAo0CCwKOAg0CCAIIAggCCAIIAggCCAIIAggCCAIIAggCCAIIAggCCAIIAhMCAwLYAh4AAugCAgJSAgQCBQIGAgcCCAIJAhwCCwKOAg0CCAIIAggCCAIIAggCCAIIAggCCAIIAggCCAIIAggCCAIIAhMCAwKrAh4AAugCAgJBAgQCBQIGAgcCCAIJAo0CCwKOAg0CCAIIAggCCAIIAggCCAIIAggCCAIIAggCCAIIAggCCAIIAhMCAwLaAh4AAugCAgJLAgQCBQIGAgcCCAIJAicCCwKOAg0CCAIIAggCCAIIAggCCAIIAggCCAIIAggCCAIIAggCCAIIAhMCAwLZAh4AAugCAgJNAgQCBQIGAgcCCAIJAicCCwKOAg0CCAIIAggCCAIIAggCCAIIAggCCAIIAggCCAIIAggCCHoAAAQAAggCEwIDArACHgAC6AICAj0CBAIFAgYCBwIIAgkCHAILAo4CDQIIAggCCAIIAggCCAIIAggCCAIIAggCCAIIAggCCAIIAggCEwIDAtsCHgAC6AICAoACBAIFAgYCBwIIAgkCHAILAo4CDQIIAggCCAIIAggCCAIIAggCCAIIAggCCAIIAggCCAIIAggCEwIDApYCHgAC6AICAqICBAIFAgYCBwIIAgkCHAILAo4CDQIIAggCCAIIAggCCAIIAggCCAIIAggCCAIIAggCCAIIAggCEwIDAqMCHgAC6AICAlICBAIFAgYCBwIIAgkCJwILAo4CDQIIAggCCAIIAggCCAIIAggCCAIIAggCCAIIAggCCAIIAggCEwIDAtwCHgAC6AICAh4CBAIFAgYCBwIIAgkCjQILAo4CDQIIAggCCAIIAggCCAIIAggCCAIIAggCCAIIAggCCAIIAggCEwIDApoCHgAC6AICAoQCBAIFAgYCBwIIAgkCJwILAo4CDQIIAggCCAIIAggCCAIIAggCCAIIAggCCAIIAggCCAIIAggCEwIDAtECHgAC6AICAkgCBAIFAgYCBwIIAgkCHAILAo4CDQIIAggCCAIIAggCCAIIAggCCAIIAggCCAIIAggCCAIIAggCEwIDApkCHgAC6AICAiACBAIFAgYCBwIIAgkCjQILAo4CDQIIAggCCAIIAggCCAIIAggCCAIIAggCCAIIAggCCAIIAggCEwIDApwCHgAC6AICAiICBAIFAgYCBwIIAgkCJwILAo4CDQIIAggCCAIIAggCCAIIAggCCAIIAggCCAIIAggCCAIIAggCEwIDAtACHgAC6AICApsCBAIFAgYCBwIIAgkCjQILAo4CDQIIAggCCAIIAggCCAIIAggCCAIIAggCCAIIAggCCAIIAggCEwIDAjECHgAC6AICAkUCBAIFAgYCBwIIAgkCjQILAo4CDQIIAggCCAIIAggCCAIIAggCCAIIAggCCAIIAggCCAIIAggCEwIDAjECHgAC6AICAj8CBAIFAgYCBwIIAgkCHAILAo4CDQIIAggCCAIIAggCCAIIAggCCAIIAggCCAIIAggCCAIIAggCEwIDAqECHgAC6AICAowCBAIFAgYCBwIIAgkCJwILAo4CDQIIAggCCAIIAggCCAIIAggCCAIIAggCCAIIAggCCAIIAggCEwIDAs0CHgAC6QAKMTIxNjE0MzQ0OAICAiICBAIFAgYCBwIIAgkCjQILAo4CDQIIAggCCAIIAggCCAIIAggCCAIIAggCCAIIAggCCAIIAggCHwIDApACHgAC6QICAiQCBAIFAgYCBwIIAgkCjQILAo4CDQIIAggCCAIIAnoAAAQACAIIAggCCAIIAggCCAIIAggCCAIIAggCCAIfAgMCxQIeAALpAgICMwIEAgUCBgIHAggCCQIcAgsCjgINAggCCAIIAggCCAIIAggCCAIIAggCCAIIAggCCAIIAggCCAIfAgMCkgIeAALpAgICMAIEAgUCBgIHAggCCQIcAgsCjgINAggCCAIIAggCCAIIAggCCAIIAggCCAIIAggCCAIIAggCCAIfAgMCxgIeAALpAgICLQIEAgUCBgIHAggCCQIcAgsCjgINAggCCAIIAggCCAIIAggCCAIIAggCCAIIAggCCAIIAggCCAIfAgMC5gIeAALpAgICOAIEAgUCBgIHAggCCQInAgsCjgINAggCCAIIAggCCAIIAggCCAIIAggCCAIIAggCCAIIAggCCAIfAgMCkwIeAALpAgICIAIEAgUCBgIHAggCCQInAgsCjgINAggCCAIIAggCCAIIAggCCAIIAggCCAIIAggCCAIIAggCCAIfAgMCwQIeAALpAgICMAIEAgUCBgIHAggCCQKNAgsCjgINAggCCAIIAggCCAIIAggCCAIIAggCCAIIAggCCAIIAggCCAIfAgMCMQIeAALpAgICJAIEAgUCBgIHAggCCQIcAgsCjgINAggCCAIIAggCCAIIAggCCAIIAggCCAIIAggCCAIIAggCCAIfAgMCkQIeAALpAgICIgIEAgUCBgIHAggCCQIcAgsCjgINAggCCAIIAggCCAIIAggCCAIIAggCCAIIAggCCAIIAggCCAIfAgMCxwIeAALpAgICJgIEAgUCBgIHAggCCQInAgsCjgINAggCCAIIAggCCAIIAggCCAIIAggCCAIIAggCCAIIAggCCAIfAgMC1gIeAALpAgICMwIEAgUCBgIHAggCCQKNAgsCjgINAggCCAIIAggCCAIIAggCCAIIAggCCAIIAggCCAIIAggCCAIfAgMCxAIeAALpAgICAwIEAgUCBgIHAggCCQIcAgsCjgINAggCCAIIAggCCAIIAggCCAIIAggCCAIIAggCCAIIAggCCAIfAgMCmAIeAALpAgICHgIEAgUCBgIHAggCCQKNAgsCjgINAggCCAIIAggCCAIIAggCCAIIAggCCAIIAggCCAIIAggCCAIfAgMCmgIeAALpAgICLQIEAgUCBgIHAggCCQInAgsCjgINAggCCAIIAggCCAIIAggCCAIIAggCCAIIAggCCAIIAggCCAIfAgMCyAIeAALpAgICKwIEAgUCBgIHAggCCQInAgsCjgINAggCCAIIAggCCAIIAggCCAIIAggCCAIIAggCCAIIAggCCAIfAgMClwIeAALpAgICGwIEAgUCBgIHAggCCQInAgsCjnoAAAQAAg0CCAIIAggCCAIIAggCCAIIAggCCAIIAggCCAIIAggCCAIIAh8CAwLLAh4AAukCAgI/AgQCBQIGAgcCCAIJAhwCCwKOAg0CCAIIAggCCAIIAggCCAIIAggCCAIIAggCCAIIAggCCAIIAh8CAwKhAh4AAukCAgIeAgQCBQIGAgcCCAIJAhwCCwKOAg0CCAIIAggCCAIIAggCCAIIAggCCAIIAggCCAIIAggCCAIIAh8CAwLJAh4AAukCAgI9AgQCBQIGAgcCCAIJAicCCwKOAg0CCAIIAggCCAIIAggCCAIIAggCCAIIAggCCAIIAggCCAIIAh8CAwLiAh4AAukCAgI6AgQCBQIGAgcCCAIJAicCCwKOAg0CCAIIAggCCAIIAggCCAIIAggCCAIIAggCCAIIAggCCAIIAh8CAwKUAh4AAukCAgIwAgQCBQIGAgcCCAIJAicCCwKOAg0CCAIIAggCCAIIAggCCAIIAggCCAIIAggCCAIIAggCCAIIAh8CAwLKAh4AAukCAgIDAgQCBQIGAgcCCAIJAo0CCwKOAg0CCAIIAggCCAIIAggCCAIIAggCCAIIAggCCAIIAggCCAIIAh8CAwLOAh4AAukCAgJIAgQCBQIGAgcCCAIJAhwCCwKOAg0CCAIIAggCCAIIAggCCAIIAggCCAIIAggCCAIIAggCCAIIAh8CAwKZAh4AAukCAgJBAgQCBQIGAgcCCAIJAicCCwKOAg0CCAIIAggCCAIIAggCCAIIAggCCAIIAggCCAIIAggCCAIIAh8CAwK5Ah4AAukCAgJIAgQCBQIGAgcCCAIJAo0CCwKOAg0CCAIIAggCCAIIAggCCAIIAggCCAIIAggCCAIIAggCCAIIAh8CAwLMAh4AAukCAgJYAgQCBQIGAgcCCAIJAhwCCwKOAg0CCAIIAggCCAIIAggCCAIIAggCCAIIAggCCAIIAggCCAIIAh8CAwLfAh4AAukCAgJZAgQCBQIGAgcCCAIJAo0CCwKOAg0CCAIIAggCCAIIAggCCAIIAggCCAIIAggCCAIIAggCCAIIAh8CAwLhAh4AAukCAgJZAgQCBQIGAgcCCAIJAhwCCwKOAg0CCAIIAggCCAIIAggCCAIIAggCCAIIAggCCAIIAggCCAIIAh8CAwK4Ah4AAukCAgJSAgQCBQIGAgcCCAIJAicCCwKOAg0CCAIIAggCCAIIAggCCAIIAggCCAIIAggCCAIIAggCCAIIAh8CAwLcAh4AAukCAgJYAgQCBQIGAgcCCAIJAo0CCwKOAg0CCAIIAggCCAIIAggCCAIIAggCCAIIAggCCAIIAggCCAIIAh8CAwIxAh4AAukCAgIzAgQCBQIGAnoAAAQABwIIAgkCJwILAo4CDQIIAggCCAIIAggCCAIIAggCCAIIAggCCAIIAggCCAIIAggCHwIDAroCHgAC6QICAk8CBAIFAgYCBwIIAgkCJwILAo4CDQIIAggCCAIIAggCCAIIAggCCAIIAggCCAIIAggCCAIIAggCHwIDArUCHgAC6QICAk0CBAIFAgYCBwIIAgkCjQILAo4CDQIIAggCCAIIAggCCAIIAggCCAIIAggCCAIIAggCCAIIAggCHwIDAuMCHgAC6QICAjgCBAIFAgYCBwIIAgkCHAILAo4CDQIIAggCCAIIAggCCAIIAggCCAIIAggCCAIIAggCCAIIAggCHwIDAuACHgAC6QICAjgCBAIFAgYCBwIIAgkCjQILAo4CDQIIAggCCAIIAggCCAIIAggCCAIIAggCCAIIAggCCAIIAggCHwIDArsCHgAC6QICAj0CBAIFAgYCBwIIAgkCHAILAo4CDQIIAggCCAIIAggCCAIIAggCCAIIAggCCAIIAggCCAIIAggCHwIDAtsCHgAC6QICAkECBAIFAgYCBwIIAgkCHAILAo4CDQIIAggCCAIIAggCCAIIAggCCAIIAggCCAIIAggCCAIIAggCHwIDArMCHgAC6QICAi0CBAIFAgYCBwIIAgkCjQILAo4CDQIIAggCCAIIAggCCAIIAggCCAIIAggCCAIIAggCCAIIAggCHwIDAsACHgAC6QICAh4CBAIFAgYCBwIIAgkCJwILAo4CDQIIAggCCAIIAggCCAIIAggCCAIIAggCCAIIAggCCAIIAggCHwIDAr4CHgAC6QICAkgCBAIFAgYCBwIIAgkCJwILAo4CDQIIAggCCAIIAggCCAIIAggCCAIIAggCCAIIAggCCAIIAggCHwIDAucCHgAC6QICAjUCBAIFAgYCBwIIAgkCjQILAo4CDQIIAggCCAIIAggCCAIIAggCCAIIAggCCAIIAggCCAIIAggCHwIDAjECHgAC6QICAjoCBAIFAgYCBwIIAgkCHAILAo4CDQIIAggCCAIIAggCCAIIAggCCAIIAggCCAIIAggCCAIIAggCHwIDAr8CHgAC6QICAj8CBAIFAgYCBwIIAgkCJwILAo4CDQIIAggCCAIIAggCCAIIAggCCAIIAggCCAIIAggCCAIIAggCHwIDAo8CHgAC6QICAjoCBAIFAgYCBwIIAgkCjQILAo4CDQIIAggCCAIIAggCCAIIAggCCAIIAggCCAIIAggCCAIIAggCHwIDAuUCHgAC6QICAlICBAIFAgYCBwIIAgkCHAILAo4CDQIIAggCCAIIAggCCAIIAggCCAIIAggCCAIIAggCCAIIAggCHwIDAqsCHgAC6XoAAAQAAgICWQIEAgUCBgIHAggCCQInAgsCjgINAggCCAIIAggCCAIIAggCCAIIAggCCAIIAggCCAIIAggCCAIfAgMCrwIeAALpAgICNQIEAgUCBgIHAggCCQIcAgsCjgINAggCCAIIAggCCAIIAggCCAIIAggCCAIIAggCCAIIAggCCAIfAgMCrgIeAALpAgICTwIEAgUCBgIHAggCCQIcAgsCjgINAggCCAIIAggCCAIIAggCCAIIAggCCAIIAggCCAIIAggCCAIfAgMCrAIeAALpAgICPQIEAgUCBgIHAggCCQKNAgsCjgINAggCCAIIAggCCAIIAggCCAIIAggCCAIIAggCCAIIAggCCAIfAgMCsgIeAALpAgICQQIEAgUCBgIHAggCCQKNAgsCjgINAggCCAIIAggCCAIIAggCCAIIAggCCAIIAggCCAIIAggCCAIfAgMC2gIeAALpAgICSwIEAgUCBgIHAggCCQInAgsCjgINAggCCAIIAggCCAIIAggCCAIIAggCCAIIAggCCAIIAggCCAIfAgMC2QIeAALpAgICTQIEAgUCBgIHAggCCQIcAgsCjgINAggCCAIIAggCCAIIAggCCAIIAggCCAIIAggCCAIIAggCCAIfAgMCvAIeAALpAgICRQIEAgUCBgIHAggCCQInAgsCjgINAggCCAIIAggCCAIIAggCCAIIAggCCAIIAggCCAIIAggCCAIfAgMCsQIeAALpAgICJgIEAgUCBgIHAggCCQKNAgsCjgINAggCCAIIAggCCAIIAggCCAIIAggCCAIIAggCCAIIAggCCAIfAgMC3gIeAALpAgICKQIEAgUCBgIHAggCCQKNAgsCjgINAggCCAIIAggCCAIIAggCCAIIAggCCAIIAggCCAIIAggCCAIfAgMCtAIeAALpAgICNQIEAgUCBgIHAggCCQInAgsCjgINAggCCAIIAggCCAIIAggCCAIIAggCCAIIAggCCAIIAggCCAIfAgMCtwIeAALpAgICKQIEAgUCBgIHAggCCQIcAgsCjgINAggCCAIIAggCCAIIAggCCAIIAggCCAIIAggCCAIIAggCCAIfAgMC3QIeAALpAgICJAIEAgUCBgIHAggCCQInAgsCjgINAggCCAIIAggCCAIIAggCCAIIAggCCAIIAggCCAIIAggCCAIfAgMCoAIeAALpAgICPwIEAgUCBgIHAggCCQKNAgsCjgINAggCCAIIAggCCAIIAggCCAIIAggCCAIIAggCCAIIAggCCAIfAgMCzwIeAALpAgICJgIEAgUCBgIHAggCCQIcAgsCjgINAggCCAIIAggCCAIIAggCCAIIAggCCAIIAggCCAIIAggCCHoAAAQAAh8CAwK2Ah4AAukCAgIiAgQCBQIGAgcCCAIJAicCCwKOAg0CCAIIAggCCAIIAggCCAIIAggCCAIIAggCCAIIAggCCAIIAh8CAwLQAh4AAukCAgIDAgQCBQIGAgcCCAIJAicCCwKOAg0CCAIIAggCCAIIAggCCAIIAggCCAIIAggCCAIIAggCCAIIAh8CAwKdAh4AAukCAgJFAgQCBQIGAgcCCAIJAo0CCwKOAg0CCAIIAggCCAIIAggCCAIIAggCCAIIAggCCAIIAggCCAIIAh8CAwIxAh4AAukCAgIgAgQCBQIGAgcCCAIJAo0CCwKOAg0CCAIIAggCCAIIAggCCAIIAggCCAIIAggCCAIIAggCCAIIAh8CAwKcAh4AAukCAgIgAgQCBQIGAgcCCAIJAhwCCwKOAg0CCAIIAggCCAIIAggCCAIIAggCCAIIAggCCAIIAggCCAIIAh8CAwLTAh4AAukCAgJFAgQCBQIGAgcCCAIJAhwCCwKOAg0CCAIIAggCCAIIAggCCAIIAggCCAIIAggCCAIIAggCCAIIAh8CAwKmAh4AAukCAgIrAgQCBQIGAgcCCAIJAhwCCwKOAg0CCAIIAggCCAIIAggCCAIIAggCCAIIAggCCAIIAggCCAIIAh8CAwKkAh4AAukCAgJNAgQCBQIGAgcCCAIJAicCCwKOAg0CCAIIAggCCAIIAggCCAIIAggCCAIIAggCCAIIAggCCAIIAh8CAwKwAh4AAukCAgJLAgQCBQIGAgcCCAIJAhwCCwKOAg0CCAIIAggCCAIIAggCCAIIAggCCAIIAggCCAIIAggCCAIIAh8CAwLVAh4AAukCAgIpAgQCBQIGAgcCCAIJAicCCwKOAg0CCAIIAggCCAIIAggCCAIIAggCCAIIAggCCAIIAggCCAIIAh8CAwKpAh4AAukCAgJPAgQCBQIGAgcCCAIJAo0CCwKOAg0CCAIIAggCCAIIAggCCAIIAggCCAIIAggCCAIIAggCCAIIAh8CAwLYAh4AAukCAgJLAgQCBQIGAgcCCAIJAo0CCwKOAg0CCAIIAggCCAIIAggCCAIIAggCCAIIAggCCAIIAggCCAIIAh8CAwKqAh4AAukCAgIrAgQCBQIGAgcCCAIJAo0CCwKOAg0CCAIIAggCCAIIAggCCAIIAggCCAIIAggCCAIIAggCCAIIAh8CAwIxAh4AAukCAgIbAgQCBQIGAgcCCAIJAhwCCwKOAg0CCAIIAggCCAIIAggCCAIIAggCCAIIAggCCAIIAggCCAIIAh8CAwLUAh4AAukCAgJSAgQCBQIGAgcCCAIJAo0CCwKOAg0CCAIIAggCCAIIAggCCAIIAggCCAIIAnoAAAQACAIIAggCCAIIAggCHwIDAqcCHgAC6QICAhsCBAIFAgYCBwIIAgkCjQILAo4CDQIIAggCCAIIAggCCAIIAggCCAIIAggCCAIIAggCCAIIAggCHwIDAqgCHgAC6QICAlgCBAIFAgYCBwIIAgkCJwILAo4CDQIIAggCCAIIAggCCAIIAggCCAIIAggCCAIIAggCCAIIAggCHwIDAtcCHgAC6gAJODQ1NjQzOTQ0AgICIgIEAgUCBgIHAggCCQInAgsCjgINAggCCAIIAggCCAIIAggCCAIIAggCCAIIAggCCAIIAggCCAIhAgMC0AIeAALqAgICMAIEAgUCBgIHAggCCQInAgsCjgINAggCCAIIAggCCAIIAggCCAIIAggCCAIIAggCCAIIAggCCAIhAgMCygIeAALqAgICJAIEAgUCBgIHAggCCQInAgsCjgINAggCCAIIAggCCAIIAggCCAIIAggCCAIIAggCCAIIAggCCAIhAgMCoAIeAALqAgICWQIEAgUCBgIHAggCCQIcAgsCjgINAggCCAIIAggCCAIIAggCCAIIAggCCAIIAggCCAIIAggCCAIhAgMCuAIeAALqAgICMwIEAgUCBgIHAggCCQInAgsCjgINAggCCAIIAggCCAIIAggCCAIIAggCCAIIAggCCAIIAggCCAIhAgMCugIeAALqAgICWQIEAgUCBgIHAggCCQKNAgsCjgINAggCCAIIAggCCAIIAggCCAIIAggCCAIIAggCCAIIAggCCAIhAgMC4QIeAALqAgICAwIEAgUCBgIHAggCCQIcAgsCjgINAggCCAIIAggCCAIIAggCCAIIAggCCAIIAggCCAIIAggCCAIhAgMCmAIeAALqAgICSAIEAgUCBgIHAggCCQKNAgsCjgINAggCCAIIAggCCAIIAggCCAIIAggCCAIIAggCCAIIAggCCAIhAgMCzAIeAALqAgICHgIEAgUCBgIHAggCCQKNAgsCjgINAggCCAIIAggCCAIIAggCCAIIAggCCAIIAggCCAIIAggCCAIhAgMCmgIeAALqAgICGwIEAgUCBgIHAggCCQInAgsCjgINAggCCAIIAggCCAIIAggCCAIIAggCCAIIAggCCAIIAggCCAIhAgMCywIeAALqAgICKwIEAgUCBgIHAggCCQInAgsCjgINAggCCAIIAggCCAIIAggCCAIIAggCCAIIAggCCAIIAggCCAIhAgMClwIeAALqAgICLQIEAgUCBgIHAggCCQInAgsCjgINAggCCAIIAggCCAIIAggCCAIIAggCCAIIAggCCAIIAggCCAIhAgMCyAIeAALqAgICAwIEAgUCBgIHAggCCQKNAgsCjgINAnoAAAQACAIIAggCCAIIAggCCAIIAggCCAIIAggCCAIIAggCCAIIAiECAwLOAh4AAuoCAgJIAgQCBQIGAgcCCAIJAhwCCwKOAg0CCAIIAggCCAIIAggCCAIIAggCCAIIAggCCAIIAggCCAIIAiECAwKZAh4AAuoCAgIeAgQCBQIGAgcCCAIJAhwCCwKOAg0CCAIIAggCCAIIAggCCAIIAggCCAIIAggCCAIIAggCCAIIAiECAwLJAh4AAuoCAgI6AgQCBQIGAgcCCAIJAicCCwKOAg0CCAIIAggCCAIIAggCCAIIAggCCAIIAggCCAIIAggCCAIIAiECAwKUAh4AAuoCAgI/AgQCBQIGAgcCCAIJAicCCwKOAg0CCAIIAggCCAIIAggCCAIIAggCCAIIAggCCAIIAggCCAIIAiECAwKPAh4AAuoCAgI1AgQCBQIGAgcCCAIJAhwCCwKOAg0CCAIIAggCCAIIAggCCAIIAggCCAIIAggCCAIIAggCCAIIAiECAwKuAh4AAuoCAgI1AgQCBQIGAgcCCAIJAo0CCwKOAg0CCAIIAggCCAIIAggCCAIIAggCCAIIAggCCAIIAggCCAIIAiECAwIxAh4AAuoCAgI9AgQCBQIGAgcCCAIJAo0CCwKOAg0CCAIIAggCCAIIAggCCAIIAggCCAIIAggCCAIIAggCCAIIAiECAwKyAh4AAuoCAgIgAgQCBQIGAgcCCAIJAicCCwKOAg0CCAIIAggCCAIIAggCCAIIAggCCAIIAggCCAIIAggCCAIIAiECAwLBAh4AAuoCAgIzAgQCBQIGAgcCCAIJAo0CCwKOAg0CCAIIAggCCAIIAggCCAIIAggCCAIIAggCCAIIAggCCAIIAiECAwLEAh4AAuoCAgIzAgQCBQIGAgcCCAIJAhwCCwKOAg0CCAIIAggCCAIIAggCCAIIAggCCAIIAggCCAIIAggCCAIIAiECAwKSAh4AAuoCAgIwAgQCBQIGAgcCCAIJAhwCCwKOAg0CCAIIAggCCAIIAggCCAIIAggCCAIIAggCCAIIAggCCAIIAiECAwLGAh4AAuoCAgIwAgQCBQIGAgcCCAIJAo0CCwKOAg0CCAIIAggCCAIIAggCCAIIAggCCAIIAggCCAIIAggCCAIIAiECAwIxAh4AAuoCAgJNAgQCBQIGAgcCCAIJAhwCCwKOAg0CCAIIAggCCAIIAggCCAIIAggCCAIIAggCCAIIAggCCAIIAiECAwK8Ah4AAuoCAgJBAgQCBQIGAgcCCAIJAo0CCwKOAg0CCAIIAggCCAIIAggCCAIIAggCCAIIAggCCAIIAggCCAIIAiECAwLaAh4AAuoCAgJNAgQCBQIGAgcCCHoAAAQAAgkCjQILAo4CDQIIAggCCAIIAggCCAIIAggCCAIIAggCCAIIAggCCAIIAggCIQIDAuMCHgAC6gICAkECBAIFAgYCBwIIAgkCHAILAo4CDQIIAggCCAIIAggCCAIIAggCCAIIAggCCAIIAggCCAIIAggCIQIDArMCHgAC6gICAkgCBAIFAgYCBwIIAgkCJwILAo4CDQIIAggCCAIIAggCCAIIAggCCAIIAggCCAIIAggCCAIIAggCIQIDAucCHgAC6gICAh4CBAIFAgYCBwIIAgkCJwILAo4CDQIIAggCCAIIAggCCAIIAggCCAIIAggCCAIIAggCCAIIAggCIQIDAr4CHgAC6gICAi0CBAIFAgYCBwIIAgkCjQILAo4CDQIIAggCCAIIAggCCAIIAggCCAIIAggCCAIIAggCCAIIAggCIQIDAsACHgAC6gICAjoCBAIFAgYCBwIIAgkCjQILAo4CDQIIAggCCAIIAggCCAIIAggCCAIIAggCCAIIAggCCAIIAggCIQIDAuUCHgAC6gICAi0CBAIFAgYCBwIIAgkCHAILAo4CDQIIAggCCAIIAggCCAIIAggCCAIIAggCCAIIAggCCAIIAggCIQIDAuYCHgAC6gICAjoCBAIFAgYCBwIIAgkCHAILAo4CDQIIAggCCAIIAggCCAIIAggCCAIIAggCCAIIAggCCAIIAggCIQIDAr8CHgAC6gICAikCBAIFAgYCBwIIAgkCHAILAo4CDQIIAggCCAIIAggCCAIIAggCCAIIAggCCAIIAggCCAIIAggCIQIDAt0CHgAC6gICAiYCBAIFAgYCBwIIAgkCHAILAo4CDQIIAggCCAIIAggCCAIIAggCCAIIAggCCAIIAggCCAIIAggCIQIDArYCHgAC6gICAlICBAIFAgYCBwIIAgkCJwILAo4CDQIIAggCCAIIAggCCAIIAggCCAIIAggCCAIIAggCCAIIAggCIQIDAtwCHgAC6gICAjgCBAIFAgYCBwIIAgkCjQILAo4CDQIIAggCCAIIAggCCAIIAggCCAIIAggCCAIIAggCCAIIAggCIQIDArsCHgAC6gICAk8CBAIFAgYCBwIIAgkCJwILAo4CDQIIAggCCAIIAggCCAIIAggCCAIIAggCCAIIAggCCAIIAggCIQIDArUCHgAC6gICAjgCBAIFAgYCBwIIAgkCHAILAo4CDQIIAggCCAIIAggCCAIIAggCCAIIAggCCAIIAggCCAIIAggCIQIDAuACHgAC6gICAiACBAIFAgYCBwIIAgkCjQILAo4CDQIIAggCCAIIAggCCAIIAggCCAIIAggCCAIIAggCCAIIAggCIQIDApwCHgAC6gICAnoAAAQAPQIEAgUCBgIHAggCCQInAgsCjgINAggCCAIIAggCCAIIAggCCAIIAggCCAIIAggCCAIIAggCCAIhAgMC4gIeAALqAgICPwIEAgUCBgIHAggCCQKNAgsCjgINAggCCAIIAggCCAIIAggCCAIIAggCCAIIAggCCAIIAggCCAIhAgMCzwIeAALqAgICPQIEAgUCBgIHAggCCQIcAgsCjgINAggCCAIIAggCCAIIAggCCAIIAggCCAIIAggCCAIIAggCCAIhAgMC2wIeAALqAgICIAIEAgUCBgIHAggCCQIcAgsCjgINAggCCAIIAggCCAIIAggCCAIIAggCCAIIAggCCAIIAggCCAIhAgMC0wIeAALqAgICPwIEAgUCBgIHAggCCQIcAgsCjgINAggCCAIIAggCCAIIAggCCAIIAggCCAIIAggCCAIIAggCCAIhAgMCoQIeAALqAgICRQIEAgUCBgIHAggCCQInAgsCjgINAggCCAIIAggCCAIIAggCCAIIAggCCAIIAggCCAIIAggCCAIhAgMCsQIeAALqAgICSwIEAgUCBgIHAggCCQInAgsCjgINAggCCAIIAggCCAIIAggCCAIIAggCCAIIAggCCAIIAggCCAIhAgMC2QIeAALqAgICQQIEAgUCBgIHAggCCQInAgsCjgINAggCCAIIAggCCAIIAggCCAIIAggCCAIIAggCCAIIAggCCAIhAgMCuQIeAALqAgICJgIEAgUCBgIHAggCCQKNAgsCjgINAggCCAIIAggCCAIIAggCCAIIAggCCAIIAggCCAIIAggCCAIhAgMC3gIeAALqAgICKQIEAgUCBgIHAggCCQKNAgsCjgINAggCCAIIAggCCAIIAggCCAIIAggCCAIIAggCCAIIAggCCAIhAgMCtAIeAALqAgICNQIEAgUCBgIHAggCCQInAgsCjgINAggCCAIIAggCCAIIAggCCAIIAggCCAIIAggCCAIIAggCCAIhAgMCtwIeAALqAgICOAIEAgUCBgIHAggCCQInAgsCjgINAggCCAIIAggCCAIIAggCCAIIAggCCAIIAggCCAIIAggCCAIhAgMCkwIeAALqAgICIgIEAgUCBgIHAggCCQKNAgsCjgINAggCCAIIAggCCAIIAggCCAIIAggCCAIIAggCCAIIAggCCAIhAgMCkAIeAALqAgICJgIEAgUCBgIHAggCCQInAgsCjgINAggCCAIIAggCCAIIAggCCAIIAggCCAIIAggCCAIIAggCCAIhAgMC1gIeAALqAgICWQIEAgUCBgIHAggCCQInAgsCjgINAggCCAIIAggCCAIIAggCCAIIAggCCAIIAggCCAIIAggCCAIhAnoAAAQAAwKvAh4AAuoCAgIkAgQCBQIGAgcCCAIJAhwCCwKOAg0CCAIIAggCCAIIAggCCAIIAggCCAIIAggCCAIIAggCCAIIAiECAwKRAh4AAuoCAgIkAgQCBQIGAgcCCAIJAo0CCwKOAg0CCAIIAggCCAIIAggCCAIIAggCCAIIAggCCAIIAggCCAIIAiECAwLFAh4AAuoCAgIiAgQCBQIGAgcCCAIJAhwCCwKOAg0CCAIIAggCCAIIAggCCAIIAggCCAIIAggCCAIIAggCCAIIAiECAwLHAh4AAuoCAgIbAgQCBQIGAgcCCAIJAo0CCwKOAg0CCAIIAggCCAIIAggCCAIIAggCCAIIAggCCAIIAggCCAIIAiECAwKoAh4AAuoCAgJNAgQCBQIGAgcCCAIJAicCCwKOAg0CCAIIAggCCAIIAggCCAIIAggCCAIIAggCCAIIAggCCAIIAiECAwKwAh4AAuoCAgJFAgQCBQIGAgcCCAIJAo0CCwKOAg0CCAIIAggCCAIIAggCCAIIAggCCAIIAggCCAIIAggCCAIIAiECAwIxAh4AAuoCAgIDAgQCBQIGAgcCCAIJAicCCwKOAg0CCAIIAggCCAIIAggCCAIIAggCCAIIAggCCAIIAggCCAIIAiECAwKdAh4AAuoCAgJFAgQCBQIGAgcCCAIJAhwCCwKOAg0CCAIIAggCCAIIAggCCAIIAggCCAIIAggCCAIIAggCCAIIAiECAwKmAh4AAuoCAgIpAgQCBQIGAgcCCAIJAicCCwKOAg0CCAIIAggCCAIIAggCCAIIAggCCAIIAggCCAIIAggCCAIIAiECAwKpAh4AAuoCAgJPAgQCBQIGAgcCCAIJAo0CCwKOAg0CCAIIAggCCAIIAggCCAIIAggCCAIIAggCCAIIAggCCAIIAiECAwLYAh4AAuoCAgIrAgQCBQIGAgcCCAIJAo0CCwKOAg0CCAIIAggCCAIIAggCCAIIAggCCAIIAggCCAIIAggCCAIIAiECAwIxAh4AAuoCAgJSAgQCBQIGAgcCCAIJAhwCCwKOAg0CCAIIAggCCAIIAggCCAIIAggCCAIIAggCCAIIAggCCAIIAiECAwKrAh4AAuoCAgJPAgQCBQIGAgcCCAIJAhwCCwKOAg0CCAIIAggCCAIIAggCCAIIAggCCAIIAggCCAIIAggCCAIIAiECAwKsAh4AAuoCAgJSAgQCBQIGAgcCCAIJAo0CCwKOAg0CCAIIAggCCAIIAggCCAIIAggCCAIIAggCCAIIAggCCAIIAiECAwKnAh4AAuoCAgJLAgQCBQIGAgcCCAIJAhwCCwKOAg0CCAIIAggCCAIIAggCCAIIAggCCAIIAggCCHoAAAQAAggCCAIIAggCIQIDAtUCHgAC6gICAhsCBAIFAgYCBwIIAgkCHAILAo4CDQIIAggCCAIIAggCCAIIAggCCAIIAggCCAIIAggCCAIIAggCIQIDAtQCHgAC6gICAksCBAIFAgYCBwIIAgkCjQILAo4CDQIIAggCCAIIAggCCAIIAggCCAIIAggCCAIIAggCCAIIAggCIQIDAqoCHgAC6gICAisCBAIFAgYCBwIIAgkCHAILAo4CDQIIAggCCAIIAggCCAIIAggCCAIIAggCCAIIAggCCAIIAggCIQIDAqQCHgAC6wAJNTgwMTMxOTg0AgICIAIEAgUCBgIHAggCCQInAgsCjgINAggCCAIIAggCCAIIAggCCAIIAggCCAIIAggCCAIIAggCCAIZAgMCwQIeAALrAgICPwIEAgUCBgIHAggCCQInAgsCjgINAggCCAIIAggCCAIIAggCCAIIAggCCAIIAggCCAIIAggCCAIZAgMCjwIeAALrAgICAwIEAgUCBgIHAggCCQKNAgsCjgINAggCCAIIAggCCAIIAggCCAIIAggCCAIIAggCCAIIAggCCAIZAgMCzgIeAALrAgICMAIEAgUCBgIHAggCCQIcAgsCjgINAggCCAIIAggCCAIIAggCCAIIAggCCAIIAggCCAIIAggCCAIZAgMCxgIeAALrAgICJAIEAgUCBgIHAggCCQIcAgsCjgINAggCCAIIAggCCAIIAggCCAIIAggCCAIIAggCCAIIAggCCAIZAgMCkQIeAALrAgIChAIEAgUCBgIHAggCCQIcAgsCjgINAggCCAIIAggCCAIIAggCCAIIAggCCAIIAggCCAIIAggCCAIZAgMCwwIeAALrAgIChAIEAgUCBgIHAggCCQKNAgsCjgINAggCCAIIAggCCAIIAggCCAIIAggCCAIIAggCCAIIAggCCAIZAgMCMQIeAALrAgICGwIEAgUCBgIHAggCCQInAgsCjgINAggCCAIIAggCCAIIAggCCAIIAggCCAIIAggCCAIIAggCCAIZAgMCywIeAALrAgICAwIEAgUCBgIHAggCCQIcAgsCjgINAggCCAIIAggCCAIIAggCCAIIAggCCAIIAggCCAIIAggCCAIZAgMCmAIeAALrAgICHgIEAgUCBgIHAggCCQKNAgsCjgINAggCCAIIAggCCAIIAggCCAIIAggCCAIIAggCCAIIAggCCAIZAgMCmgIeAALrAgICOgIEAgUCBgIHAggCCQIcAgsCjgINAggCCAIIAggCCAIIAggCCAIIAggCCAIIAggCCAIIAggCCAIZAgMCvwIeAALrAgICSAIEAgUCBgIHAggCCQKNAgsCjgINAggCCHoAAAQAAggCCAIIAggCCAIIAggCCAIIAggCCAIIAggCCAIIAhkCAwLMAh4AAusCAgIrAgQCBQIGAgcCCAIJAhwCCwKOAg0CCAIIAggCCAIIAggCCAIIAggCCAIIAggCCAIIAggCCAIIAhkCAwKkAh4AAusCAgItAgQCBQIGAgcCCAIJAo0CCwKOAg0CCAIIAggCCAIIAggCCAIIAggCCAIIAggCCAIIAggCCAIIAhkCAwLAAh4AAusCAgIwAgQCBQIGAgcCCAIJAicCCwKOAg0CCAIIAggCCAIIAggCCAIIAggCCAIIAggCCAIIAggCCAIIAhkCAwLKAh4AAusCAgImAgQCBQIGAgcCCAIJAicCCwKOAg0CCAIIAggCCAIIAggCCAIIAggCCAIIAggCCAIIAggCCAIIAhkCAwLWAh4AAusCAgKCAgQCBQIGAgcCCAIJAhwCCwKOAg0CCAIIAggCCAIIAggCCAIIAggCCAIIAggCCAIIAggCCAIIAhkCAwK9Ah4AAusCAgIpAgQCBQIGAgcCCAIJAicCCwKOAg0CCAIIAggCCAIIAggCCAIIAggCCAIIAggCCAIIAggCCAIIAhkCAwKpAh4AAusCAgItAgQCBQIGAgcCCAIJAhwCCwKOAg0CCAIIAggCCAIIAggCCAIIAggCCAIIAggCCAIIAggCCAIIAhkCAwLmAh4AAusCAgJYAgQCBQIGAgcCCAIJAo0CCwKOAg0CCAIIAggCCAIIAggCCAIIAggCCAIIAggCCAIIAggCCAIIAhkCAwIxAh4AAusCAgKCAgQCBQIGAgcCCAIJAo0CCwKOAg0CCAIIAggCCAIIAggCCAIIAggCCAIIAggCCAIIAggCCAIIAhkCAwIxAh4AAusCAgIgAgQCBQIGAgcCCAIJAhwCCwKOAg0CCAIIAggCCAIIAggCCAIIAggCCAIIAggCCAIIAggCCAIIAhkCAwLTAh4AAusCAgI/AgQCBQIGAgcCCAIJAhwCCwKOAg0CCAIIAggCCAIIAggCCAIIAggCCAIIAggCCAIIAggCCAIIAhkCAwKhAh4AAusCAgIzAgQCBQIGAgcCCAIJAicCCwKOAg0CCAIIAggCCAIIAggCCAIIAggCCAIIAggCCAIIAggCCAIIAhkCAwK6Ah4AAusCAgJZAgQCBQIGAgcCCAIJAo0CCwKOAg0CCAIIAggCCAIIAggCCAIIAggCCAIIAggCCAIIAggCCAIIAhkCAwLhAh4AAusCAgI/AgQCBQIGAgcCCAIJAo0CCwKOAg0CCAIIAggCCAIIAggCCAIIAggCCAIIAggCCAIIAggCCAIIAhkCAwLPAh4AAusCAgIiAgQCBQIGAgcCCAIJAnoAAAQAJwILAo4CDQIIAggCCAIIAggCCAIIAggCCAIIAggCCAIIAggCCAIIAggCGQIDAtACHgAC6wICAiQCBAIFAgYCBwIIAgkCJwILAo4CDQIIAggCCAIIAggCCAIIAggCCAIIAggCCAIIAggCCAIIAggCGQIDAqACHgAC6wICAlICBAIFAgYCBwIIAgkCJwILAo4CDQIIAggCCAIIAggCCAIIAggCCAIIAggCCAIIAggCCAIIAggCGQIDAtwCHgAC6wICAoQCBAIFAgYCBwIIAgkCJwILAo4CDQIIAggCCAIIAggCCAIIAggCCAIIAggCCAIIAggCCAIIAggCGQIDAtECHgAC6wICAkgCBAIFAgYCBwIIAgkCHAILAo4CDQIIAggCCAIIAggCCAIIAggCCAIIAggCCAIIAggCCAIIAggCGQIDApkCHgAC6wICAjoCBAIFAgYCBwIIAgkCjQILAo4CDQIIAggCCAIIAggCCAIIAggCCAIIAggCCAIIAggCCAIIAggCGQIDAuUCHgAC6wICAoACBAIFAgYCBwIIAgkCHAILAo4CDQIIAggCCAIIAggCCAIIAggCCAIIAggCCAIIAggCCAIIAggCGQIDApYCHgAC6wICAh4CBAIFAgYCBwIIAgkCHAILAo4CDQIIAggCCAIIAggCCAIIAggCCAIIAggCCAIIAggCCAIIAggCGQIDAskCHgAC6wICAkECBAIFAgYCBwIIAgkCHAILAo4CDQIIAggCCAIIAggCCAIIAggCCAIIAggCCAIIAggCCAIIAggCGQIDArMCHgAC6wICAjUCBAIFAgYCBwIIAgkCjQILAo4CDQIIAggCCAIIAggCCAIIAggCCAIIAggCCAIIAggCCAIIAggCGQIDAjECHgAC6wICAoACBAIFAgYCBwIIAgkCjQILAo4CDQIIAggCCAIIAggCCAIIAggCCAIIAggCCAIIAggCCAIIAggCGQIDAjECHgAC6wICAk8CBAIFAgYCBwIIAgkCJwILAo4CDQIIAggCCAIIAggCCAIIAggCCAIIAggCCAIIAggCCAIIAggCGQIDArUCHgAC6wICAisCBAIFAgYCBwIIAgkCJwILAo4CDQIIAggCCAIIAggCCAIIAggCCAIIAggCCAIIAggCCAIIAggCGQIDApcCHgAC6wICAksCBAIFAgYCBwIIAgkCJwILAo4CDQIIAggCCAIIAggCCAIIAggCCAIIAggCCAIIAggCCAIIAggCGQIDAtkCHgAC6wICAjACBAIFAgYCBwIIAgkCjQILAo4CDQIIAggCCAIIAggCCAIIAggCCAIIAggCCAIIAggCCAIIAggCGQIDAjECHgAC6wICAjMCBHoAAAQAAgUCBgIHAggCCQIcAgsCjgINAggCCAIIAggCCAIIAggCCAIIAggCCAIIAggCCAIIAggCCAIZAgMCkgIeAALrAgICMwIEAgUCBgIHAggCCQKNAgsCjgINAggCCAIIAggCCAIIAggCCAIIAggCCAIIAggCCAIIAggCCAIZAgMCxAIeAALrAgICPQIEAgUCBgIHAggCCQIcAgsCjgINAggCCAIIAggCCAIIAggCCAIIAggCCAIIAggCCAIIAggCCAIZAgMC2wIeAALrAgICRQIEAgUCBgIHAggCCQInAgsCjgINAggCCAIIAggCCAIIAggCCAIIAggCCAIIAggCCAIIAggCCAIZAgMCsQIeAALrAgICPQIEAgUCBgIHAggCCQKNAgsCjgINAggCCAIIAggCCAIIAggCCAIIAggCCAIIAggCCAIIAggCCAIZAgMCsgIeAALrAgICQQIEAgUCBgIHAggCCQKNAgsCjgINAggCCAIIAggCCAIIAggCCAIIAggCCAIIAggCCAIIAggCCAIZAgMC2gIeAALrAgICTwIEAgUCBgIHAggCCQIcAgsCjgINAggCCAIIAggCCAIIAggCCAIIAggCCAIIAggCCAIIAggCCAIZAgMCrAIeAALrAgICNQIEAgUCBgIHAggCCQIcAgsCjgINAggCCAIIAggCCAIIAggCCAIIAggCCAIIAggCCAIIAggCCAIZAgMCrgIeAALrAgICWAIEAgUCBgIHAggCCQInAgsCjgINAggCCAIIAggCCAIIAggCCAIIAggCCAIIAggCCAIIAggCCAIZAgMC1wIeAALrAgICWQIEAgUCBgIHAggCCQInAgsCjgINAggCCAIIAggCCAIIAggCCAIIAggCCAIIAggCCAIIAggCCAIZAgMCrwIeAALrAgICTwIEAgUCBgIHAggCCQKNAgsCjgINAggCCAIIAggCCAIIAggCCAIIAggCCAIIAggCCAIIAggCCAIZAgMC2AIeAALrAgICUgIEAgUCBgIHAggCCQIcAgsCjgINAggCCAIIAggCCAIIAggCCAIIAggCCAIIAggCCAIIAggCCAIZAgMCqwIeAALrAgICUgIEAgUCBgIHAggCCQKNAgsCjgINAggCCAIIAggCCAIIAggCCAIIAggCCAIIAggCCAIIAggCCAIZAgMCpwIeAALrAgICTQIEAgUCBgIHAggCCQIcAgsCjgINAggCCAIIAggCCAIIAggCCAIIAggCCAIIAggCCAIIAggCCAIZAgMCvAIeAALrAgICSAIEAgUCBgIHAggCCQInAgsCjgINAggCCAIIAggCCAIIAggCCAIIAggCCAIIAggCCAIIAggCCAIZAgMC53oAAAQAAh4AAusCAgJFAgQCBQIGAgcCCAIJAhwCCwKOAg0CCAIIAggCCAIIAggCCAIIAggCCAIIAggCCAIIAggCCAIIAhkCAwKmAh4AAusCAgJLAgQCBQIGAgcCCAIJAhwCCwKOAg0CCAIIAggCCAIIAggCCAIIAggCCAIIAggCCAIIAggCCAIIAhkCAwLVAh4AAusCAgI4AgQCBQIGAgcCCAIJAo0CCwKOAg0CCAIIAggCCAIIAggCCAIIAggCCAIIAggCCAIIAggCCAIIAhkCAwK7Ah4AAusCAgIeAgQCBQIGAgcCCAIJAicCCwKOAg0CCAIIAggCCAIIAggCCAIIAggCCAIIAggCCAIIAggCCAIIAhkCAwK+Ah4AAusCAgKAAgQCBQIGAgcCCAIJAicCCwKOAg0CCAIIAggCCAIIAggCCAIIAggCCAIIAggCCAIIAggCCAIIAhkCAwLkAh4AAusCAgJNAgQCBQIGAgcCCAIJAo0CCwKOAg0CCAIIAggCCAIIAggCCAIIAggCCAIIAggCCAIIAggCCAIIAhkCAwLjAh4AAusCAgIgAgQCBQIGAgcCCAIJAo0CCwKOAg0CCAIIAggCCAIIAggCCAIIAggCCAIIAggCCAIIAggCCAIIAhkCAwKcAh4AAusCAgI4AgQCBQIGAgcCCAIJAhwCCwKOAg0CCAIIAggCCAIIAggCCAIIAggCCAIIAggCCAIIAggCCAIIAhkCAwLgAh4AAusCAgJZAgQCBQIGAgcCCAIJAhwCCwKOAg0CCAIIAggCCAIIAggCCAIIAggCCAIIAggCCAIIAggCCAIIAhkCAwK4Ah4AAusCAgJYAgQCBQIGAgcCCAIJAhwCCwKOAg0CCAIIAggCCAIIAggCCAIIAggCCAIIAggCCAIIAggCCAIIAhkCAwLfAh4AAusCAgI9AgQCBQIGAgcCCAIJAicCCwKOAg0CCAIIAggCCAIIAggCCAIIAggCCAIIAggCCAIIAggCCAIIAhkCAwLiAh4AAusCAgIDAgQCBQIGAgcCCAIJAicCCwKOAg0CCAIIAggCCAIIAggCCAIIAggCCAIIAggCCAIIAggCCAIIAhkCAwKdAh4AAusCAgJBAgQCBQIGAgcCCAIJAicCCwKOAg0CCAIIAggCCAIIAggCCAIIAggCCAIIAggCCAIIAggCCAIIAhkCAwK5Ah4AAusCAgJFAgQCBQIGAgcCCAIJAo0CCwKOAg0CCAIIAggCCAIIAggCCAIIAggCCAIIAggCCAIIAggCCAIIAhkCAwIxAh4AAusCAgImAgQCBQIGAgcCCAIJAhwCCwKOAg0CCAIIAggCCAIIAggCCAIIAggCCAIIAggCCAIIAnoAAAQACAIIAggCGQIDArYCHgAC6wICAisCBAIFAgYCBwIIAgkCjQILAo4CDQIIAggCCAIIAggCCAIIAggCCAIIAggCCAIIAggCCAIIAggCGQIDAjECHgAC6wICAksCBAIFAgYCBwIIAgkCjQILAo4CDQIIAggCCAIIAggCCAIIAggCCAIIAggCCAIIAggCCAIIAggCGQIDAqoCHgAC6wICAjUCBAIFAgYCBwIIAgkCJwILAo4CDQIIAggCCAIIAggCCAIIAggCCAIIAggCCAIIAggCCAIIAggCGQIDArcCHgAC6wICAhsCBAIFAgYCBwIIAgkCHAILAo4CDQIIAggCCAIIAggCCAIIAggCCAIIAggCCAIIAggCCAIIAggCGQIDAtQCHgAC6wICAhsCBAIFAgYCBwIIAgkCjQILAo4CDQIIAggCCAIIAggCCAIIAggCCAIIAggCCAIIAggCCAIIAggCGQIDAqgCHgAC6wICAikCBAIFAgYCBwIIAgkCHAILAo4CDQIIAggCCAIIAggCCAIIAggCCAIIAggCCAIIAggCCAIIAggCGQIDAt0CHgAC6wICAikCBAIFAgYCBwIIAgkCjQILAo4CDQIIAggCCAIIAggCCAIIAggCCAIIAggCCAIIAggCCAIIAggCGQIDArQCHgAC6wICAi0CBAIFAgYCBwIIAgkCJwILAo4CDQIIAggCCAIIAggCCAIIAggCCAIIAggCCAIIAggCCAIIAggCGQIDAsgCHgAC6wICAjoCBAIFAgYCBwIIAgkCJwILAo4CDQIIAggCCAIIAggCCAIIAggCCAIIAggCCAIIAggCCAIIAggCGQIDApQCHgAC6wICAiYCBAIFAgYCBwIIAgkCjQILAo4CDQIIAggCCAIIAggCCAIIAggCCAIIAggCCAIIAggCCAIIAggCGQIDAt4CHgAC6wICAk0CBAIFAgYCBwIIAgkCJwILAo4CDQIIAggCCAIIAggCCAIIAggCCAIIAggCCAIIAggCCAIIAggCGQIDArACHgAC6wICAjgCBAIFAgYCBwIIAgkCJwILAo4CDQIIAggCCAIIAggCCAIIAggCCAIIAggCCAIIAggCCAIIAggCGQIDApMCHgAC6wICAiQCBAIFAgYCBwIIAgkCjQILAo4CDQIIAggCCAIIAggCCAIIAggCCAIIAggCCAIIAggCCAIIAggCGQIDAsUCHgAC6wICAiICBAIFAgYCBwIIAgkCHAILAo4CDQIIAggCCAIIAggCCAIIAggCCAIIAggCCAIIAggCCAIIAggCGQIDAscCHgAC6wICAoICBAIFAgYCBwIIAgkCJwILAo4CDQIIAggCCAIIAggCCAIIAggCCHoAAAQAAggCCAIIAggCCAIIAggCCAIZAgMClQIeAALrAgICIgIEAgUCBgIHAggCCQKNAgsCjgINAggCCAIIAggCCAIIAggCCAIIAggCCAIIAggCCAIIAggCCAIZAgMCkAIeAALsAAoxMjE2MTQxMTI4AgICGwIEAgUCBgIHAggCCQIcAgsCjgINAggCCAIIAggCCAIIAggCCAIIAggCCAIIAggCCAIIAggCCAIdAgMC1AIeAALsAgICOgIEAgUCBgIHAggCCQKNAgsCjgINAggCCAIIAggCCAIIAggCCAIIAggCCAIIAggCCAIIAggCCAIdAgMC5QIeAALsAgICPwIEAgUCBgIHAggCCQIcAgsCjgINAggCCAIIAggCCAIIAggCCAIIAggCCAIIAggCCAIIAggCCAIdAgMCoQIeAALsAgICIAIEAgUCBgIHAggCCQIcAgsCjgINAggCCAIIAggCCAIIAggCCAIIAggCCAIIAggCCAIIAggCCAIdAgMC0wIeAALsAgICKwIEAgUCBgIHAggCCQKNAgsCjgINAggCCAIIAggCCAIIAggCCAIIAggCCAIIAggCCAIIAggCCAIdAgMCMQIeAALsAgICKwIEAgUCBgIHAggCCQIcAgsCjgINAggCCAIIAggCCAIIAggCCAIIAggCCAIIAggCCAIIAggCCAIdAgMCpAIeAALsAgICLQIEAgUCBgIHAggCCQKNAgsCjgINAggCCAIIAggCCAIIAggCCAIIAggCCAIIAggCCAIIAggCCAIdAgMCwAIeAALsAgICQQIEAgUCBgIHAggCCQInAgsCjgINAggCCAIIAggCCAIIAggCCAIIAggCCAIIAggCCAIIAggCCAIdAgMCuQIeAALsAgICPQIEAgUCBgIHAggCCQInAgsCjgINAggCCAIIAggCCAIIAggCCAIIAggCCAIIAggCCAIIAggCCAIdAgMC4gIeAALsAgICOgIEAgUCBgIHAggCCQIcAgsCjgINAggCCAIIAggCCAIIAggCCAIIAggCCAIIAggCCAIIAggCCAIdAgMCvwIeAALsAgICGwIEAgUCBgIHAggCCQKNAgsCjgINAggCCAIIAggCCAIIAggCCAIIAggCCAIIAggCCAIIAggCCAIdAgMCqAIeAALsAgICMwIEAgUCBgIHAggCCQIcAgsCjgINAggCCAIIAggCCAIIAggCCAIIAggCCAIIAggCCAIIAggCCAIdAgMCkgIeAALsAgICMAIEAgUCBgIHAggCCQIcAgsCjgINAggCCAIIAggCCAIIAggCCAIIAggCCAIIAggCCAIIAggCCAIdAgMCxgIeAALsAgICIgIEAgUCBgIHAggCCQKNAnoAAAQACwKOAg0CCAIIAggCCAIIAggCCAIIAggCCAIIAggCCAIIAggCCAIIAh0CAwKQAh4AAuwCAgIgAgQCBQIGAgcCCAIJAicCCwKOAg0CCAIIAggCCAIIAggCCAIIAggCCAIIAggCCAIIAggCCAIIAh0CAwLBAh4AAuwCAgIpAgQCBQIGAgcCCAIJAhwCCwKOAg0CCAIIAggCCAIIAggCCAIIAggCCAIIAggCCAIIAggCCAIIAh0CAwLdAh4AAuwCAgJSAgQCBQIGAgcCCAIJAicCCwKOAg0CCAIIAggCCAIIAggCCAIIAggCCAIIAggCCAIIAggCCAIIAh0CAwLcAh4AAuwCAgI4AgQCBQIGAgcCCAIJAicCCwKOAg0CCAIIAggCCAIIAggCCAIIAggCCAIIAggCCAIIAggCCAIIAh0CAwKTAh4AAuwCAgImAgQCBQIGAgcCCAIJAhwCCwKOAg0CCAIIAggCCAIIAggCCAIIAggCCAIIAggCCAIIAggCCAIIAh0CAwK2Ah4AAuwCAgIDAgQCBQIGAgcCCAIJAo0CCwKOAg0CCAIIAggCCAIIAggCCAIIAggCCAIIAggCCAIIAggCCAIIAh0CAwLOAh4AAuwCAgIkAgQCBQIGAgcCCAIJAo0CCwKOAg0CCAIIAggCCAIIAggCCAIIAggCCAIIAggCCAIIAggCCAIIAh0CAwLFAh4AAuwCAgIwAgQCBQIGAgcCCAIJAo0CCwKOAg0CCAIIAggCCAIIAggCCAIIAggCCAIIAggCCAIIAggCCAIIAh0CAwIxAh4AAuwCAgIzAgQCBQIGAgcCCAIJAo0CCwKOAg0CCAIIAggCCAIIAggCCAIIAggCCAIIAggCCAIIAggCCAIIAh0CAwLEAh4AAuwCAgIiAgQCBQIGAgcCCAIJAhwCCwKOAg0CCAIIAggCCAIIAggCCAIIAggCCAIIAggCCAIIAggCCAIIAh0CAwLHAh4AAuwCAgKAAgQCBQIGAgcCCAIJAo0CCwKOAg0CCAIIAggCCAIIAggCCAIIAggCCAIIAggCCAIIAggCCAIIAh0CAwIxAh4AAuwCAgIrAgQCBQIGAgcCCAIJAicCCwKOAg0CCAIIAggCCAIIAggCCAIIAggCCAIIAggCCAIIAggCCAIIAh0CAwKXAh4AAuwCAgJPAgQCBQIGAgcCCAIJAicCCwKOAg0CCAIIAggCCAIIAggCCAIIAggCCAIIAggCCAIIAggCCAIIAh0CAwK1Ah4AAuwCAgJIAgQCBQIGAgcCCAIJAo0CCwKOAg0CCAIIAggCCAIIAggCCAIIAggCCAIIAggCCAIIAggCCAIIAh0CAwLMAh4AAuwCAgJNAgQCBXoAAAQAAgYCBwIIAgkCJwILAo4CDQIIAggCCAIIAggCCAIIAggCCAIIAggCCAIIAggCCAIIAggCHQIDArACHgAC7AICAhsCBAIFAgYCBwIIAgkCJwILAo4CDQIIAggCCAIIAggCCAIIAggCCAIIAggCCAIIAggCCAIIAggCHQIDAssCHgAC7AICAkgCBAIFAgYCBwIIAgkCHAILAo4CDQIIAggCCAIIAggCCAIIAggCCAIIAggCCAIIAggCCAIIAggCHQIDApkCHgAC7AICAh4CBAIFAgYCBwIIAgkCHAILAo4CDQIIAggCCAIIAggCCAIIAggCCAIIAggCCAIIAggCCAIIAggCHQIDAskCHgAC7AICAh4CBAIFAgYCBwIIAgkCjQILAo4CDQIIAggCCAIIAggCCAIIAggCCAIIAggCCAIIAggCCAIIAggCHQIDApoCHgAC7AICAiQCBAIFAgYCBwIIAgkCHAILAo4CDQIIAggCCAIIAggCCAIIAggCCAIIAggCCAIIAggCCAIIAggCHQIDApECHgAC7AICAiQCBAIFAgYCBwIIAgkCJwILAo4CDQIIAggCCAIIAggCCAIIAggCCAIIAggCCAIIAggCCAIIAggCHQIDAqACHgAC7AICAiICBAIFAgYCBwIIAgkCJwILAo4CDQIIAggCCAIIAggCCAIIAggCCAIIAggCCAIIAggCCAIIAggCHQIDAtACHgAC7AICAlICBAIFAgYCBwIIAgkCHAILAo4CDQIIAggCCAIIAggCCAIIAggCCAIIAggCCAIIAggCCAIIAggCHQIDAqsCHgAC7AICAk8CBAIFAgYCBwIIAgkCHAILAo4CDQIIAggCCAIIAggCCAIIAggCCAIIAggCCAIIAggCCAIIAggCHQIDAqwCHgAC7AICAiACBAIFAgYCBwIIAgkCjQILAo4CDQIIAggCCAIIAggCCAIIAggCCAIIAggCCAIIAggCCAIIAggCHQIDApwCHgAC7AICAk8CBAIFAgYCBwIIAgkCjQILAo4CDQIIAggCCAIIAggCCAIIAggCCAIIAggCCAIIAggCCAIIAggCHQIDAtgCHgAC7AICAj8CBAIFAgYCBwIIAgkCjQILAo4CDQIIAggCCAIIAggCCAIIAggCCAIIAggCCAIIAggCCAIIAggCHQIDAs8CHgAC7AICAkUCBAIFAgYCBwIIAgkCjQILAo4CDQIIAggCCAIIAggCCAIIAggCCAIIAggCCAIIAggCCAIIAggCHQIDAjECHgAC7AICAgMCBAIFAgYCBwIIAgkCJwILAo4CDQIIAggCCAIIAggCCAIIAggCCAIIAggCCAIIAggCCAIIAggCHQIDAp0CHnoAAAQAAALsAgICKQIEAgUCBgIHAggCCQInAgsCjgINAggCCAIIAggCCAIIAggCCAIIAggCCAIIAggCCAIIAggCCAIdAgMCqQIeAALsAgICJgIEAgUCBgIHAggCCQInAgsCjgINAggCCAIIAggCCAIIAggCCAIIAggCCAIIAggCCAIIAggCCAIdAgMC1gIeAALsAgICSAIEAgUCBgIHAggCCQInAgsCjgINAggCCAIIAggCCAIIAggCCAIIAggCCAIIAggCCAIIAggCCAIdAgMC5wIeAALsAgICRQIEAgUCBgIHAggCCQIcAgsCjgINAggCCAIIAggCCAIIAggCCAIIAggCCAIIAggCCAIIAggCCAIdAgMCpgIeAALsAgICSwIEAgUCBgIHAggCCQIcAgsCjgINAggCCAIIAggCCAIIAggCCAIIAggCCAIIAggCCAIIAggCCAIdAgMC1QIeAALsAgICgAIEAgUCBgIHAggCCQInAgsCjgINAggCCAIIAggCCAIIAggCCAIIAggCCAIIAggCCAIIAggCCAIdAgMC5AIeAALsAgICTQIEAgUCBgIHAggCCQIcAgsCjgINAggCCAIIAggCCAIIAggCCAIIAggCCAIIAggCCAIIAggCCAIdAgMCvAIeAALsAgICSwIEAgUCBgIHAggCCQKNAgsCjgINAggCCAIIAggCCAIIAggCCAIIAggCCAIIAggCCAIIAggCCAIdAgMCqgIeAALsAgICNQIEAgUCBgIHAggCCQKNAgsCjgINAggCCAIIAggCCAIIAggCCAIIAggCCAIIAggCCAIIAggCCAIdAgMCMQIeAALsAgICUgIEAgUCBgIHAggCCQKNAgsCjgINAggCCAIIAggCCAIIAggCCAIIAggCCAIIAggCCAIIAggCCAIdAgMCpwIeAALsAgICWAIEAgUCBgIHAggCCQInAgsCjgINAggCCAIIAggCCAIIAggCCAIIAggCCAIIAggCCAIIAggCCAIdAgMC1wIeAALsAgICWQIEAgUCBgIHAggCCQInAgsCjgINAggCCAIIAggCCAIIAggCCAIIAggCCAIIAggCCAIIAggCCAIdAgMCrwIeAALsAgICWAIEAgUCBgIHAggCCQIcAgsCjgINAggCCAIIAggCCAIIAggCCAIIAggCCAIIAggCCAIIAggCCAIdAgMC3wIeAALsAgICNQIEAgUCBgIHAggCCQIcAgsCjgINAggCCAIIAggCCAIIAggCCAIIAggCCAIIAggCCAIIAggCCAIdAgMCrgIeAALsAgICQQIEAgUCBgIHAggCCQKNAgsCjgINAggCCAIIAggCCAIIAggCCAIIAggCCAIIAggCCAIIAnoAAAQACAIIAh0CAwLaAh4AAuwCAgJFAgQCBQIGAgcCCAIJAicCCwKOAg0CCAIIAggCCAIIAggCCAIIAggCCAIIAggCCAIIAggCCAIIAh0CAwKxAh4AAuwCAgI9AgQCBQIGAgcCCAIJAo0CCwKOAg0CCAIIAggCCAIIAggCCAIIAggCCAIIAggCCAIIAggCCAIIAh0CAwKyAh4AAuwCAgKAAgQCBQIGAgcCCAIJAhwCCwKOAg0CCAIIAggCCAIIAggCCAIIAggCCAIIAggCCAIIAggCCAIIAh0CAwKWAh4AAuwCAgItAgQCBQIGAgcCCAIJAicCCwKOAg0CCAIIAggCCAIIAggCCAIIAggCCAIIAggCCAIIAggCCAIIAh0CAwLIAh4AAuwCAgJLAgQCBQIGAgcCCAIJAicCCwKOAg0CCAIIAggCCAIIAggCCAIIAggCCAIIAggCCAIIAggCCAIIAh0CAwLZAh4AAuwCAgI9AgQCBQIGAgcCCAIJAhwCCwKOAg0CCAIIAggCCAIIAggCCAIIAggCCAIIAggCCAIIAggCCAIIAh0CAwLbAh4AAuwCAgJBAgQCBQIGAgcCCAIJAhwCCwKOAg0CCAIIAggCCAIIAggCCAIIAggCCAIIAggCCAIIAggCCAIIAh0CAwKzAh4AAuwCAgI6AgQCBQIGAgcCCAIJAicCCwKOAg0CCAIIAggCCAIIAggCCAIIAggCCAIIAggCCAIIAggCCAIIAh0CAwKUAh4AAuwCAgIDAgQCBQIGAgcCCAIJAhwCCwKOAg0CCAIIAggCCAIIAggCCAIIAggCCAIIAggCCAIIAggCCAIIAh0CAwKYAh4AAuwCAgImAgQCBQIGAgcCCAIJAo0CCwKOAg0CCAIIAggCCAIIAggCCAIIAggCCAIIAggCCAIIAggCCAIIAh0CAwLeAh4AAuwCAgI1AgQCBQIGAgcCCAIJAicCCwKOAg0CCAIIAggCCAIIAggCCAIIAggCCAIIAggCCAIIAggCCAIIAh0CAwK3Ah4AAuwCAgIwAgQCBQIGAgcCCAIJAicCCwKOAg0CCAIIAggCCAIIAggCCAIIAggCCAIIAggCCAIIAggCCAIIAh0CAwLKAh4AAuwCAgIzAgQCBQIGAgcCCAIJAicCCwKOAg0CCAIIAggCCAIIAggCCAIIAggCCAIIAggCCAIIAggCCAIIAh0CAwK6Ah4AAuwCAgJYAgQCBQIGAgcCCAIJAo0CCwKOAg0CCAIIAggCCAIIAggCCAIIAggCCAIIAggCCAIIAggCCAIIAh0CAwIxAh4AAuwCAgIpAgQCBQIGAgcCCAIJAo0CCwKOAg0CCAIIAggCCAIIAggCCAIIAggCCHoAAAQAAggCCAIIAggCCAIIAggCHQIDArQCHgAC7AICAj8CBAIFAgYCBwIIAgkCJwILAo4CDQIIAggCCAIIAggCCAIIAggCCAIIAggCCAIIAggCCAIIAggCHQIDAo8CHgAC7AICAjgCBAIFAgYCBwIIAgkCHAILAo4CDQIIAggCCAIIAggCCAIIAggCCAIIAggCCAIIAggCCAIIAggCHQIDAuACHgAC7AICAlkCBAIFAgYCBwIIAgkCHAILAo4CDQIIAggCCAIIAggCCAIIAggCCAIIAggCCAIIAggCCAIIAggCHQIDArgCHgAC7AICAlkCBAIFAgYCBwIIAgkCjQILAo4CDQIIAggCCAIIAggCCAIIAggCCAIIAggCCAIIAggCCAIIAggCHQIDAuECHgAC7AICAi0CBAIFAgYCBwIIAgkCHAILAo4CDQIIAggCCAIIAggCCAIIAggCCAIIAggCCAIIAggCCAIIAggCHQIDAuYCHgAC7AICAk0CBAIFAgYCBwIIAgkCjQILAo4CDQIIAggCCAIIAggCCAIIAggCCAIIAggCCAIIAggCCAIIAggCHQIDAuMCHgAC7AICAjgCBAIFAgYCBwIIAgkCjQILAo4CDQIIAggCCAIIAggCCAIIAggCCAIIAggCCAIIAggCCAIIAggCHQIDArsCHgAC7AICAh4CBAIFAgYCBwIIAgkCJwILAo4CDQIIAggCCAIIAggCCAIIAggCCAIIAggCCAIIAggCCAIIAggCHQIDAr4CHgAC7QAJNTgwMTI2MTg0AgICHgIEAgUCBgIHAggCCQIKAgsCDAINAggCCAIIAggCCAIIAggCCAIIAggCCAIIAggCCAIIAggCCAIUAgMCHwIeAALtAgICKQIEAgUCBgIHAggCCQInAgsCDAINAggCCAIIAggCCAIIAggCCAIIAggCCAIIAggCCAIIAggCCAIUAgMCKgIeAALtAgICjAIEAgUCBgIHAggCCQIKAgsCDAINAggCCAIIAggCCAIIAggCCAIIAggCCAIIAggCCAIIAggCCAIUAgMCMQIeAALtAgICPwIEAgUCBgIHAggCCQIcAgsCDAINAggCCAIIAggCCAIIAggCCAIIAggCCAIIAggCCAIIAggCCAIUAgMCQAIeAALtAgICKwIEAgUCBgIHAggCCQIcAgsCDAINAggCCAIIAggCCAIIAggCCAIIAggCCAIIAggCCAIIAggCCAIUAgMCLAIeAALtAgICggIEAgUCBgIHAggCCQIcAgsCDAINAggCCAIIAggCCAIIAggCCAIIAggCCAIIAggCCAIIAggCCAIUAgMChgIeAALtAgICIgIEAgUCBgIHAggCCQIKAgsCDHdvAg0CCAIIAggCCAIIAggCCAIIAggCCAIIAggCCAIIAggCCAIIAhQCAwIjAh4AAu0CAgKeAgQCBQIGAgcCCAIJAicCCwIMAg0CCAIIAggCCAIIAggCCAIIAggCCAIIAggCCAIIAggCCAIIAhQCAwLuc3EAfgAAAAAAAnNxAH4ABP///////////////v////4AAAABdXEAfgAHAAAABAIIPL14eHoAAAOBAh4AAu0CAgI4AgQCBQIGAgcCCAIJAhwCCwIMAg0CCAIIAggCCAIIAggCCAIIAggCCAIIAggCCAIIAggCCAIIAhQCAwI5Ah4AAu0CAgIpAgQCBQIGAgcCCAIJAhwCCwIMAg0CCAIIAggCCAIIAggCCAIIAggCCAIIAggCCAIIAggCCAIIAhQCAwIvAh4AAu0CAgKEAgQCBQIGAgcCCAIJAgoCCwIMAg0CCAIIAggCCAIIAggCCAIIAggCCAIIAggCCAIIAggCCAIIAhQCAwIxAh4AAu0CAgI1AgQCBQIGAgcCCAIJAicCCwIMAg0CCAIIAggCCAIIAggCCAIIAggCCAIIAggCCAIIAggCCAIIAhQCAwI2Ah4AAu0CAgJBAgQCBQIGAgcCCAIJAicCCwIMAg0CCAIIAggCCAIIAggCCAIIAggCCAIIAggCCAIIAggCCAIIAhQCAwJCAh4AAu0CAgItAgQCBQIGAgcCCAIJAgoCCwIMAg0CCAIIAggCCAIIAggCCAIIAggCCAIIAggCCAIIAggCCAIIAhQCAwI3Ah4AAu0CAgKCAgQCBQIGAgcCCAIJAicCCwIMAg0CCAIIAggCCAIIAggCCAIIAggCCAIIAggCCAIIAggCCAIIAhQCAwKIAh4AAu0CAgI6AgQCBQIGAgcCCAIJAicCCwIMAg0CCAIIAggCCAIIAggCCAIIAggCCAIIAggCCAIIAggCCAIIAhQCAwJ4Ah4AAu0CAgJLAgQCBQIGAgcCCAIJAgoCCwIMAg0CCAIIAggCCAIIAggCCAIIAggCCAIIAggCCAIIAggCCAIIAhQCAwJ0Ah4AAu0CAgIDAgQCBQIGAgcCCAIJAhwCCwIMAg0CCAIIAggCCAIIAggCCAIIAggCCAIIAggCCAIIAggCCAIIAhQCAwJwAh4AAu0CAgKbAgQCBQIGAgcCCAIJAgoCCwIMAg0CCAIIAggCCAIIAggCCAIIAggCCAIIAggCCAIIAggCCAIIAhQCAwIxAh4AAu0CAgIgAgQCBQIGAgcCCAIJAgoCCwIMAg0CCAIIAggCCAIIAggCCAIIAggCCAIIAggCCAIIAggCCAIIAhQCAwJ1Ah4AAu0CAgKeAgQCBQIGAgcCCAIJAhwCCwIMAg0CCAIIAggCCAIIAggCCAIIAggCCAIIAggCCAIIAggCCAIIAhQCAwLvc3EAfgAAAAAAAnNxAH4ABP///////////////v////7/////dXEAfgAHAAAABG9TFvJ4eHoAAAKyAh4AAu0CAgIwAgQCBQIGAgcCCAIJAgoCCwIMAg0CCAIIAggCCAIIAggCCAIIAggCCAIIAggCCAIIAggCCAIIAhQCAwIxAh4AAu0CAgJSAgQCBQIGAgcCCAIJAhwCCwIMAg0CCAIIAggCCAIIAggCCAIIAggCCAIIAggCCAIIAggCCAIIAhQCAwJ7Ah4AAu0CAgI4AgQCBQIGAgcCCAIJAicCCwIMAg0CCAIIAggCCAIIAggCCAIIAggCCAIIAggCCAIIAggCCAIIAhQCAwJ5Ah4AAu0CAgIkAgQCBQIGAgcCCAIJAhwCCwIMAg0CCAIIAggCCAIIAggCCAIIAggCCAIIAggCCAIIAggCCAIIAhQCAwJ9Ah4AAu0CAgJYAgQCBQIGAgcCCAIJAicCCwIMAg0CCAIIAggCCAIIAggCCAIIAggCCAIIAggCCAIIAggCCAIIAhQCAwJ8Ah4AAu0CAgJLAgQCBQIGAgcCCAIJAhwCCwIMAg0CCAIIAggCCAIIAggCCAIIAggCCAIIAggCCAIIAggCCAIIAhQCAwJmAh4AAu0CAgJIAgQCBQIGAgcCCAIJAicCCwIMAg0CCAIIAggCCAIIAggCCAIIAggCCAIIAggCCAIIAggCCAIIAhQCAwJjAh4AAu0CAgJBAgQCBQIGAgcCCAIJAgoCCwIMAg0CCAIIAggCCAIIAggCCAIIAggCCAIIAggCCAIIAggCCAIIAhQCAwJhAh4AAu0CAgKAAgQCBQIGAgcCCAIJAicCCwIMAg0CCAIIAggCCAIIAggCCAIIAggCCAIIAggCCAIIAggCCAIIAhQCAwKBAh4AAu0CAgKMAgQCBQIGAgcCCAIJAicCCwIMAg0CCAIIAggCCAIIAggCCAIIAggCCAIIAggCCAIIAggCCAIIAhQCAwLwc3EAfgAAAAAAAnNxAH4ABP///////////////v////4AAAABdXEAfgAHAAAABASp52R4eHoAAAHjAh4AAu0CAgJYAgQCBQIGAgcCCAIJAhwCCwIMAg0CCAIIAggCCAIIAggCCAIIAggCCAIIAggCCAIIAggCCAIIAhQCAwJrAh4AAu0CAgIiAgQCBQIGAgcCCAIJAicCCwIMAg0CCAIIAggCCAIIAggCCAIIAggCCAIIAggCCAIIAggCCAIIAhQCAwJtAh4AAu0CAgKEAgQCBQIGAgcCCAIJAicCCwIMAg0CCAIIAggCCAIIAggCCAIIAggCCAIIAggCCAIIAggCCAIIAhQCAwKFAh4AAu0CAgJSAgQCBQIGAgcCCAIJAgoCCwIMAg0CCAIIAggCCAIIAggCCAIIAggCCAIIAggCCAIIAggCCAIIAhQCAwJoAh4AAu0CAgI1AgQCBQIGAgcCCAIJAgoCCwIMAg0CCAIIAggCCAIIAggCCAIIAggCCAIIAggCCAIIAggCCAIIAhQCAwIxAh4AAu0CAgIwAgQCBQIGAgcCCAIJAicCCwIMAg0CCAIIAggCCAIIAggCCAIIAggCCAIIAggCCAIIAggCCAIIAhQCAwJsAh4AAu0CAgKiAgQCBQIGAgcCCAIJAhwCCwIMAg0CCAIIAggCCAIIAggCCAIIAggCCAIIAggCCAIIAggCCAIIAhQCAwLxc3EAfgAAAAAAAnNxAH4ABP///////////////v////7/////dXEAfgAHAAAABHHRmJR4eHoAAAQAAh4AAu0CAgJNAgQCBQIGAgcCCAIJAgoCCwIMAg0CCAIIAggCCAIIAggCCAIIAggCCAIIAggCCAIIAggCCAIIAhQCAwJOAh4AAu0CAgI9AgQCBQIGAgcCCAIJAhwCCwIMAg0CCAIIAggCCAIIAggCCAIIAggCCAIIAggCCAIIAggCCAIIAhQCAwJHAh4AAu0CAgKtAgQCBQIGAgcCCAIJAhwCCwIMAg0CCAIIAggCCAIIAggCCAIIAggCCAIIAggCCAIIAggCCAIIAhQCAwLxAh4AAu0CAgJIAgQCBQIGAgcCCAIJAhwCCwIMAg0CCAIIAggCCAIIAggCCAIIAggCCAIIAggCCAIIAggCCAIIAhQCAwJJAh4AAu0CAgKCAgQCBQIGAgcCCAIJAgoCCwIMAg0CCAIIAggCCAIIAggCCAIIAggCCAIIAggCCAIIAggCCAIIAhQCAwIxAh4AAu0CAgJLAgQCBQIGAgcCCAIJAicCCwIMAg0CCAIIAggCCAIIAggCCAIIAggCCAIIAggCCAIIAggCCAIIAhQCAwJMAh4AAu0CAgJSAgQCBQIGAgcCCAIJAicCCwIMAg0CCAIIAggCCAIIAggCCAIIAggCCAIIAggCCAIIAggCCAIIAhQCAwJTAh4AAu0CAgIrAgQCBQIGAgcCCAIJAicCCwIMAg0CCAIIAggCCAIIAggCCAIIAggCCAIIAggCCAIIAggCCAIIAhQCAwJRAh4AAu0CAgKAAgQCBQIGAgcCCAIJAhwCCwIMAg0CCAIIAggCCAIIAggCCAIIAggCCAIIAggCCAIIAggCCAIIAhQCAwKDAh4AAu0CAgJZAgQCBQIGAgcCCAIJAgoCCwIMAg0CCAIIAggCCAIIAggCCAIIAggCCAIIAggCCAIIAggCCAIIAhQCAwJaAh4AAu0CAgIwAgQCBQIGAgcCCAIJAhwCCwIMAg0CCAIIAggCCAIIAggCCAIIAggCCAIIAggCCAIIAggCCAIIAhQCAwJWAh4AAu0CAgImAgQCBQIGAgcCCAIJAgoCCwIMAg0CCAIIAggCCAIIAggCCAIIAggCCAIIAggCCAIIAggCCAIIAhQCAwJcAh4AAu0CAgI/AgQCBQIGAgcCCAIJAicCCwIMAg0CCAIIAggCCAIIAggCCAIIAggCCAIIAggCCAIIAggCCAIIAhQCAwJfAh4AAu0CAgKiAgQCBQIGAgcCCAIJAicCCwIMAg0CCAIIAggCCAIIAggCCAIIAggCCAIIAggCCAIIAggCCAIIAhQCAwLwAh4AAu0CAgIbAgQCBQIGAgcCCAIJAhwCCwIMAg0CCAIIAggCCAIIAggCCAIIAggCCAIIAggCCAIIAnoAAAIzCAIIAggCFAIDAh0CHgAC7QICAoACBAIFAgYCBwIIAgkCCgILAgwCDQIIAggCCAIIAggCCAIIAggCCAIIAggCCAIIAggCCAIIAggCFAIDAjECHgAC7QICAi0CBAIFAgYCBwIIAgkCHAILAgwCDQIIAggCCAIIAggCCAIIAggCCAIIAggCCAIIAggCCAIIAggCFAIDAi4CHgAC7QICAqICBAIFAgYCBwIIAgkCCgILAgwCDQIIAggCCAIIAggCCAIIAggCCAIIAggCCAIIAggCCAIIAggCFAIDAjECHgAC7QICAiACBAIFAgYCBwIIAgkCHAILAgwCDQIIAggCCAIIAggCCAIIAggCCAIIAggCCAIIAggCCAIIAggCFAIDAiECHgAC7QICAiQCBAIFAgYCBwIIAgkCCgILAgwCDQIIAggCCAIIAggCCAIIAggCCAIIAggCCAIIAggCCAIIAggCFAIDAiUCHgAC7QICAiYCBAIFAgYCBwIIAgkCJwILAgwCDQIIAggCCAIIAggCCAIIAggCCAIIAggCCAIIAggCCAIIAggCFAIDAigCHgAC7QICAiYCBAIFAgYCBwIIAgkCHAILAgwCDQIIAggCCAIIAggCCAIIAggCCAIIAggCCAIIAggCCAIIAggCFAIDAjICHgAC7QICApsCBAIFAgYCBwIIAgkCHAILAgwCDQIIAggCCAIIAggCCAIIAggCCAIIAggCCAIIAggCCAIIAggCFAIDAvJzcQB+AAAAAAACc3EAfgAE///////////////+/////v////91cQB+AAcAAAAEY8+aCXh4egAABAACHgAC7QICAj0CBAIFAgYCBwIIAgkCJwILAgwCDQIIAggCCAIIAggCCAIIAggCCAIIAggCCAIIAggCCAIIAggCFAIDAj4CHgAC7QICAq0CBAIFAgYCBwIIAgkCJwILAgwCDQIIAggCCAIIAggCCAIIAggCCAIIAggCCAIIAggCCAIIAggCFAIDAvACHgAC7QICAjoCBAIFAgYCBwIIAgkCCgILAgwCDQIIAggCCAIIAggCCAIIAggCCAIIAggCCAIIAggCCAIIAggCFAIDAjsCHgAC7QICAi0CBAIFAgYCBwIIAgkCJwILAgwCDQIIAggCCAIIAggCCAIIAggCCAIIAggCCAIIAggCCAIIAggCFAIDAncCHgAC7QICAisCBAIFAgYCBwIIAgkCCgILAgwCDQIIAggCCAIIAggCCAIIAggCCAIIAggCCAIIAggCCAIIAggCFAIDAjECHgAC7QICAk0CBAIFAgYCBwIIAgkCJwILAgwCDQIIAggCCAIIAggCCAIIAggCCAIIAggCCAIIAggCCAIIAggCFAIDAnECHgAC7QICAkUCBAIFAgYCBwIIAgkCCgILAgwCDQIIAggCCAIIAggCCAIIAggCCAIIAggCCAIIAggCCAIIAggCFAIDAjECHgAC7QICAj8CBAIFAgYCBwIIAgkCCgILAgwCDQIIAggCCAIIAggCCAIIAggCCAIIAggCCAIIAggCCAIIAggCFAIDAnICHgAC7QICAiICBAIFAgYCBwIIAgkCHAILAgwCDQIIAggCCAIIAggCCAIIAggCCAIIAggCCAIIAggCCAIIAggCFAIDAnMCHgAC7QICAowCBAIFAgYCBwIIAgkCHAILAgwCDQIIAggCCAIIAggCCAIIAggCCAIIAggCCAIIAggCCAIIAggCFAIDAvECHgAC7QICAjMCBAIFAgYCBwIIAgkCCgILAgwCDQIIAggCCAIIAggCCAIIAggCCAIIAggCCAIIAggCCAIIAggCFAIDAjQCHgAC7QICAk8CBAIFAgYCBwIIAgkCHAILAgwCDQIIAggCCAIIAggCCAIIAggCCAIIAggCCAIIAggCCAIIAggCFAIDAnYCHgAC7QICAoQCBAIFAgYCBwIIAgkCHAILAgwCDQIIAggCCAIIAggCCAIIAggCCAIIAggCCAIIAggCCAIIAggCFAIDAocCHgAC7QICAlkCBAIFAgYCBwIIAgkCJwILAgwCDQIIAggCCAIIAggCCAIIAggCCAIIAggCCAIIAggCCAIIAggCFAIDAnoCHgAC7QICAkgCBAIFAgYCBwIIAgkCCgILAgwCDQIIAggCCAIIAggCCAIIAggCCAIIAggCCAIIAggCegAABAAIAggCCAIUAgMCfgIeAALtAgICRQIEAgUCBgIHAggCCQIcAgsCDAINAggCCAIIAggCCAIIAggCCAIIAggCCAIIAggCCAIIAggCCAIUAgMCZwIeAALtAgICTQIEAgUCBgIHAggCCQIcAgsCDAINAggCCAIIAggCCAIIAggCCAIIAggCCAIIAggCCAIIAggCCAIUAgMCZAIeAALtAgICrQIEAgUCBgIHAggCCQIKAgsCDAINAggCCAIIAggCCAIIAggCCAIIAggCCAIIAggCCAIIAggCCAIUAgMCMQIeAALtAgICAwIEAgUCBgIHAggCCQInAgsCDAINAggCCAIIAggCCAIIAggCCAIIAggCCAIIAggCCAIIAggCCAIUAgMCZQIeAALtAgICHgIEAgUCBgIHAggCCQInAgsCDAINAggCCAIIAggCCAIIAggCCAIIAggCCAIIAggCCAIIAggCCAIUAgMCYgIeAALtAgICPQIEAgUCBgIHAggCCQIKAgsCDAINAggCCAIIAggCCAIIAggCCAIIAggCCAIIAggCCAIIAggCCAIUAgMCYAIeAALtAgICJAIEAgUCBgIHAggCCQInAgsCDAINAggCCAIIAggCCAIIAggCCAIIAggCCAIIAggCCAIIAggCCAIUAgMCbwIeAALtAgICOAIEAgUCBgIHAggCCQIKAgsCDAINAggCCAIIAggCCAIIAggCCAIIAggCCAIIAggCCAIIAggCCAIUAgMCVAIeAALtAgICTwIEAgUCBgIHAggCCQIKAgsCDAINAggCCAIIAggCCAIIAggCCAIIAggCCAIIAggCCAIIAggCCAIUAgMCaQIeAALtAgICWQIEAgUCBgIHAggCCQIcAgsCDAINAggCCAIIAggCCAIIAggCCAIIAggCCAIIAggCCAIIAggCCAIUAgMCbgIeAALtAgICMwIEAgUCBgIHAggCCQInAgsCDAINAggCCAIIAggCCAIIAggCCAIIAggCCAIIAggCCAIIAggCCAIUAgMCagIeAALtAgICGwIEAgUCBgIHAggCCQIKAgsCDAINAggCCAIIAggCCAIIAggCCAIIAggCCAIIAggCCAIIAggCCAIUAgMCPAIeAALtAgICHgIEAgUCBgIHAggCCQIcAgsCDAINAggCCAIIAggCCAIIAggCCAIIAggCCAIIAggCCAIIAggCCAIUAgMCSgIeAALtAgICGwIEAgUCBgIHAggCCQInAgsCDAINAggCCAIIAggCCAIIAggCCAIIAggCCAIIAggCCAIIAggCCAIUAgMCRAIeAALtAgICQQIEAgUCBgIHAggCCQIcAgsCDAINAggCCAIIAggCCAIIAggCCAIIegAAAj4CCAIIAggCCAIIAggCCAIIAhQCAwJDAh4AAu0CAgJPAgQCBQIGAgcCCAIJAicCCwIMAg0CCAIIAggCCAIIAggCCAIIAggCCAIIAggCCAIIAggCCAIIAhQCAwJQAh4AAu0CAgJFAgQCBQIGAgcCCAIJAicCCwIMAg0CCAIIAggCCAIIAggCCAIIAggCCAIIAggCCAIIAggCCAIIAhQCAwJGAh4AAu0CAgJYAgQCBQIGAgcCCAIJAgoCCwIMAg0CCAIIAggCCAIIAggCCAIIAggCCAIIAggCCAIIAggCCAIIAhQCAwIxAh4AAu0CAgIzAgQCBQIGAgcCCAIJAhwCCwIMAg0CCAIIAggCCAIIAggCCAIIAggCCAIIAggCCAIIAggCCAIIAhQCAwJdAh4AAu0CAgIgAgQCBQIGAgcCCAIJAicCCwIMAg0CCAIIAggCCAIIAggCCAIIAggCCAIIAggCCAIIAggCCAIIAhQCAwJeAh4AAu0CAgKeAgQCBQIGAgcCCAIJAgoCCwIMAg0CCAIIAggCCAIIAggCCAIIAggCCAIIAggCCAIIAggCCAIIAhQCAwIxAh4AAu0CAgI6AgQCBQIGAgcCCAIJAhwCCwIMAg0CCAIIAggCCAIIAggCCAIIAggCCAIIAggCCAIIAggCCAIIAhQCAwJbAh4AAu0CAgKbAgQCBQIGAgcCCAIJAicCCwIMAg0CCAIIAggCCAIIAggCCAIIAggCCAIIAggCCAIIAggCCAIIAhQCAwLzc3EAfgAAAAAAAnNxAH4ABP///////////////v////4AAAABdXEAfgAHAAAAAwlJUHh4egAABAACHgAC7QICAjUCBAIFAgYCBwIIAgkCHAILAgwCDQIIAggCCAIIAggCCAIIAggCCAIIAggCCAIIAggCCAIIAggCFAIDAlUCHgAC7QICAgMCBAIFAgYCBwIIAgkCCgILAgwCDQIIAggCCAIIAggCCAIIAggCCAIIAggCCAIIAggCCAIIAggCFAIDAg4CHgAC7QICAikCBAIFAgYCBwIIAgkCCgILAgwCDQIIAggCCAIIAggCCAIIAggCCAIIAggCCAIIAggCCAIIAggCFAIDAlcCHgAC9AAJODQ1NjQ2MjY0AgICPwIEAgUCBgIHAggCCQInAgsCjgINAggCCAIIAggCCAIIAggCCAIIAggCCAIIAggCCAIIAggCCAIjAgMCjwIeAAL0AgICMwIEAgUCBgIHAggCCQIcAgsCjgINAggCCAIIAggCCAIIAggCCAIIAggCCAIIAggCCAIIAggCCAIjAgMCkgIeAAL0AgICIgIEAgUCBgIHAggCCQKNAgsCjgINAggCCAIIAggCCAIIAggCCAIIAggCCAIIAggCCAIIAggCCAIjAgMCkAIeAAL0AgICKwIEAgUCBgIHAggCCQInAgsCjgINAggCCAIIAggCCAIIAggCCAIIAggCCAIIAggCCAIIAggCCAIjAgMClwIeAAL0AgICOgIEAgUCBgIHAggCCQIcAgsCjgINAggCCAIIAggCCAIIAggCCAIIAggCCAIIAggCCAIIAggCCAIjAgMCvwIeAAL0AgICAwIEAgUCBgIHAggCCQIcAgsCjgINAggCCAIIAggCCAIIAggCCAIIAggCCAIIAggCCAIIAggCCAIjAgMCmAIeAAL0AgICKQIEAgUCBgIHAggCCQInAgsCjgINAggCCAIIAggCCAIIAggCCAIIAggCCAIIAggCCAIIAggCCAIjAgMCqQIeAAL0AgICHgIEAgUCBgIHAggCCQKNAgsCjgINAggCCAIIAggCCAIIAggCCAIIAggCCAIIAggCCAIIAggCCAIjAgMCmgIeAAL0AgICAwIEAgUCBgIHAggCCQKNAgsCjgINAggCCAIIAggCCAIIAggCCAIIAggCCAIIAggCCAIIAggCCAIjAgMCzgIeAAL0AgICGwIEAgUCBgIHAggCCQInAgsCjgINAggCCAIIAggCCAIIAggCCAIIAggCCAIIAggCCAIIAggCCAIjAgMCywIeAAL0AgICLQIEAgUCBgIHAggCCQIcAgsCjgINAggCCAIIAggCCAIIAggCCAIIAggCCAIIAggCCAIIAggCCAIjAgMC5gIeAAL0AgICSAIEAgUCBgIHAggCCQIcAgsCjgINAggCCAIIAggCCAIIAggCCAIIegAABAACCAIIAggCCAIIAggCCAIIAiMCAwKZAh4AAvQCAgImAgQCBQIGAgcCCAIJAicCCwKOAg0CCAIIAggCCAIIAggCCAIIAggCCAIIAggCCAIIAggCCAIIAiMCAwLWAh4AAvQCAgJIAgQCBQIGAgcCCAIJAo0CCwKOAg0CCAIIAggCCAIIAggCCAIIAggCCAIIAggCCAIIAggCCAIIAiMCAwLMAh4AAvQCAgJZAgQCBQIGAgcCCAIJAo0CCwKOAg0CCAIIAggCCAIIAggCCAIIAggCCAIIAggCCAIIAggCCAIIAiMCAwLhAh4AAvQCAgJBAgQCBQIGAgcCCAIJAicCCwKOAg0CCAIIAggCCAIIAggCCAIIAggCCAIIAggCCAIIAggCCAIIAiMCAwK5Ah4AAvQCAgIwAgQCBQIGAgcCCAIJAicCCwKOAg0CCAIIAggCCAIIAggCCAIIAggCCAIIAggCCAIIAggCCAIIAiMCAwLKAh4AAvQCAgIgAgQCBQIGAgcCCAIJAhwCCwKOAg0CCAIIAggCCAIIAggCCAIIAggCCAIIAggCCAIIAggCCAIIAiMCAwLTAh4AAvQCAgI9AgQCBQIGAgcCCAIJAicCCwKOAg0CCAIIAggCCAIIAggCCAIIAggCCAIIAggCCAIIAggCCAIIAiMCAwLiAh4AAvQCAgIiAgQCBQIGAgcCCAIJAicCCwKOAg0CCAIIAggCCAIIAggCCAIIAggCCAIIAggCCAIIAggCCAIIAiMCAwLQAh4AAvQCAgIzAgQCBQIGAgcCCAIJAicCCwKOAg0CCAIIAggCCAIIAggCCAIIAggCCAIIAggCCAIIAggCCAIIAiMCAwK6Ah4AAvQCAgI/AgQCBQIGAgcCCAIJAhwCCwKOAg0CCAIIAggCCAIIAggCCAIIAggCCAIIAggCCAIIAggCCAIIAiMCAwKhAh4AAvQCAgI4AgQCBQIGAgcCCAIJAhwCCwKOAg0CCAIIAggCCAIIAggCCAIIAggCCAIIAggCCAIIAggCCAIIAiMCAwLgAh4AAvQCAgIkAgQCBQIGAgcCCAIJAicCCwKOAg0CCAIIAggCCAIIAggCCAIIAggCCAIIAggCCAIIAggCCAIIAiMCAwKgAh4AAvQCAgI4AgQCBQIGAgcCCAIJAo0CCwKOAg0CCAIIAggCCAIIAggCCAIIAggCCAIIAggCCAIIAggCCAIIAiMCAwK7Ah4AAvQCAgJPAgQCBQIGAgcCCAIJAicCCwKOAg0CCAIIAggCCAIIAggCCAIIAggCCAIIAggCCAIIAggCCAIIAiMCAwK1Ah4AAvQCAgJSAgQCBQIGAgcCCAIJAicCCwKOAg0CCAIIAggCegAABAAIAggCCAIIAggCCAIIAggCCAIIAggCCAIIAggCIwIDAtwCHgAC9AICAkgCBAIFAgYCBwIIAgkCJwILAo4CDQIIAggCCAIIAggCCAIIAggCCAIIAggCCAIIAggCCAIIAggCIwIDAucCHgAC9AICAh4CBAIFAgYCBwIIAgkCHAILAo4CDQIIAggCCAIIAggCCAIIAggCCAIIAggCCAIIAggCCAIIAggCIwIDAskCHgAC9AICAi0CBAIFAgYCBwIIAgkCjQILAo4CDQIIAggCCAIIAggCCAIIAggCCAIIAggCCAIIAggCCAIIAggCIwIDAsACHgAC9AICAjoCBAIFAgYCBwIIAgkCjQILAo4CDQIIAggCCAIIAggCCAIIAggCCAIIAggCCAIIAggCCAIIAggCIwIDAuUCHgAC9AICAj0CBAIFAgYCBwIIAgkCHAILAo4CDQIIAggCCAIIAggCCAIIAggCCAIIAggCCAIIAggCCAIIAggCIwIDAtsCHgAC9AICAjMCBAIFAgYCBwIIAgkCjQILAo4CDQIIAggCCAIIAggCCAIIAggCCAIIAggCCAIIAggCCAIIAggCIwIDAsQCHgAC9AICAjUCBAIFAgYCBwIIAgkCjQILAo4CDQIIAggCCAIIAggCCAIIAggCCAIIAggCCAIIAggCCAIIAggCIwIDAjECHgAC9AICAjACBAIFAgYCBwIIAgkCjQILAo4CDQIIAggCCAIIAggCCAIIAggCCAIIAggCCAIIAggCCAIIAggCIwIDAjECHgAC9AICAkECBAIFAgYCBwIIAgkCjQILAo4CDQIIAggCCAIIAggCCAIIAggCCAIIAggCCAIIAggCCAIIAggCIwIDAtoCHgAC9AICAiACBAIFAgYCBwIIAgkCJwILAo4CDQIIAggCCAIIAggCCAIIAggCCAIIAggCCAIIAggCCAIIAggCIwIDAsECHgAC9AICAjACBAIFAgYCBwIIAgkCHAILAo4CDQIIAggCCAIIAggCCAIIAggCCAIIAggCCAIIAggCCAIIAggCIwIDAsYCHgAC9AICAkECBAIFAgYCBwIIAgkCHAILAo4CDQIIAggCCAIIAggCCAIIAggCCAIIAggCCAIIAggCCAIIAggCIwIDArMCHgAC9AICAlICBAIFAgYCBwIIAgkCHAILAo4CDQIIAggCCAIIAggCCAIIAggCCAIIAggCCAIIAggCCAIIAggCIwIDAqsCHgAC9AICAjUCBAIFAgYCBwIIAgkCHAILAo4CDQIIAggCCAIIAggCCAIIAggCCAIIAggCCAIIAggCCAIIAggCIwIDAq4CHgAC9AICAj0CBAIFAgYCBwIIAgkCjQILegAABAACjgINAggCCAIIAggCCAIIAggCCAIIAggCCAIIAggCCAIIAggCCAIjAgMCsgIeAAL0AgICSwIEAgUCBgIHAggCCQInAgsCjgINAggCCAIIAggCCAIIAggCCAIIAggCCAIIAggCCAIIAggCCAIjAgMC2QIeAAL0AgICTwIEAgUCBgIHAggCCQKNAgsCjgINAggCCAIIAggCCAIIAggCCAIIAggCCAIIAggCCAIIAggCCAIjAgMC2AIeAAL0AgICUgIEAgUCBgIHAggCCQKNAgsCjgINAggCCAIIAggCCAIIAggCCAIIAggCCAIIAggCCAIIAggCCAIjAgMCpwIeAAL0AgICTwIEAgUCBgIHAggCCQIcAgsCjgINAggCCAIIAggCCAIIAggCCAIIAggCCAIIAggCCAIIAggCCAIjAgMCrAIeAAL0AgICTQIEAgUCBgIHAggCCQIcAgsCjgINAggCCAIIAggCCAIIAggCCAIIAggCCAIIAggCCAIIAggCCAIjAgMCvAIeAAL0AgICHgIEAgUCBgIHAggCCQInAgsCjgINAggCCAIIAggCCAIIAggCCAIIAggCCAIIAggCCAIIAggCCAIjAgMCvgIeAAL0AgICKQIEAgUCBgIHAggCCQKNAgsCjgINAggCCAIIAggCCAIIAggCCAIIAggCCAIIAggCCAIIAggCCAIjAgMCtAIeAAL0AgICNQIEAgUCBgIHAggCCQInAgsCjgINAggCCAIIAggCCAIIAggCCAIIAggCCAIIAggCCAIIAggCCAIjAgMCtwIeAAL0AgICTQIEAgUCBgIHAggCCQKNAgsCjgINAggCCAIIAggCCAIIAggCCAIIAggCCAIIAggCCAIIAggCCAIjAgMC4wIeAAL0AgICWQIEAgUCBgIHAggCCQIcAgsCjgINAggCCAIIAggCCAIIAggCCAIIAggCCAIIAggCCAIIAggCCAIjAgMCuAIeAAL0AgICIAIEAgUCBgIHAggCCQKNAgsCjgINAggCCAIIAggCCAIIAggCCAIIAggCCAIIAggCCAIIAggCCAIjAgMCnAIeAAL0AgICPwIEAgUCBgIHAggCCQKNAgsCjgINAggCCAIIAggCCAIIAggCCAIIAggCCAIIAggCCAIIAggCCAIjAgMCzwIeAAL0AgICGwIEAgUCBgIHAggCCQKNAgsCjgINAggCCAIIAggCCAIIAggCCAIIAggCCAIIAggCCAIIAggCCAIjAgMCqAIeAAL0AgICKwIEAgUCBgIHAggCCQKNAgsCjgINAggCCAIIAggCCAIIAggCCAIIAggCCAIIAggCCAIIAggCCAIjAgMCMQIeAAL0AgICKQIEAgUCegAABAAGAgcCCAIJAhwCCwKOAg0CCAIIAggCCAIIAggCCAIIAggCCAIIAggCCAIIAggCCAIIAiMCAwLdAh4AAvQCAgIDAgQCBQIGAgcCCAIJAicCCwKOAg0CCAIIAggCCAIIAggCCAIIAggCCAIIAggCCAIIAggCCAIIAiMCAwKdAh4AAvQCAgImAgQCBQIGAgcCCAIJAo0CCwKOAg0CCAIIAggCCAIIAggCCAIIAggCCAIIAggCCAIIAggCCAIIAiMCAwLeAh4AAvQCAgJLAgQCBQIGAgcCCAIJAo0CCwKOAg0CCAIIAggCCAIIAggCCAIIAggCCAIIAggCCAIIAggCCAIIAiMCAwKqAh4AAvQCAgImAgQCBQIGAgcCCAIJAhwCCwKOAg0CCAIIAggCCAIIAggCCAIIAggCCAIIAggCCAIIAggCCAIIAiMCAwK2Ah4AAvQCAgJLAgQCBQIGAgcCCAIJAhwCCwKOAg0CCAIIAggCCAIIAggCCAIIAggCCAIIAggCCAIIAggCCAIIAiMCAwLVAh4AAvQCAgIbAgQCBQIGAgcCCAIJAhwCCwKOAg0CCAIIAggCCAIIAggCCAIIAggCCAIIAggCCAIIAggCCAIIAiMCAwLUAh4AAvQCAgItAgQCBQIGAgcCCAIJAicCCwKOAg0CCAIIAggCCAIIAggCCAIIAggCCAIIAggCCAIIAggCCAIIAiMCAwLIAh4AAvQCAgIrAgQCBQIGAgcCCAIJAhwCCwKOAg0CCAIIAggCCAIIAggCCAIIAggCCAIIAggCCAIIAggCCAIIAiMCAwKkAh4AAvQCAgI6AgQCBQIGAgcCCAIJAicCCwKOAg0CCAIIAggCCAIIAggCCAIIAggCCAIIAggCCAIIAggCCAIIAiMCAwKUAh4AAvQCAgJZAgQCBQIGAgcCCAIJAicCCwKOAg0CCAIIAggCCAIIAggCCAIIAggCCAIIAggCCAIIAggCCAIIAiMCAwKvAh4AAvQCAgIiAgQCBQIGAgcCCAIJAhwCCwKOAg0CCAIIAggCCAIIAggCCAIIAggCCAIIAggCCAIIAggCCAIIAiMCAwLHAh4AAvQCAgIkAgQCBQIGAgcCCAIJAo0CCwKOAg0CCAIIAggCCAIIAggCCAIIAggCCAIIAggCCAIIAggCCAIIAiMCAwLFAh4AAvQCAgJNAgQCBQIGAgcCCAIJAicCCwKOAg0CCAIIAggCCAIIAggCCAIIAggCCAIIAggCCAIIAggCCAIIAiMCAwKwAh4AAvQCAgIkAgQCBQIGAgcCCAIJAhwCCwKOAg0CCAIIAggCCAIIAggCCAIIAggCCAIIAggCCAIIAggCCAIIAiMCAwKRAh4AegAABAAC9AICAjgCBAIFAgYCBwIIAgkCJwILAo4CDQIIAggCCAIIAggCCAIIAggCCAIIAggCCAIIAggCCAIIAggCIwIDApMCHgAC9QAKMTIxNjEzODgwOAICAksCBAIFAgYCBwIIAgkCjQILAo4CDQIIAggCCAIIAggCCAIIAggCCAIIAggCCAIIAggCCAIIAggCGwIDAqoCHgAC9QICAkUCBAIFAgYCBwIIAgkCjQILAo4CDQIIAggCCAIIAggCCAIIAggCCAIIAggCCAIIAggCCAIIAggCGwIDAjECHgAC9QICAh4CBAIFAgYCBwIIAgkCJwILAo4CDQIIAggCCAIIAggCCAIIAggCCAIIAggCCAIIAggCCAIIAggCGwIDAr4CHgAC9QICAlgCBAIFAgYCBwIIAgkCHAILAo4CDQIIAggCCAIIAggCCAIIAggCCAIIAggCCAIIAggCCAIIAggCGwIDAt8CHgAC9QICAgMCBAIFAgYCBwIIAgkCJwILAo4CDQIIAggCCAIIAggCCAIIAggCCAIIAggCCAIIAggCCAIIAggCGwIDAp0CHgAC9QICAoQCBAIFAgYCBwIIAgkCJwILAo4CDQIIAggCCAIIAggCCAIIAggCCAIIAggCCAIIAggCCAIIAggCGwIDAtECHgAC9QICAiQCBAIFAgYCBwIIAgkCJwILAo4CDQIIAggCCAIIAggCCAIIAggCCAIIAggCCAIIAggCCAIIAggCGwIDAqACHgAC9QICAksCBAIFAgYCBwIIAgkCHAILAo4CDQIIAggCCAIIAggCCAIIAggCCAIIAggCCAIIAggCCAIIAggCGwIDAtUCHgAC9QICAkgCBAIFAgYCBwIIAgkCJwILAo4CDQIIAggCCAIIAggCCAIIAggCCAIIAggCCAIIAggCCAIIAggCGwIDAucCHgAC9QICAlICBAIFAgYCBwIIAgkCjQILAo4CDQIIAggCCAIIAggCCAIIAggCCAIIAggCCAIIAggCCAIIAggCGwIDAqcCHgAC9QICAh4CBAIFAgYCBwIIAgkCHAILAo4CDQIIAggCCAIIAggCCAIIAggCCAIIAggCCAIIAggCCAIIAggCGwIDAskCHgAC9QICAlkCBAIFAgYCBwIIAgkCJwILAo4CDQIIAggCCAIIAggCCAIIAggCCAIIAggCCAIIAggCCAIIAggCGwIDAq8CHgAC9QICAoACBAIFAgYCBwIIAgkCHAILAo4CDQIIAggCCAIIAggCCAIIAggCCAIIAggCCAIIAggCCAIIAggCGwIDApYCHgAC9QICAi0CBAIFAgYCBwIIAgkCJwILAo4CDQIIAggCCAIIAggCCAIIAggCCAIIegAABAACCAIIAggCCAIIAggCCAIbAgMCyAIeAAL1AgICNQIEAgUCBgIHAggCCQKNAgsCjgINAggCCAIIAggCCAIIAggCCAIIAggCCAIIAggCCAIIAggCCAIbAgMCMQIeAAL1AgICNQIEAgUCBgIHAggCCQIcAgsCjgINAggCCAIIAggCCAIIAggCCAIIAggCCAIIAggCCAIIAggCCAIbAgMCrgIeAAL1AgICQQIEAgUCBgIHAggCCQKNAgsCjgINAggCCAIIAggCCAIIAggCCAIIAggCCAIIAggCCAIIAggCCAIbAgMC2gIeAAL1AgICIAIEAgUCBgIHAggCCQInAgsCjgINAggCCAIIAggCCAIIAggCCAIIAggCCAIIAggCCAIIAggCCAIbAgMCwQIeAAL1AgICPwIEAgUCBgIHAggCCQInAgsCjgINAggCCAIIAggCCAIIAggCCAIIAggCCAIIAggCCAIIAggCCAIbAgMCjwIeAAL1AgICOgIEAgUCBgIHAggCCQInAgsCjgINAggCCAIIAggCCAIIAggCCAIIAggCCAIIAggCCAIIAggCCAIbAgMClAIeAAL1AgICAwIEAgUCBgIHAggCCQIcAgsCjgINAggCCAIIAggCCAIIAggCCAIIAggCCAIIAggCCAIIAggCCAIbAgMCmAIeAAL1AgICJgIEAgUCBgIHAggCCQKNAgsCjgINAggCCAIIAggCCAIIAggCCAIIAggCCAIIAggCCAIIAggCCAIbAgMC3gIeAAL1AgICAwIEAgUCBgIHAggCCQKNAgsCjgINAggCCAIIAggCCAIIAggCCAIIAggCCAIIAggCCAIIAggCCAIbAgMCzgIeAAL1AgICKQIEAgUCBgIHAggCCQKNAgsCjgINAggCCAIIAggCCAIIAggCCAIIAggCCAIIAggCCAIIAggCCAIbAgMCtAIeAAL1AgICOgIEAgUCBgIHAggCCQIcAgsCjgINAggCCAIIAggCCAIIAggCCAIIAggCCAIIAggCCAIIAggCCAIbAgMCvwIeAAL1AgICNQIEAgUCBgIHAggCCQInAgsCjgINAggCCAIIAggCCAIIAggCCAIIAggCCAIIAggCCAIIAggCCAIbAgMCtwIeAAL1AgICWQIEAgUCBgIHAggCCQKNAgsCjgINAggCCAIIAggCCAIIAggCCAIIAggCCAIIAggCCAIIAggCCAIbAgMC4QIeAAL1AgICMwIEAgUCBgIHAggCCQInAgsCjgINAggCCAIIAggCCAIIAggCCAIIAggCCAIIAggCCAIIAggCCAIbAgMCugIeAAL1AgICLQIEAgUCBgIHAggCCQIcAgsCjgINAggCCAIIAggCegAABAAIAggCCAIIAggCCAIIAggCCAIIAggCCAIIAhsCAwLmAh4AAvUCAgJYAgQCBQIGAgcCCAIJAo0CCwKOAg0CCAIIAggCCAIIAggCCAIIAggCCAIIAggCCAIIAggCCAIIAhsCAwIxAh4AAvUCAgIwAgQCBQIGAgcCCAIJAicCCwKOAg0CCAIIAggCCAIIAggCCAIIAggCCAIIAggCCAIIAggCCAIIAhsCAwLKAh4AAvUCAgKAAgQCBQIGAgcCCAIJAicCCwKOAg0CCAIIAggCCAIIAggCCAIIAggCCAIIAggCCAIIAggCCAIIAhsCAwLkAh4AAvUCAgJZAgQCBQIGAgcCCAIJAhwCCwKOAg0CCAIIAggCCAIIAggCCAIIAggCCAIIAggCCAIIAggCCAIIAhsCAwK4Ah4AAvUCAgI4AgQCBQIGAgcCCAIJAhwCCwKOAg0CCAIIAggCCAIIAggCCAIIAggCCAIIAggCCAIIAggCCAIIAhsCAwLgAh4AAvUCAgI4AgQCBQIGAgcCCAIJAo0CCwKOAg0CCAIIAggCCAIIAggCCAIIAggCCAIIAggCCAIIAggCCAIIAhsCAwK7Ah4AAvUCAgJNAgQCBQIGAgcCCAIJAo0CCwKOAg0CCAIIAggCCAIIAggCCAIIAggCCAIIAggCCAIIAggCCAIIAhsCAwLjAh4AAvUCAgJNAgQCBQIGAgcCCAIJAhwCCwKOAg0CCAIIAggCCAIIAggCCAIIAggCCAIIAggCCAIIAggCCAIIAhsCAwK8Ah4AAvUCAgI9AgQCBQIGAgcCCAIJAicCCwKOAg0CCAIIAggCCAIIAggCCAIIAggCCAIIAggCCAIIAggCCAIIAhsCAwLiAh4AAvUCAgJBAgQCBQIGAgcCCAIJAicCCwKOAg0CCAIIAggCCAIIAggCCAIIAggCCAIIAggCCAIIAggCCAIIAhsCAwK5Ah4AAvUCAgIrAgQCBQIGAgcCCAIJAo0CCwKOAg0CCAIIAggCCAIIAggCCAIIAggCCAIIAggCCAIIAggCCAIIAhsCAwIxAh4AAvUCAgIbAgQCBQIGAgcCCAIJAo0CCwKOAg0CCAIIAggCCAIIAggCCAIIAggCCAIIAggCCAIIAggCCAIIAhsCAwKoAh4AAvUCAgI/AgQCBQIGAgcCCAIJAhwCCwKOAg0CCAIIAggCCAIIAggCCAIIAggCCAIIAggCCAIIAggCCAIIAhsCAwKhAh4AAvUCAgItAgQCBQIGAgcCCAIJAo0CCwKOAg0CCAIIAggCCAIIAggCCAIIAggCCAIIAggCCAIIAggCCAIIAhsCAwLAAh4AAvUCAgI6AgQCBQIGAgcCCAIJAo0CCwKOegAABAACDQIIAggCCAIIAggCCAIIAggCCAIIAggCCAIIAggCCAIIAggCGwIDAuUCHgAC9QICAisCBAIFAgYCBwIIAgkCHAILAo4CDQIIAggCCAIIAggCCAIIAggCCAIIAggCCAIIAggCCAIIAggCGwIDAqQCHgAC9QICAiYCBAIFAgYCBwIIAgkCHAILAo4CDQIIAggCCAIIAggCCAIIAggCCAIIAggCCAIIAggCCAIIAggCGwIDArYCHgAC9QICAhsCBAIFAgYCBwIIAgkCHAILAo4CDQIIAggCCAIIAggCCAIIAggCCAIIAggCCAIIAggCCAIIAggCGwIDAtQCHgAC9QICAikCBAIFAgYCBwIIAgkCHAILAo4CDQIIAggCCAIIAggCCAIIAggCCAIIAggCCAIIAggCCAIIAggCGwIDAt0CHgAC9QICAjACBAIFAgYCBwIIAgkCjQILAo4CDQIIAggCCAIIAggCCAIIAggCCAIIAggCCAIIAggCCAIIAggCGwIDAjECHgAC9QICAjMCBAIFAgYCBwIIAgkCjQILAo4CDQIIAggCCAIIAggCCAIIAggCCAIIAggCCAIIAggCCAIIAggCGwIDAsQCHgAC9QICAlICBAIFAgYCBwIIAgkCJwILAo4CDQIIAggCCAIIAggCCAIIAggCCAIIAggCCAIIAggCCAIIAggCGwIDAtwCHgAC9QICAk8CBAIFAgYCBwIIAgkCJwILAo4CDQIIAggCCAIIAggCCAIIAggCCAIIAggCCAIIAggCCAIIAggCGwIDArUCHgAC9QICAoQCBAIFAgYCBwIIAgkCjQILAo4CDQIIAggCCAIIAggCCAIIAggCCAIIAggCCAIIAggCCAIIAggCGwIDAjECHgAC9QICAjMCBAIFAgYCBwIIAgkCHAILAo4CDQIIAggCCAIIAggCCAIIAggCCAIIAggCCAIIAggCCAIIAggCGwIDApICHgAC9QICAiICBAIFAgYCBwIIAgkCjQILAo4CDQIIAggCCAIIAggCCAIIAggCCAIIAggCCAIIAggCCAIIAggCGwIDApACHgAC9QICAiQCBAIFAgYCBwIIAgkCjQILAo4CDQIIAggCCAIIAggCCAIIAggCCAIIAggCCAIIAggCCAIIAggCGwIDAsUCHgAC9QICAjACBAIFAgYCBwIIAgkCHAILAo4CDQIIAggCCAIIAggCCAIIAggCCAIIAggCCAIIAggCCAIIAggCGwIDAsYCHgAC9QICAkECBAIFAgYCBwIIAgkCHAILAo4CDQIIAggCCAIIAggCCAIIAggCCAIIAggCCAIIAggCCAIIAggCGwIDArMCHgAC9QICAjgCBAIFAgYCegAABAAHAggCCQInAgsCjgINAggCCAIIAggCCAIIAggCCAIIAggCCAIIAggCCAIIAggCCAIbAgMCkwIeAAL1AgICPQIEAgUCBgIHAggCCQIcAgsCjgINAggCCAIIAggCCAIIAggCCAIIAggCCAIIAggCCAIIAggCCAIbAgMC2wIeAAL1AgICIgIEAgUCBgIHAggCCQIcAgsCjgINAggCCAIIAggCCAIIAggCCAIIAggCCAIIAggCCAIIAggCCAIbAgMCxwIeAAL1AgICPQIEAgUCBgIHAggCCQKNAgsCjgINAggCCAIIAggCCAIIAggCCAIIAggCCAIIAggCCAIIAggCCAIbAgMCsgIeAAL1AgICRQIEAgUCBgIHAggCCQInAgsCjgINAggCCAIIAggCCAIIAggCCAIIAggCCAIIAggCCAIIAggCCAIbAgMCsQIeAAL1AgICGwIEAgUCBgIHAggCCQInAgsCjgINAggCCAIIAggCCAIIAggCCAIIAggCCAIIAggCCAIIAggCCAIbAgMCywIeAAL1AgICJAIEAgUCBgIHAggCCQIcAgsCjgINAggCCAIIAggCCAIIAggCCAIIAggCCAIIAggCCAIIAggCCAIbAgMCkQIeAAL1AgICTQIEAgUCBgIHAggCCQInAgsCjgINAggCCAIIAggCCAIIAggCCAIIAggCCAIIAggCCAIIAggCCAIbAgMCsAIeAAL1AgICgAIEAgUCBgIHAggCCQKNAgsCjgINAggCCAIIAggCCAIIAggCCAIIAggCCAIIAggCCAIIAggCCAIbAgMCMQIeAAL1AgICSwIEAgUCBgIHAggCCQInAgsCjgINAggCCAIIAggCCAIIAggCCAIIAggCCAIIAggCCAIIAggCCAIbAgMC2QIeAAL1AgIChAIEAgUCBgIHAggCCQIcAgsCjgINAggCCAIIAggCCAIIAggCCAIIAggCCAIIAggCCAIIAggCCAIbAgMCwwIeAAL1AgICKwIEAgUCBgIHAggCCQInAgsCjgINAggCCAIIAggCCAIIAggCCAIIAggCCAIIAggCCAIIAggCCAIbAgMClwIeAAL1AgICTwIEAgUCBgIHAggCCQIcAgsCjgINAggCCAIIAggCCAIIAggCCAIIAggCCAIIAggCCAIIAggCCAIbAgMCrAIeAAL1AgICHgIEAgUCBgIHAggCCQKNAgsCjgINAggCCAIIAggCCAIIAggCCAIIAggCCAIIAggCCAIIAggCCAIbAgMCmgIeAAL1AgICWAIEAgUCBgIHAggCCQInAgsCjgINAggCCAIIAggCCAIIAggCCAIIAggCCAIIAggCCAIIAggCCAIbAgMC1wIeAAL1egAAA0oCAgJIAgQCBQIGAgcCCAIJAo0CCwKOAg0CCAIIAggCCAIIAggCCAIIAggCCAIIAggCCAIIAggCCAIIAhsCAwLMAh4AAvUCAgJIAgQCBQIGAgcCCAIJAhwCCwKOAg0CCAIIAggCCAIIAggCCAIIAggCCAIIAggCCAIIAggCCAIIAhsCAwKZAh4AAvUCAgJSAgQCBQIGAgcCCAIJAhwCCwKOAg0CCAIIAggCCAIIAggCCAIIAggCCAIIAggCCAIIAggCCAIIAhsCAwKrAh4AAvUCAgJPAgQCBQIGAgcCCAIJAo0CCwKOAg0CCAIIAggCCAIIAggCCAIIAggCCAIIAggCCAIIAggCCAIIAhsCAwLYAh4AAvUCAgIpAgQCBQIGAgcCCAIJAicCCwKOAg0CCAIIAggCCAIIAggCCAIIAggCCAIIAggCCAIIAggCCAIIAhsCAwKpAh4AAvUCAgImAgQCBQIGAgcCCAIJAicCCwKOAg0CCAIIAggCCAIIAggCCAIIAggCCAIIAggCCAIIAggCCAIIAhsCAwLWAh4AAvUCAgIiAgQCBQIGAgcCCAIJAicCCwKOAg0CCAIIAggCCAIIAggCCAIIAggCCAIIAggCCAIIAggCCAIIAhsCAwLQAh4AAvUCAgJFAgQCBQIGAgcCCAIJAhwCCwKOAg0CCAIIAggCCAIIAggCCAIIAggCCAIIAggCCAIIAggCCAIIAhsCAwKmAh4AAvUCAgI/AgQCBQIGAgcCCAIJAo0CCwKOAg0CCAIIAggCCAIIAggCCAIIAggCCAIIAggCCAIIAggCCAIIAhsCAwLPAh4AAvUCAgIgAgQCBQIGAgcCCAIJAo0CCwKOAg0CCAIIAggCCAIIAggCCAIIAggCCAIIAggCCAIIAggCCAIIAhsCAwKcAh4AAvUCAgIgAgQCBQIGAgcCCAIJAhwCCwKOAg0CCAIIAggCCAIIAggCCAIIAggCCAIIAggCCAIIAggCCAIIAhsCAwLTAh4AAvYACTg0MzkzOTQ4OAICAvcABjIwMTMxMgIEAgUCBgIHAggCCQIKAgsCDAINAggCCAIIAggCCAIIAggCCAIIAggCCAIIAggCCAIIAggCCAIqAgMC+HNxAH4AAAAAAAJzcQB+AAT///////////////7////+/////3VxAH4ABwAAAAMU5eR4eHoAAAQAAh4AAvkACTg0NTY0NTEwNAICAkECBAIFAgYCBwIIAgkCCgILAgwCDQIIAggCCAIIAggCCAIIAggCCAIIAggCCAIIAggCCAIIAggCIgIDAmECHgAC+QICAh4CBAIFAgYCBwIIAgkCJwILAgwCDQIIAggCCAIIAggCCAIIAggCCAIIAggCCAIIAggCCAIIAggCIgIDAmICHgAC+QICAj0CBAIFAgYCBwIIAgkCCgILAgwCDQIIAggCCAIIAggCCAIIAggCCAIIAggCCAIIAggCCAIIAggCIgIDAmACHgAC+QICAkgCBAIFAgYCBwIIAgkCJwILAgwCDQIIAggCCAIIAggCCAIIAggCCAIIAggCCAIIAggCCAIIAggCIgIDAmMCHgAC+QICAksCBAIFAgYCBwIIAgkCHAILAgwCDQIIAggCCAIIAggCCAIIAggCCAIIAggCCAIIAggCCAIIAggCIgIDAmYCHgAC+QICAk0CBAIFAgYCBwIIAgkCHAILAgwCDQIIAggCCAIIAggCCAIIAggCCAIIAggCCAIIAggCCAIIAggCIgIDAmQCHgAC+QICAgMCBAIFAgYCBwIIAgkCJwILAgwCDQIIAggCCAIIAggCCAIIAggCCAIIAggCCAIIAggCCAIIAggCIgIDAmUCHgAC+QICAjUCBAIFAgYCBwIIAgkCHAILAgwCDQIIAggCCAIIAggCCAIIAggCCAIIAggCCAIIAggCCAIIAggCIgIDAlUCHgAC+QICAlkCBAIFAgYCBwIIAgkCJwILAgwCDQIIAggCCAIIAggCCAIIAggCCAIIAggCCAIIAggCCAIIAggCIgIDAnoCHgAC+QICAikCBAIFAgYCBwIIAgkCCgILAgwCDQIIAggCCAIIAggCCAIIAggCCAIIAggCCAIIAggCCAIIAggCIgIDAlcCHgAC+QICAiYCBAIFAgYCBwIIAgkCCgILAgwCDQIIAggCCAIIAggCCAIIAggCCAIIAggCCAIIAggCCAIIAggCIgIDAlwCHgAC+QICAk8CBAIFAgYCBwIIAgkCHAILAgwCDQIIAggCCAIIAggCCAIIAggCCAIIAggCCAIIAggCCAIIAggCIgIDAnYCHgAC+QICAlICBAIFAgYCBwIIAgkCHAILAgwCDQIIAggCCAIIAggCCAIIAggCCAIIAggCCAIIAggCCAIIAggCIgIDAnsCHgAC+QICAj0CBAIFAgYCBwIIAgkCHAILAgwCDQIIAggCCAIIAggCCAIIAggCCAIIAggCCAIIAggCCAIIAggCIgIDAkcCHgAC+QICAisCBAIFAgYCBwIIAgkCJwILAgwCDQIIAggCCAIIAggCCAIIAggCCHoAAAQAAggCCAIIAggCCAIIAggCCAIiAgMCUQIeAAL5AgICGwIEAgUCBgIHAggCCQInAgsCDAINAggCCAIIAggCCAIIAggCCAIIAggCCAIIAggCCAIIAggCCAIiAgMCRAIeAAL5AgICQQIEAgUCBgIHAggCCQIcAgsCDAINAggCCAIIAggCCAIIAggCCAIIAggCCAIIAggCCAIIAggCCAIiAgMCQwIeAAL5AgICHgIEAgUCBgIHAggCCQIcAgsCDAINAggCCAIIAggCCAIIAggCCAIIAggCCAIIAggCCAIIAggCCAIiAgMCSgIeAAL5AgICWQIEAgUCBgIHAggCCQIKAgsCDAINAggCCAIIAggCCAIIAggCCAIIAggCCAIIAggCCAIIAggCCAIiAgMCWgIeAAL5AgICTwIEAgUCBgIHAggCCQInAgsCDAINAggCCAIIAggCCAIIAggCCAIIAggCCAIIAggCCAIIAggCCAIiAgMCUAIeAAL5AgICSwIEAgUCBgIHAggCCQInAgsCDAINAggCCAIIAggCCAIIAggCCAIIAggCCAIIAggCCAIIAggCCAIiAgMCTAIeAAL5AgICTQIEAgUCBgIHAggCCQIKAgsCDAINAggCCAIIAggCCAIIAggCCAIIAggCCAIIAggCCAIIAggCCAIiAgMCTgIeAAL5AgICOAIEAgUCBgIHAggCCQIKAgsCDAINAggCCAIIAggCCAIIAggCCAIIAggCCAIIAggCCAIIAggCCAIiAgMCVAIeAAL5AgICNQIEAgUCBgIHAggCCQIKAgsCDAINAggCCAIIAggCCAIIAggCCAIIAggCCAIIAggCCAIIAggCCAIiAgMCMQIeAAL5AgICMAIEAgUCBgIHAggCCQIKAgsCDAINAggCCAIIAggCCAIIAggCCAIIAggCCAIIAggCCAIIAggCCAIiAgMCMQIeAAL5AgICIgIEAgUCBgIHAggCCQInAgsCDAINAggCCAIIAggCCAIIAggCCAIIAggCCAIIAggCCAIIAggCCAIiAgMCbQIeAAL5AgICUgIEAgUCBgIHAggCCQInAgsCDAINAggCCAIIAggCCAIIAggCCAIIAggCCAIIAggCCAIIAggCCAIiAgMCUwIeAAL5AgICSAIEAgUCBgIHAggCCQIcAgsCDAINAggCCAIIAggCCAIIAggCCAIIAggCCAIIAggCCAIIAggCCAIiAgMCSQIeAAL5AgICLQIEAgUCBgIHAggCCQIKAgsCDAINAggCCAIIAggCCAIIAggCCAIIAggCCAIIAggCCAIIAggCCAIiAgMCNwIeAAL5AgICJAIEAgUCBgIHAggCCQInAgsCDAINAggCCAIIAnoAAAQACAIIAggCCAIIAggCCAIIAggCCAIIAggCCAIIAiICAwJvAh4AAvkCAgI6AgQCBQIGAgcCCAIJAgoCCwIMAg0CCAIIAggCCAIIAggCCAIIAggCCAIIAggCCAIIAggCCAIIAiICAwI7Ah4AAvkCAgIDAgQCBQIGAgcCCAIJAgoCCwIMAg0CCAIIAggCCAIIAggCCAIIAggCCAIIAggCCAIIAggCCAIIAiICAwIOAh4AAvkCAgIgAgQCBQIGAgcCCAIJAhwCCwIMAg0CCAIIAggCCAIIAggCCAIIAggCCAIIAggCCAIIAggCCAIIAiICAwIhAh4AAvkCAgIrAgQCBQIGAgcCCAIJAhwCCwIMAg0CCAIIAggCCAIIAggCCAIIAggCCAIIAggCCAIIAggCCAIIAiICAwIsAh4AAvkCAgI9AgQCBQIGAgcCCAIJAicCCwIMAg0CCAIIAggCCAIIAggCCAIIAggCCAIIAggCCAIIAggCCAIIAiICAwI+Ah4AAvkCAgI/AgQCBQIGAgcCCAIJAhwCCwIMAg0CCAIIAggCCAIIAggCCAIIAggCCAIIAggCCAIIAggCCAIIAiICAwJAAh4AAvkCAgIiAgQCBQIGAgcCCAIJAgoCCwIMAg0CCAIIAggCCAIIAggCCAIIAggCCAIIAggCCAIIAggCCAIIAiICAwIjAh4AAvkCAgIkAgQCBQIGAgcCCAIJAgoCCwIMAg0CCAIIAggCCAIIAggCCAIIAggCCAIIAggCCAIIAggCCAIIAiICAwIlAh4AAvkCAgImAgQCBQIGAgcCCAIJAicCCwIMAg0CCAIIAggCCAIIAggCCAIIAggCCAIIAggCCAIIAggCCAIIAiICAwIoAh4AAvkCAgIpAgQCBQIGAgcCCAIJAicCCwIMAg0CCAIIAggCCAIIAggCCAIIAggCCAIIAggCCAIIAggCCAIIAiICAwIqAh4AAvkCAgI4AgQCBQIGAgcCCAIJAhwCCwIMAg0CCAIIAggCCAIIAggCCAIIAggCCAIIAggCCAIIAggCCAIIAiICAwI5Ah4AAvkCAgI4AgQCBQIGAgcCCAIJAicCCwIMAg0CCAIIAggCCAIIAggCCAIIAggCCAIIAggCCAIIAggCCAIIAiICAwJ5Ah4AAvkCAgIzAgQCBQIGAgcCCAIJAgoCCwIMAg0CCAIIAggCCAIIAggCCAIIAggCCAIIAggCCAIIAggCCAIIAiICAwI0Ah4AAvkCAgIzAgQCBQIGAgcCCAIJAhwCCwIMAg0CCAIIAggCCAIIAggCCAIIAggCCAIIAggCCAIIAggCCAIIAiICAwJdAh4AAvkCAgItAgQCBQIGAgcCCAIJAhwCC3oAAAQAAgwCDQIIAggCCAIIAggCCAIIAggCCAIIAggCCAIIAggCCAIIAggCIgIDAi4CHgAC+QICAjoCBAIFAgYCBwIIAgkCHAILAgwCDQIIAggCCAIIAggCCAIIAggCCAIIAggCCAIIAggCCAIIAggCIgIDAlsCHgAC+QICAjACBAIFAgYCBwIIAgkCHAILAgwCDQIIAggCCAIIAggCCAIIAggCCAIIAggCCAIIAggCCAIIAggCIgIDAlYCHgAC+QICAiACBAIFAgYCBwIIAgkCJwILAgwCDQIIAggCCAIIAggCCAIIAggCCAIIAggCCAIIAggCCAIIAggCIgIDAl4CHgAC+QICAj8CBAIFAgYCBwIIAgkCJwILAgwCDQIIAggCCAIIAggCCAIIAggCCAIIAggCCAIIAggCCAIIAggCIgIDAl8CHgAC+QICAh4CBAIFAgYCBwIIAgkCCgILAgwCDQIIAggCCAIIAggCCAIIAggCCAIIAggCCAIIAggCCAIIAggCIgIDAh8CHgAC+QICAhsCBAIFAgYCBwIIAgkCHAILAgwCDQIIAggCCAIIAggCCAIIAggCCAIIAggCCAIIAggCCAIIAggCIgIDAh0CHgAC+QICAkgCBAIFAgYCBwIIAgkCCgILAgwCDQIIAggCCAIIAggCCAIIAggCCAIIAggCCAIIAggCCAIIAggCIgIDAn4CHgAC+QICAgMCBAIFAgYCBwIIAgkCHAILAgwCDQIIAggCCAIIAggCCAIIAggCCAIIAggCCAIIAggCCAIIAggCIgIDAnACHgAC+QICAk0CBAIFAgYCBwIIAgkCJwILAgwCDQIIAggCCAIIAggCCAIIAggCCAIIAggCCAIIAggCCAIIAggCIgIDAnECHgAC+QICAksCBAIFAgYCBwIIAgkCCgILAgwCDQIIAggCCAIIAggCCAIIAggCCAIIAggCCAIIAggCCAIIAggCIgIDAnQCHgAC+QICAjoCBAIFAgYCBwIIAgkCJwILAgwCDQIIAggCCAIIAggCCAIIAggCCAIIAggCCAIIAggCCAIIAggCIgIDAngCHgAC+QICAiQCBAIFAgYCBwIIAgkCHAILAgwCDQIIAggCCAIIAggCCAIIAggCCAIIAggCCAIIAggCCAIIAggCIgIDAn0CHgAC+QICAiICBAIFAgYCBwIIAgkCHAILAgwCDQIIAggCCAIIAggCCAIIAggCCAIIAggCCAIIAggCCAIIAggCIgIDAnMCHgAC+QICAj8CBAIFAgYCBwIIAgkCCgILAgwCDQIIAggCCAIIAggCCAIIAggCCAIIAggCCAIIAggCCAIIAggCIgIDAnICHgAC+QICAi0CBAIFAnoAAAQABgIHAggCCQInAgsCDAINAggCCAIIAggCCAIIAggCCAIIAggCCAIIAggCCAIIAggCCAIiAgMCdwIeAAL5AgICIAIEAgUCBgIHAggCCQIKAgsCDAINAggCCAIIAggCCAIIAggCCAIIAggCCAIIAggCCAIIAggCCAIiAgMCdQIeAAL5AgICJgIEAgUCBgIHAggCCQIcAgsCDAINAggCCAIIAggCCAIIAggCCAIIAggCCAIIAggCCAIIAggCCAIiAgMCMgIeAAL5AgICKQIEAgUCBgIHAggCCQIcAgsCDAINAggCCAIIAggCCAIIAggCCAIIAggCCAIIAggCCAIIAggCCAIiAgMCLwIeAAL5AgICTwIEAgUCBgIHAggCCQIKAgsCDAINAggCCAIIAggCCAIIAggCCAIIAggCCAIIAggCCAIIAggCCAIiAgMCaQIeAAL5AgICMwIEAgUCBgIHAggCCQInAgsCDAINAggCCAIIAggCCAIIAggCCAIIAggCCAIIAggCCAIIAggCCAIiAgMCagIeAAL5AgICWQIEAgUCBgIHAggCCQIcAgsCDAINAggCCAIIAggCCAIIAggCCAIIAggCCAIIAggCCAIIAggCCAIiAgMCbgIeAAL5AgICNQIEAgUCBgIHAggCCQInAgsCDAINAggCCAIIAggCCAIIAggCCAIIAggCCAIIAggCCAIIAggCCAIiAgMCNgIeAAL5AgICMAIEAgUCBgIHAggCCQInAgsCDAINAggCCAIIAggCCAIIAggCCAIIAggCCAIIAggCCAIIAggCCAIiAgMCbAIeAAL5AgICGwIEAgUCBgIHAggCCQIKAgsCDAINAggCCAIIAggCCAIIAggCCAIIAggCCAIIAggCCAIIAggCCAIiAgMCPAIeAAL5AgICKwIEAgUCBgIHAggCCQIKAgsCDAINAggCCAIIAggCCAIIAggCCAIIAggCCAIIAggCCAIIAggCCAIiAgMCMQIeAAL5AgICQQIEAgUCBgIHAggCCQInAgsCDAINAggCCAIIAggCCAIIAggCCAIIAggCCAIIAggCCAIIAggCCAIiAgMCQgIeAAL5AgICUgIEAgUCBgIHAggCCQIKAgsCDAINAggCCAIIAggCCAIIAggCCAIIAggCCAIIAggCCAIIAggCCAIiAgMCaAIeAAL6AAk4NTYzNDc0NzICAgJYAgQCBQIGAgcCCAIJAicCCwKOAg0CCAIIAggCCAIIAggCCAIIAggCCAIIAggCCAIIAggCCAIIAgUCAwLXAh4AAvoCAgJZAgQCBQIGAgcCCAIJAicCCwKOAg0CCAIIAggCCAIIAggCCAIIAggCCAIIAggCCAIIAggCCHoAAAQAAggCBQIDAq8CHgAC+gICAoQCBAIFAgYCBwIIAgkCJwILAo4CDQIIAggCCAIIAggCCAIIAggCCAIIAggCCAIIAggCCAIIAggCBQIDAtECHgAC+gICAjUCBAIFAgYCBwIIAgkCJwILAo4CDQIIAggCCAIIAggCCAIIAggCCAIIAggCCAIIAggCCAIIAggCBQIDArcCHgAC+gICAksCBAIFAgYCBwIIAgkCJwILAo4CDQIIAggCCAIIAggCCAIIAggCCAIIAggCCAIIAggCCAIIAggCBQIDAtkCHgAC+gICAk8CBAIFAgYCBwIIAgkCJwILAo4CDQIIAggCCAIIAggCCAIIAggCCAIIAggCCAIIAggCCAIIAggCBQIDArUCHgAC+gICAi0CBAIFAgYCBwIIAgkCJwILAo4CDQIIAggCCAIIAggCCAIIAggCCAIIAggCCAIIAggCCAIIAggCBQIDAsgCHgAC+gICAisCBAIFAgYCBwIIAgkCJwILAo4CDQIIAggCCAIIAggCCAIIAggCCAIIAggCCAIIAggCCAIIAggCBQIDApcCHgAC+gICAiYCBAIFAgYCBwIIAgkCJwILAo4CDQIIAggCCAIIAggCCAIIAggCCAIIAggCCAIIAggCCAIIAggCBQIDAtYCHgAC+gICAgMCBAIFAgYCBwIIAgkCJwILAo4CDQIIAggCCAIIAggCCAIIAggCCAIIAggCCAIIAggCCAIIAggCBQIDAp0CHgAC+gICAh4CBAIFAgYCBwIIAgkCJwILAo4CDQIIAggCCAIIAggCCAIIAggCCAIIAggCCAIIAggCCAIIAggCBQIDAr4CHgAC+gICAoACBAIFAgYCBwIIAgkCJwILAo4CDQIIAggCCAIIAggCCAIIAggCCAIIAggCCAIIAggCCAIIAggCBQIDAuQCHgAC+gICAkUCBAIFAgYCBwIIAgkCJwILAo4CDQIIAggCCAIIAggCCAIIAggCCAIIAggCCAIIAggCCAIIAggCBQIDArECHgAC+gICAoICBAIFAgYCBwIIAgkCJwILAo4CDQIIAggCCAIIAggCCAIIAggCCAIIAggCCAIIAggCCAIIAggCBQIDApUCHgAC+gICAj8CBAIFAgYCBwIIAgkCJwILAo4CDQIIAggCCAIIAggCCAIIAggCCAIIAggCCAIIAggCCAIIAggCBQIDAo8CHgAC+gICAjACBAIFAgYCBwIIAgkCJwILAo4CDQIIAggCCAIIAggCCAIIAggCCAIIAggCCAIIAggCCAIIAggCBQIDAsoCHgAC+gICAkECBAIFAgYCBwIIAgkCJwILAo4CDQIIAggCCAIIAggCCAIIAggCCAIIAnoAAAQACAIIAggCCAIIAggCCAIFAgMCuQIeAAL6AgICJAIEAgUCBgIHAggCCQInAgsCjgINAggCCAIIAggCCAIIAggCCAIIAggCCAIIAggCCAIIAggCCAIFAgMCoAIeAAL7AAk5ODg1NTEyNjQCAgIpAgQCBQIGAgcCCAIJAhwCCwKOAg0CCAIIAggCCAIIAggCCAIIAggCCAIIAggCCAIIAggCCAIIAAIDAt0CHgAC+wICAp4CBAIFAgYCBwIIAgkCHAILAo4CDQIIAggCCAIIAggCCAIIAggCCAIIAggCCAIIAggCCAIIAggAAgMCnwIeAAL7AgICUgIEAgUCBgIHAggCCQInAgsCjgINAggCCAIIAggCCAIIAggCCAIIAggCCAIIAggCCAIIAggCCAACAwLcAh4AAvsCAgKbAgQCBQIGAgcCCAIJAo0CCwKOAg0CCAIIAggCCAIIAggCCAIIAggCCAIIAggCCAIIAggCCAIIAAIDAjECHgAC+wICAiYCBAIFAgYCBwIIAgkCjQILAo4CDQIIAggCCAIIAggCCAIIAggCCAIIAggCCAIIAggCCAIIAggAAgMC3gIeAAL7AgICGwIEAgUCBgIHAggCCQKNAgsCjgINAggCCAIIAggCCAIIAggCCAIIAggCCAIIAggCCAIIAggCCAACAwKoAh4AAvsCAgI1AgQCBQIGAgcCCAIJAicCCwKOAg0CCAIIAggCCAIIAggCCAIIAggCCAIIAggCCAIIAggCCAIIAAIDArcCHgAC+wICAksCBAIFAgYCBwIIAgkCJwILAo4CDQIIAggCCAIIAggCCAIIAggCCAIIAggCCAIIAggCCAIIAggAAgMC2QIeAAL7AgICQQIEAgUCBgIHAggCCQIcAgsCjgINAggCCAIIAggCCAIIAggCCAIIAggCCAIIAggCCAIIAggCCAACAwKzAh4AAvsCAgKtAgQCBQIGAgcCCAIJAo0CCwKOAg0CCAIIAggCCAIIAggCCAIIAggCCAIIAggCCAIIAggCCAIIAAIDAjECHgAC+wICAj0CBAIFAgYCBwIIAgkCjQILAo4CDQIIAggCCAIIAggCCAIIAggCCAIIAggCCAIIAggCCAIIAggAAgMCsgIeAAL7AgICTwIEAgUCBgIHAggCCQKNAgsCjgINAggCCAIIAggCCAIIAggCCAIIAggCCAIIAggCCAIIAggCCAACAwLYAh4AAvsCAgKEAgQCBQIGAgcCCAIJAo0CCwKOAg0CCAIIAggCCAIIAggCCAIIAggCCAIIAggCCAIIAggCCAIIAAIDAjECHgAC+wICAjgCBAIFAgYCBwIIAgkCJwILAo4CDQIIAggCCAIIAggCCHoAAAQAAggCCAIIAggCCAIIAggCCAIIAggCCAACAwKTAh4AAvsCAgIpAgQCBQIGAgcCCAIJAicCCwKOAg0CCAIIAggCCAIIAggCCAIIAggCCAIIAggCCAIIAggCCAIIAAIDAqkCHgAC+wICAlICBAIFAgYCBwIIAgkCHAILAo4CDQIIAggCCAIIAggCCAIIAggCCAIIAggCCAIIAggCCAIIAggAAgMCqwIeAAL7AgICWAIEAgUCBgIHAggCCQInAgsCjgINAggCCAIIAggCCAIIAggCCAIIAggCCAIIAggCCAIIAggCCAACAwLXAh4AAvsCAgI/AgQCBQIGAgcCCAIJAhwCCwKOAg0CCAIIAggCCAIIAggCCAIIAggCCAIIAggCCAIIAggCCAIIAAIDAqECHgAC+wICAkUCBAIFAgYCBwIIAgkCjQILAo4CDQIIAggCCAIIAggCCAIIAggCCAIIAggCCAIIAggCCAIIAggAAgMCMQIeAAL7AgICSwIEAgUCBgIHAggCCQIcAgsCjgINAggCCAIIAggCCAIIAggCCAIIAggCCAIIAggCCAIIAggCCAACAwLVAh4AAvsCAgIrAgQCBQIGAgcCCAIJAhwCCwKOAg0CCAIIAggCCAIIAggCCAIIAggCCAIIAggCCAIIAggCCAIIAAIDAqQCHgAC+wICAiACBAIFAgYCBwIIAgkCjQILAo4CDQIIAggCCAIIAggCCAIIAggCCAIIAggCCAIIAggCCAIIAggAAgMCnAIeAAL7AgICjAIEAgUCBgIHAggCCQInAgsCjgINAggCCAIIAggCCAIIAggCCAIIAggCCAIIAggCCAIIAggCCAACAwLNAh4AAvsCAgKeAgQCBQIGAgcCCAIJAicCCwKOAg0CCAIIAggCCAIIAggCCAIIAggCCAIIAggCCAIIAggCCAIIAAIDAqUCHgAC+wICAlgCBAIFAgYCBwIIAgkCjQILAo4CDQIIAggCCAIIAggCCAIIAggCCAIIAggCCAIIAggCCAIIAggAAgMCMQIeAAL7AgICHgIEAgUCBgIHAggCCQIcAgsCjgINAggCCAIIAggCCAIIAggCCAIIAggCCAIIAggCCAIIAggCCAACAwLJAh4AAvsCAgIzAgQCBQIGAgcCCAIJAicCCwKOAg0CCAIIAggCCAIIAggCCAIIAggCCAIIAggCCAIIAggCCAIIAAIDAroCHgAC+wICAqICBAIFAgYCBwIIAgkCjQILAo4CDQIIAggCCAIIAggCCAIIAggCCAIIAggCCAIIAggCCAIIAggAAgMCMQIeAAL7AgICJAIEAgUCBgIHAggCCQInAgsCjgINAggCCAIIAggCCAIIAggCCHoAAAQAAggCCAIIAggCCAIIAggCCAIIAAIDAqACHgAC+wICAkgCBAIFAgYCBwIIAgkCjQILAo4CDQIIAggCCAIIAggCCAIIAggCCAIIAggCCAIIAggCCAIIAggAAgMCzAIeAAL7AgICGwIEAgUCBgIHAggCCQInAgsCjgINAggCCAIIAggCCAIIAggCCAIIAggCCAIIAggCCAIIAggCCAACAwLLAh4AAvsCAgKAAgQCBQIGAgcCCAIJAo0CCwKOAg0CCAIIAggCCAIIAggCCAIIAggCCAIIAggCCAIIAggCCAIIAAIDAjECHgAC+wICAowCBAIFAgYCBwIIAgkCHAILAo4CDQIIAggCCAIIAggCCAIIAggCCAIIAggCCAIIAggCCAIIAggAAgMCowIeAAL7AgICIAIEAgUCBgIHAggCCQInAgsCjgINAggCCAIIAggCCAIIAggCCAIIAggCCAIIAggCCAIIAggCCAACAwLBAh4AAvsCAgI6AgQCBQIGAgcCCAIJAicCCwKOAg0CCAIIAggCCAIIAggCCAIIAggCCAIIAggCCAIIAggCCAIIAAIDApQCHgAC+wICAiICBAIFAgYCBwIIAgkCHAILAo4CDQIIAggCCAIIAggCCAIIAggCCAIIAggCCAIIAggCCAIIAggAAgMCxwIeAAL7AgICMwIEAgUCBgIHAggCCQIcAgsCjgINAggCCAIIAggCCAIIAggCCAIIAggCCAIIAggCCAIIAggCCAACAwKSAh4AAvsCAgKCAgQCBQIGAgcCCAIJAicCCwKOAg0CCAIIAggCCAIIAggCCAIIAggCCAIIAggCCAIIAggCCAIIAAIDApUCHgAC+wICAjoCBAIFAgYCBwIIAgkCHAILAo4CDQIIAggCCAIIAggCCAIIAggCCAIIAggCCAIIAggCCAIIAggAAgMCvwIeAAL7AgICNQIEAgUCBgIHAggCCQIcAgsCjgINAggCCAIIAggCCAIIAggCCAIIAggCCAIIAggCCAIIAggCCAACAwKuAh4AAvsCAgKCAgQCBQIGAgcCCAIJAhwCCwKOAg0CCAIIAggCCAIIAggCCAIIAggCCAIIAggCCAIIAggCCAIIAAIDAr0CHgAC+wICAjACBAIFAgYCBwIIAgkCjQILAo4CDQIIAggCCAIIAggCCAIIAggCCAIIAggCCAIIAggCCAIIAggAAgMCMQIeAAL7AgICAwIEAgUCBgIHAggCCQKNAgsCjgINAggCCAIIAggCCAIIAggCCAIIAggCCAIIAggCCAIIAggCCAACAwLOAh4AAvsCAgKbAgQCBQIGAgcCCAIJAicCCwKOAg0CCAIIAggCCAIIAggCCAIIAggCCHoAAAQAAggCCAIIAggCCAIIAggAAgMCwgIeAAL7AgICHgIEAgUCBgIHAggCCQInAgsCjgINAggCCAIIAggCCAIIAggCCAIIAggCCAIIAggCCAIIAggCCAACAwK+Ah4AAvsCAgJBAgQCBQIGAgcCCAIJAicCCwKOAg0CCAIIAggCCAIIAggCCAIIAggCCAIIAggCCAIIAggCCAIIAAIDArkCHgAC+wICAi0CBAIFAgYCBwIIAgkCjQILAo4CDQIIAggCCAIIAggCCAIIAggCCAIIAggCCAIIAggCCAIIAggAAgMCwAIeAAL7AgICTQIEAgUCBgIHAggCCQIcAgsCjgINAggCCAIIAggCCAIIAggCCAIIAggCCAIIAggCCAIIAggCCAACAwK8Ah4AAvsCAgJZAgQCBQIGAgcCCAIJAhwCCwKOAg0CCAIIAggCCAIIAggCCAIIAggCCAIIAggCCAIIAggCCAIIAAIDArgCHgAC+wICAjgCBAIFAgYCBwIIAgkCjQILAo4CDQIIAggCCAIIAggCCAIIAggCCAIIAggCCAIIAggCCAIIAggAAgMCuwIeAAL7AgICTwIEAgUCBgIHAggCCQInAgsCjgINAggCCAIIAggCCAIIAggCCAIIAggCCAIIAggCCAIIAggCCAACAwK1Ah4AAvsCAgImAgQCBQIGAgcCCAIJAhwCCwKOAg0CCAIIAggCCAIIAggCCAIIAggCCAIIAggCCAIIAggCCAIIAAIDArYCHgAC+wICAikCBAIFAgYCBwIIAgkCjQILAo4CDQIIAggCCAIIAggCCAIIAggCCAIIAggCCAIIAggCCAIIAggAAgMCtAIeAAL7AgICrQIEAgUCBgIHAggCCQInAgsCjgINAggCCAIIAggCCAIIAggCCAIIAggCCAIIAggCCAIIAggCCAACAwLNAh4AAvsCAgKtAgQCBQIGAgcCCAIJAhwCCwKOAg0CCAIIAggCCAIIAggCCAIIAggCCAIIAggCCAIIAggCCAIIAAIDAqMCHgAC+wICAkECBAIFAgYCBwIIAgkCjQILAo4CDQIIAggCCAIIAggCCAIIAggCCAIIAggCCAIIAggCCAIIAggAAgMC2gIeAAL7AgICTQIEAgUCBgIHAggCCQInAgsCjgINAggCCAIIAggCCAIIAggCCAIIAggCCAIIAggCCAIIAggCCAACAwKwAh4AAvsCAgKeAgQCBQIGAgcCCAIJAo0CCwKOAg0CCAIIAggCCAIIAggCCAIIAggCCAIIAggCCAIIAggCCAIIAAIDAjECHgAC+wICAj0CBAIFAgYCBwIIAgkCHAILAo4CDQIIAggCCAIIAggCCAIIAggCCAIIAggCCHoAAAQAAggCCAIIAggCCAACAwLbAh4AAvsCAgJFAgQCBQIGAgcCCAIJAicCCwKOAg0CCAIIAggCCAIIAggCCAIIAggCCAIIAggCCAIIAggCCAIIAAIDArECHgAC+wICAjMCBAIFAgYCBwIIAgkCjQILAo4CDQIIAggCCAIIAggCCAIIAggCCAIIAggCCAIIAggCCAIIAggAAgMCxAIeAAL7AgICWQIEAgUCBgIHAggCCQInAgsCjgINAggCCAIIAggCCAIIAggCCAIIAggCCAIIAggCCAIIAggCCAACAwKvAh4AAvsCAgIkAgQCBQIGAgcCCAIJAo0CCwKOAg0CCAIIAggCCAIIAggCCAIIAggCCAIIAggCCAIIAggCCAIIAAIDAsUCHgAC+wICAk8CBAIFAgYCBwIIAgkCHAILAo4CDQIIAggCCAIIAggCCAIIAggCCAIIAggCCAIIAggCCAIIAggAAgMCrAIeAAL7AgICGwIEAgUCBgIHAggCCQIcAgsCjgINAggCCAIIAggCCAIIAggCCAIIAggCCAIIAggCCAIIAggCCAACAwLUAh4AAvsCAgKEAgQCBQIGAgcCCAIJAhwCCwKOAg0CCAIIAggCCAIIAggCCAIIAggCCAIIAggCCAIIAggCCAIIAAIDAsMCHgAC+wICAlICBAIFAgYCBwIIAgkCjQILAo4CDQIIAggCCAIIAggCCAIIAggCCAIIAggCCAIIAggCCAIIAggAAgMCpwIeAAL7AgICIAIEAgUCBgIHAggCCQIcAgsCjgINAggCCAIIAggCCAIIAggCCAIIAggCCAIIAggCCAIIAggCCAACAwLTAh4AAvsCAgIrAgQCBQIGAgcCCAIJAo0CCwKOAg0CCAIIAggCCAIIAggCCAIIAggCCAIIAggCCAIIAggCCAIIAAIDAjECHgAC+wICApsCBAIFAgYCBwIIAgkCHAILAo4CDQIIAggCCAIIAggCCAIIAggCCAIIAggCCAIIAggCCAIIAggAAgMC0gIeAAL7AgICAwIEAgUCBgIHAggCCQInAgsCjgINAggCCAIIAggCCAIIAggCCAIIAggCCAIIAggCCAIIAggCCAACAwKdAh4AAvsCAgJLAgQCBQIGAgcCCAIJAo0CCwKOAg0CCAIIAggCCAIIAggCCAIIAggCCAIIAggCCAIIAggCCAIIAAIDAqoCHgAC+wICAj8CBAIFAgYCBwIIAgkCjQILAo4CDQIIAggCCAIIAggCCAIIAggCCAIIAggCCAIIAggCCAIIAggAAgMCzwIeAAL7AgICJgIEAgUCBgIHAggCCQInAgsCjgINAggCCAIIAggCCAIIAggCCAIIAggCCAIIAggCCHoAAAQAAggCCAIIAAIDAtYCHgAC+wICAkUCBAIFAgYCBwIIAgkCHAILAo4CDQIIAggCCAIIAggCCAIIAggCCAIIAggCCAIIAggCCAIIAggAAgMCpgIeAAL7AgICogIEAgUCBgIHAggCCQIcAgsCjgINAggCCAIIAggCCAIIAggCCAIIAggCCAIIAggCCAIIAggCCAACAwKjAh4AAvsCAgJZAgQCBQIGAgcCCAIJAo0CCwKOAg0CCAIIAggCCAIIAggCCAIIAggCCAIIAggCCAIIAggCCAIIAAIDAuECHgAC+wICAjACBAIFAgYCBwIIAgkCJwILAo4CDQIIAggCCAIIAggCCAIIAggCCAIIAggCCAIIAggCCAIIAggAAgMCygIeAAL7AgICIgIEAgUCBgIHAggCCQInAgsCjgINAggCCAIIAggCCAIIAggCCAIIAggCCAIIAggCCAIIAggCCAACAwLQAh4AAvsCAgJIAgQCBQIGAgcCCAIJAhwCCwKOAg0CCAIIAggCCAIIAggCCAIIAggCCAIIAggCCAIIAggCCAIIAAIDApkCHgAC+wICAlgCBAIFAgYCBwIIAgkCHAILAo4CDQIIAggCCAIIAggCCAIIAggCCAIIAggCCAIIAggCCAIIAggAAgMC3wIeAAL7AgIChAIEAgUCBgIHAggCCQInAgsCjgINAggCCAIIAggCCAIIAggCCAIIAggCCAIIAggCCAIIAggCCAACAwLRAh4AAvsCAgIrAgQCBQIGAgcCCAIJAicCCwKOAg0CCAIIAggCCAIIAggCCAIIAggCCAIIAggCCAIIAggCCAIIAAIDApcCHgAC+wICAh4CBAIFAgYCBwIIAgkCjQILAo4CDQIIAggCCAIIAggCCAIIAggCCAIIAggCCAIIAggCCAIIAggAAgMCmgIeAAL7AgICJAIEAgUCBgIHAggCCQIcAgsCjgINAggCCAIIAggCCAIIAggCCAIIAggCCAIIAggCCAIIAggCCAACAwKRAh4AAvsCAgKMAgQCBQIGAgcCCAIJAo0CCwKOAg0CCAIIAggCCAIIAggCCAIIAggCCAIIAggCCAIIAggCCAIIAAIDAjECHgAC+wICAgMCBAIFAgYCBwIIAgkCHAILAo4CDQIIAggCCAIIAggCCAIIAggCCAIIAggCCAIIAggCCAIIAggAAgMCmAIeAAL7AgICLQIEAgUCBgIHAggCCQInAgsCjgINAggCCAIIAggCCAIIAggCCAIIAggCCAIIAggCCAIIAggCCAACAwLIAh4AAvsCAgKAAgQCBQIGAgcCCAIJAhwCCwKOAg0CCAIIAggCCAIIAggCCAIIAggCCAIIAggCCAIIAggCCHoAAAQAAggAAgMClgIeAAL7AgICIgIEAgUCBgIHAggCCQKNAgsCjgINAggCCAIIAggCCAIIAggCCAIIAggCCAIIAggCCAIIAggCCAACAwKQAh4AAvsCAgIwAgQCBQIGAgcCCAIJAhwCCwKOAg0CCAIIAggCCAIIAggCCAIIAggCCAIIAggCCAIIAggCCAIIAAIDAsYCHgAC+wICAjUCBAIFAgYCBwIIAgkCjQILAo4CDQIIAggCCAIIAggCCAIIAggCCAIIAggCCAIIAggCCAIIAggAAgMCMQIeAAL7AgICLQIEAgUCBgIHAggCCQIcAgsCjgINAggCCAIIAggCCAIIAggCCAIIAggCCAIIAggCCAIIAggCCAACAwLmAh4AAvsCAgI/AgQCBQIGAgcCCAIJAicCCwKOAg0CCAIIAggCCAIIAggCCAIIAggCCAIIAggCCAIIAggCCAIIAAIDAo8CHgAC+wICAjoCBAIFAgYCBwIIAgkCjQILAo4CDQIIAggCCAIIAggCCAIIAggCCAIIAggCCAIIAggCCAIIAggAAgMC5QIeAAL7AgICogIEAgUCBgIHAggCCQInAgsCjgINAggCCAIIAggCCAIIAggCCAIIAggCCAIIAggCCAIIAggCCAACAwLNAh4AAvsCAgJNAgQCBQIGAgcCCAIJAo0CCwKOAg0CCAIIAggCCAIIAggCCAIIAggCCAIIAggCCAIIAggCCAIIAAIDAuMCHgAC+wICAoICBAIFAgYCBwIIAgkCjQILAo4CDQIIAggCCAIIAggCCAIIAggCCAIIAggCCAIIAggCCAIIAggAAgMCMQIeAAL7AgICPQIEAgUCBgIHAggCCQInAgsCjgINAggCCAIIAggCCAIIAggCCAIIAggCCAIIAggCCAIIAggCCAACAwLiAh4AAvsCAgJIAgQCBQIGAgcCCAIJAicCCwKOAg0CCAIIAggCCAIIAggCCAIIAggCCAIIAggCCAIIAggCCAIIAAIDAucCHgAC+wICAjgCBAIFAgYCBwIIAgkCHAILAo4CDQIIAggCCAIIAggCCAIIAggCCAIIAggCCAIIAggCCAIIAggAAgMC4AIeAAL7AgICgAIEAgUCBgIHAggCCQInAgsCjgINAggCCAIIAggCCAIIAggCCAIIAggCCAIIAggCCAIIAggCCAACAwLkAh4AAvwACjEyMTYxMzc2NDgCAgIeAgQCBQIGAgcCCAIJAhwCCwIMAg0CCAIIAggCCAIIAggCCAIIAggCCAIIAggCCAIIAggCCAIIAhoCAwJKAh4AAvwCAgIzAgQCBQIGAgcCCAIJAicCCwIMAg0CCAIIAggCCAIIAggCCAIIAggCCAIIAnoAAAQACAIIAggCCAIIAggCGgIDAmoCHgAC/AICAjoCBAIFAgYCBwIIAgkCJwILAgwCDQIIAggCCAIIAggCCAIIAggCCAIIAggCCAIIAggCCAIIAggCGgIDAngCHgAC/AICAkgCBAIFAgYCBwIIAgkCHAILAgwCDQIIAggCCAIIAggCCAIIAggCCAIIAggCCAIIAggCCAIIAggCGgIDAkkCHgAC/AICAjUCBAIFAgYCBwIIAgkCCgILAgwCDQIIAggCCAIIAggCCAIIAggCCAIIAggCCAIIAggCCAIIAggCGgIDAjECHgAC/AICAksCBAIFAgYCBwIIAgkCCgILAgwCDQIIAggCCAIIAggCCAIIAggCCAIIAggCCAIIAggCCAIIAggCGgIDAnQCHgAC/AICAiICBAIFAgYCBwIIAgkCJwILAgwCDQIIAggCCAIIAggCCAIIAggCCAIIAggCCAIIAggCCAIIAggCGgIDAm0CHgAC/AICAoQCBAIFAgYCBwIIAgkCJwILAgwCDQIIAggCCAIIAggCCAIIAggCCAIIAggCCAIIAggCCAIIAggCGgIDAoUCHgAC/AICAk8CBAIFAgYCBwIIAgkCCgILAgwCDQIIAggCCAIIAggCCAIIAggCCAIIAggCCAIIAggCCAIIAggCGgIDAmkCHgAC/AICAlgCBAIFAgYCBwIIAgkCHAILAgwCDQIIAggCCAIIAggCCAIIAggCCAIIAggCCAIIAggCCAIIAggCGgIDAmsCHgAC/AICAjACBAIFAgYCBwIIAgkCJwILAgwCDQIIAggCCAIIAggCCAIIAggCCAIIAggCCAIIAggCCAIIAggCGgIDAmwCHgAC/AICAlICBAIFAgYCBwIIAgkCCgILAgwCDQIIAggCCAIIAggCCAIIAggCCAIIAggCCAIIAggCCAIIAggCGgIDAmgCHgAC/AICAiQCBAIFAgYCBwIIAgkCJwILAgwCDQIIAggCCAIIAggCCAIIAggCCAIIAggCCAIIAggCCAIIAggCGgIDAm8CHgAC/AICAiICBAIFAgYCBwIIAgkCHAILAgwCDQIIAggCCAIIAggCCAIIAggCCAIIAggCCAIIAggCCAIIAggCGgIDAnMCHgAC/AICAoQCBAIFAgYCBwIIAgkCHAILAgwCDQIIAggCCAIIAggCCAIIAggCCAIIAggCCAIIAggCCAIIAggCGgIDAocCHgAC/AICAiQCBAIFAgYCBwIIAgkCHAILAgwCDQIIAggCCAIIAggCCAIIAggCCAIIAggCCAIIAggCCAIIAggCGgIDAn0CHgAC/AICAiACBAIFAgYCBwIIAgkCJwILAgwCDQIIAggCCAIIAggCCHoAAAQAAggCCAIIAggCCAIIAggCCAIIAggCCAIaAgMCXgIeAAL8AgICGwIEAgUCBgIHAggCCQInAgsCDAINAggCCAIIAggCCAIIAggCCAIIAggCCAIIAggCCAIIAggCCAIaAgMCRAIeAAL8AgICWAIEAgUCBgIHAggCCQIKAgsCDAINAggCCAIIAggCCAIIAggCCAIIAggCCAIIAggCCAIIAggCCAIaAgMCMQIeAAL8AgICRQIEAgUCBgIHAggCCQIKAgsCDAINAggCCAIIAggCCAIIAggCCAIIAggCCAIIAggCCAIIAggCCAIaAgMCMQIeAAL8AgICAwIEAgUCBgIHAggCCQIcAgsCDAINAggCCAIIAggCCAIIAggCCAIIAggCCAIIAggCCAIIAggCCAIaAgMCcAIeAAL8AgICMwIEAgUCBgIHAggCCQIcAgsCDAINAggCCAIIAggCCAIIAggCCAIIAggCCAIIAggCCAIIAggCCAIaAgMCXQIeAAL8AgICWQIEAgUCBgIHAggCCQIKAgsCDAINAggCCAIIAggCCAIIAggCCAIIAggCCAIIAggCCAIIAggCCAIaAgMCWgIeAAL8AgICKwIEAgUCBgIHAggCCQInAgsCDAINAggCCAIIAggCCAIIAggCCAIIAggCCAIIAggCCAIIAggCCAIaAgMCUQIeAAL8AgICgAIEAgUCBgIHAggCCQIcAgsCDAINAggCCAIIAggCCAIIAggCCAIIAggCCAIIAggCCAIIAggCCAIaAgMCgwIeAAL8AgICLQIEAgUCBgIHAggCCQInAgsCDAINAggCCAIIAggCCAIIAggCCAIIAggCCAIIAggCCAIIAggCCAIaAgMCdwIeAAL8AgICTQIEAgUCBgIHAggCCQIKAgsCDAINAggCCAIIAggCCAIIAggCCAIIAggCCAIIAggCCAIIAggCCAIaAgMCTgIeAAL8AgICLQIEAgUCBgIHAggCCQIcAgsCDAINAggCCAIIAggCCAIIAggCCAIIAggCCAIIAggCCAIIAggCCAIaAgMCLgIeAAL8AgICTQIEAgUCBgIHAggCCQIcAgsCDAINAggCCAIIAggCCAIIAggCCAIIAggCCAIIAggCCAIIAggCCAIaAgMCZAIeAAL8AgICOgIEAgUCBgIHAggCCQIcAgsCDAINAggCCAIIAggCCAIIAggCCAIIAggCCAIIAggCCAIIAggCCAIaAgMCWwIeAAL8AgICNQIEAgUCBgIHAggCCQIcAgsCDAINAggCCAIIAggCCAIIAggCCAIIAggCCAIIAggCCAIIAggCCAIaAgMCVQIeAAL8AgICMAIEAgUCBgIHAggCCQIcAgsCDAINAnoAAAQACAIIAggCCAIIAggCCAIIAggCCAIIAggCCAIIAggCCAIIAhoCAwJWAh4AAvwCAgImAgQCBQIGAgcCCAIJAgoCCwIMAg0CCAIIAggCCAIIAggCCAIIAggCCAIIAggCCAIIAggCCAIIAhoCAwJcAh4AAvwCAgIDAgQCBQIGAgcCCAIJAgoCCwIMAg0CCAIIAggCCAIIAggCCAIIAggCCAIIAggCCAIIAggCCAIIAhoCAwIOAh4AAvwCAgIpAgQCBQIGAgcCCAIJAgoCCwIMAg0CCAIIAggCCAIIAggCCAIIAggCCAIIAggCCAIIAggCCAIIAhoCAwJXAh4AAvwCAgI/AgQCBQIGAgcCCAIJAicCCwIMAg0CCAIIAggCCAIIAggCCAIIAggCCAIIAggCCAIIAggCCAIIAhoCAwJfAh4AAvwCAgJBAgQCBQIGAgcCCAIJAicCCwIMAg0CCAIIAggCCAIIAggCCAIIAggCCAIIAggCCAIIAggCCAIIAhoCAwJCAh4AAvwCAgI9AgQCBQIGAgcCCAIJAicCCwIMAg0CCAIIAggCCAIIAggCCAIIAggCCAIIAggCCAIIAggCCAIIAhoCAwI+Ah4AAvwCAgIkAgQCBQIGAgcCCAIJAgoCCwIMAg0CCAIIAggCCAIIAggCCAIIAggCCAIIAggCCAIIAggCCAIIAhoCAwIlAh4AAvwCAgJZAgQCBQIGAgcCCAIJAhwCCwIMAg0CCAIIAggCCAIIAggCCAIIAggCCAIIAggCCAIIAggCCAIIAhoCAwJuAh4AAvwCAgI4AgQCBQIGAgcCCAIJAhwCCwIMAg0CCAIIAggCCAIIAggCCAIIAggCCAIIAggCCAIIAggCCAIIAhoCAwI5Ah4AAvwCAgKEAgQCBQIGAgcCCAIJAgoCCwIMAg0CCAIIAggCCAIIAggCCAIIAggCCAIIAggCCAIIAggCCAIIAhoCAwIxAh4AAvwCAgJIAgQCBQIGAgcCCAIJAicCCwIMAg0CCAIIAggCCAIIAggCCAIIAggCCAIIAggCCAIIAggCCAIIAhoCAwJjAh4AAvwCAgKAAgQCBQIGAgcCCAIJAicCCwIMAg0CCAIIAggCCAIIAggCCAIIAggCCAIIAggCCAIIAggCCAIIAhoCAwKBAh4AAvwCAgIeAgQCBQIGAgcCCAIJAicCCwIMAg0CCAIIAggCCAIIAggCCAIIAggCCAIIAggCCAIIAggCCAIIAhoCAwJiAh4AAvwCAgIiAgQCBQIGAgcCCAIJAgoCCwIMAg0CCAIIAggCCAIIAggCCAIIAggCCAIIAggCCAIIAggCCAIIAhoCAwIjAh4AAvwCAgI1AgQCBQIGAgcCCHoAAAQAAgkCJwILAgwCDQIIAggCCAIIAggCCAIIAggCCAIIAggCCAIIAggCCAIIAggCGgIDAjYCHgAC/AICAi0CBAIFAgYCBwIIAgkCCgILAgwCDQIIAggCCAIIAggCCAIIAggCCAIIAggCCAIIAggCCAIIAggCGgIDAjcCHgAC/AICAlICBAIFAgYCBwIIAgkCJwILAgwCDQIIAggCCAIIAggCCAIIAggCCAIIAggCCAIIAggCCAIIAggCGgIDAlMCHgAC/AICAikCBAIFAgYCBwIIAgkCHAILAgwCDQIIAggCCAIIAggCCAIIAggCCAIIAggCCAIIAggCCAIIAggCGgIDAi8CHgAC/AICAkECBAIFAgYCBwIIAgkCHAILAgwCDQIIAggCCAIIAggCCAIIAggCCAIIAggCCAIIAggCCAIIAggCGgIDAkMCHgAC/AICAk0CBAIFAgYCBwIIAgkCJwILAgwCDQIIAggCCAIIAggCCAIIAggCCAIIAggCCAIIAggCCAIIAggCGgIDAnECHgAC/AICAisCBAIFAgYCBwIIAgkCCgILAgwCDQIIAggCCAIIAggCCAIIAggCCAIIAggCCAIIAggCCAIIAggCGgIDAjECHgAC/AICAhsCBAIFAgYCBwIIAgkCCgILAgwCDQIIAggCCAIIAggCCAIIAggCCAIIAggCCAIIAggCCAIIAggCGgIDAjwCHgAC/AICAjoCBAIFAgYCBwIIAgkCCgILAgwCDQIIAggCCAIIAggCCAIIAggCCAIIAggCCAIIAggCCAIIAggCGgIDAjsCHgAC/AICAkUCBAIFAgYCBwIIAgkCJwILAgwCDQIIAggCCAIIAggCCAIIAggCCAIIAggCCAIIAggCCAIIAggCGgIDAkYCHgAC/AICAj8CBAIFAgYCBwIIAgkCCgILAgwCDQIIAggCCAIIAggCCAIIAggCCAIIAggCCAIIAggCCAIIAggCGgIDAnICHgAC/AICAj0CBAIFAgYCBwIIAgkCHAILAgwCDQIIAggCCAIIAggCCAIIAggCCAIIAggCCAIIAggCCAIIAggCGgIDAkcCHgAC/AICAiYCBAIFAgYCBwIIAgkCHAILAgwCDQIIAggCCAIIAggCCAIIAggCCAIIAggCCAIIAggCCAIIAggCGgIDAjICHgAC/AICAjgCBAIFAgYCBwIIAgkCCgILAgwCDQIIAggCCAIIAggCCAIIAggCCAIIAggCCAIIAggCCAIIAggCGgIDAlQCHgAC/AICAk8CBAIFAgYCBwIIAgkCJwILAgwCDQIIAggCCAIIAggCCAIIAggCCAIIAggCCAIIAggCCAIIAggCGgIDAlACHgAC/AICAnoAAAQASwIEAgUCBgIHAggCCQInAgsCDAINAggCCAIIAggCCAIIAggCCAIIAggCCAIIAggCCAIIAggCCAIaAgMCTAIeAAL8AgICIAIEAgUCBgIHAggCCQIKAgsCDAINAggCCAIIAggCCAIIAggCCAIIAggCCAIIAggCCAIIAggCCAIaAgMCdQIeAAL8AgICKQIEAgUCBgIHAggCCQInAgsCDAINAggCCAIIAggCCAIIAggCCAIIAggCCAIIAggCCAIIAggCCAIaAgMCKgIeAAL8AgICHgIEAgUCBgIHAggCCQIKAgsCDAINAggCCAIIAggCCAIIAggCCAIIAggCCAIIAggCCAIIAggCCAIaAgMCHwIeAAL8AgICgAIEAgUCBgIHAggCCQIKAgsCDAINAggCCAIIAggCCAIIAggCCAIIAggCCAIIAggCCAIIAggCCAIaAgMCMQIeAAL8AgICGwIEAgUCBgIHAggCCQIcAgsCDAINAggCCAIIAggCCAIIAggCCAIIAggCCAIIAggCCAIIAggCCAIaAgMCHQIeAAL8AgICKwIEAgUCBgIHAggCCQIcAgsCDAINAggCCAIIAggCCAIIAggCCAIIAggCCAIIAggCCAIIAggCCAIaAgMCLAIeAAL8AgICOAIEAgUCBgIHAggCCQInAgsCDAINAggCCAIIAggCCAIIAggCCAIIAggCCAIIAggCCAIIAggCCAIaAgMCeQIeAAL8AgICWAIEAgUCBgIHAggCCQInAgsCDAINAggCCAIIAggCCAIIAggCCAIIAggCCAIIAggCCAIIAggCCAIaAgMCfAIeAAL8AgICWQIEAgUCBgIHAggCCQInAgsCDAINAggCCAIIAggCCAIIAggCCAIIAggCCAIIAggCCAIIAggCCAIaAgMCegIeAAL8AgICSAIEAgUCBgIHAggCCQIKAgsCDAINAggCCAIIAggCCAIIAggCCAIIAggCCAIIAggCCAIIAggCCAIaAgMCfgIeAAL8AgICAwIEAgUCBgIHAggCCQInAgsCDAINAggCCAIIAggCCAIIAggCCAIIAggCCAIIAggCCAIIAggCCAIaAgMCZQIeAAL8AgICIAIEAgUCBgIHAggCCQIcAgsCDAINAggCCAIIAggCCAIIAggCCAIIAggCCAIIAggCCAIIAggCCAIaAgMCIQIeAAL8AgICPwIEAgUCBgIHAggCCQIcAgsCDAINAggCCAIIAggCCAIIAggCCAIIAggCCAIIAggCCAIIAggCCAIaAgMCQAIeAAL8AgICUgIEAgUCBgIHAggCCQIcAgsCDAINAggCCAIIAggCCAIIAggCCAIIAggCCAIIAggCCAIIAggCCAIaAnoAAAQAAwJ7Ah4AAvwCAgIzAgQCBQIGAgcCCAIJAgoCCwIMAg0CCAIIAggCCAIIAggCCAIIAggCCAIIAggCCAIIAggCCAIIAhoCAwI0Ah4AAvwCAgJPAgQCBQIGAgcCCAIJAhwCCwIMAg0CCAIIAggCCAIIAggCCAIIAggCCAIIAggCCAIIAggCCAIIAhoCAwJ2Ah4AAvwCAgJLAgQCBQIGAgcCCAIJAhwCCwIMAg0CCAIIAggCCAIIAggCCAIIAggCCAIIAggCCAIIAggCCAIIAhoCAwJmAh4AAvwCAgIwAgQCBQIGAgcCCAIJAgoCCwIMAg0CCAIIAggCCAIIAggCCAIIAggCCAIIAggCCAIIAggCCAIIAhoCAwIxAh4AAvwCAgJBAgQCBQIGAgcCCAIJAgoCCwIMAg0CCAIIAggCCAIIAggCCAIIAggCCAIIAggCCAIIAggCCAIIAhoCAwJhAh4AAvwCAgJFAgQCBQIGAgcCCAIJAhwCCwIMAg0CCAIIAggCCAIIAggCCAIIAggCCAIIAggCCAIIAggCCAIIAhoCAwJnAh4AAvwCAgImAgQCBQIGAgcCCAIJAicCCwIMAg0CCAIIAggCCAIIAggCCAIIAggCCAIIAggCCAIIAggCCAIIAhoCAwIoAh4AAvwCAgI9AgQCBQIGAgcCCAIJAgoCCwIMAg0CCAIIAggCCAIIAggCCAIIAggCCAIIAggCCAIIAggCCAIIAhoCAwJgAh4AAv0ACjEyMTYxMzk5NjgCAgIDAgQCBQIGAgcCCAIJAicCCwIMAg0CCAIIAggCCAIIAggCCAIIAggCCAIIAggCCAIIAggCCAIIAhwCAwJlAh4AAv0CAgIiAgQCBQIGAgcCCAIJAicCCwIMAg0CCAIIAggCCAIIAggCCAIIAggCCAIIAggCCAIIAggCCAIIAhwCAwJtAh4AAv0CAgJZAgQCBQIGAgcCCAIJAhwCCwIMAg0CCAIIAggCCAIIAggCCAIIAggCCAIIAggCCAIIAggCCAIIAhwCAwJuAh4AAv0CAgIeAgQCBQIGAgcCCAIJAicCCwIMAg0CCAIIAggCCAIIAggCCAIIAggCCAIIAggCCAIIAggCCAIIAhwCAwJiAh4AAv0CAgI9AgQCBQIGAgcCCAIJAgoCCwIMAg0CCAIIAggCCAIIAggCCAIIAggCCAIIAggCCAIIAggCCAIIAhwCAwJgAh4AAv0CAgJIAgQCBQIGAgcCCAIJAicCCwIMAg0CCAIIAggCCAIIAggCCAIIAggCCAIIAggCCAIIAggCCAIIAhwCAwJjAh4AAv0CAgKAAgQCBQIGAgcCCAIJAicCCwIMAg0CCAIIAggCCAIIAggCCHoAAAQAAggCCAIIAggCCAIIAggCCAIIAggCHAIDAoECHgAC/QICAkECBAIFAgYCBwIIAgkCCgILAgwCDQIIAggCCAIIAggCCAIIAggCCAIIAggCCAIIAggCCAIIAggCHAIDAmECHgAC/QICAjUCBAIFAgYCBwIIAgkCCgILAgwCDQIIAggCCAIIAggCCAIIAggCCAIIAggCCAIIAggCCAIIAggCHAIDAjECHgAC/QICAkUCBAIFAgYCBwIIAgkCHAILAgwCDQIIAggCCAIIAggCCAIIAggCCAIIAggCCAIIAggCCAIIAggCHAIDAmcCHgAC/QICAjACBAIFAgYCBwIIAgkCJwILAgwCDQIIAggCCAIIAggCCAIIAggCCAIIAggCCAIIAggCCAIIAggCHAIDAmwCHgAC/QICAk0CBAIFAgYCBwIIAgkCHAILAgwCDQIIAggCCAIIAggCCAIIAggCCAIIAggCCAIIAggCCAIIAggCHAIDAmQCHgAC/QICAkgCBAIFAgYCBwIIAgkCHAILAgwCDQIIAggCCAIIAggCCAIIAggCCAIIAggCCAIIAggCCAIIAggCHAIDAkkCHgAC/QICAoACBAIFAgYCBwIIAgkCHAILAgwCDQIIAggCCAIIAggCCAIIAggCCAIIAggCCAIIAggCCAIIAggCHAIDAoMCHgAC/QICAjoCBAIFAgYCBwIIAgkCJwILAgwCDQIIAggCCAIIAggCCAIIAggCCAIIAggCCAIIAggCCAIIAggCHAIDAngCHgAC/QICAh4CBAIFAgYCBwIIAgkCHAILAgwCDQIIAggCCAIIAggCCAIIAggCCAIIAggCCAIIAggCCAIIAggCHAIDAkoCHgAC/QICAjMCBAIFAgYCBwIIAgkCJwILAgwCDQIIAggCCAIIAggCCAIIAggCCAIIAggCCAIIAggCCAIIAggCHAIDAmoCHgAC/QICAgMCBAIFAgYCBwIIAgkCHAILAgwCDQIIAggCCAIIAggCCAIIAggCCAIIAggCCAIIAggCCAIIAggCHAIDAnACHgAC/QICAksCBAIFAgYCBwIIAgkCCgILAgwCDQIIAggCCAIIAggCCAIIAggCCAIIAggCCAIIAggCCAIIAggCHAIDAnQCHgAC/QICAkUCBAIFAgYCBwIIAgkCCgILAgwCDQIIAggCCAIIAggCCAIIAggCCAIIAggCCAIIAggCCAIIAggCHAIDAjECHgAC/QICAk8CBAIFAgYCBwIIAgkCCgILAgwCDQIIAggCCAIIAggCCAIIAggCCAIIAggCCAIIAggCCAIIAggCHAIDAmkCHgAC/QICAlICBAIFAgYCBwIIAgkCCgILAgwCDQIIAnoAAAQACAIIAggCCAIIAggCCAIIAggCCAIIAggCCAIIAggCCAIcAgMCaAIeAAL9AgICJAIEAgUCBgIHAggCCQInAgsCDAINAggCCAIIAggCCAIIAggCCAIIAggCCAIIAggCCAIIAggCCAIcAgMCbwIeAAL9AgICWAIEAgUCBgIHAggCCQIcAgsCDAINAggCCAIIAggCCAIIAggCCAIIAggCCAIIAggCCAIIAggCCAIcAgMCawIeAAL9AgICIgIEAgUCBgIHAggCCQIcAgsCDAINAggCCAIIAggCCAIIAggCCAIIAggCCAIIAggCCAIIAggCCAIcAgMCcwIeAAL9AgICTwIEAgUCBgIHAggCCQIcAgsCDAINAggCCAIIAggCCAIIAggCCAIIAggCCAIIAggCCAIIAggCCAIcAgMCdgIeAAL9AgICTQIEAgUCBgIHAggCCQInAgsCDAINAggCCAIIAggCCAIIAggCCAIIAggCCAIIAggCCAIIAggCCAIcAgMCcQIeAAL9AgICJAIEAgUCBgIHAggCCQIcAgsCDAINAggCCAIIAggCCAIIAggCCAIIAggCCAIIAggCCAIIAggCCAIcAgMCfQIeAAL9AgICLQIEAgUCBgIHAggCCQInAgsCDAINAggCCAIIAggCCAIIAggCCAIIAggCCAIIAggCCAIIAggCCAIcAgMCdwIeAAL9AgICIAIEAgUCBgIHAggCCQIKAgsCDAINAggCCAIIAggCCAIIAggCCAIIAggCCAIIAggCCAIIAggCCAIcAgMCdQIeAAL9AgICPwIEAgUCBgIHAggCCQIKAgsCDAINAggCCAIIAggCCAIIAggCCAIIAggCCAIIAggCCAIIAggCCAIcAgMCcgIeAAL9AgICJgIEAgUCBgIHAggCCQInAgsCDAINAggCCAIIAggCCAIIAggCCAIIAggCCAIIAggCCAIIAggCCAIcAgMCKAIeAAL9AgICKQIEAgUCBgIHAggCCQInAgsCDAINAggCCAIIAggCCAIIAggCCAIIAggCCAIIAggCCAIIAggCCAIcAgMCKgIeAAL9AgICSAIEAgUCBgIHAggCCQIKAgsCDAINAggCCAIIAggCCAIIAggCCAIIAggCCAIIAggCCAIIAggCCAIcAgMCfgIeAAL9AgICKwIEAgUCBgIHAggCCQIcAgsCDAINAggCCAIIAggCCAIIAggCCAIIAggCCAIIAggCCAIIAggCCAIcAgMCLAIeAAL9AgICgAIEAgUCBgIHAggCCQIKAgsCDAINAggCCAIIAggCCAIIAggCCAIIAggCCAIIAggCCAIIAggCCAIcAgMCMQIeAAL9AgICSwIEAgUCBgIHAggCCXoAAAQAAhwCCwIMAg0CCAIIAggCCAIIAggCCAIIAggCCAIIAggCCAIIAggCCAIIAhwCAwJmAh4AAv0CAgI4AgQCBQIGAgcCCAIJAicCCwIMAg0CCAIIAggCCAIIAggCCAIIAggCCAIIAggCCAIIAggCCAIIAhwCAwJ5Ah4AAv0CAgJZAgQCBQIGAgcCCAIJAicCCwIMAg0CCAIIAggCCAIIAggCCAIIAggCCAIIAggCCAIIAggCCAIIAhwCAwJ6Ah4AAv0CAgJSAgQCBQIGAgcCCAIJAhwCCwIMAg0CCAIIAggCCAIIAggCCAIIAggCCAIIAggCCAIIAggCCAIIAhwCAwJ7Ah4AAv0CAgIbAgQCBQIGAgcCCAIJAhwCCwIMAg0CCAIIAggCCAIIAggCCAIIAggCCAIIAggCCAIIAggCCAIIAhwCAwIdAh4AAv0CAgIeAgQCBQIGAgcCCAIJAgoCCwIMAg0CCAIIAggCCAIIAggCCAIIAggCCAIIAggCCAIIAggCCAIIAhwCAwIfAh4AAv0CAgJYAgQCBQIGAgcCCAIJAicCCwIMAg0CCAIIAggCCAIIAggCCAIIAggCCAIIAggCCAIIAggCCAIIAhwCAwJ8Ah4AAv0CAgIiAgQCBQIGAgcCCAIJAgoCCwIMAg0CCAIIAggCCAIIAggCCAIIAggCCAIIAggCCAIIAggCCAIIAhwCAwIjAh4AAv0CAgIkAgQCBQIGAgcCCAIJAgoCCwIMAg0CCAIIAggCCAIIAggCCAIIAggCCAIIAggCCAIIAggCCAIIAhwCAwIlAh4AAv0CAgJBAgQCBQIGAgcCCAIJAicCCwIMAg0CCAIIAggCCAIIAggCCAIIAggCCAIIAggCCAIIAggCCAIIAhwCAwJCAh4AAv0CAgI4AgQCBQIGAgcCCAIJAhwCCwIMAg0CCAIIAggCCAIIAggCCAIIAggCCAIIAggCCAIIAggCCAIIAhwCAwI5Ah4AAv0CAgI9AgQCBQIGAgcCCAIJAicCCwIMAg0CCAIIAggCCAIIAggCCAIIAggCCAIIAggCCAIIAggCCAIIAhwCAwI+Ah4AAv0CAgI/AgQCBQIGAgcCCAIJAhwCCwIMAg0CCAIIAggCCAIIAggCCAIIAggCCAIIAggCCAIIAggCCAIIAhwCAwJAAh4AAv0CAgIwAgQCBQIGAgcCCAIJAgoCCwIMAg0CCAIIAggCCAIIAggCCAIIAggCCAIIAggCCAIIAggCCAIIAhwCAwIxAh4AAv0CAgIzAgQCBQIGAgcCCAIJAgoCCwIMAg0CCAIIAggCCAIIAggCCAIIAggCCAIIAggCCAIIAggCCAIIAhwCAwI0Ah4AAv0CAgIgAnoAAAQABAIFAgYCBwIIAgkCHAILAgwCDQIIAggCCAIIAggCCAIIAggCCAIIAggCCAIIAggCCAIIAggCHAIDAiECHgAC/QICAk8CBAIFAgYCBwIIAgkCJwILAgwCDQIIAggCCAIIAggCCAIIAggCCAIIAggCCAIIAggCCAIIAggCHAIDAlACHgAC/QICAi0CBAIFAgYCBwIIAgkCCgILAgwCDQIIAggCCAIIAggCCAIIAggCCAIIAggCCAIIAggCCAIIAggCHAIDAjcCHgAC/QICAjoCBAIFAgYCBwIIAgkCCgILAgwCDQIIAggCCAIIAggCCAIIAggCCAIIAggCCAIIAggCCAIIAggCHAIDAjsCHgAC/QICAiYCBAIFAgYCBwIIAgkCHAILAgwCDQIIAggCCAIIAggCCAIIAggCCAIIAggCCAIIAggCCAIIAggCHAIDAjICHgAC/QICAlICBAIFAgYCBwIIAgkCJwILAgwCDQIIAggCCAIIAggCCAIIAggCCAIIAggCCAIIAggCCAIIAggCHAIDAlMCHgAC/QICAhsCBAIFAgYCBwIIAgkCCgILAgwCDQIIAggCCAIIAggCCAIIAggCCAIIAggCCAIIAggCCAIIAggCHAIDAjwCHgAC/QICAikCBAIFAgYCBwIIAgkCHAILAgwCDQIIAggCCAIIAggCCAIIAggCCAIIAggCCAIIAggCCAIIAggCHAIDAi8CHgAC/QICAjUCBAIFAgYCBwIIAgkCJwILAgwCDQIIAggCCAIIAggCCAIIAggCCAIIAggCCAIIAggCCAIIAggCHAIDAjYCHgAC/QICAisCBAIFAgYCBwIIAgkCCgILAgwCDQIIAggCCAIIAggCCAIIAggCCAIIAggCCAIIAggCCAIIAggCHAIDAjECHgAC/QICAj8CBAIFAgYCBwIIAgkCJwILAgwCDQIIAggCCAIIAggCCAIIAggCCAIIAggCCAIIAggCCAIIAggCHAIDAl8CHgAC/QICAjgCBAIFAgYCBwIIAgkCCgILAgwCDQIIAggCCAIIAggCCAIIAggCCAIIAggCCAIIAggCCAIIAggCHAIDAlQCHgAC/QICAlgCBAIFAgYCBwIIAgkCCgILAgwCDQIIAggCCAIIAggCCAIIAggCCAIIAggCCAIIAggCCAIIAggCHAIDAjECHgAC/QICAjACBAIFAgYCBwIIAgkCHAILAgwCDQIIAggCCAIIAggCCAIIAggCCAIIAggCCAIIAggCCAIIAggCHAIDAlYCHgAC/QICAiACBAIFAgYCBwIIAgkCJwILAgwCDQIIAggCCAIIAggCCAIIAggCCAIIAggCCAIIAggCCAIIAggCHAIDAnoAAAQAXgIeAAL9AgICGwIEAgUCBgIHAggCCQInAgsCDAINAggCCAIIAggCCAIIAggCCAIIAggCCAIIAggCCAIIAggCCAIcAgMCRAIeAAL9AgICMwIEAgUCBgIHAggCCQIcAgsCDAINAggCCAIIAggCCAIIAggCCAIIAggCCAIIAggCCAIIAggCCAIcAgMCXQIeAAL9AgICPQIEAgUCBgIHAggCCQIcAgsCDAINAggCCAIIAggCCAIIAggCCAIIAggCCAIIAggCCAIIAggCCAIcAgMCRwIeAAL9AgICKwIEAgUCBgIHAggCCQInAgsCDAINAggCCAIIAggCCAIIAggCCAIIAggCCAIIAggCCAIIAggCCAIcAgMCUQIeAAL9AgICSwIEAgUCBgIHAggCCQInAgsCDAINAggCCAIIAggCCAIIAggCCAIIAggCCAIIAggCCAIIAggCCAIcAgMCTAIeAAL9AgICTQIEAgUCBgIHAggCCQIKAgsCDAINAggCCAIIAggCCAIIAggCCAIIAggCCAIIAggCCAIIAggCCAIcAgMCTgIeAAL9AgICRQIEAgUCBgIHAggCCQInAgsCDAINAggCCAIIAggCCAIIAggCCAIIAggCCAIIAggCCAIIAggCCAIcAgMCRgIeAAL9AgICWQIEAgUCBgIHAggCCQIKAgsCDAINAggCCAIIAggCCAIIAggCCAIIAggCCAIIAggCCAIIAggCCAIcAgMCWgIeAAL9AgICOgIEAgUCBgIHAggCCQIcAgsCDAINAggCCAIIAggCCAIIAggCCAIIAggCCAIIAggCCAIIAggCCAIcAgMCWwIeAAL9AgICLQIEAgUCBgIHAggCCQIcAgsCDAINAggCCAIIAggCCAIIAggCCAIIAggCCAIIAggCCAIIAggCCAIcAgMCLgIeAAL9AgICQQIEAgUCBgIHAggCCQIcAgsCDAINAggCCAIIAggCCAIIAggCCAIIAggCCAIIAggCCAIIAggCCAIcAgMCQwIeAAL9AgICNQIEAgUCBgIHAggCCQIcAgsCDAINAggCCAIIAggCCAIIAggCCAIIAggCCAIIAggCCAIIAggCCAIcAgMCVQIeAAL9AgICKQIEAgUCBgIHAggCCQIKAgsCDAINAggCCAIIAggCCAIIAggCCAIIAggCCAIIAggCCAIIAggCCAIcAgMCVwIeAAL9AgICJgIEAgUCBgIHAggCCQIKAgsCDAINAggCCAIIAggCCAIIAggCCAIIAggCCAIIAggCCAIIAggCCAIcAgMCXAIeAAL9AgICAwIEAgUCBgIHAggCCQIKAgsCDAINAggCCAIIAggCCAIIAggCCAIIAggCCAIIAggCCHoAAAQAAggCCAIIAhwCAwIOAh4AAv4ACTk4NzMxMDU2OAICAoICBAIFAgYCBwIIAgkCHAILAo4CDQIIAggCCAIIAggCCAIIAggCCAIIAggCCAIIAggCCAIIAggCAwIDAr0CHgAC/gICAjUCBAIFAgYCBwIIAgkCHAILAo4CDQIIAggCCAIIAggCCAIIAggCCAIIAggCCAIIAggCCAIIAggCAwIDAq4CHgAC/gICAlgCBAIFAgYCBwIIAgkCHAILAo4CDQIIAggCCAIIAggCCAIIAggCCAIIAggCCAIIAggCCAIIAggCAwIDAt8CHgAC/gICAj8CBAIFAgYCBwIIAgkCHAILAo4CDQIIAggCCAIIAggCCAIIAggCCAIIAggCCAIIAggCCAIIAggCAwIDAqECHgAC/gICAlkCBAIFAgYCBwIIAgkCHAILAo4CDQIIAggCCAIIAggCCAIIAggCCAIIAggCCAIIAggCCAIIAggCAwIDArgCHgAC/gICAjACBAIFAgYCBwIIAgkCHAILAo4CDQIIAggCCAIIAggCCAIIAggCCAIIAggCCAIIAggCCAIIAggCAwIDAsYCHgAC/gICAiQCBAIFAgYCBwIIAgkCHAILAo4CDQIIAggCCAIIAggCCAIIAggCCAIIAggCCAIIAggCCAIIAggCAwIDApECHgAC/gICAkECBAIFAgYCBwIIAgkCHAILAo4CDQIIAggCCAIIAggCCAIIAggCCAIIAggCCAIIAggCCAIIAggCAwIDArMCHgAC/gICAoQCBAIFAgYCBwIIAgkCHAILAo4CDQIIAggCCAIIAggCCAIIAggCCAIIAggCCAIIAggCCAIIAggCAwIDAsMCHgAC/gICAkUCBAIFAgYCBwIIAgkCHAILAo4CDQIIAggCCAIIAggCCAIIAggCCAIIAggCCAIIAggCCAIIAggCAwIDAqYCHgAC/gICAoACBAIFAgYCBwIIAgkCHAILAo4CDQIIAggCCAIIAggCCAIIAggCCAIIAggCCAIIAggCCAIIAggCAwIDApYCHgAC/gICAksCBAIFAgYCBwIIAgkCHAILAo4CDQIIAggCCAIIAggCCAIIAggCCAIIAggCCAIIAggCCAIIAggCAwIDAtUCHgAC/gICAgMCBAIFAgYCBwIIAgkCHAILAo4CDQIIAggCCAIIAggCCAIIAggCCAIIAggCCAIIAggCCAIIAggCAwIDApgCHgAC/gICAi0CBAIFAgYCBwIIAgkCHAILAo4CDQIIAggCCAIIAggCCAIIAggCCAIIAggCCAIIAggCCAIIAggCAwIDAuYCHgAC/gICAisCBAIFAgYCBwIIAgkCHAILAo4CDQIIAggCCHoAAAQAAggCCAIIAggCCAIIAggCCAIIAggCCAIIAggCCAIDAgMCpAIeAAL+AgICTwIEAgUCBgIHAggCCQIcAgsCjgINAggCCAIIAggCCAIIAggCCAIIAggCCAIIAggCCAIIAggCCAIDAgMCrAIeAAL+AgICHgIEAgUCBgIHAggCCQIcAgsCjgINAggCCAIIAggCCAIIAggCCAIIAggCCAIIAggCCAIIAggCCAIDAgMCyQIeAAL+AgICJgIEAgUCBgIHAggCCQIcAgsCjgINAggCCAIIAggCCAIIAggCCAIIAggCCAIIAggCCAIIAggCCAIDAgMCtgIeAAL/AAk1ODAxMjk2NjQCAgKCAgQCBQIGAgcCCAIJAicCCwKOAg0CCAIIAggCCAIIAggCCAIIAggCCAIIAggCCAIIAggCCAIIAhcCAwKVAh4AAv8CAgJIAgQCBQIGAgcCCAIJAhwCCwKOAg0CCAIIAggCCAIIAggCCAIIAggCCAIIAggCCAIIAggCCAIIAhcCAwKZAh4AAv8CAgKAAgQCBQIGAgcCCAIJAhwCCwKOAg0CCAIIAggCCAIIAggCCAIIAggCCAIIAggCCAIIAggCCAIIAhcCAwKWAh4AAv8CAgIrAgQCBQIGAgcCCAIJAicCCwKOAg0CCAIIAggCCAIIAggCCAIIAggCCAIIAggCCAIIAggCCAIIAhcCAwKXAh4AAv8CAgIDAgQCBQIGAgcCCAIJAhwCCwKOAg0CCAIIAggCCAIIAggCCAIIAggCCAIIAggCCAIIAggCCAIIAhcCAwKYAh4AAv8CAgKMAgQCBQIGAgcCCAIJAo0CCwKOAg0CCAIIAggCCAIIAggCCAIIAggCCAIIAggCCAIIAggCCAIIAhcCAwIxAh4AAv8CAgIeAgQCBQIGAgcCCAIJAo0CCwKOAg0CCAIIAggCCAIIAggCCAIIAggCCAIIAggCCAIIAggCCAIIAhcCAwKaAh4AAv8CAgI6AgQCBQIGAgcCCAIJAicCCwKOAg0CCAIIAggCCAIIAggCCAIIAggCCAIIAggCCAIIAggCCAIIAhcCAwKUAh4AAv8CAgIkAgQCBQIGAgcCCAIJAicCCwKOAg0CCAIIAggCCAIIAggCCAIIAggCCAIIAggCCAIIAggCCAIIAhcCAwKgAh4AAv8CAgJYAgQCBQIGAgcCCAIJAo0CCwKOAg0CCAIIAggCCAIIAggCCAIIAggCCAIIAggCCAIIAggCCAIIAhcCAwIxAh4AAv8CAgKiAgQCBQIGAgcCCAIJAhwCCwKOAg0CCAIIAggCCAIIAggCCAIIAggCCAIIAggCCAIIAggCCAIIAhcCAwKjAh4AAv8CAgIzAgQCBXoAAAQAAgYCBwIIAgkCJwILAo4CDQIIAggCCAIIAggCCAIIAggCCAIIAggCCAIIAggCCAIIAggCFwIDAroCHgAC/wICAlkCBAIFAgYCBwIIAgkCHAILAo4CDQIIAggCCAIIAggCCAIIAggCCAIIAggCCAIIAggCCAIIAggCFwIDArgCHgAC/wICAi0CBAIFAgYCBwIIAgkCjQILAo4CDQIIAggCCAIIAggCCAIIAggCCAIIAggCCAIIAggCCAIIAggCFwIDAsACHgAC/wICAk0CBAIFAgYCBwIIAgkCHAILAo4CDQIIAggCCAIIAggCCAIIAggCCAIIAggCCAIIAggCCAIIAggCFwIDArwCHgAC/wICAoACBAIFAgYCBwIIAgkCJwILAo4CDQIIAggCCAIIAggCCAIIAggCCAIIAggCCAIIAggCCAIIAggCFwIDAuQCHgAC/wICAqICBAIFAgYCBwIIAgkCJwILAo4CDQIIAggCCAIIAggCCAIIAggCCAIIAggCCAIIAggCCAIIAggCFwIDAs0CHgAC/wICAoICBAIFAgYCBwIIAgkCHAILAo4CDQIIAggCCAIIAggCCAIIAggCCAIIAggCCAIIAggCCAIIAggCFwIDAr0CHgAC/wICAjoCBAIFAgYCBwIIAgkCHAILAo4CDQIIAggCCAIIAggCCAIIAggCCAIIAggCCAIIAggCCAIIAggCFwIDAr8CHgAC/wICAkgCBAIFAgYCBwIIAgkCJwILAo4CDQIIAggCCAIIAggCCAIIAggCCAIIAggCCAIIAggCCAIIAggCFwIDAucCHgAC/wICAj8CBAIFAgYCBwIIAgkCJwILAo4CDQIIAggCCAIIAggCCAIIAggCCAIIAggCCAIIAggCCAIIAggCFwIDAo8CHgAC/wICAjMCBAIFAgYCBwIIAgkCHAILAo4CDQIIAggCCAIIAggCCAIIAggCCAIIAggCCAIIAggCCAIIAggCFwIDApICHgAC/wICAkUCBAIFAgYCBwIIAgkCJwILAo4CDQIIAggCCAIIAggCCAIIAggCCAIIAggCCAIIAggCCAIIAggCFwIDArECHgAC/wICAjACBAIFAgYCBwIIAgkCjQILAo4CDQIIAggCCAIIAggCCAIIAggCCAIIAggCCAIIAggCCAIIAggCFwIDAjECHgAC/wICAjUCBAIFAgYCBwIIAgkCjQILAo4CDQIIAggCCAIIAggCCAIIAggCCAIIAggCCAIIAggCCAIIAggCFwIDAjECHgAC/wICAkECBAIFAgYCBwIIAgkCjQILAo4CDQIIAggCCAIIAggCCAIIAggCCAIIAggCCAIIAggCCAIIAggCFwIDAtoCHnoAAAQAAAL/AgICPQIEAgUCBgIHAggCCQIcAgsCjgINAggCCAIIAggCCAIIAggCCAIIAggCCAIIAggCCAIIAggCCAIXAgMC2wIeAAL/AgICKQIEAgUCBgIHAggCCQKNAgsCjgINAggCCAIIAggCCAIIAggCCAIIAggCCAIIAggCCAIIAggCCAIXAgMCtAIeAAL/AgICNQIEAgUCBgIHAggCCQInAgsCjgINAggCCAIIAggCCAIIAggCCAIIAggCCAIIAggCCAIIAggCCAIXAgMCtwIeAAL/AgICSwIEAgUCBgIHAggCCQInAgsCjgINAggCCAIIAggCCAIIAggCCAIIAggCCAIIAggCCAIIAggCCAIXAgMC2QIeAAL/AgICngIEAgUCBgIHAggCCQKNAgsCjgINAggCCAIIAggCCAIIAggCCAIIAggCCAIIAggCCAIIAggCCAIXAgMCMQIeAAL/AgICUgIEAgUCBgIHAggCCQInAgsCjgINAggCCAIIAggCCAIIAggCCAIIAggCCAIIAggCCAIIAggCCAIXAgMC3AIeAAL/AgICJgIEAgUCBgIHAggCCQIcAgsCjgINAggCCAIIAggCCAIIAggCCAIIAggCCAIIAggCCAIIAggCCAIXAgMCtgIeAAL/AgICmwIEAgUCBgIHAggCCQKNAgsCjgINAggCCAIIAggCCAIIAggCCAIIAggCCAIIAggCCAIIAggCCAIXAgMCMQIeAAL/AgICIAIEAgUCBgIHAggCCQKNAgsCjgINAggCCAIIAggCCAIIAggCCAIIAggCCAIIAggCCAIIAggCCAIXAgMCnAIeAAL/AgICOAIEAgUCBgIHAggCCQKNAgsCjgINAggCCAIIAggCCAIIAggCCAIIAggCCAIIAggCCAIIAggCCAIXAgMCuwIeAAL/AgICQQIEAgUCBgIHAggCCQInAgsCjgINAggCCAIIAggCCAIIAggCCAIIAggCCAIIAggCCAIIAggCCAIXAgMCuQIeAAL/AgICPwIEAgUCBgIHAggCCQIcAgsCjgINAggCCAIIAggCCAIIAggCCAI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noAAAQACAIIAhcCAwKoAh4AAv8CAgJPAgQCBQIGAgcCCAIJAo0CCwKOAg0CCAIIAggCCAIIAggCCAIIAggCCAIIAggCCAIIAggCCAIIAhcCAwLYAh4AAv8CAgJFAgQCBQIGAgcCCAIJAo0CCwKOAg0CCAIIAggCCAIIAggCCAIIAggCCAIIAggCCAIIAggCCAIIAhcCAwIxAh4AAv8CAgJLAgQCBQIGAgcCCAIJAhwCCwKOAg0CCAIIAggCCAIIAggCCAIIAggCCAIIAggCCAIIAggCCAIIAhcCAwLVAh4AAv8CAgJSAgQCBQIGAgcCCAIJAhwCCwKOAg0CCAIIAggCCAIIAggCCAIIAggCCAIIAggCCAIIAggCCAIIAhcCAwKrAh4AAv8CAgJZAgQCBQIGAgcCCAIJAicCCwKOAg0CCAIIAggCCAIIAggCCAIIAggCCAIIAggCCAIIAggCCAIIAhcCAwKvAh4AAv8CAgKEAgQCBQIGAgcCCAIJAhwCCwKOAg0CCAIIAggCCAIIAggCCAIIAggCCAIIAggCCAIIAggCCAIIAhcCAwLDAh4AAv8CAgIiAgQCBQIGAgcCCAIJAhwCCwKOAg0CCAIIAggCCAIIAggCCAIIAggCCAIIAggCCAIIAggCCAIIAhcCAwLHAh4AAv8CAgIkAgQCBQIGAgcCCAIJAo0CCwKOAg0CCAIIAggCCAIIAggCCAIIAggCCAIIAggCCAIIAggCCAIIAhcCAwLFAh4AAv8CAgJNAgQCBQIGAgcCCAIJAicCCwKOAg0CCAIIAggCCAIIAggCCAIIAggCCAIIAggCCAIIAggCCAIIAhcCAwKwAh4AAv8CAgItAgQCBQIGAgcCCAIJAicCCwKOAg0CCAIIAggCCAIIAggCCAIIAggCCAIIAggCCAIIAggCCAIIAhcCAwLIAh4AAv8CAgKiAgQCBQIGAgcCCAIJAo0CCwKOAg0CCAIIAggCCAIIAggCCAIIAggCCAIIAggCCAIIAggCCAIIAhcCAwIxAh4AAv8CAgJIAgQCBQIGAgcCCAIJAo0CCwKOAg0CCAIIAggCCAIIAggCCAIIAggCCAIIAggCCAIIAggCCAIIAhcCAwLMAh4AAv8CAgKAAgQCBQIGAgcCCAIJAo0CCwKOAg0CCAIIAggCCAIIAggCCAIIAggCCAIIAggCCAIIAggCCAIIAhcCAwIxAh4AAv8CAgIDAgQCBQIGAgcCCAIJAo0CCwKOAg0CCAIIAggCCAIIAggCCAIIAggCCAIIAggCCAIIAggCCAIIAhcCAwLOAh4AAv8CAgKMAgQCBQIGAgcCCAIJAhwCCwKOAg0CCAIIAggCCAIIAggCCAIIAggCCHoAAAQAAggCCAIIAggCCAIIAggCFwIDAqMCHgAC/wICAhsCBAIFAgYCBwIIAgkCJwILAo4CDQIIAggCCAIIAggCCAIIAggCCAIIAggCCAIIAggCCAIIAggCFwIDAssCHgAC/wICAh4CBAIFAgYCBwIIAgkCHAILAo4CDQIIAggCCAIIAggCCAIIAggCCAIIAggCCAIIAggCCAIIAggCFwIDAskCHgAC/wICAlgCBAIFAgYCBwIIAgkCHAILAo4CDQIIAggCCAIIAggCCAIIAggCCAIIAggCCAIIAggCCAIIAggCFwIDAt8CHgAC/wICAoQCBAIFAgYCBwIIAgkCJwILAo4CDQIIAggCCAIIAggCCAIIAggCCAIIAggCCAIIAggCCAIIAggCFwIDAtECHgAC/wICAowCBAIFAgYCBwIIAgkCJwILAo4CDQIIAggCCAIIAggCCAIIAggCCAIIAggCCAIIAggCCAIIAggCFwIDAs0CHgAC/wICAk0CBAIFAgYCBwIIAgkCjQILAo4CDQIIAggCCAIIAggCCAIIAggCCAIIAggCCAIIAggCCAIIAggCFwIDAuMCHgAC/wICAlkCBAIFAgYCBwIIAgkCjQILAo4CDQIIAggCCAIIAggCCAIIAggCCAIIAggCCAIIAggCCAIIAggCFwIDAuECHgAC/wICAjACBAIFAgYCBwIIAgkCJwILAo4CDQIIAggCCAIIAggCCAIIAggCCAIIAggCCAIIAggCCAIIAggCFwIDAsoCHgAC/wICAiICBAIFAgYCBwIIAgkCJwILAo4CDQIIAggCCAIIAggCCAIIAggCCAIIAggCCAIIAggCCAIIAggCFwIDAtACHgAC/wICAoICBAIFAgYCBwIIAgkCjQILAo4CDQIIAggCCAIIAggCCAIIAggCCAIIAggCCAIIAggCCAIIAggCFwIDAjECHgAC/wICAjoCBAIFAgYCBwIIAgkCjQILAo4CDQIIAggCCAIIAggCCAIIAggCCAIIAggCCAIIAggCCAIIAggCFwIDAuUCHgAC/wICAh4CBAIFAgYCBwIIAgkCJwILAo4CDQIIAggCCAIIAggCCAIIAggCCAIIAggCCAIIAggCCAIIAggCFwIDAr4CHgAC/wICAjMCBAIFAgYCBwIIAgkCjQILAo4CDQIIAggCCAIIAggCCAIIAggCCAIIAggCCAIIAggCCAIIAggCFwIDAsQCHgAC/wICAi0CBAIFAgYCBwIIAgkCHAILAo4CDQIIAggCCAIIAggCCAIIAggCCAIIAggCCAIIAggCCAIIAggCFwIDAuYCHgAC/wICAjUCBAIFAgYCBwIIAgkCHAILAo4CDQIIAggCCAIIAnoAAAQACAIIAggCCAIIAggCCAIIAggCCAIIAggCCAIXAgMCrgIeAAL/AgICPQIEAgUCBgIHAggCCQKNAgsCjgINAggCCAIIAggCCAIIAggCCAIIAggCCAIIAggCCAIIAggCCAIXAgMCsgIeAAL/AgICmwIEAgUCBgIHAggCCQInAgsCjgINAggCCAIIAggCCAIIAggCCAIIAggCCAIIAggCCAIIAggCCAIXAgMCwgIeAAL/AgICrQIEAgUCBgIHAggCCQKNAgsCjgINAggCCAIIAggCCAIIAggCCAIIAggCCAIIAggCCAIIAggCCAIXAgMCMQIeAAL/AgICMAIEAgUCBgIHAggCCQIcAgsCjgINAggCCAIIAggCCAIIAggCCAIIAggCCAIIAggCCAIIAggCCAIXAgMCxgIeAAL/AgICIAIEAgUCBgIHAggCCQInAgsCjgINAggCCAIIAggCCAIIAggCCAIIAggCCAIIAggCCAIIAggCCAIXAgMCwQIeAAL/AgICQQIEAgUCBgIHAggCCQIcAgsCjgINAggCCAIIAggCCAIIAggCCAIIAggCCAIIAggCCAIIAggCCAIXAgMCswIeAAL/AgICrQIEAgUCBgIHAggCCQIcAgsCjgINAggCCAIIAggCCAIIAggCCAIIAggCCAIIAggCCAIIAggCCAIXAgMCowIeAAL/AgICTwIEAgUCBgIHAggCCQInAgsCjgINAggCCAIIAggCCAIIAggCCAIIAggCCAIIAggCCAIIAggCCAIXAgMCtQIeAAL/AgICKQIEAgUCBgIHAggCCQIcAgsCjgINAggCCAIIAggCCAIIAggCCAIIAggCCAIIAggCCAIIAggCCAIXAgMC3QIeAAL/AgICngIEAgUCBgIHAggCCQIcAgsCjgINAggCCAIIAggCCAIIAggCCAIIAggCCAIIAggCCAIIAggCCAIXAgMCnwIeAAL/AgICJgIEAgUCBgIHAggCCQKNAgsCjgINAggCCAIIAggCCAIIAggCCAIIAggCCAIIAggCCAIIAggCCAIXAgMC3gIeAAL/AgICPwIEAgU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noAAAQAAg0CCAIIAggCCAIIAggCCAIIAggCCAIIAggCCAIIAggCCAIIAhcCAwLTAh4AAv8CAgKbAgQCBQIGAgcCCAIJAhwCCwKOAg0CCAIIAggCCAIIAggCCAIIAggCCAIIAggCCAIIAggCCAIIAhcCAwLSAh4AAv8CAgI9AgQCBQIGAgcCCAIJAicCCwKOAg0CCAIIAggCCAIIAggCCAIIAggCCAIIAggCCAIIAggCCAIIAhcCAwLiAh4AAv8CAgIbAgQCBQIGAgcCCAIJAhwCCwKOAg0CCAIIAggCCAIIAggCCAIIAggCCAIIAggCCAIIAggCCAIIAhcCAwLUAh4AAv8CAgJFAgQCBQIGAgcCCAIJAhwCCwKOAg0CCAIIAggCCAIIAggCCAIIAggCCAIIAggCCAIIAggCCAIIAhcCAwKmAh4AAv8CAgKeAgQCBQIGAgcCCAIJAicCCwKOAg0CCAIIAggCCAIIAggCCAIIAggCCAIIAggCCAIIAggCCAIIAhcCAwKlAh4AAv8CAgIrAgQCBQIGAgcCCAIJAo0CCwKOAg0CCAIIAggCCAIIAggCCAIIAggCCAIIAggCCAIIAggCCAIIAhcCAwIxAh4AAv8CAgJLAgQCBQIGAgcCCAIJAo0CCwKOAg0CCAIIAggCCAIIAggCCAIIAggCCAIIAggCCAIIAggCCAIIAhcCAwKqAh4AAv8CAgJSAgQCBQIGAgcCCAIJAo0CCwKOAg0CCAIIAggCCAIIAggCCAIIAggCCAIIAggCCAIIAggCCAIIAhcCAwKnAh4AAv8CAgIDAgQCBQIGAgcCCAIJAicCCwKOAg0CCAIIAggCCAIIAggCCAIIAggCCAIIAggCCAIIAggCCAIIAhcCAwKdAh4AAv8CAgIpAgQCBQIGAgcCCAIJAicCCwKOAg0CCAIIAggCCAIIAggCCAIIAggCCAIIAggCCAIIAggCCAIIAhcCAwKpAh4AAv8CAgJPAgQCBQIGAgcCCAIJAhwCCwKOAg0CCAIIAggCCAIIAggCCAIIAggCCAIIAggCCAIIAggCCAIIAhcCAwKsAh4AAv8CAgIiAgQCBQIGAgcCCAIJAo0CCwKOAg0CCAIIAggCCAIIAggCCAIIAggCCAIIAggCCAIIAggCCAIIAhcCAwKQAh4AAv8CAgJYAgQCBQIGAgcCCAIJAicCCwKOAg0CCAIIAggCCAIIAggCCAIIAggCCAIIAggCCAIIAggCCAIIAhcCAwLXAh4AAv8CAgKEAgQCBQIGAgcCCAIJAo0CCwKOAg0CCAIIAggCCAIIAggCCAIIAggCCAIIAggCCAIIAggCCAIIAhcCAwIxAh4AAv8CAgIkAgQCBQIGAnoAAAQABwIIAgkCHAILAo4CDQIIAggCCAIIAggCCAIIAggCCAIIAggCCAIIAggCCAIIAggCFwIDApECHgAC/wICAjgCBAIFAgYCBwIIAgkCJwILAo4CDQIIAggCCAIIAggCCAIIAggCCAIIAggCCAIIAggCCAIIAggCFwIDApMCHgAEAAEACjEyMTYxNDQ2MDgCAgIpAgQCBQIGAgcCCAIJAgoCCwIMAg0CCAIIAggCCAIIAggCCAIIAggCCAIIAggCCAIIAggCCAIIAiACAwJXAh4ABAABAgICJgIEAgUCBgIHAggCCQIKAgsCDAINAggCCAIIAggCCAIIAggCCAIIAggCCAIIAggCCAIIAggCCAIgAgMCXAIeAAQAAQICAk0CBAIFAgYCBwIIAgkCHAILAgwCDQIIAggCCAIIAggCCAIIAggCCAIIAggCCAIIAggCCAIIAggCIAIDAmQCHgAEAAECAgJPAgQCBQIGAgcCCAIJAhwCCwIMAg0CCAIIAggCCAIIAggCCAIIAggCCAIIAggCCAIIAggCCAIIAiACAwJ2Ah4ABAABAgICUgIEAgUCBgIHAggCCQIcAgsCDAINAggCCAIIAggCCAIIAggCCAIIAggCCAIIAggCCAIIAggCCAIgAgMCewIeAAQAAQICAksCBAIFAgYCBwIIAgkCHAILAgwCDQIIAggCCAIIAggCCAIIAggCCAIIAggCCAIIAggCCAIIAggCIAIDAmYCHgAEAAECAgJFAgQCBQIGAgcCCAIJAhwCCwIMAg0CCAIIAggCCAIIAggCCAIIAggCCAIIAggCCAIIAggCCAIIAiACAwJnAh4ABAABAgICOAIEAgUCBgIHAggCCQIKAgsCDAINAggCCAIIAggCCAIIAggCCAIIAggCCAIIAggCCAIIAggCCAIgAgMCVAIeAAQAAQICAj0CBAIFAgYCBwIIAgkCCgILAgwCDQIIAggCCAIIAggCCAIIAggCCAIIAggCCAIIAggCCAIIAggCIAIDAmACHgAEAAECAgIeAgQCBQIGAgcCCAIJAicCCwIMAg0CCAIIAggCCAIIAggCCAIIAggCCAIIAggCCAIIAggCCAIIAiACAwJiAh4ABAABAgICSAIEAgUCBgIHAggCCQInAgsCDAINAggCCAIIAggCCAIIAggCCAIIAggCCAIIAggCCAIIAggCCAIgAgMCYwIeAAQAAQICAiACBAIFAgYCBwIIAgkCCgILAgwCDQIIAggCCAIIAggCCAIIAggCCAIIAggCCAIIAggCCAIIAggCIAIDAnUCHgAEAAECAgJFAgQCBQIGAgcCCAIJAicCCwIMAg0CCAIIAggCCAIIAggCCAIIAggCCHoAAAQAAggCCAIIAggCCAIIAggCIAIDAkYCHgAEAAECAgI/AgQCBQIGAgcCCAIJAgoCCwIMAg0CCAIIAggCCAIIAggCCAIIAggCCAIIAggCCAIIAggCCAIIAiACAwJyAh4ABAABAgICSwIEAgUCBgIHAggCCQInAgsCDAINAggCCAIIAggCCAIIAggCCAIIAggCCAIIAggCCAIIAggCCAIgAgMCTAIeAAQAAQICAj0CBAIFAgYCBwIIAgkCHAILAgwCDQIIAggCCAIIAggCCAIIAggCCAIIAggCCAIIAggCCAIIAggCIAIDAkcCHgAEAAECAgJBAgQCBQIGAgcCCAIJAhwCCwIMAg0CCAIIAggCCAIIAggCCAIIAggCCAIIAggCCAIIAggCCAIIAiACAwJDAh4ABAABAgICNQIEAgUCBgIHAggCCQIcAgsCDAINAggCCAIIAggCCAIIAggCCAIIAggCCAIIAggCCAIIAggCCAIgAgMCVQIeAAQAAQICAk0CBAIFAgYCBwIIAgkCJwILAgwCDQIIAggCCAIIAggCCAIIAggCCAIIAggCCAIIAggCCAIIAggCIAIDAnECHgAEAAECAgJZAgQCBQIGAgcCCAIJAicCCwIMAg0CCAIIAggCCAIIAggCCAIIAggCCAIIAggCCAIIAggCCAIIAiACAwJ6Ah4ABAABAgICMAIEAgUCBgIHAggCCQInAgsCDAINAggCCAIIAggCCAIIAggCCAIIAggCCAIIAggCCAIIAggCCAIgAgMCbAIeAAQAAQICAjMCBAIFAgYCBwIIAgkCJwILAgwCDQIIAggCCAIIAggCCAIIAggCCAIIAggCCAIIAggCCAIIAggCIAIDAmoCHgAEAAECAgIpAgQCBQIGAgcCCAIJAhwCCwIMAg0CCAIIAggCCAIIAggCCAIIAggCCAIIAggCCAIIAggCCAIIAiACAwIvAh4ABAABAgICNQIEAgUCBgIHAggCCQInAgsCDAINAggCCAIIAggCCAIIAggCCAIIAggCCAIIAggCCAIIAggCCAIgAgMCNgIeAAQAAQICAk8CBAIFAgYCBwIIAgkCCgILAgwCDQIIAggCCAIIAggCCAIIAggCCAIIAggCCAIIAggCCAIIAggCIAIDAmkCHgAEAAECAgItAgQCBQIGAgcCCAIJAicCCwIMAg0CCAIIAggCCAIIAggCCAIIAggCCAIIAggCCAIIAggCCAIIAiACAwJ3Ah4ABAABAgICOgIEAgUCBgIHAggCCQInAgsCDAINAggCCAIIAggCCAIIAggCCAIIAggCCAIIAggCCAIIAggCCAIgAgMCeAIeAAQAAQICAkUCBAIFAgYCBwIIAgkCCnoAAAQAAgsCDAINAggCCAIIAggCCAIIAggCCAIIAggCCAIIAggCCAIIAggCCAIgAgMCMQIeAAQAAQICAiYCBAIFAgYCBwIIAgkCHAILAgwCDQIIAggCCAIIAggCCAIIAggCCAIIAggCCAIIAggCCAIIAggCIAIDAjICHgAEAAECAgIiAgQCBQIGAgcCCAIJAgoCCwIMAg0CCAIIAggCCAIIAggCCAIIAggCCAIIAggCCAIIAggCCAIIAiACAwIjAh4ABAABAgICAwIEAgUCBgIHAggCCQIcAgsCDAINAggCCAIIAggCCAIIAggCCAIIAggCCAIIAggCCAIIAggCCAIgAgMCcAIeAAQAAQICAj0CBAIFAgYCBwIIAgkCJwILAgwCDQIIAggCCAIIAggCCAIIAggCCAIIAggCCAIIAggCCAIIAggCIAIDAj4CHgAEAAECAgJBAgQCBQIGAgcCCAIJAicCCwIMAg0CCAIIAggCCAIIAggCCAIIAggCCAIIAggCCAIIAggCCAIIAiACAwJCAh4ABAABAgICJAIEAgUCBgIHAggCCQIKAgsCDAINAggCCAIIAggCCAIIAggCCAIIAggCCAIIAggCCAIIAggCCAIgAgMCJQIeAAQAAQICAksCBAIFAgYCBwIIAgkCCgILAgwCDQIIAggCCAIIAggCCAIIAggCCAIIAggCCAIIAggCCAIIAggCIAIDAnQCHgAEAAECAgI4AgQCBQIGAgcCCAIJAhwCCwIMAg0CCAIIAggCCAIIAggCCAIIAggCCAIIAggCCAIIAggCCAIIAiACAwI5Ah4ABAABAgICGwIEAgUCBgIHAggCCQIKAgsCDAINAggCCAIIAggCCAIIAggCCAIIAggCCAIIAggCCAIIAggCCAIgAgMCPAIeAAQAAQICAisCBAIFAgYCBwIIAgkCCgILAgwCDQIIAggCCAIIAggCCAIIAggCCAIIAggCCAIIAggCCAIIAggCIAIDAjECHgAEAAECAgJZAgQCBQIGAgcCCAIJAhwCCwIMAg0CCAIIAggCCAIIAggCCAIIAggCCAIIAggCCAIIAggCCAIIAiACAwJuAh4ABAABAgICUgIEAgUCBgIHAggCCQIKAgsCDAINAggCCAIIAggCCAIIAggCCAIIAggCCAIIAggCCAIIAggCCAIgAgMCaAIeAAQAAQICAi0CBAIFAgYCBwIIAgkCHAILAgwCDQIIAggCCAIIAggCCAIIAggCCAIIAggCCAIIAggCCAIIAggCIAIDAi4CHgAEAAECAgI6AgQCBQIGAgcCCAIJAhwCCwIMAg0CCAIIAggCCAIIAggCCAIIAggCCAIIAggCCAIIAggCCAIIAiACA3oAAAQAAlsCHgAEAAECAgIeAgQCBQIGAgcCCAIJAgoCCwIMAg0CCAIIAggCCAIIAggCCAIIAggCCAIIAggCCAIIAggCCAIIAiACAwIfAh4ABAABAgICGwIEAgUCBgIHAggCCQIcAgsCDAINAggCCAIIAggCCAIIAggCCAIIAggCCAIIAggCCAIIAggCCAIgAgMCHQIeAAQAAQICAjMCBAIFAgYCBwIIAgkCHAILAgwCDQIIAggCCAIIAggCCAIIAggCCAIIAggCCAIIAggCCAIIAggCIAIDAl0CHgAEAAECAgIrAgQCBQIGAgcCCAIJAhwCCwIMAg0CCAIIAggCCAIIAggCCAIIAggCCAIIAggCCAIIAggCCAIIAiACAwIsAh4ABAABAgICWQIEAgUCBgIHAggCCQIKAgsCDAINAggCCAIIAggCCAIIAggCCAIIAggCCAIIAggCCAIIAggCCAIgAgMCWgIeAAQAAQICAiYCBAIFAgYCBwIIAgkCJwILAgwCDQIIAggCCAIIAggCCAIIAggCCAIIAggCCAIIAggCCAIIAggCIAIDAigCHgAEAAECAgIpAgQCBQIGAgcCCAIJAicCCwIMAg0CCAIIAggCCAIIAggCCAIIAggCCAIIAggCCAIIAggCCAIIAiACAwIqAh4ABAABAgICAwIEAgUCBgIHAggCCQIKAgsCDAINAggCCAIIAggCCAIIAggCCAIIAggCCAIIAggCCAIIAggCCAIgAgMCDgIeAAQAAQICAiICBAIFAgYCBwIIAgkCHAILAgwCDQIIAggCCAIIAggCCAIIAggCCAIIAggCCAIIAggCCAIIAggCIAIDAnMCHgAEAAECAgIwAgQCBQIGAgcCCAIJAhwCCwIMAg0CCAIIAggCCAIIAggCCAIIAggCCAIIAggCCAIIAggCCAIIAiACAwJWAh4ABAABAgICSAIEAgUCBgIHAggCCQIKAgsCDAINAggCCAIIAggCCAIIAggCCAIIAggCCAIIAggCCAIIAggCCAIgAgMCfgIeAAQAAQICAjgCBAIFAgYCBwIIAgkCJwILAgwCDQIIAggCCAIIAggCCAIIAggCCAIIAggCCAIIAggCCAIIAggCIAIDAnkCHgAEAAECAgIgAgQCBQIGAgcCCAIJAicCCwIMAg0CCAIIAggCCAIIAggCCAIIAggCCAIIAggCCAIIAggCCAIIAiACAwJeAh4ABAABAgICPwIEAgUCBgIHAggCCQInAgsCDAINAggCCAIIAggCCAIIAggCCAIIAggCCAIIAggCCAIIAggCCAIgAgMCXwIeAAQAAQICAiQCBAIFAgYCBwIIAgkCHAILAgwCDQIIAggCCAIIAggCCHoAAAQAAggCCAIIAggCCAIIAggCCAIIAggCCAIgAgMCfQIeAAQAAQICAk8CBAIFAgYCBwIIAgkCJwILAgwCDQIIAggCCAIIAggCCAIIAggCCAIIAggCCAIIAggCCAIIAggCIAIDAlACHgAEAAECAgJSAgQCBQIGAgcCCAIJAicCCwIMAg0CCAIIAggCCAIIAggCCAIIAggCCAIIAggCCAIIAggCCAIIAiACAwJTAh4ABAABAgICOgIEAgUCBgIHAggCCQIKAgsCDAINAggCCAIIAggCCAIIAggCCAIIAggCCAIIAggCCAIIAggCCAIgAgMCOwIeAAQAAQICAkgCBAIFAgYCBwIIAgkCHAILAgwCDQIIAggCCAIIAggCCAIIAggCCAIIAggCCAIIAggCCAIIAggCIAIDAkkCHgAEAAECAgI1AgQCBQIGAgcCCAIJAgoCCwIMAg0CCAIIAggCCAIIAggCCAIIAggCCAIIAggCCAIIAggCCAIIAiACAwIxAh4ABAABAgICMAIEAgUCBgIHAggCCQIKAgsCDAINAggCCAIIAggCCAIIAggCCAIIAggCCAIIAggCCAIIAggCCAIgAgMCMQIeAAQAAQICAi0CBAIFAgYCBwIIAgkCCgILAgwCDQIIAggCCAIIAggCCAIIAggCCAIIAggCCAIIAggCCAIIAggCIAIDAjcCHgAEAAECAgJNAgQCBQIGAgcCCAIJAgoCCwIMAg0CCAIIAggCCAIIAggCCAIIAggCCAIIAggCCAIIAggCCAIIAiACAwJOAh4ABAABAgICHgIEAgUCBgIHAggCCQIcAgsCDAINAggCCAIIAggCCAIIAggCCAIIAggCCAIIAggCCAIIAggCCAIgAgMCSgIeAAQAAQICAjMCBAIFAgYCBwIIAgkCCgILAgwCDQIIAggCCAIIAggCCAIIAggCCAIIAggCCAIIAggCCAIIAggCIAIDAjQCHgAEAAECAgIrAgQCBQIGAgcCCAIJAicCCwIMAg0CCAIIAggCCAIIAggCCAIIAggCCAIIAggCCAIIAggCCAIIAiACAwJRAh4ABAABAgICAwIEAgUCBgIHAggCCQInAgsCDAINAggCCAIIAggCCAIIAggCCAIIAggCCAIIAggCCAIIAggCCAIgAgMCZQIeAAQAAQICAhsCBAIFAgYCBwIIAgkCJwILAgwCDQIIAggCCAIIAggCCAIIAggCCAIIAggCCAIIAggCCAIIAggCIAIDAkQCHgAEAAECAgI/AgQCBQIGAgcCCAIJAhwCCwIMAg0CCAIIAggCCAIIAggCCAIIAggCCAIIAggCCAIIAggCCAIIAiACAwJAAh4ABAABAgICQQIEAgUCBnoAAAQAAgcCCAIJAgoCCwIMAg0CCAIIAggCCAIIAggCCAIIAggCCAIIAggCCAIIAggCCAIIAiACAwJhAh4ABAABAgICIAIEAgUCBgIHAggCCQIcAgsCDAINAggCCAIIAggCCAIIAggCCAIIAggCCAIIAggCCAIIAggCCAIgAgMCIQIeAAQAAQICAiICBAIFAgYCBwIIAgkCJwILAgwCDQIIAggCCAIIAggCCAIIAggCCAIIAggCCAIIAggCCAIIAggCIAIDAm0CHgAEAAECAgIkAgQCBQIGAgcCCAIJAicCCwIMAg0CCAIIAggCCAIIAggCCAIIAggCCAIIAggCCAIIAggCCAIIAiACAwJvAh4ABAEBAAk3MTM3NTE3ODQCAgJLAgQCBQIGAgcCCAIJAhwCCwIMAg0CCAIIAggCCAIIAggCCAIIAggCCAIIAggCCAIIAggCCAIIAhICAwJmAh4ABAEBAgICHgIEAgUCBgIHAggCCQInAgsCDAINAggCCAIIAggCCAIIAggCCAIIAggCCAIIAggCCAIIAggCCAISAgMCYgIeAAQBAQICAj0CBAIFAgYCBwIIAgkCCgILAgwCDQIIAggCCAIIAggCCAIIAggCCAIIAggCCAIIAggCCAIIAggCEgIDAmACHgAEAQECAgJYAgQCBQIGAgcCCAIJAicCCwIMAg0CCAIIAggCCAIIAggCCAIIAggCCAIIAggCCAIIAggCCAIIAhICAwJ8Ah4ABAEBAgICJgIEAgUCBgIHAggCCQIKAgsCDAINAggCCAIIAggCCAIIAggCCAIIAggCCAIIAggCCAIIAggCCAISAgMCXAIeAAQBAQICAlICBAIFAgYCBwIIAgkCHAILAgwCDQIIAggCCAIIAggCCAIIAggCCAIIAggCCAIIAggCCAIIAggCEgIDAnsCHgAEAQECAgI1AgQCBQIGAgcCCAIJAhwCCwIMAg0CCAIIAggCCAIIAggCCAIIAggCCAIIAggCCAIIAggCCAIIAhICAwJVAh4ABAEBAgICIAIEAgUCBgIHAggCCQIKAgsCDAINAggCCAIIAggCCAIIAggCCAIIAggCCAIIAggCCAIIAggCCAISAgMCdQIeAAQBAQICAkECBAIFAgYCBwIIAgkCHAILAgwCDQIIAggCCAIIAggCCAIIAggCCAIIAggCCAIIAggCCAIIAggCEgIDAkMCHgAEAQECAgKbAgQCBQIGAgcCCAIJAgoCCwIMAg0CCAIIAggCCAIIAggCCAIIAggCCAIIAggCCAIIAggCCAIIAhICAwIxAh4ABAEBAgICHgIEAgUCBgIHAggCCQIcAgsCDAINAggCCAIIAggCCAIIAggCCAIIAnoAAAQACAIIAggCCAIIAggCCAIIAhICAwJKAh4ABAEBAgICTQIEAgUCBgIHAggCCQIKAgsCDAINAggCCAIIAggCCAIIAggCCAIIAggCCAIIAggCCAIIAggCCAISAgMCTgIeAAQBAQICAksCBAIFAgYCBwIIAgkCJwILAgwCDQIIAggCCAIIAggCCAIIAggCCAIIAggCCAIIAggCCAIIAggCEgIDAkwCHgAEAQECAgJSAgQCBQIGAgcCCAIJAicCCwIMAg0CCAIIAggCCAIIAggCCAIIAggCCAIIAggCCAIIAggCCAIIAhICAwJTAh4ABAEBAgICGwIEAgUCBgIHAggCCQInAgsCDAINAggCCAIIAggCCAIIAggCCAIIAggCCAIIAggCCAIIAggCCAISAgMCRAIeAAQBAQICAi0CBAIFAgYCBwIIAgkCCgILAgwCDQIIAggCCAIIAggCCAIIAggCCAIIAggCCAIIAggCCAIIAggCEgIDAjcCHgAEAQECAgIiAgQCBQIGAgcCCAIJAicCCwIMAg0CCAIIAggCCAIIAggCCAIIAggCCAIIAggCCAIIAggCCAIIAhICAwJtAh4ABAEBAgIChAIEAgUCBgIHAggCCQInAgsCDAINAggCCAIIAggCCAIIAggCCAIIAggCCAIIAggCCAIIAggCCAISAgMChQIeAAQBAQICAjACBAIFAgYCBwIIAgkCCgILAgwCDQIIAggCCAIIAggCCAIIAggCCAIIAggCCAIIAggCCAIIAggCEgIDAjECHgAEAQECAgKMAgQCBQIGAgcCCAIJAicCCwIMAg0CCAIIAggCCAIIAggCCAIIAggCCAIIAggCCAIIAggCCAIIAhICAwLwAh4ABAEBAgICPwIEAgUCBgIHAggCCQIcAgsCDAINAggCCAIIAggCCAIIAggCCAIIAggCCAIIAggCCAIIAggCCAISAgMCQAIeAAQBAQICAq0CBAIFAgYCBwIIAgkCCgILAgwCDQIIAggCCAIIAggCCAIIAggCCAIIAggCCAIIAggCCAIIAggCEgIDAjECHgAEAQECAgIbAgQCBQIGAgcCCAIJAhwCCwIMAg0CCAIIAggCCAIIAggCCAIIAggCCAIIAggCCAIIAggCCAIIAhICAwIdAh4ABAEBAgICngIEAgUCBgIHAggCCQInAgsCDAINAggCCAIIAggCCAIIAggCCAIIAggCCAIIAggCCAIIAggCCAISAgMC7gIeAAQBAQICAkgCBAIFAgYCBwIIAgkCCgILAgwCDQIIAggCCAIIAggCCAIIAggCCAIIAggCCAIIAggCCAIIAggCEgIDAn4CHgAEAQECAgKtAgQCBQIGAgcCCAIJAnoAAAQAJwILAgwCDQIIAggCCAIIAggCCAIIAggCCAIIAggCCAIIAggCCAIIAggCEgIDAvACHgAEAQECAgItAgQCBQIGAgcCCAIJAhwCCwIMAg0CCAIIAggCCAIIAggCCAIIAggCCAIIAggCCAIIAggCCAIIAhICAwIuAh4ABAEBAgICKQIEAgUCBgIHAggCCQInAgsCDAINAggCCAIIAggCCAIIAggCCAIIAggCCAIIAggCCAIIAggCCAISAgMCKgIeAAQBAQICAoACBAIFAgYCBwIIAgkCCgILAgwCDQIIAggCCAIIAggCCAIIAggCCAIIAggCCAIIAggCCAIIAggCEgIDAjECHgAEAQECAgKMAgQCBQIGAgcCCAIJAgoCCwIMAg0CCAIIAggCCAIIAggCCAIIAggCCAIIAggCCAIIAggCCAIIAhICAwIxAh4ABAEBAgICWQIEAgUCBgIHAggCCQIKAgsCDAINAggCCAIIAggCCAIIAggCCAIIAggCCAIIAggCCAIIAggCCAISAgMCWgIeAAQBAQICAj8CBAIFAgYCBwIIAgkCJwILAgwCDQIIAggCCAIIAggCCAIIAggCCAIIAggCCAIIAggCCAIIAggCEgIDAl8CHgAEAQECAgKeAgQCBQIGAgcCCAIJAhwCCwIMAg0CCAIIAggCCAIIAggCCAIIAggCCAIIAggCCAIIAggCCAIIAhICAwLvAh4ABAEBAgICJAIEAgUCBgIHAggCCQIcAgsCDAINAggCCAIIAggCCAIIAggCCAIIAggCCAIIAggCCAIIAggCCAISAgMCfQIeAAQBAQICAjACBAIFAgYCBwIIAgkCHAILAgwCDQIIAggCCAIIAggCCAIIAggCCAIIAggCCAIIAggCCAIIAggCEgIDAlYCHgAEAQECAgI4AgQCBQIGAgcCCAIJAicCCwIMAg0CCAIIAggCCAIIAggCCAIIAggCCAIIAggCCAIIAggCCAIIAhICAwJ5Ah4ABAEBAgICogIEAgUCBgIHAggCCQIKAgsCDAINAggCCAIIAggCCAIIAggCCAIIAggCCAIIAggCCAIIAggCCAISAgMCMQIeAAQBAQICAi0CBAIFAgYCBwIIAgkCJwILAgwCDQIIAggCCAIIAggCCAIIAggCCAIIAggCCAIIAggCCAIIAggCEgIDAncCHgAEAQECAgIrAgQCBQIGAgcCCAIJAgoCCwIMAg0CCAIIAggCCAIIAggCCAIIAggCCAIIAggCCAIIAggCCAIIAhICAwIxAh4ABAEBAgICSwIEAgUCBgIHAggCCQIKAgsCDAINAggCCAIIAggCCAIIAggCCAIIAggCCAIIAggCCAIIAggCCAISAnoAAAQAAwJ0Ah4ABAEBAgICrQIEAgUCBgIHAggCCQIcAgsCDAINAggCCAIIAggCCAIIAggCCAIIAggCCAIIAggCCAIIAggCCAISAgMC8QIeAAQBAQICAgMCBAIFAgYCBwIIAgkCHAILAgwCDQIIAggCCAIIAggCCAIIAggCCAIIAggCCAIIAggCCAIIAggCEgIDAnACHgAEAQECAgIpAgQCBQIGAgcCCAIJAhwCCwIMAg0CCAIIAggCCAIIAggCCAIIAggCCAIIAggCCAIIAggCCAIIAhICAwIvAh4ABAEBAgICWAIEAgUCBgIHAggCCQIcAgsCDAINAggCCAIIAggCCAIIAggCCAIIAggCCAIIAggCCAIIAggCCAISAgMCawIeAAQBAQICAjgCBAIFAgYCBwIIAgkCHAILAgwCDQIIAggCCAIIAggCCAIIAggCCAIIAggCCAIIAggCCAIIAggCEgIDAjkCHgAEAQECAgIiAgQCBQIGAgcCCAIJAgoCCwIMAg0CCAIIAggCCAIIAggCCAIIAggCCAIIAggCCAIIAggCCAIIAhICAwIjAh4ABAEBAgICUgIEAgUCBgIHAggCCQIKAgsCDAINAggCCAIIAggCCAIIAggCCAIIAggCCAIIAggCCAIIAggCCAISAgMCaAIeAAQBAQICAjACBAIFAgYCBwIIAgkCJwILAgwCDQIIAggCCAIIAggCCAIIAggCCAIIAggCCAIIAggCCAIIAggCEgIDAmwCHgAEAQECAgI9AgQCBQIGAgcCCAIJAicCCwIMAg0CCAIIAggCCAIIAggCCAIIAggCCAIIAggCCAIIAggCCAIIAhICAwI+Ah4ABAEBAgICgAIEAgUCBgIHAggCCQInAgsCDAINAggCCAIIAggCCAIIAggCCAIIAggCCAIIAggCCAIIAggCCAISAgMCgQIeAAQBAQICAoQCBAIFAgYCBwIIAgkCCgILAgwCDQIIAggCCAIIAggCCAIIAggCCAIIAggCCAIIAggCCAIIAggCEgIDAjECHgAEAQECAgJNAgQCBQIGAgcCCAIJAhwCCwIMAg0CCAIIAggCCAIIAggCCAIIAggCCAIIAggCCAIIAggCCAIIAhICAwJkAh4ABAEBAgICogIEAgUCBgIHAggCCQInAgsCDAINAggCCAIIAggCCAIIAggCCAIIAggCCAIIAggCCAIIAggCCAISAgMC8AIeAAQBAQICAkUCBAIFAgYCBwIIAgkCHAILAgwCDQIIAggCCAIIAggCCAIIAggCCAIIAggCCAIIAggCCAIIAggCEgIDAmcCHgAEAQECAgJIAgQCBQIGAgcCCAIJAicCCwIMAg0CCAIIAggCCAIIAnoAAAQACAIIAggCCAIIAggCCAIIAggCCAIIAggCEgIDAmMCHgAEAQECAgKeAgQCBQIGAgcCCAIJAgoCCwIMAg0CCAIIAggCCAIIAggCCAIIAggCCAIIAggCCAIIAggCCAIIAhICAwIxAh4ABAEBAgICOAIEAgUCBgIHAggCCQIKAgsCDAINAggCCAIIAggCCAIIAggCCAIIAggCCAIIAggCCAIIAggCCAISAgMCVAIeAAQBAQICAlkCBAIFAgYCBwIIAgkCJwILAgwCDQIIAggCCAIIAggCCAIIAggCCAIIAggCCAIIAggCCAIIAggCEgIDAnoCHgAEAQECAgIpAgQCBQIGAgcCCAIJAgoCCwIMAg0CCAIIAggCCAIIAggCCAIIAggCCAIIAggCCAIIAggCCAIIAhICAwJXAh4ABAEBAgICTQIEAgUCBgIHAggCCQInAgsCDAINAggCCAIIAggCCAIIAggCCAIIAggCCAIIAggCCAIIAggCCAISAgMCcQIeAAQBAQICAkUCBAIFAgYCBwIIAgkCJwILAgwCDQIIAggCCAIIAggCCAIIAggCCAIIAggCCAIIAggCCAIIAggCEgIDAkYCHgAEAQECAgI/AgQCBQIGAgcCCAIJAgoCCwIMAg0CCAIIAggCCAIIAggCCAIIAggCCAIIAggCCAIIAggCCAIIAhICAwJyAh4ABAEBAgICPQIEAgUCBgIHAggCCQIcAgsCDAINAggCCAIIAggCCAIIAggCCAIIAggCCAIIAggCCAIIAggCCAISAgMCRwIeAAQBAQICAoACBAIFAgYCBwIIAgkCHAILAgwCDQIIAggCCAIIAggCCAIIAggCCAIIAggCCAIIAggCCAIIAggCEgIDAoMCHgAEAQECAgI6AgQCBQIGAgcCCAIJAgoCCwIMAg0CCAIIAggCCAIIAggCCAIIAggCCAIIAggCCAIIAggCCAIIAhICAwI7Ah4ABAEBAgICTwIEAgUCBgIHAggCCQInAgsCDAINAggCCAIIAggCCAIIAggCCAIIAggCCAIIAggCCAIIAggCCAISAgMCUAIeAAQBAQICAisCBAIFAgYCBwIIAgkCJwILAgwCDQIIAggCCAIIAggCCAIIAggCCAIIAggCCAIIAggCCAIIAggCEgIDAlECHgAEAQECAgJIAgQCBQIGAgcCCAIJAhwCCwIMAg0CCAIIAggCCAIIAggCCAIIAggCCAIIAggCCAIIAggCCAIIAhICAwJJAh4ABAEBAgICggIEAgUCBgIHAggCCQIKAgsCDAINAggCCAIIAggCCAIIAggCCAIIAggCCAIIAggCCAIIAggCCAISAgMCMQIeAAQBAQICAk8CBAIFAnoAAAQABgIHAggCCQIcAgsCDAINAggCCAIIAggCCAIIAggCCAIIAggCCAIIAggCCAIIAggCCAISAgMCdgIeAAQBAQICAgMCBAIFAgYCBwIIAgkCJwILAgwCDQIIAggCCAIIAggCCAIIAggCCAIIAggCCAIIAggCCAIIAggCEgIDAmUCHgAEAQECAgIzAgQCBQIGAgcCCAIJAgoCCwIMAg0CCAIIAggCCAIIAggCCAIIAggCCAIIAggCCAIIAggCCAIIAhICAwI0Ah4ABAEBAgICJAIEAgUCBgIHAggCCQInAgsCDAINAggCCAIIAggCCAIIAggCCAIIAggCCAIIAggCCAIIAggCCAISAgMCbwIeAAQBAQICApsCBAIFAgYCBwIIAgkCHAILAgwCDQIIAggCCAIIAggCCAIIAggCCAIIAggCCAIIAggCCAIIAggCEgIDAvICHgAEAQECAgIgAgQCBQIGAgcCCAIJAhwCCwIMAg0CCAIIAggCCAIIAggCCAIIAggCCAIIAggCCAIIAggCCAIIAhICAwIhAh4ABAEBAgICogIEAgUCBgIHAggCCQIcAgsCDAINAggCCAIIAggCCAIIAggCCAIIAggCCAIIAggCCAIIAggCCAISAgMC8QIeAAQBAQICAkECBAIFAgYCBwIIAgkCCgILAgwCDQIIAggCCAIIAggCCAIIAggCCAIIAggCCAIIAggCCAIIAggCEgIDAmECHgAEAQECAgI1AgQCBQIGAgcCCAIJAgoCCwIMAg0CCAIIAggCCAIIAggCCAIIAggCCAIIAggCCAIIAggCCAIIAhICAwIxAh4ABAEBAgICKwIEAgUCBgIHAggCCQIcAgsCDAINAggCCAIIAggCCAIIAggCCAIIAggCCAIIAggCCAIIAggCCAISAgMCLAIeAAQBAQICAh4CBAIFAgYCBwIIAgkCCgILAgwCDQIIAggCCAIIAggCCAIIAggCCAIIAggCCAIIAggCCAIIAggCEgIDAh8CHgAEAQECAgImAgQCBQIGAgcCCAIJAicCCwIMAg0CCAIIAggCCAIIAggCCAIIAggCCAIIAggCCAIIAggCCAIIAhICAwIoAh4ABAEBAgICggIEAgUCBgIHAggCCQIcAgsCDAINAggCCAIIAggCCAIIAggCCAIIAggCCAIIAggCCAIIAggCCAISAgMChgIeAAQBAQICAjoCBAIFAgYCBwIIAgkCHAILAgwCDQIIAggCCAIIAggCCAIIAggCCAIIAggCCAIIAggCCAIIAggCEgIDAlsCHgAEAQECAgIDAgQCBQIGAgcCCAIJAgoCCwIMAg0CCAIIAggCCAIIAggCCAIIAggCCAIIAggCCAIIAnoAAAQACAIIAggCEgIDAg4CHgAEAQECAgIgAgQCBQIGAgcCCAIJAicCCwIMAg0CCAIIAggCCAIIAggCCAIIAggCCAIIAggCCAIIAggCCAIIAhICAwJeAh4ABAEBAgICMwIEAgUCBgIHAggCCQIcAgsCDAINAggCCAIIAggCCAIIAggCCAIIAggCCAIIAggCCAIIAggCCAISAgMCXQIeAAQBAQICApsCBAIFAgYCBwIIAgkCJwILAgwCDQIIAggCCAIIAggCCAIIAggCCAIIAggCCAIIAggCCAIIAggCEgIDAvMCHgAEAQECAgKEAgQCBQIGAgcCCAIJAhwCCwIMAg0CCAIIAggCCAIIAggCCAIIAggCCAIIAggCCAIIAggCCAIIAhICAwKHAh4ABAEBAgICIgIEAgUCBgIHAggCCQIcAgsCDAINAggCCAIIAggCCAIIAggCCAIIAggCCAIIAggCCAIIAggCCAISAgMCcwIeAAQBAQICAlgCBAIFAgYCBwIIAgkCCgILAgwCDQIIAggCCAIIAggCCAIIAggCCAIIAggCCAIIAggCCAIIAggCEgIDAjECHgAEAQECAgI6AgQCBQIGAgcCCAIJAicCCwIMAg0CCAIIAggCCAIIAggCCAIIAggCCAIIAggCCAIIAggCCAIIAhICAwJ4Ah4ABAEBAgICggIEAgUCBgIHAggCCQInAgsCDAINAggCCAIIAggCCAIIAggCCAIIAggCCAIIAggCCAIIAggCCAISAgMCiAIeAAQBAQICAowCBAIFAgYCBwIIAgkCHAILAgwCDQIIAggCCAIIAggCCAIIAggCCAIIAggCCAIIAggCCAIIAggCEgIDAvECHgAEAQECAgIbAgQCBQIGAgcCCAIJAgoCCwIMAg0CCAIIAggCCAIIAggCCAIIAggCCAIIAggCCAIIAggCCAIIAhICAwI8Ah4ABAEBAgICNQIEAgUCBgIHAggCCQInAgsCDAINAggCCAIIAggCCAIIAggCCAIIAggCCAIIAggCCAIIAggCCAISAgMCNgIeAAQBAQICAiYCBAIFAgYCBwIIAgkCHAILAgwCDQIIAggCCAIIAggCCAIIAggCCAIIAggCCAIIAggCCAIIAggCEgIDAjICHgAEAQECAgJFAgQCBQIGAgcCCAIJAgoCCwIMAg0CCAIIAggCCAIIAggCCAIIAggCCAIIAggCCAIIAggCCAIIAhICAwIxAh4ABAEBAgICWQIEAgUCBgIHAggCCQIcAgsCDAINAggCCAIIAggCCAIIAggCCAIIAggCCAIIAggCCAIIAggCCAISAgMCbgIeAAQBAQICAiQCBAIFAgYCBwIIAgkCCgILAgwCDQIIAnoAAAQACAIIAggCCAIIAggCCAIIAggCCAIIAggCCAIIAggCCAISAgMCJQIeAAQBAQICAk8CBAIFAgYCBwIIAgkCCgILAgwCDQIIAggCCAIIAggCCAIIAggCCAIIAggCCAIIAggCCAIIAggCEgIDAmkCHgAEAQECAgJBAgQCBQIGAgcCCAIJAicCCwIMAg0CCAIIAggCCAIIAggCCAIIAggCCAIIAggCCAIIAggCCAIIAhICAwJCAh4ABAEBAgICMwIEAgUCBgIHAggCCQInAgsCDAINAggCCAIIAggCCAIIAggCCAIIAggCCAIIAggCCAIIAggCCAISAgMCagIeAAQCAQAJNTgwMTI4NTA0AgICWQIEAgUCBgIHAggCCQInAgsCDAINAggCCAIIAggCCAIIAggCCAIIAggCCAIIAggCCAIIAggCCAIWAgMCegIeAAQCAQICAikCBAIFAgYCBwIIAgkCCgILAgwCDQIIAggCCAIIAggCCAIIAggCCAIIAggCCAIIAggCCAIIAggCFgIDAlcCHgAEAgECAgJPAgQCBQIGAgcCCAIJAhwCCwIMAg0CCAIIAggCCAIIAggCCAIIAggCCAIIAggCCAIIAggCCAIIAhYCAwJ2Ah4ABAIBAgICngIEAgUCBgIHAggCCQIKAgsCDAINAggCCAIIAggCCAIIAggCCAIIAggCCAIIAggCCAIIAggCCAIWAgMCMQIeAAQCAQICAk0CBAIFAgYCBwIIAgkCHAILAgwCDQIIAggCCAIIAggCCAIIAggCCAIIAggCCAIIAggCCAIIAggCFgIDAmQCHgAEAgECAgI4AgQCBQIGAgcCCAIJAgoCCwIMAg0CCAIIAggCCAIIAggCCAIIAggCCAIIAggCCAIIAggCCAIIAhYCAwJUAh4ABAIBAgICRQIEAgUCBgIHAggCCQIcAgsCDAINAggCCAIIAggCCAIIAggCCAIIAggCCAIIAggCCAIIAggCCAIWAgMCZwIeAAQCAQICAkUCBAIFAgYCBwIIAgkCJwILAgwCDQIIAggCCAIIAggCCAIIAggCCAIIAggCCAIIAggCCAIIAggCFgIDAkYCHgAEAgECAgI/AgQCBQIGAgcCCAIJAgoCCwIMAg0CCAIIAggCCAIIAggCCAIIAggCCAIIAggCCAIIAggCCAIIAhYCAwJyAh4ABAIBAgICTQIEAgUCBgIHAggCCQInAgsCDAINAggCCAIIAggCCAIIAggCCAIIAggCCAIIAggCCAIIAggCCAIWAgMCcQIeAAQCAQICAkgCBAIFAgYCBwIIAgkCJwILAgwCDQIIAggCCAIIAggCCAIIAggCCAIIAggCCAIIAggCCAIIAggCFnoAAAQAAgMCYwIeAAQCAQICAj0CBAIFAgYCBwIIAgkCHAILAgwCDQIIAggCCAIIAggCCAIIAggCCAIIAggCCAIIAggCCAIIAggCFgIDAkcCHgAEAgECAgKtAgQCBQIGAgcCCAIJAhwCCwIMAg0CCAIIAggCCAIIAggCCAIIAggCCAIIAggCCAIIAggCCAIIAhYCAwLxAh4ABAIBAgICogIEAgUCBgIHAggCCQInAgsCDAINAggCCAIIAggCCAIIAggCCAIIAggCCAIIAggCCAIIAggCCAIWAgMC8AIeAAQCAQICAjUCBAIFAgYCBwIIAgkCCgILAgwCDQIIAggCCAIIAggCCAIIAggCCAIIAggCCAIIAggCCAIIAggCFgIDAjECHgAEAgECAgIzAgQCBQIGAgcCCAIJAgoCCwIMAg0CCAIIAggCCAIIAggCCAIIAggCCAIIAggCCAIIAggCCAIIAhYCAwI0Ah4ABAIBAgICogIEAgUCBgIHAggCCQIcAgsCDAINAggCCAIIAggCCAIIAggCCAIIAggCCAIIAggCCAIIAggCCAIWAgMC8QIeAAQCAQICAoICBAIFAgYCBwIIAgkCCgILAgwCDQIIAggCCAIIAggCCAIIAggCCAIIAggCCAIIAggCCAIIAggCFgIDAjECHgAEAgECAgKAAgQCBQIGAgcCCAIJAhwCCwIMAg0CCAIIAggCCAIIAggCCAIIAggCCAIIAggCCAIIAggCCAIIAhYCAwKDAh4ABAIBAgICAwIEAgUCBgIHAggCCQInAgsCDAINAggCCAIIAggCCAIIAggCCAIIAggCCAIIAggCCAIIAggCCAIWAgMCZQIeAAQCAQICAk8CBAIFAgYCBwIIAgkCJwILAgwCDQIIAggCCAIIAggCCAIIAggCCAIIAggCCAIIAggCCAIIAggCFgIDAlACHgAEAgECAgJBAgQCBQIGAgcCCAIJAgoCCwIMAg0CCAIIAggCCAIIAggCCAIIAggCCAIIAggCCAIIAggCCAIIAhYCAwJhAh4ABAIBAgICmwIEAgUCBgIHAggCCQIcAgsCDAINAggCCAIIAggCCAIIAggCCAIIAggCCAIIAggCCAIIAggCCAIWAgMC8gIeAAQCAQICAiACBAIFAgYCBwIIAgkCHAILAgwCDQIIAggCCAIIAggCCAIIAggCCAIIAggCCAIIAggCCAIIAggCFgIDAiECHgAEAgECAgIrAgQCBQIGAgcCCAIJAicCCwIMAg0CCAIIAggCCAIIAggCCAIIAggCCAIIAggCCAIIAggCCAIIAhYCAwJRAh4ABAIBAgICSAIEAgUCBgIHAggCCQIcAgsCDAINAggCCAIIAggCCHoAAAQAAggCCAIIAggCCAIIAggCCAIIAggCCAIIAhYCAwJJAh4ABAIBAgICOgIEAgUCBgIHAggCCQIKAgsCDAINAggCCAIIAggCCAIIAggCCAIIAggCCAIIAggCCAIIAggCCAIWAgMCOwIeAAQCAQICAiQCBAIFAgYCBwIIAgkCJwILAgwCDQIIAggCCAIIAggCCAIIAggCCAIIAggCCAIIAggCCAIIAggCFgIDAm8CHgAEAgECAgIzAgQCBQIGAgcCCAIJAhwCCwIMAg0CCAIIAggCCAIIAggCCAIIAggCCAIIAggCCAIIAggCCAIIAhYCAwJdAh4ABAIBAgICWAIEAgUCBgIHAggCCQIKAgsCDAINAggCCAIIAggCCAIIAggCCAIIAggCCAIIAggCCAIIAggCCAIWAgMCMQIeAAQCAQICAjoCBAIFAgYCBwIIAgkCHAILAgwCDQIIAggCCAIIAggCCAIIAggCCAIIAggCCAIIAggCCAIIAggCFgIDAlsCHgAEAgECAgImAgQCBQIGAgcCCAIJAicCCwIMAg0CCAIIAggCCAIIAggCCAIIAggCCAIIAggCCAIIAggCCAIIAhYCAwIoAh4ABAIBAgICIgIEAgUCBgIHAggCCQIcAgsCDAINAggCCAIIAggCCAIIAggCCAIIAggCCAIIAggCCAIIAggCCAIWAgMCcwIeAAQCAQICAoICBAIFAgYCBwIIAgkCHAILAgwCDQIIAggCCAIIAggCCAIIAggCCAIIAggCCAIIAggCCAIIAggCFgIDAoYCHgAEAgECAgIDAgQCBQIGAgcCCAIJAgoCCwIMAg0CCAIIAggCCAIIAggCCAIIAggCCAIIAggCCAIIAggCCAIIAhYCAwIOAh4ABAIBAgICKwIEAgUCBgIHAggCCQIcAgsCDAINAggCCAIIAggCCAIIAggCCAIIAggCCAIIAggCCAIIAggCCAIWAgMCLAIeAAQCAQICAiACBAIFAgYCBwIIAgkCJwILAgwCDQIIAggCCAIIAggCCAIIAggCCAIIAggCCAIIAggCCAIIAggCFgIDAl4CHgAEAgECAgKbAgQCBQIGAgcCCAIJAicCCwIMAg0CCAIIAggCCAIIAggCCAIIAggCCAIIAggCCAIIAggCCAIIAhYCAwLzAh4ABAIBAgICHgIEAgUCBgIHAggCCQIKAgsCDAINAggCCAIIAggCCAIIAggCCAIIAggCCAIIAggCCAIIAggCCAIWAgMCHwIeAAQCAQICAoQCBAIFAgYCBwIIAgkCHAILAgwCDQIIAggCCAIIAggCCAIIAggCCAIIAggCCAIIAggCCAIIAggCFgIDAocCHgAEAgECAgImAgQCBXoAAAQAAgYCBwIIAgkCHAILAgwCDQIIAggCCAIIAggCCAIIAggCCAIIAggCCAIIAggCCAIIAggCFgIDAjICHgAEAgECAgIzAgQCBQIGAgcCCAIJAicCCwIMAg0CCAIIAggCCAIIAggCCAIIAggCCAIIAggCCAIIAggCCAIIAhYCAwJqAh4ABAIBAgICWQIEAgUCBgIHAggCCQIcAgsCDAINAggCCAIIAggCCAIIAggCCAIIAggCCAIIAggCCAIIAggCCAIWAgMCbgIeAAQCAQICAiQCBAIFAgYCBwIIAgkCCgILAgwCDQIIAggCCAIIAggCCAIIAggCCAIIAggCCAIIAggCCAIIAggCFgIDAiUCHgAEAgECAgKCAgQCBQIGAgcCCAIJAicCCwIMAg0CCAIIAggCCAIIAggCCAIIAggCCAIIAggCCAIIAggCCAIIAhYCAwKIAh4ABAIBAgICjAIEAgUCBgIHAggCCQIcAgsCDAINAggCCAIIAggCCAIIAggCCAIIAggCCAIIAggCCAIIAggCCAIWAgMC8QIeAAQCAQICAkUCBAIFAgYCBwIIAgkCCgILAgwCDQIIAggCCAIIAggCCAIIAggCCAIIAggCCAIIAggCCAIIAggCFgIDAjECHgAEAgECAgI6AgQCBQIGAgcCCAIJAicCCwIMAg0CCAIIAggCCAIIAggCCAIIAggCCAIIAggCCAIIAggCCAIIAhYCAwJ4Ah4ABAIBAgICGwIEAgUCBgIHAggCCQIKAgsCDAINAggCCAIIAggCCAIIAggCCAIIAggCCAIIAggCCAIIAggCCAIWAgMCPAIeAAQCAQICAjUCBAIFAgYCBwIIAgkCJwILAgwCDQIIAggCCAIIAggCCAIIAggCCAIIAggCCAIIAggCCAIIAggCFgIDAjYCHgAEAgECAgJBAgQCBQIGAgcCCAIJAicCCwIMAg0CCAIIAggCCAIIAggCCAIIAggCCAIIAggCCAIIAggCCAIIAhYCAwJCAh4ABAIBAgICTwIEAgUCBgIHAggCCQIKAgsCDAINAggCCAIIAggCCAIIAggCCAIIAggCCAIIAggCCAIIAggCCAIWAgMCaQIeAAQCAQICAlgCBAIFAgYCBwIIAgkCJwILAgwCDQIIAggCCAIIAggCCAIIAggCCAIIAggCCAIIAggCCAIIAggCFgIDAnwCHgAEAgECAgImAgQCBQIGAgcCCAIJAgoCCwIMAg0CCAIIAggCCAIIAggCCAIIAggCCAIIAggCCAIIAggCCAIIAhYCAwJcAh4ABAIBAgICNQIEAgUCBgIHAggCCQIcAgsCDAINAggCCAIIAggCCAIIAggCCAIIAggCCAIIAggCCHoAAAQAAggCCAIIAhYCAwJVAh4ABAIBAgICUgIEAgUCBgIHAggCCQIcAgsCDAINAggCCAIIAggCCAIIAggCCAIIAggCCAIIAggCCAIIAggCCAIWAgMCewIeAAQCAQICAksCBAIFAgYCBwIIAgkCJwILAgwCDQIIAggCCAIIAggCCAIIAggCCAIIAggCCAIIAggCCAIIAggCFgIDAkwCHgAEAgECAgIgAgQCBQIGAgcCCAIJAgoCCwIMAg0CCAIIAggCCAIIAggCCAIIAggCCAIIAggCCAIIAggCCAIIAhYCAwJ1Ah4ABAIBAgICHgIEAgUCBgIHAggCCQInAgsCDAINAggCCAIIAggCCAIIAggCCAIIAggCCAIIAggCCAIIAggCCAIWAgMCYgIeAAQCAQICAj0CBAIFAgYCBwIIAgkCCgILAgwCDQIIAggCCAIIAggCCAIIAggCCAIIAggCCAIIAggCCAIIAggCFgIDAmACHgAEAgECAgKbAgQCBQIGAgcCCAIJAgoCCwIMAg0CCAIIAggCCAIIAggCCAIIAggCCAIIAggCCAIIAggCCAIIAhYCAwIxAh4ABAIBAgICSwIEAgUCBgIHAggCCQIcAgsCDAINAggCCAIIAggCCAIIAggCCAIIAggCCAIIAggCCAIIAggCCAIWAgMCZgIeAAQCAQICAkECBAIFAgYCBwIIAgkCHAILAgwCDQIIAggCCAIIAggCCAIIAggCCAIIAggCCAIIAggCCAIIAggCFgIDAkMCHgAEAgECAgIwAgQCBQIGAgcCCAIJAgoCCwIMAg0CCAIIAggCCAIIAggCCAIIAggCCAIIAggCCAIIAggCCAIIAhYCAwIxAh4ABAIBAgICIgIEAgUCBgIHAggCCQInAgsCDAINAggCCAIIAggCCAIIAggCCAIIAggCCAIIAggCCAIIAggCCAIWAgMCbQIeAAQCAQICAlICBAIFAgYCBwIIAgkCJwILAgwCDQIIAggCCAIIAggCCAIIAggCCAIIAggCCAIIAggCCAIIAggCFgIDAlMCHgAEAgECAgIeAgQCBQIGAgcCCAIJAhwCCwIMAg0CCAIIAggCCAIIAggCCAIIAggCCAIIAggCCAIIAggCCAIIAhYCAwJKAh4ABAIBAgICTQIEAgUCBgIHAggCCQIKAgsCDAINAggCCAIIAggCCAIIAggCCAIIAggCCAIIAggCCAIIAggCCAIWAgMCTgIeAAQCAQICAowCBAIFAgYCBwIIAgkCJwILAgwCDQIIAggCCAIIAggCCAIIAggCCAIIAggCCAIIAggCCAIIAggCFgIDAvACHgAEAgECAgKtAgQCBQIGAgcCCAIJAgoCCwIMAg0CCHoAAAQAAggCCAIIAggCCAIIAggCCAIIAggCCAIIAggCCAIIAggCFgIDAjECHgAEAgECAgIbAgQCBQIGAgcCCAIJAicCCwIMAg0CCAIIAggCCAIIAggCCAIIAggCCAIIAggCCAIIAggCCAIIAhYCAwJEAh4ABAIBAgICPwIEAgUCBgIHAggCCQIcAgsCDAINAggCCAIIAggCCAIIAggCCAIIAggCCAIIAggCCAIIAggCCAIWAgMCQAIeAAQCAQICAi0CBAIFAgYCBwIIAgkCCgILAgwCDQIIAggCCAIIAggCCAIIAggCCAIIAggCCAIIAggCCAIIAggCFgIDAjcCHgAEAgECAgKEAgQCBQIGAgcCCAIJAicCCwIMAg0CCAIIAggCCAIIAggCCAIIAggCCAIIAggCCAIIAggCCAIIAhYCAwKFAh4ABAIBAgICOAIEAgUCBgIHAggCCQInAgsCDAINAggCCAIIAggCCAIIAggCCAIIAggCCAIIAggCCAIIAggCCAIWAgMCeQIeAAQCAQICAi0CBAIFAgYCBwIIAgkCHAILAgwCDQIIAggCCAIIAggCCAIIAggCCAIIAggCCAIIAggCCAIIAggCFgIDAi4CHgAEAgECAgKiAgQCBQIGAgcCCAIJAgoCCwIMAg0CCAIIAggCCAIIAggCCAIIAggCCAIIAggCCAIIAggCCAIIAhYCAwIxAh4ABAIBAgICKQIEAgUCBgIHAggCCQInAgsCDAINAggCCAIIAggCCAIIAggCCAIIAggCCAIIAggCCAIIAggCCAIWAgMCKgIeAAQCAQICAjACBAIFAgYCBwIIAgkCHAILAgwCDQIIAggCCAIIAggCCAIIAggCCAIIAggCCAIIAggCCAIIAggCFgIDAlYCHgAEAgECAgKeAgQCBQIGAgcCCAIJAicCCwIMAg0CCAIIAggCCAIIAggCCAIIAggCCAIIAggCCAIIAggCCAIIAhYCAwLuAh4ABAIBAgICWQIEAgUCBgIHAggCCQIKAgsCDAINAggCCAIIAggCCAIIAggCCAIIAggCCAIIAggCCAIIAggCCAIWAgMCWgIeAAQCAQICAowCBAIFAgYCBwIIAgkCCgILAgwCDQIIAggCCAIIAggCCAIIAggCCAIIAggCCAIIAggCCAIIAggCFgIDAjECHgAEAgECAgKAAgQCBQIGAgcCCAIJAgoCCwIMAg0CCAIIAggCCAIIAggCCAIIAggCCAIIAggCCAIIAggCCAIIAhYCAwIxAh4ABAIBAgICJAIEAgUCBgIHAggCCQIcAgsCDAINAggCCAIIAggCCAIIAggCCAIIAggCCAIIAggCCAIIAggCCAIWAgMCfQIeAAQCAXoAAAQAAgICPwIEAgUCBgIHAggCCQInAgsCDAINAggCCAIIAggCCAIIAggCCAIIAggCCAIIAggCCAIIAggCCAIWAgMCXwIeAAQCAQICAkgCBAIFAgYCBwIIAgkCCgILAgwCDQIIAggCCAIIAggCCAIIAggCCAIIAggCCAIIAggCCAIIAggCFgIDAn4CHgAEAgECAgIbAgQCBQIGAgcCCAIJAhwCCwIMAg0CCAIIAggCCAIIAggCCAIIAggCCAIIAggCCAIIAggCCAIIAhYCAwIdAh4ABAIBAgICKQIEAgUCBgIHAggCCQIcAgsCDAINAggCCAIIAggCCAIIAggCCAIIAggCCAIIAggCCAIIAggCCAIWAgMCLwIeAAQCAQICAp4CBAIFAgYCBwIIAgkCHAILAgwCDQIIAggCCAIIAggCCAIIAggCCAIIAggCCAIIAggCCAIIAggCFgIDAu8CHgAEAgECAgKEAgQCBQIGAgcCCAIJAgoCCwIMAg0CCAIIAggCCAIIAggCCAIIAggCCAIIAggCCAIIAggCCAIIAhYCAwIxAh4ABAIBAgICIgIEAgUCBgIHAggCCQIKAgsCDAINAggCCAIIAggCCAIIAggCCAIIAggCCAIIAggCCAIIAggCCAIWAgMCIwIeAAQCAQICAjgCBAIFAgYCBwIIAgkCHAILAgwCDQIIAggCCAIIAggCCAIIAggCCAIIAggCCAIIAggCCAIIAggCFgIDAjkCHgAEAgECAgItAgQCBQIGAgcCCAIJAicCCwIMAg0CCAIIAggCCAIIAggCCAIIAggCCAIIAggCCAIIAggCCAIIAhYCAwJ3Ah4ABAIBAgICgAIEAgUCBgIHAggCCQInAgsCDAINAggCCAIIAggCCAIIAggCCAIIAggCCAIIAggCCAIIAggCCAIWAgMCgQIeAAQCAQICAksCBAIFAgYCBwIIAgkCCgILAgwCDQIIAggCCAIIAggCCAIIAggCCAIIAggCCAIIAggCCAIIAggCFgIDAnQCHgAEAgECAgI9AgQCBQIGAgcCCAIJAicCCwIMAg0CCAIIAggCCAIIAggCCAIIAggCCAIIAggCCAIIAggCCAIIAhYCAwI+Ah4ABAIBAgICAwIEAgUCBgIHAggCCQIcAgsCDAINAggCCAIIAggCCAIIAggCCAIIAggCCAIIAggCCAIIAggCCAIWAgMCcAIeAAQCAQICAlgCBAIFAgYCBwIIAgkCHAILAgwCDQIIAggCCAIIAggCCAIIAggCCAIIAggCCAIIAggCCAIIAggCFgIDAmsCHgAEAgECAgIwAgQCBQIGAgcCCAIJAicCCwIMAg0CCAIIAggCCAIIAggCCAIIAggCCHfmAggCCAIIAggCCAIIAggCFgIDAmwCHgAEAgECAgKtAgQCBQIGAgcCCAIJAicCCwIMAg0CCAIIAggCCAIIAggCCAIIAggCCAIIAggCCAIIAggCCAIIAhYCAwLwAh4ABAIBAgICKwIEAgUCBgIHAggCCQIKAgsCDAINAggCCAIIAggCCAIIAggCCAIIAggCCAIIAggCCAIIAggCCAIWAgMCMQIeAAQCAQICAlICBAIFAgYCBwIIAgkCCgILAgwCDQIIAggCCAIIAggCCAIIAggCCAIIAggCCAIIAggCCAIIAggCFgIDAmg=]]></xxe4awand>
</file>

<file path=customXml/item16.xml><?xml version="1.0" encoding="utf-8"?>
<xxe4awand xmlns="http://www.excel4apps.com"><![CDATA[rO0ABXfZCMCtii8ABEkDAh4AAERjb20uZXhjZWw0YXBwcy53YW5kLm9yYWNsZS5n
bHdhbmQuY2FsY3VsYXRpb25zLmdldGJhbGFuY2UuR2V0QmFsYW5jZQIBAAkzMjYx
NTgxOTICAgABMAIDAAYyMDE3MDcCBAADWVREAgUAA1VTRAIGAAVUb3RhbAIHAAFB
AggAAAIJAAMwMDECCgAGMTkxMDAwAgsAAkdEAgwAAklEAg0AAkRMAggCCAIIAggC
CAIIAggCCAIIAggCCAIIAggCCAIIAggCCAIi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TrgKeHh3TQIeAAIBAgICGwAGMjAxNzExAgQCBQIGAgcCCAIJAgoCCwIMAg0C
CAIIAggCCAIIAggCCAIIAggCCAIIAggCCAIIAggCCAIIAiICAwIcc3EAfgAAAAAA
AnNxAH4ABP///////////////v////7/////dXEAfgAHAAAABB7AdGx4eHdNAh4A
AgECAgIdAAYyMDE3MDkCBAIFAgYCBwIIAgkCCgILAgwCDQIIAggCCAIIAggCCAII
AggCCAIIAggCCAIIAggCCAIIAggCIgIDAh5zcQB+AAAAAAACc3EAfgAE////////
///////+/////gAAAAF1cQB+AAcAAAAEAloS0nh4d00CHgACAQICAh8ABjIwMTcw
NQIEAgUCBgIHAggCCQIKAgsCDAINAggCCAIIAggCCAIIAggCCAIIAggCCAIIAggC
CAIIAggCCAIiAgMCIHNxAH4AAAAAAAJzcQB+AAT///////////////7////+////
/3VxAH4ABwAAAAQC12dUeHh3TQIeAAIBAgICIQAGMjAxODAzAgQCBQIGAgcCCAIJ
AgoCCwIMAg0CCAIIAggCCAIIAggCCAIIAggCCAIIAggCCAIIAggCCAIIAiICAwIi
c3EAfgAAAAAAAnNxAH4ABP///////////////v////7/////dXEAfgAHAAAABATh
3pl4eHdNAh4AAgECAgIjAAYyMDE4MDECBAIFAgYCBwIIAgkCCgILAgwCDQIIAggC
CAIIAggCCAIIAggCCAIIAggCCAIIAggCCAIIAggCIgIDAiRzcQB+AAAAAAACc3EA
fgAE///////////////+/////v////91cQB+AAcAAAAEEKaLJHh4d00CHgACAQIC
AiUABjIwMTcwMwIEAgUCBgIHAggCCQIKAgsCDAINAggCCAIIAggCCAIIAggCCAII
AggCCAIIAggCCAIIAggCCAIiAgMCJnNxAH4AAAAAAAJzcQB+AAT/////////////
//7////+/////3VxAH4ABwAAAAQIvUgheHh3TQIeAAIBAgICJwAGMjAxNzEyAgQC
BQIGAgcCCAIJAgoCCwIMAg0CCAIIAggCCAIIAggCCAIIAggCCAIIAggCCAIIAggC
CAIIAiICAwIoc3EAfgAAAAAAAnNxAH4ABP///////////////v////7/////dXEA
fgAHAAAABBa3qKJ4eHdNAh4AAgECAgIpAAYyMDE3MDYCBAIFAgYCBwIIAgkCCgIL
AgwCDQIIAggCCAIIAggCCAIIAggCCAIIAggCCAIIAggCCAIIAggCIgIDAipzcQB+
AAAAAAACc3EAfgAE///////////////+/////v////91cQB+AAcAAAAEAW1K0nh4
d00CHgACAQICAisABjIwMTcwOAIEAgUCBgIHAggCCQIKAgsCDAINAggCCAIIAggC
CAIIAggCCAIIAggCCAIIAggCCAIIAggCCAIiAgMCLHNxAH4AAAAAAAJzcQB+AAT///////////////7////+AAAAAXVxAH4ABwAAAAP/iV54eHdNAh4AAgECAgItAAYyMDE3MTACBAIFAgYCBwIIAgkCCgILAgwCDQIIAggCCAIIAggCCAIIAggCCAIIAggCCAIIAggCCAIIAggCIgIDAi5zcQB+AAAAAAACc3EAfgAE///////////////+/////gAAAAF1cQB+AAcAAAAEBhtaanh4d00CHgACAQICAi8ABjIwMTcwMQIEAgUCBgIHAggCCQIKAgsCDAINAggCCAIIAggCCAIIAggCCAIIAggCCAIIAggCCAIIAggCCAIiAgMCMHNxAH4AAAAAAAJzcQB+AAT///////////////7////+/////3VxAH4ABwAAAAQUOveDeHh3TQIeAAIBAgICMQAGMjAxODAyAgQCBQIGAgcCCAIJAgoCCwIMAg0CCAIIAggCCAIIAggCCAIIAggCCAIIAggCCAIIAggCCAIIAiICAwIyc3EAfgAAAAAAAnNxAH4ABP///////////////v////7/////dXEAfgAHAAAABAor0+d4eHdNAh4AAgECAgIzAAYyMDE3MDICBAIFAgYCBwIIAgkCCgILAgwCDQIIAggCCAIIAggCCAIIAggCCAIIAggCCAIIAggCCAIIAggCIgIDAjRzcQB+AAAAAAACc3EAfgAE///////////////+/////v////91cQB+AAcAAAAEDgscSnh4d00CHgACAQICAjUABjIwMTcwNAIEAgUCBgIHAggCCQIKAgsCDAINAggCCAIIAggCCAIIAggCCAIIAggCCAIIAggCCAIIAggCCAIiAgMCNnNxAH4AAAAAAAJzcQB+AAT///////////////7////+/////3VxAH4ABwAAAAQFBKNBeHh3VAIeAAI3AAk0MjY0NTQ3OTICAgIpAgQCBQIGAgcCCAIJAgoCCwI4AAJXQQINAggCCAIIAggCCAIIAggCCAIIAggCCAIIAggCCAIIAggCCAIgAgMCOXNxAH4AAAAAAAJzcQB+AAT///////////////7////+/////3VxAH4ABwAAAAQD3U0geHh3RQIeAAI3AgICNQIEAgUCBgIHAggCCQIKAgsCOAINAggCCAIIAggCCAIIAggCCAIIAggCCAIIAggCCAIIAggCCAIgAgMCOnNxAH4AAAAAAAJzcQB+AAT///////////////7////+/////3VxAH4ABwAAAAQJ8GpGeHh3RQIeAAI3AgICMQIEAgUCBgIHAggCCQIKAgsCOAINAggCCAIIAggCCAIIAggCCAIIAggCCAIIAggCCAIIAggCCAIgAgMCO3NxAH4AAAAAAAJzcQB+AAT///////////////7////+/////3VxAH4ABwAAAAQZYudleHh3RQIeAAI3AgICIQIEAgUCBgIHAggCCQIKAgsCOAINAggCCAIIAggCCAIIAggCCAIIAggCCAIIAggCCAIIAggCCAIgAgMCPHNxAH4AAAAAAAJzcQB+AAT///////////////7////+/////3VxAH4ABwAAAAQOU8mMeHh3RQIeAAI3AgICJwIEAgUCBgIHAggCCQIKAgsCOAINAggCCAIIAggCCAIIAggCCAIIAggCCAIIAggCCAIIAggCCAIgAgMCPXNxAH4AAAAAAAJzcQB+AAT///////////////7////+/////3VxAH4ABwAAAAQ0Sb4jeHh3RQIeAAI3AgICHQIEAgUCBgIHAggCCQIKAgsCOAINAggCCAIIAggCCAIIAggCCAIIAggCCAIIAggCCAIIAggCCAIgAgMCPnNxAH4AAAAAAAJzcQB+AAT///////////////7////+AAAAAXVxAH4ABwAAAAQCjrCgeHh3RQIeAAI3AgICLwIEAgUCBgIHAggCCQIKAgsCOAINAggCCAIIAggCCAIIAggCCAIIAggCCAIIAggCCAIIAggCCAIgAgMCP3NxAH4AAAAAAAJzcQB+AAT///////////////7////+/////3VxAH4ABwAAAAQo6Ya2eHh3RQIeAAI3AgICJQIEAgUCBgIHAggCCQIKAgsCOAINAggCCAIIAggCCAIIAggCCAIIAggCCAIIAggCCAIIAggCCAIgAgMCQHNxAH4AAAAAAAJzcQB+AAT///////////////7////+/////3VxAH4ABwAAAAQQ/fIjeHh3RQIeAAI3AgICLQIEAgUCBgIHAggCCQIKAgsCOAINAggCCAIIAggCCAIIAggCCAIIAggCCAIIAggCCAIIAggCCAIgAgMCQXNxAH4AAAAAAAJzcQB+AAT///////////////7////+AAAAAXVxAH4ABwAAAAQJDRX9eHh3RQIeAAI3AgICHwIEAgUCBgIHAggCCQIKAgsCOAINAggCCAIIAggCCAIIAggCCAIIAggCCAIIAggCCAIIAggCCAIgAgMCQnNxAH4AAAAAAAJzcQB+AAT///////////////7////+/////3VxAH4ABwAAAAQGIRiFeHh3RQIeAAI3AgICAwIEAgUCBgIHAggCCQIKAgsCOAINAggCCAIIAggCCAIIAggCCAIIAggCCAIIAggCCAIIAggCCAIgAgMCQ3NxAH4AAAAAAAJzcQB+AAT///////////////7////+/////3VxAH4ABwAAAAQCCvb0eHh3RQIeAAI3AgICIwIEAgUCBgIHAggCCQIKAgsCOAINAggCCAIIAggCCAIIAggCCAIIAggCCAIIAggCCAIIAggCCAIgAgMCRHNxAH4AAAAAAAJzcQB+AAT///////////////7////+/////3VxAH4ABwAAAAQmcaNXeHh3RQIeAAI3AgICGwIEAgUCBgIHAggCCQIKAgsCOAINAggCCAIIAggCCAIIAggCCAIIAggCCAIIAggCCAIIAggCCAIgAgMCRXNxAH4AAAAAAAJzcQB+AAT///////////////7////+/////3VxAH4ABwAAAAREule8eHh3RQIeAAI3AgICMwIEAgUCBgIHAggCCQIKAgsCOAINAggCCAIIAggCCAIIAggCCAIIAggCCAIIAggCCAIIAggCCAIgAgMCRnNxAH4AAAAAAAJzcQB+AAT///////////////7////+/////3VxAH4ABwAAAAQbRzHTeHh3RQIeAAI3AgICKwIEAgUCBgIHAggCCQIKAgsCOAINAggCCAIIAggCCAIIAggCCAIIAggCCAIIAggCCAIIAggCCAIgAgMCR3NxAH4AAAAAAAJzcQB+AAT///////////////7////+/////3VxAH4ABwAAAAMylNZ4eHdYAh4AAkgACTMyOTgwNTA5NgICAgMCBAIFAgYCBwIIAgkCSQAGMTkxMDE1AgsCDAINAggCCAIIAggCCAIIAggCCAIIAggCCAIIAggCCAIIAggCCAIXAgMCSnNxAH4AAAAAAAJzcQB+AAT///////////////7////+/////3VxAH4ABwAAAAMSmrd4eHdNAh4AAkgCAgIrAgQCBQIGAgcCCAIJAksABjE5MTAxMAILAgwCDQIIAggCCAIIAggCCAIIAggCCAIIAggCCAIIAggCCAIIAggCFwIDAkxzcQB+AAAAAAACc3EAfgAE///////////////+/////v////91cQB+AAcAAAAENDlU6Hh4d00CHgACSAICAk0ABjIwMTYwOQIEAgUCBgIHAggCCQIKAgsCDAINAggCCAIIAggCCAIIAggCCAIIAggCCAIIAggCCAIIAggCCAIXAgMCTnNxAH4AAAAAAAJzcQB+AAT///////////////7////+/////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v////7/////dXEAfgAHAAAAAxKer3h4d00CHgACSAICAlAABjIwMTYwNwIEAgUCBgIHAggCCQJLAgsCDAINAggCCAIIAggCCAIIAggCCAIIAggCCAIIAggCCAIIAggCCAIXAgMCUXNxAH4AAAAAAAJzcQB+AAT///////////////7////+/////3VxAH4ABwAAAAQu/eCSeHh3TQIeAAJIAgICUgAGMjAxNjEyAgQCBQIGAgcCCAIJAkkCCwIMAg0CCAIIAggCCAIIAggCCAIIAggCCAIIAggCCAIIAggCCAIIAhcCAwJTc3EAfgAAAAAAAnNxAH4ABP///////////////v////7/////dXEAfgAHAAAAAxJ/Bnh4d0UCHgACSAICAlACBAIFAgYCBwIIAgkCSQILAgwCDQIIAggCCAIIAggCCAIIAggCCAIIAggCCAIIAggCCAIIAggCFwIDAlRzcQB+AAAAAAACc3EAfgAE///////////////+/////v////91cQB+AAcAAAADEmtYeHh3TQIeAAJIAgICVQAGMjAxNjA4AgQCBQIGAgcCCAIJAksCCwIMAg0CCAIIAggCCAIIAggCCAIIAggCCAIIAggCCAIIAggCCAIIAhcCAwJWc3EAfgAAAAAAAnNxAH4ABP///////////////v////7/////dXEAfgAHAAAABDHvtRl4eHdFAh4AAkgCAgIdAgQCBQIGAgcCCAIJAksCCwIMAg0CCAIIAggCCAIIAggCCAIIAggCCAIIAggCCAIIAggCCAIIAhcCAwJXc3EAfgAAAAAAAnNxAH4ABP///////////////v////7/////dXEAfgAHAAAABDlFLv54eHdFAh4AAkgCAgIjAgQCBQIGAgcCCAIJAksCCwIMAg0CCAIIAggCCAIIAggCCAIIAggCCAIIAggCCAIIAggCCAIIAhcCAwJYc3EAfgAAAAAAAnNxAH4ABP///////////////v////7/////dXEAfgAHAAAABCkgj4V4eHdFAh4AAkgCAgInAgQCBQIGAgcCCAIJAkkCCwIMAg0CCAIIAggCCAIIAggCCAIIAggCCAIIAggCCAIIAggCCAIIAhcCAwJZc3EAfgAAAAAAAnNxAH4ABP///////////////v////4AAAAAdXEAfgAHAAAAAHh4d00CHgACSAICAloABjIwMTYxMQIEAgUCBgIHAggCCQJJAgsCDAINAggCCAIIAggCCAIIAggCCAIIAggCCAIIAggCCAIIAggCCAIXAgMCW3NxAH4AAAAAAAJzcQB+AAT///////////////7////+/////3VxAH4ABwAAAAMSexV4eHdFAh4AAkgCAgJVAgQCBQIGAgcCCAIJAkkCCwIMAg0CCAIIAggCCAIIAggCCAIIAggCCAIIAggCCAIIAggCCAIIAhcCAwJcc3EAfgAAAAAAAnNxAH4ABP///////////////v////7/////dXEAfgAHAAAAAxJvRnh4d4oCHgACSAICAjMCBAIFAgYCBwIIAgkCCgILAgwCDQIIAggCCAIIAggCCAIIAggCCAIIAggCCAIIAggCCAIIAggCFwIDAjQCHgACSAICAh0CBAIFAgYCBwIIAgkCSQILAgwCDQIIAggCCAIIAggCCAIIAggCCAIIAggCCAIIAggCCAIIAggCFwIDAl1zcQB+AAAAAAACc3EAfgAE///////////////+/////v////91cQB+AAcAAAADEqKoeHh3TQIeAAJIAgICXgAGMjAxNjA0AgQCBQIGAgcCCAIJAkkCCwIMAg0CCAIIAggCCAIIAggCCAIIAggCCAIIAggCCAIIAggCCAIIAhcCAwJfc3EAfgAAAAAAAnNxAH4ABP///////////////v////7/////dXEAfgAHAAAAAxJflHh4d0UCHgACSAICAh8CBAIFAgYCBwIIAgkCSQILAgwCDQIIAggCCAIIAggCCAIIAggCCAIIAggCCAIIAggCCAIIAggCFwIDAmBzcQB+AAAAAAACc3EAfgAE///////////////+/////v////91cQB+AAcAAAADEpLKeHh3TQIeAAJIAgICYQAGMjAxNjAyAgQCBQIGAgcCCAIJAgoCCwIMAg0CCAIIAggCCAIIAggCCAIIAggCCAIIAggCCAIIAggCCAIIAhcCAwJic3EAfgAAAAAAAnNxAH4ABP///////////////v////7/////dXEAfgAHAAAABARbkhB4eHeKAh4AAkgCAgIlAgQCBQIGAgcCCAIJAgoCCwIMAg0CCAIIAggCCAIIAggCCAIIAggCCAIIAggCCAIIAggCCAIIAhcCAwImAh4AAkgCAgJQAgQCBQIGAgcCCAIJAgoCCwIMAg0CCAIIAggCCAIIAggCCAIIAggCCAIIAggCCAIIAggCCAIIAhcCAwJjc3EAfgAAAAAAAnNxAH4ABP///////////////v////7/////dXEAfgAHAAAABAEGlGB4eHdFAh4AAkgCAgJSAgQCBQIGAgcCCAIJAksCCwIMAg0CCAIIAggCCAIIAggCCAIIAggCCAIIAggCCAIIAggCCAIIAhcCAwJkc3EAfgAAAAAAAnNxAH4ABP///////////////v////7/////dXEAfgAHAAAABBWstZ94eHdFAh4AAkgCAgJNAgQCBQIGAgcCCAIJAksCCwIMAg0CCAIIAggCCAIIAggCCAIIAggCCAIIAggCCAIIAggCCAIIAhcCAwJlc3EAfgAAAAAAAnNxAH4ABP///////////////v////7/////dXEAfgAHAAAABDO8lpJ4eHdFAh4AAkgCAgJNAgQCBQIGAgcCCAIJAkkCCwIMAg0CCAIIAggCCAIIAggCCAIIAggCCAIIAggCCAIIAggCCAIIAhcCAwJmc3EAfgAAAAAAAnNxAH4ABP///////////////v////7/////dXEAfgAHAAAAAxJzNXh4d00CHgACSAICAmcABjIwMTYwMwIEAgUCBgIHAggCCQJJAgsCDAINAggCCAIIAggCCAIIAggCCAIIAggCCAIIAggCCAIIAggCCAIXAgMCaHNxAH4AAAAAAAJzcQB+AAT///////////////7////+/////3VxAH4ABwAAAAMSW6l4eHdFAh4AAkgCAgIzAgQCBQIGAgcCCAIJAksCCwIMAg0CCAIIAggCCAIIAggCCAIIAggCCAIIAggCCAIIAggCCAIIAhcCAwJpc3EAfgAAAAAAAnNxAH4ABP///////////////v////7/////dXEAfgAHAAAABCIKrDF4eHdFAh4AAkgCAgIDAgQCBQIGAgcCCAIJAksCCwIMAg0CCAIIAggCCAIIAggCCAIIAggCCAIIAggCCAIIAggCCAIIAhcCAwJqc3EAfgAAAAAAAnNxAH4ABP///////////////v////7/////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v////7/////dXEAfgAHAAAAAxKmonh4d00CHgACSAICAmwABjIwMTYwNgIEAgUCBgIHAggCCQJLAgsCDAINAggCCAIIAggCCAIIAggCCAIIAggCCAIIAggCCAIIAggCCAIXAgMCbXNxAH4AAAAAAAJzcQB+AAT///////////////7////+/////3VxAH4ABwAAAAQrEAtReHh3igIeAAJIAgICIwIEAgUCBgIHAggCCQIKAgsCDAINAggCCAIIAggCCAIIAggCCAIIAggCCAIIAggCCAIIAggCCAIXAgMCJAIeAAJIAgICbAIEAgUCBgIHAggCCQJJAgsCDAINAggCCAIIAggCCAIIAggCCAIIAggCCAIIAggCCAIIAggCCAIXAgMCbnNxAH4AAAAAAAJzcQB+AAT///////////////7////+/////3VxAH4ABwAAAAMSZ2t4eHdFAh4AAkgCAgJeAgQCBQIGAgcCCAIJAgoCCwIMAg0CCAIIAggCCAIIAggCCAIIAggCCAIIAggCCAIIAggCCAIIAhcCAwJvc3EAfgAAAAAAAnNxAH4ABP///////////////v////7/////dXEAfgAHAAAABAJQHul4eHeKAh4AAkgCAgIfAgQCBQIGAgcCCAIJAgoCCwIMAg0CCAIIAggCCAIIAggCCAIIAggCCAIIAggCCAIIAggCCAIIAhcCAwIgAh4AAkgCAgItAgQCBQIGAgcCCAIJAksCCwIMAg0CCAIIAggCCAIIAggCCAIIAggCCAIIAggCCAIIAggCCAIIAhcCAwJwc3EAfgAAAAAAAnNxAH4ABP///////////////v////7/////dXEAfgAHAAAABENETeB4eHdFAh4AAkgCAgIlAgQCBQIGAgcCCAIJAksCCwIMAg0CCAIIAggCCAIIAggCCAIIAggCCAIIAggCCAIIAggCCAIIAhcCAwJxc3EAfgAAAAAAAnNxAH4ABP///////////////v////7/////dXEAfgAHAAAABCZ4H3F4eHdNAh4AAkgCAgJyAAYyMDE2MTACBAIFAgYCBwIIAgkCCgILAgwCDQIIAggCCAIIAggCCAIIAggCCAIIAggCCAIIAggCCAIIAggCFwIDAnNzcQB+AAAAAAACc3EAfgAE///////////////+/////gAAAAF1cQB+AAcAAAADuXJ8eHh3igIeAAJIAgICJwIEAgUCBgIHAggCCQIKAgsCDAINAggCCAIIAggCCAIIAggCCAIIAggCCAIIAggCCAIIAggCCAIXAgMCKAIeAAJIAgICMwIEAgUCBgIHAggCCQJJAgsCDAINAggCCAIIAggCCAIIAggCCAIIAggCCAIIAggCCAIIAggCCAIXAgMCdHNxAH4AAAAAAAJzcQB+AAT///////////////7////+/////3VxAH4ABwAAAAMShut4eHdFAh4AAkgCAgJnAgQCBQIGAgcCCAIJAksCCwIMAg0CCAIIAggCCAIIAggCCAIIAggCCAIIAggCCAIIAggCCAIIAhcCAwJ1c3EAfgAAAAAAAnNxAH4ABP///////////////v////7/////dXEAfgAHAAAABB6uCU94eHdFAh4AAkgCAgIbAgQCBQIGAgcCCAIJAksCCwIMAg0CCAIIAggCCAIIAggCCAIIAggCCAIIAggCCAIIAggCCAIIAhcCAwJ2c3EAfgAAAAAAAnNxAH4ABP///////////////v////7/////dXEAfgAHAAAABBwjfJB4eHdFAh4AAkgCAgI1AgQCBQIGAgcCCAIJAkkCCwIMAg0CCAIIAggCCAIIAggCCAIIAggCCAIIAggCCAIIAggCCAIIAhcCAwJ3c3EAfgAAAAAAAnNxAH4ABP///////////////v////7/////dXEAfgAHAAAAAxKO1Hh4d0UCHgACSAICAlICBAIFAgYCBwIIAgkCCgILAgwCDQIIAggCCAIIAggCCAIIAggCCAIIAggCCAIIAggCCAIIAggCFwIDAnhzcQB+AAAAAAACc3EAfgAE///////////////+/////v////91cQB+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AAAAAAACc3EAfgAE///////////////+/////v////91cQB+AAcAAAAEKeDlE3h4d00CHgACSAICAnoABjIwMTYwNQIEAgUCBgIHAggCCQIKAgsCDAINAggCCAIIAggCCAIIAggCCAIIAggCCAIIAggCCAIIAggCCAIXAgMCe3NxAH4AAAAAAAJzcQB+AAT///////////////7////+/////3VxAH4ABwAAAAQBzUp3eHh3RQIeAAJIAgICXgIEAgUCBgIHAggCCQJLAgsCDAINAggCCAIIAggCCAIIAggCCAIIAggCCAIIAggCCAIIAggCCAIXAgMCfHNxAH4AAAAAAAJzcQB+AAT///////////////7////+/////3VxAH4ABwAAAAQjxnj9eHh3RQIeAAJIAgICHwIEAgUCBgIHAggCCQJLAgsCDAINAggCCAIIAggCCAIIAggCCAIIAggCCAIIAggCCAIIAggCCAIXAgMCfXNxAH4AAAAAAAJzcQB+AAT///////////////7////+/////3VxAH4ABwAAAAQqJk8LeHh3RQIeAAJIAgICLwIEAgUCBgIHAggCCQJJAgsCDAINAggCCAIIAggCCAIIAggCCAIIAggCCAIIAggCCAIIAggCCAIXAgMCfnNxAH4AAAAAAAJzcQB+AAT///////////////7////+/////3VxAH4ABwAAAAMSgvh4eHdFAh4AAkgCAgJaAgQCBQIGAgcCCAIJAksCCwIMAg0CCAIIAggCCAIIAggCCAIIAggCCAIIAggCCAIIAggCCAIIAhcCAwJ/c3EAfgAAAAAAAnNxAH4ABP///////////////v////7/////dXEAfgAHAAAABAvREnR4eHdFAh4AAkgCAgInAgQCBQIGAgcCCAIJAksCCwIMAg0CCAIIAggCCAIIAggCCAIIAggCCAIIAggCCAIIAggCCAIIAhcCAwKAc3EAfgAAAAAAAnNxAH4ABP///////////////v////7/////dXEAfgAHAAAABCQ0bfR4eHdFAh4AAkgCAgIvAgQCBQIGAgcCCAIJAksCCwIMAg0CCAIIAggCCAIIAggCCAIIAggCCAIIAggCCAIIAggCCAIIAhcCAwKBc3EAfgAAAAAAAnNxAH4ABP///////////////v////7/////dXEAfgAHAAAABB2x+kx4eHdFAh4AAkgCAgJsAgQCBQIGAgcCCAIJAgoCCwIMAg0CCAIIAggCCAIIAggCCAIIAggCCAIIAggCCAIIAggCCAIIAhcCAwKCc3EAfgAAAAAAAnNxAH4ABP///////////////v////7/////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v////7/////dXEAfgAHAAAABCoLRiF4eHeKAh4AAkgCAgIbAgQCBQIGAgcCCAIJAkkCCwIMAg0CCAIIAggCCAIIAggCCAIIAggCCAIIAggCCAIIAggCCAIIAhcCAwJZAh4AAkgCAgJyAgQCBQIGAgcCCAIJAkkCCwIMAg0CCAIIAggCCAIIAggCCAIIAggCCAIIAggCCAIIAggCCAIIAhcCAwKEc3EAfgAAAAAAAnNxAH4ABP///////////////v////7/////dXEAfgAHAAAAAxJ3JXh4d0UCHgACSAICAnICBAIFAgYCBwIIAgkCSwILAgwCDQIIAggCCAIIAggCCAIIAggCCAIIAggCCAIIAggCCAIIAggCFwIDAoVzcQB+AAAAAAACc3EAfgAE///////////////+/////v////91cQB+AAcAAAAENJhHI3h4d0UCHgACSAICAnoCBAIFAgYCBwIIAgkCSwILAgwCDQIIAggCCAIIAggCCAIIAggCCAIIAggCCAIIAggCCAIIAggCFwIDAoZzcQB+AAAAAAACc3EAfgAE///////////////+/////v////91cQB+AAcAAAAEJi8ywnh4d0UCHgACSAICAnoCBAIFAgYCBwIIAgkCSQILAgwCDQIIAggCCAIIAggCCAIIAggCCAIIAggCCAIIAggCCAIIAggCFwIDAodzcQB+AAAAAAACc3EAfgAE///////////////+/////v////91cQB+AAcAAAADEmN/eHh3igIeAAJIAgICNQIEAgUCBgIHAggCCQIKAgsCDAINAggCCAIIAggCCAIIAggCCAIIAggCCAIIAggCCAIIAggCCAIXAgMCNgIeAAJIAgICZwIEAgUCBgIHAggCCQIKAgsCDAINAggCCAIIAggCCAIIAggCCAIIAggCCAIIAggCCAIIAggCCAIXAgMCiHNxAH4AAAAAAAJzcQB+AAT///////////////7////+/////3VxAH4ABwAAAAQC+0uLeHh3RQIeAAJIAgICKQIEAgUCBgIHAggCCQJJAgsCDAINAggCCAIIAggCCAIIAggCCAIIAggCCAIIAggCCAIIAggCCAIXAgMCiXNxAH4AAAAAAAJzcQB+AAT///////////////7////+/////3VxAH4ABwAAAAMSlsB4eHdFAh4AAkgCAgJVAgQCBQIGAgcCCAIJAgoCCwIMAg0CCAIIAggCCAIIAggCCAIIAggCCAIIAggCCAIIAggCCAIIAhcCAwKKc3EAfgAAAAAAAnNxAH4ABP///////////////v////7/////dXEAfgAHAAAAA56yqnh4d0UCHgACSAICAloCBAIFAgYCBwIIAgkCCgILAgwCDQIIAggCCAIIAggCCAIIAggCCAIIAggCCAIIAggCCAIIAggCFwIDAotzcQB+AAAAAAACc3EAfgAE///////////////+/////v////91cQB+AAcAAAAEJZDR+3h4d0UCHgACSAICAiUCBAIFAgYCBwIIAgkCSQILAgwCDQIIAggCCAIIAggCCAIIAggCCAIIAggCCAIIAggCCAIIAggCFwIDAoxzcQB+AAAAAAACc3EAfgAE///////////////+/////v////91cQB+AAcAAAADEorfeHh3RQIeAAJIAgICYQIEAgUCBgIHAggCCQJLAgsCDAINAggCCAIIAggCCAIIAggCCAIIAggCCAIIAggCCAIIAggCCAIXAgMCjXNxAH4AAAAAAAJzcQB+AAT///////////////7////+/////3VxAH4ABwAAAAQbsx5ceHh3RQIeAAJIAgICYQIEAgUCBgIHAggCCQJJAgsCDAINAggCCAIIAggCCAIIAggCCAIIAggCCAIIAggCCAIIAggCCAIXAgMCjnNxAH4AAAAAAAJzcQB+AAT///////////////7////+/////3VxAH4ABwAAAAMSV794eHdQAh4AAo8ACTQyNjQ1MjQ3MgICAiUCBAIFAgYCBwIIAgkCSwILAjgCDQIIAggCCAIIAggCCAIIAggCCAIIAggCCAIIAggCCAIIAggCDgIDApBzcQB+AAAAAAACc3EAfgAE///////////////+/////v////91cQB+AAcAAAAEU2ObJnh4d0UCHgACjwICAjECBAIFAgYCBwIIAgkCSwILAjgCDQIIAggCCAIIAggCCAIIAggCCAIIAggCCAIIAggCCAIIAggCDgIDApFzcQB+AAAAAAACc3EAfgAE///////////////+/////v////91cQB+AAcAAAAETypx+Xh4d0UCHgACjwICAikCBAIFAgYCBwIIAgkCSwILAjgCDQIIAggCCAIIAggCCAIIAggCCAIIAggCCAIIAggCCAIIAggCDgIDApJzcQB+AAAAAAACc3EAfgAE///////////////+/////v////91cQB+AAcAAAAEWAsHLHh4d0UCHgACjwICAhsCBAIFAgYCBwIIAgkCSwILAjgCDQIIAggCCAIIAggCCAIIAggCCAIIAggCCAIIAggCCAIIAggCDgIDApNzcQB+AAAAAAACc3EAfgAE///////////////+/////v////91cQB+AAcAAAAEMNCqs3h4d0UCHgACjwICAisCBAIFAgYCBwIIAgkCSwILAjgCDQIIAggCCAIIAggCCAIIAggCCAIIAggCCAIIAggCCAIIAggCDgIDApRzcQB+AAAAAAACc3EAfgAE///////////////+/////v////91cQB+AAcAAAAEZTFBq3h4d0UCHgACjwICAjUCBAIFAgYCBwIIAgkCSwILAjgCDQIIAggCCAIIAggCCAIIAggCCAIIAggCCAIIAggCCAIIAggCDgIDApVzcQB+AAAAAAACc3EAfgAE///////////////+/////v////91cQB+AAcAAAAEWnDZd3h4d0UCHgACjwICAjMCBAIFAgYCBwIIAgkCSwILAjgCDQIIAggCCAIIAggCCAIIAggCCAIIAggCCAIIAggCCAIIAggCDgIDApZzcQB+AAAAAAACc3EAfgAE///////////////+/////v////91cQB+AAcAAAAESYtTyXh4d0UCHgACjwICAiECBAIFAgYCBwIIAgkCSwILAjgCDQIIAggCCAIIAggCCAIIAggCCAIIAggCCAIIAggCCAIIAggCDgIDApdzcQB+AAAAAAACc3EAfgAE///////////////+/////v////91cQB+AAcAAAAEUn6jGnh4d0UCHgACjwICAiMCBAIFAgYCBwIIAgkCSwILAjgCDQIIAggCCAIIAggCCAIIAggCCAIIAggCCAIIAggCCAIIAggCDgIDAphzcQB+AAAAAAACc3EAfgAE///////////////+/////v////91cQB+AAcAAAAETu7o2nh4d0UCHgACjwICAgMCBAIFAgYCBwIIAgkCSwILAjgCDQIIAggCCAIIAggCCAIIAggCCAIIAggCCAIIAggCCAIIAggCDgIDAplzcQB+AAAAAAACc3EAfgAE///////////////+/////v////91cQB+AAcAAAAEXtRi+Hh4d0UCHgACjwICAh0CBAIFAgYCBwIIAgkCSwILAjgCDQIIAggCCAIIAggCCAIIAggCCAIIAggCCAIIAggCCAIIAggCDgIDAppzcQB+AAAAAAACc3EAfgAE///////////////+/////v////91cQB+AAcAAAAEcQZZSXh4d0UCHgACjwICAh8CBAIFAgYCBwIIAgkCSwILAjgCDQIIAggCCAIIAggCCAIIAggCCAIIAggCCAIIAggCCAIIAggCDgIDAptzcQB+AAAAAAACc3EAfgAE///////////////+/////v////91cQB+AAcAAAAEWf3l8nh4d0UCHgACjwICAi8CBAIFAgYCBwIIAgkCSwILAjgCDQIIAggCCAIIAggCCAIIAggCCAIIAggCCAIIAggCCAIIAggCDgIDApxzcQB+AAAAAAACc3EAfgAE///////////////+/////v////91cQB+AAcAAAAEPRU7dnh4d0UCHgACjwICAicCBAIFAgYCBwIIAgkCSwILAjgCDQIIAggCCAIIAggCCAIIAggCCAIIAggCCAIIAggCCAIIAggCDgIDAp1zcQB+AAAAAAACc3EAfgAE///////////////+/////v////91cQB+AAcAAAAEQjS8fHh4d0UCHgACjwICAi0CBAIFAgYCBwIIAgkCSwILAjgCDQIIAggCCAIIAggCCAIIAggCCAIIAggCCAIIAggCCAIIAggCDgIDAp5zcQB+AAAAAAACc3EAfgAE///////////////+/////v////91cQB+AAcAAAAEgtyI8Xh4d50CHgACnwAJMzY0NTI1MjcyAgICIwIEAgUCBgIHAggCCQIKAgsCOAINAggCCAIIAggCCAIIAggCCAIIAggCCAIIAggCCAIIAggCCAIBAgMCRAIeAAKfAgICHwIEAgUCBgIHAggCCQKgAAYxOTEwMjUCCwI4Ag0CCAIIAggCCAIIAggCCAIIAggCCAIIAggCCAIIAggCCAIIAgECAwKhc3EAfgAAAAAAAnNxAH4ABP///////////////v////7/////dXEAfgAHAAAAAwRWK3h4d0UCHgACnwICAl4CBAIFAgYCBwIIAgkCoAILAjgCDQIIAggCCAIIAggCCAIIAggCCAIIAggCCAIIAggCCAIIAggCAQIDAqJzcQB+AAAAAAACc3EAfgAE///////////////+/////v////91cQB+AAcAAAADDMb+eHh3RQIeAAKfAgICWgIEAgUCBgIHAggCCQKgAgsCOAINAggCCAIIAggCCAIIAggCCAIIAggCCAIIAggCCAIIAggCCAIBAgMCo3NxAH4AAAAAAAJzcQB+AAT///////////////7////+/////3VxAH4ABwAAAAMGaCt4eHoAAAEUAh4AAp8CAgIdAgQCBQIGAgcCCAIJAgoCCwI4Ag0CCAIIAggCCAIIAggCCAIIAggCCAIIAggCCAIIAggCCAIIAgECAwI+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v////7/////dXEAfgAHAAAABAIbp254eHeKAh4AAp8CAgIxAgQCBQIGAgcCCAIJAgoCCwI4Ag0CCAIIAggCCAIIAggCCAIIAggCCAIIAggCCAIIAggCCAIIAgECAwI7Ah4AAp8CAgIpAgQCBQIGAgcCCAIJAqACCwI4Ag0CCAIIAggCCAIIAggCCAIIAggCCAIIAggCCAIIAggCCAIIAgECAwKlc3EAfgAAAAAAAnNxAH4ABP///////////////v////7/////dXEAfgAHAAAAAwRDenh4d0UCHgACnwICAlACBAIFAgYCBwIIAgkCSwILAjgCDQIIAggCCAIIAggCCAIIAggCCAIIAggCCAIIAggCCAIIAggCAQIDAqZzcQB+AAAAAAACc3EAfgAE///////////////+/////v////91cQB+AAcAAAAEWi+1rXh4d0UCHgACnwICAlACBAIFAgYCBwIIAgkCCgILAjgCDQIIAggCCAIIAggCCAIIAggCCAIIAggCCAIIAggCCAIIAggCAQIDAqdzcQB+AAAAAAACc3EAfgAE///////////////+/////v////91cQB+AAcAAAAEAzaSmXh4d0UCHgACnwICAnoCBAIFAgYCBwIIAgkCoAILAjgCDQIIAggCCAIIAggCCAIIAggCCAIIAggCCAIIAggCCAIIAggCAQIDAqhzcQB+AAAAAAACc3EAfgAE///////////////+/////v////91cQB+AAcAAAADC4KteHh3igIeAAKfAgICLwIEAgUCBgIHAggCCQIKAgsCOAINAggCCAIIAggCCAIIAggCCAIIAggCCAIIAggCCAIIAggCCAIBAgMCPwIeAAKfAgICUgIEAgUCBgIHAggCCQKgAgsCOAINAggCCAIIAggCCAIIAggCCAIIAggCCAIIAggCCAIIAggCCAIBAgMCqXNxAH4AAAAAAAJzcQB+AAT///////////////7////+/////3VxAH4ABwAAAAMG3JN4eHeKAh4AAp8CAgIrAgQCBQIGAgcCCAIJAgoCCwI4Ag0CCAIIAggCCAIIAggCCAIIAggCCAIIAggCCAIIAggCCAIIAgECAwJHAh4AAp8CAgJsAgQCBQIGAgcCCAIJAksCCwI4Ag0CCAIIAggCCAIIAggCCAIIAggCCAIIAggCCAIIAggCCAIIAgECAwKqc3EAfgAAAAAAAnNxAH4ABP///////////////v////7/////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v////7/////dXEAfgAHAAAABAK9P6R4eHdFAh4AAp8CAgIlAgQCBQIGAgcCCAIJAqACCwI4Ag0CCAIIAggCCAIIAggCCAIIAggCCAIIAggCCAIIAggCCAIIAgECAwKsc3EAfgAAAAAAAnNxAH4ABP///////////////v////7/////dXEAfgAHAAAAAwSrl3h4d0UCHgACnwICAmwCBAIFAgYCBwIIAgkCCgILAjgCDQIIAggCCAIIAggCCAIIAggCCAIIAggCCAIIAggCCAIIAggCAQIDAq1zcQB+AAAAAAACc3EAfgAE///////////////+/////v////91cQB+AAcAAAAEA6uLrXh4d0UCHgACnwICAmECBAIFAgYCBwIIAgkCoAILAjgCDQIIAggCCAIIAggCCAIIAggCCAIIAggCCAIIAggCCAIIAggCAQIDAq5zcQB+AAAAAAACc3EAfgAE///////////////+/////v////91cQB+AAcAAAADEhXLeHh3RQIeAAKfAgICUAIEAgUCBgIHAggCCQKgAgsCOAINAggCCAIIAggCCAIIAggCCAIIAggCCAIIAggCCAIIAggCCAIBAgMCr3NxAH4AAAAAAAJzcQB+AAT///////////////7////+/////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v////7/////dXEAfgAHAAAAAwQlCXh4d0UCHgACnwICAlICBAIFAgYCBwIIAgkCCgILAjgCDQIIAggCCAIIAggCCAIIAggCCAIIAggCCAIIAggCCAIIAggCAQIDArFzcQB+AAAAAAACc3EAfgAE///////////////+/////v////91cQB+AAcAAAAEO4uIvXh4d4oCHgACnwICAikCBAIFAgYCBwIIAgkCSwILAjgCDQIIAggCCAIIAggCCAIIAggCCAIIAggCCAIIAggCCAIIAggCAQIDApICHgACnwICAnoCBAIFAgYCBwIIAgkCSwILAjgCDQIIAggCCAIIAggCCAIIAggCCAIIAggCCAIIAggCCAIIAggCAQIDArJzcQB+AAAAAAACc3EAfgAE///////////////+/////v////91cQB+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AAAAAAACc3EAfgAE///////////////+/////v////91cQB+AAcAAAADBT+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AAT///////////////7////+/////3VxAH4ABwAAAARdV1DJeHh3RQIeAAKfAgICWgIEAgUCBgIHAggCCQJLAgsCOAINAggCCAIIAggCCAIIAggCCAIIAggCCAIIAggCCAIIAggCCAIBAgMCtXNxAH4AAAAAAAJzcQB+AAT///////////////7////+/////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v////7/////dXEAfgAHAAAABDc49U94eHdFAh4AAp8CAgJeAgQCBQIGAgcCCAIJAgoCCwI4Ag0CCAIIAggCCAIIAggCCAIIAggCCAIIAggCCAIIAggCCAIIAgECAwK4c3EAfgAAAAAAAnNxAH4ABP///////////////v////7/////dXEAfgAHAAAABATkMA94eHeKAh4AAp8CAgIbAgQCBQIGAgcCCAIJAgoCCwI4Ag0CCAIIAggCCAIIAggCCAIIAggCCAIIAggCCAIIAggCCAIIAgECAwJFAh4AAp8CAgK2AgQCBQIGAgcCCAIJAksCCwI4Ag0CCAIIAggCCAIIAggCCAIIAggCCAIIAggCCAIIAggCCAIIAgECAwK5c3EAfgAAAAAAAnNxAH4ABP///////////////v////7/////dXEAfgAHAAAABFqpyF94eHeKAh4AAp8CAgIfAgQCBQIGAgcCCAIJAgoCCwI4Ag0CCAIIAggCCAIIAggCCAIIAggCCAIIAggCCAIIAggCCAIIAgECAwJCAh4AAp8CAgJNAgQCBQIGAgcCCAIJAqACCwI4Ag0CCAIIAggCCAIIAggCCAIIAggCCAIIAggCCAIIAggCCAIIAgECAwK6c3EAfgAAAAAAAnNxAH4ABP///////////////v////7/////dXEAfgAHAAAAAweN1Hh4d4oCHgACnwICAiMCBAIFAgYCBwIIAgkCoAILAjgCDQIIAggCCAIIAggCCAIIAggCCAIIAggCCAIIAggCCAIIAggCAQIDAlkCHgACnwICAmcCBAIFAgYCBwIIAgkCCgILAjgCDQIIAggCCAIIAggCCAIIAggCCAIIAggCCAIIAggCCAIIAggCAQIDArtzcQB+AAAAAAACc3EAfgAE///////////////+/////v////91cQB+AAcAAAAEBeiObnh4d0UCHgACnwICAnICBAIFAgYCBwIIAgkCCgILAjgCDQIIAggCCAIIAggCCAIIAggCCAIIAggCCAIIAggCCAIIAggCAQIDArxzcQB+AAAAAAACc3EAfgAE///////////////+/////v////91cQB+AAcAAAADvFyyeHh3RQIeAAKfAgICZwIEAgUCBgIHAggCCQJLAgsCOAINAggCCAIIAggCCAIIAggCCAIIAggCCAIIAggCCAIIAggCCAIBAgMCvXNxAH4AAAAAAAJzcQB+AAT///////////////7////+/////3VxAH4ABwAAAAQ9+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AAT///////////////7////+/////3VxAH4ABwAAAAMItpx4eHeKAh4AAp8CAgItAgQCBQIGAgcCCAIJAksCCwI4Ag0CCAIIAggCCAIIAggCCAIIAggCCAIIAggCCAIIAggCCAIIAgECAwKeAh4AAp8CAgJaAgQCBQIGAgcCCAIJAgoCCwI4Ag0CCAIIAggCCAIIAggCCAIIAggCCAIIAggCCAIIAggCCAIIAgECAwK/c3EAfgAAAAAAAnNxAH4ABP///////////////v////7/////dXEAfgAHAAAABExDDhV4eHdFAh4AAp8CAgIdAgQCBQIGAgcCCAIJAqACCwI4Ag0CCAIIAggCCAIIAggCCAIIAggCCAIIAggCCAIIAggCCAIIAgECAwLAc3EAfgAAAAAAAnNxAH4ABP///////////////v////7/////dXEAfgAHAAAAAwQOrnh4d0UCHgACnwICAi8CBAIFAgYCBwIIAgkCoAILAjgCDQIIAggCCAIIAggCCAIIAggCCAIIAggCCAIIAggCCAIIAggCAQIDAsFzcQB+AAAAAAACc3EAfgAE///////////////+/////v////91cQB+AAcAAAADBWT/eHh3igIeAAKfAgICMQIEAgUCBgIHAggCCQKgAgsCOAINAggCCAIIAggCCAIIAggCCAIIAggCCAIIAggCCAIIAggCCAIBAgMCWQIeAAKfAgICbAIEAgUCBgIHAggCCQKgAgsCOAINAggCCAIIAggCCAIIAggCCAIIAggCCAIIAggCCAIIAggCCAIBAgMCwnNxAH4AAAAAAAJzcQB+AAT///////////////7////+/////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v////7/////dXEAfgAHAAAABAcZP5l4eHeKAh4AAp8CAgIhAgQCBQIGAgcCCAIJAqACCwI4Ag0CCAIIAggCCAIIAggCCAIIAggCCAIIAggCCAIIAggCCAIIAgECAwJZAh4AAp8CAgIzAgQCBQIGAgcCCAIJAqACCwI4Ag0CCAIIAggCCAIIAggCCAIIAggCCAIIAggCCAIIAggCCAIIAgECAwLEc3EAfgAAAAAAAnNxAH4ABP///////////////v////7/////dXEAfgAHAAAAAwT7aHh4d0UCHgACnwICAnICBAIFAgYCBwIIAgkCSwILAjgCDQIIAggCCAIIAggCCAIIAggCCAIIAggCCAIIAggCCAIIAggCAQIDAsVzcQB+AAAAAAACc3EAfgAE///////////////+/////v////91cQB+AAcAAAAEYo3LFnh4d0UCHgACnwICAk0CBAIFAgYCBwIIAgkCSwILAjgCDQIIAggCCAIIAggCCAIIAggCCAIIAggCCAIIAggCCAIIAggCAQIDAsZzcQB+AAAAAAACc3EAfgAE///////////////+/////v////91cQB+AAcAAAAEYTEIFHh4d0UCHgACnwICAmcCBAIFAgYCBwIIAgkCoAILAjgCDQIIAggCCAIIAggCCAIIAggCCAIIAggCCAIIAggCCAIIAggCAQIDAsdzcQB+AAAAAAACc3EAfgAE///////////////+/////v////91cQB+AAcAAAADDoPdeHh3RQIeAAKfAgICNQIEAgUCBgIHAggCCQKgAgsCOAINAggCCAIIAggCCAIIAggCCAIIAggCCAIIAggCCAIIAggCCAIBAgMCyHNxAH4AAAAAAAJzcQB+AAT///////////////7////+/////3VxAH4ABwAAAAMEdI14eHdFAh4AAp8CAgJSAgQCBQIGAgcCCAIJAksCCwI4Ag0CCAIIAggCCAIIAggCCAIIAggCCAIIAggCCAIIAggCCAIIAgECAwLJc3EAfgAAAAAAAnNxAH4ABP///////////////v////7/////dXEAfgAHAAAABCij2ll4eHdFAh4AAp8CAgJ6AgQCBQIGAgcCCAIJAgoCCwI4Ag0CCAIIAggCCAIIAggCCAIIAggCCAIIAggCCAIIAggCCAIIAgECAwLKc3EAfgAAAAAAAnNxAH4ABP///////////////v////7/////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v////7/////dXEAfgAHAAAAAwQ0OHh4d0UCHgACnwICAmECBAIFAgYCBwIIAgkCCgILAjgCDQIIAggCCAIIAggCCAIIAggCCAIIAggCCAIIAggCCAIIAggCAQIDAsxzcQB+AAAAAAACc3EAfgAE///////////////+/////v////91cQB+AAcAAAAECCX/sXh4d0UCHgACnwICAi0CBAIFAgYCBwIIAgkCoAILAjgCDQIIAggCCAIIAggCCAIIAggCCAIIAggCCAIIAggCCAIIAggCAQIDAs1zcQB+AAAAAAACc3EAfgAE///////////////+/////v////91cQB+AAcAAAADA9yreHh3igIeAAKfAgICHwIEAgUCBgIHAggCCQJLAgsCOAINAggCCAIIAggCCAIIAggCCAIIAggCCAIIAggCCAIIAggCCAIBAgMCmwIeAAKfAgICXgIEAgUCBgIHAggCCQJLAgsCOAINAggCCAIIAggCCAIIAggCCAIIAggCCAIIAggCCAIIAggCCAIBAgMCznNxAH4AAAAAAAJzcQB+AAT///////////////7////+/////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AAAAAAACc3EAfgAE///////////////+/////v////91cQB+AAcAAAAEKsKx+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AAAAAAACc3EAfgAE///////////////+/////v////91cQB+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v////7/////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AAAAAAACc3EAfgAE///////////////+/////v////91cQB+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v////7/////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Ah4AAt0CAgIpAgQCBQIGAgcCCAIJAgoCCwI4Ag0CCAIIAggCCAIIAggCCAIIAggCCAIIAggCCAIIAggCCAIIAhQCAwI5Ah4AAt0CAgJaAgQCBQIGAgcCCAIJAgoCCwI4Ag0CCAIIAggCCAIIAggCCAIIAggCCAIIAggCCAIIAggCCAIIAhQCAwK/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xxe4awand>
</file>

<file path=customXml/item17.xml><?xml version="1.0" encoding="utf-8"?>
<xxe4awand xmlns="http://www.excel4apps.com"><![CDATA[rO0ABXfaCMCtii8CMAQyAQIeAABEY29tLmV4Y2VsNGFwcHMud2FuZC5vcmFjbGUu
Z2x3YW5kLmNhbGN1bGF0aW9ucy5nZXRiYWxhbmNlLkdldEJhbGFuY2UCAQAJNzIw
NTU3MDU2AgIAATACAwAGMjAxNjA3AgQAA1lURAIFAANVU0QCBgAFVG90YWwCBwAB
QQIIAAACCQADMDAxAgoABjE5MTAxMAILAAJHRAIMAAJJRAINAAJETAIIAggCCAII
AggCCAIIAggCCAIIAggCCAIIAggCCAIIAggCEw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794JJ4eHdVAh4AAgECAgIbAAYyMDE2MDYCBAIFAgYCBwIIAgkCHAAGMTkxMDE1AgsCDAINAggCCAIIAggCCAIIAggCCAIIAggCCAIIAggCCAIIAggCCAITAgMCHXNxAH4AAAAAAAJzcQB+AAT///////////////7////+/////3VxAH4ABwAAAAMSZ2t4eHdVAh4AAgECAgIeAAYyMDE2MDkCBAIFAgYCBwIIAgkCHwAGMTkxMDAwAgsCDAINAggCCAIIAggCCAIIAggCCAIIAggCCAIIAggCCAIIAggCCAITAgMCIHNxAH4AAAAAAAJzcQB+AAT///////////////7////+/////3VxAH4ABwAAAAMy9xF4eHdNAh4AAgECAgIhAAYyMDE4MDkCBAIFAgYCBwIIAgkCCgILAgwCDQIIAggCCAIIAggCCAIIAggCCAIIAggCCAIIAggCCAIIAggCEwIDAiJzcQB+AAAAAAACc3EAfgAE///////////////+/////v////91cQB+AAcAAAAEPiM+uHh4d00CHgACAQICAiMABjIwMTcwNgIEAgUCBgIHAggCCQIcAgsCDAINAggCCAIIAggCCAIIAggCCAIIAggCCAIIAggCCAIIAggCCAITAgMCJHNxAH4AAAAAAAJzcQB+AAT///////////////7////+/////3VxAH4ABwAAAAMSlsB4eHdNAh4AAgECAgIlAAYyMDE2MTICBAIFAgYCBwIIAgkCHAILAgwCDQIIAggCCAIIAggCCAIIAggCCAIIAggCCAIIAggCCAIIAggCEwIDAiZzcQB+AAAAAAACc3EAfgAE///////////////+/////v////91cQB+AAcAAAADEn8GeHh3TQIeAAIBAgICJwAGMjAxNzEyAgQCBQIGAgcCCAIJAhwCCwIMAg0CCAIIAggCCAIIAggCCAIIAggCCAIIAggCCAIIAggCCAIIAhMCAwIoc3EAfgAAAAAAAnNxAH4ABP///////////////v////4AAAAAdXEAfgAHAAAAAHh4d00CHgACAQICAikABjIwMTcwOQIEAgUCBgIHAggCCQIKAgsCDAINAggCCAIIAggCCAIIAggCCAIIAggCCAIIAggCCAIIAggCCAITAgMCKnNxAH4AAAAAAAJzcQB+AAT///////////////7////+/////3VxAH4ABwAAAAQ5RS7+eHh3mgIeAAIBAgICKwAGMjAxODA2AgQCBQIGAgcCCAIJAhwCCwIMAg0CCAIIAggCCAIIAggCCAIIAggCCAIIAggCCAIIAggCCAIIAhMCAwIoAh4AAgECAgIsAAYyMDE4MTACBAIFAgYCBwIIAgkCHwILAgwCDQIIAggCCAIIAggCCAIIAggCCAIIAggCCAIIAggCCAIIAggCEwIDAi1zcQB+AAAAAAACc3EAfgAE///////////////+/////gAAAAF1cQB+AAcAAAAECNulFnh4d00CHgACAQICAi4ABjIwMTYxMAIEAgUCBgIHAggCCQIcAgsCDAINAggCCAIIAggCCAIIAggCCAIIAggCCAIIAggCCAIIAggCCAITAgMCL3NxAH4AAAAAAAJzcQB+AAT///////////////7////+/////3VxAH4ABwAAAAMSdyV4eHdNAh4AAgECAgIwAAYyMDE2MDQCBAIFAgYCBwIIAgkCHAILAgwCDQIIAggCCAIIAggCCAIIAggCCAIIAggCCAIIAggCCAIIAggCEwIDAjFzcQB+AAAAAAACc3EAfgAE///////////////+/////v////91cQB+AAcAAAADEl+UeHh3TQIeAAIBAgICMgAGMjAxNjA1AgQCBQIGAgcCCAIJAgoCCwIMAg0CCAIIAggCCAIIAggCCAIIAggCCAIIAggCCAIIAggCCAIIAhMCAwIzc3EAfgAAAAAAAnNxAH4ABP///////////////v////7/////dXEAfgAHAAAABCYvMsJ4eHdNAh4AAgECAgI0AAYyMDE4MDcCBAIFAgYCBwIIAgkCCgILAgwCDQIIAggCCAIIAggCCAIIAggCCAIIAggCCAIIAggCCAIIAggCEwIDAjVzcQB+AAAAAAACc3EAfgAE///////////////+/////v////91cQB+AAcAAAAENab75Xh4d00CHgACAQICAjYABjIwMTcxMQIEAgUCBgIHAggCCQIKAgsCDAINAggCCAIIAggCCAIIAggCCAIIAggCCAIIAggCCAIIAggCCAITAgMCN3NxAH4AAAAAAAJzcQB+AAT///////////////7////+/////3VxAH4ABwAAAAQcI3yQeHh3kgIeAAIBAgICOAAGMjAxODAxAgQCBQIGAgcCCAIJAhwCCwIMAg0CCAIIAggCCAIIAggCCAIIAggCCAIIAggCCAIIAggCCAIIAhMCAwIoAh4AAgECAgIyAgQCBQIGAgcCCAIJAh8CCwIMAg0CCAIIAggCCAIIAggCCAIIAggCCAIIAggCCAIIAggCCAIIAhMCAwI5c3EAfgAAAAAAAnNxAH4ABP///////////////v////7/////dXEAfgAHAAAABAHNSnd4eHdNAh4AAgECAgI6AAYyMDE3MDgCBAIFAgYCBwIIAgkCHAILAgwCDQIIAggCCAIIAggCCAIIAggCCAIIAggCCAIIAggCCAIIAggCEwIDAjtzcQB+AAAAAAACc3EAfgAE///////////////+/////v////91cQB+AAcAAAADEp6veHh3TQIeAAIBAgICPAAGMjAxODAyAgQCBQIGAgcCCAIJAh8CCwIMAg0CCAIIAggCCAIIAggCCAIIAggCCAIIAggCCAIIAggCCAIIAhMCAwI9c3EAfgAAAAAAAnNxAH4ABP///////////////v////7/////dXEAfgAHAAAABAor0+d4eHdNAh4AAgECAgI+AAYyMDE2MTECBAIFAgYCBwIIAgkCHwILAgwCDQIIAggCCAIIAggCCAIIAggCCAIIAggCCAIIAggCCAIIAggCEwIDAj9zcQB+AAAAAAACc3EAfgAE///////////////+/////v////91cQB+AAcAAAAEJZDR+3h4d0UCHgACAQICAikCBAIFAgYCBwIIAgkCHwILAgwCDQIIAggCCAIIAggCCAIIAggCCAIIAggCCAIIAggCCAIIAggCEwIDAkBzcQB+AAAAAAACc3EAfgAE///////////////+/////gAAAAF1cQB+AAcAAAAEAloS0nh4d5ICHgACAQICAkEABjIwMTgwNAIEAgUCBgIHAggCCQIcAgsCDAINAggCCAIIAggCCAIIAggCCAIIAggCCAIIAggCCAIIAggCCAITAgMCKAIeAAIBAgICQQIEAgUCBgIHAggCCQIKAgsCDAINAggCCAIIAggCCAIIAggCCAIIAggCCAIIAggCCAIIAggCCAITAgMCQnNxAH4AAAAAAAJzcQB+AAT///////////////7////+/////3VxAH4ABwAAAAQu9BT/eHh3TQIeAAIBAgICQwAGMjAxNzAzAgQCBQIGAgcCCAIJAgoCCwIMAg0CCAIIAggCCAIIAggCCAIIAggCCAIIAggCCAIIAggCCAIIAhMCAwJEc3EAfgAAAAAAAnNxAH4ABP///////////////v////7/////dXEAfgAHAAAABCZ4H3F4eHdNAh4AAgECAgJFAAYyMDE3MDUCBAIFAgYCBwIIAgkCHwILAgwCDQIIAggCCAIIAggCCAIIAggCCAIIAggCCAIIAggCCAIIAggCEwIDAkZzcQB+AAAAAAACc3EAfgAE///////////////+/////v////91cQB+AAcAAAAEAtdnVHh4d00CHgACAQICAkcABjIwMTYwMgIEAgUCBgIHAggCCQIcAgsCDAINAggCCAIIAggCCAIIAggCCAIIAggCCAIIAggCCAIIAggCCAITAgMCSHNxAH4AAAAAAAJzcQB+AAT///////////////7////+/////3VxAH4ABwAAAAMSV794eHdNAh4AAgECAgJJAAYyMDE3MDICBAIFAgYCBwIIAgkCHAILAgwCDQIIAggCCAIIAggCCAIIAggCCAIIAggCCAIIAggCCAIIAggCEwIDAkpzcQB+AAAAAAACc3EAfgAE///////////////+/////v////91cQB+AAcAAAADEobreHh3TQIeAAIBAgICSwAGMjAxNzA0AgQCBQIGAgcCCAIJAh8CCwIMAg0CCAIIAggCCAIIAggCCAIIAggCCAIIAggCCAIIAggCCAIIAhMCAwJMc3EAfgAAAAAAAnNxAH4ABP///////////////v////7/////dXEAfgAHAAAABAUEo0F4eHdFAh4AAgECAgI2AgQCBQIGAgcCCAIJAh8CCwIMAg0CCAIIAggCCAIIAggCCAIIAggCCAIIAggCCAIIAggCCAIIAhMCAwJNc3EAfgAAAAAAAnNxAH4ABP///////////////v////7/////dXEAfgAHAAAABB7AdGx4eHdFAh4AAgECAgJLAgQCBQIGAgcCCAIJAgoCCwIMAg0CCAIIAggCCAIIAggCCAIIAggCCAIIAggCCAIIAggCCAIIAhMCAwJOc3EAfgAAAAAAAnNxAH4ABP///////////////v////7/////dXEAfgAHAAAABCng5RN4eHeKAh4AAgECAgIsAgQCBQIGAgcCCAIJAhwCCwIMAg0CCAIIAggCCAIIAggCCAIIAggCCAIIAggCCAIIAggCCAIIAhMCAwIoAh4AAgECAgIjAgQCBQIGAgcCCAIJAh8CCwIMAg0CCAIIAggCCAIIAggCCAIIAggCCAIIAggCCAIIAggCCAIIAhMCAwJPc3EAfgAAAAAAAnNxAH4ABP///////////////v////7/////dXEAfgAHAAAABAFtStJ4eHdFAh4AAgECAgIeAgQCBQIGAgcCCAIJAhwCCwIMAg0CCAIIAggCCAIIAggCCAIIAggCCAIIAggCCAIIAggCCAIIAhMCAwJQc3EAfgAAAAAAAnNxAH4ABP///////////////v////7/////dXEAfgAHAAAAAxJzNXh4d00CHgACAQICAlEABjIwMTcwMQIEAgUCBgIHAggCCQIcAgsCDAINAggCCAIIAggCCAIIAggCCAIIAggCCAIIAggCCAIIAggCCAITAgMCUnNxAH4AAAAAAAJzcQB+AAT///////////////7////+/////3VxAH4ABwAAAAMSgvh4eHdFAh4AAgECAgI8AgQCBQIGAgcCCAIJAgoCCwIMAg0CCAIIAggCCAIIAggCCAIIAggCCAIIAggCCAIIAggCCAIIAhMCAwJTc3EAfgAAAAAAAnNxAH4ABP///////////////v////7/////dXEAfgAHAAAABClGhLZ4eHdFAh4AAgECAgJHAgQCBQIGAgcCCAIJAh8CCwIMAg0CCAIIAggCCAIIAggCCAIIAggCCAIIAggCCAIIAggCCAIIAhMCAwJUc3EAfgAAAAAAAnNxAH4ABP///////////////v////7/////dXEAfgAHAAAABARbkhB4eHdFAh4AAgECAgIbAgQCBQIGAgcCCAIJAh8CCwIMAg0CCAIIAggCCAIIAggCCAIIAggCCAIIAggCCAIIAggCCAIIAhMCAwJVc3EAfgAAAAAAAnNxAH4ABP///////////////v////7/////dXEAfgAHAAAABAFkyvJ4eHdFAh4AAgECAgJFAgQCBQIGAgcCCAIJAgoCCwIMAg0CCAIIAggCCAIIAggCCAIIAggCCAIIAggCCAIIAggCCAIIAhMCAwJWc3EAfgAAAAAAAnNxAH4ABP///////////////v////7/////dXEAfgAHAAAABComTwt4eHdNAh4AAgECAgJXAAYyMDE3MTACBAIFAgYCBwIIAgkCHwILAgwCDQIIAggCCAIIAggCCAIIAggCCAIIAggCCAIIAggCCAIIAggCEwIDAlhzcQB+AAAAAAACc3EAfgAE///////////////+/////gAAAAF1cQB+AAcAAAAEBhtaanh4d0UCHgACAQICAkECBAIFAgYCBwIIAgkCHwILAgwCDQIIAggCCAIIAggCCAIIAggCCAIIAggCCAIIAggCCAIIAggCEwIDAllzcQB+AAAAAAACc3EAfgAE///////////////+/////v////91cQB+AAcAAAAEATJrz3h4d0UCHgACAQICAj4CBAIFAgYCBwIIAgkCCgILAgwCDQIIAggCCAIIAggCCAIIAggCCAIIAggCCAIIAggCCAIIAggCEwIDAlpzcQB+AAAAAAACc3EAfgAE///////////////+/////v////91cQB+AAcAAAAEC9ESdHh4d00CHgACAQICAlsABjIwMTYwOAIEAgUCBgIHAggCCQIcAgsCDAINAggCCAIIAggCCAIIAggCCAIIAggCCAIIAggCCAIIAggCCAITAgMCXHNxAH4AAAAAAAJzcQB+AAT///////////////7////+/////3VxAH4ABwAAAAMSb0Z4eHdNAh4AAgECAgJdAAYyMDE4MDMCBAIFAgYCBwIIAgkCHwILAgwCDQIIAggCCAIIAggCCAIIAggCCAIIAggCCAIIAggCCAIIAggCEwIDAl5zcQB+AAAAAAACc3EAfgAE///////////////+/////v////91cQB+AAcAAAAEBOHemXh4d0UCHgACAQICAiUCBAIFAgYCBwIIAgkCHwILAgwCDQIIAggCCAIIAggCCAIIAggCCAIIAggCCAIIAggCCAIIAggCEwIDAl9zcQB+AAAAAAACc3EAfgAE///////////////+/////v////91cQB+AAcAAAAEHRCpdHh4d0UCHgACAQICAgMCBAIFAgYCBwIIAgkCHwILAgwCDQIIAggCCAIIAggCCAIIAggCCAIIAggCCAIIAggCCAIIAggCEwIDAmBzcQB+AAAAAAACc3EAfgAE///////////////+/////v////91cQB+AAcAAAAEAQaUYHh4d5ICHgACAQICAmEABjIwMTgwNQIEAgUCBgIHAggCCQIcAgsCDAINAggCCAIIAggCCAIIAggCCAIIAggCCAIIAggCCAIIAggCCAITAgMCKAIeAAIBAgICXQIEAgUCBgIHAggCCQIKAgsCDAINAggCCAIIAggCCAIIAggCCAIIAggCCAIIAggCCAIIAggCCAITAgMCYnNxAH4AAAAAAAJzcQB+AAT///////////////7////+/////3VxAH4ABwAAAAQqwrH4eHh3RQIeAAIBAgICIQIEAgUCBgIHAggCCQIfAgsCDAINAggCCAIIAggCCAIIAggCCAIIAggCCAIIAggCCAIIAggCCAITAgMCY3NxAH4AAAAAAAJzcQB+AAT///////////////7////+AAAAAXVxAH4ABwAAAAQFeUVCeHh3RQIeAAIBAgICGwIEAgUCBgIHAggCCQIKAgsCDAINAggCCAIIAggCCAIIAggCCAIIAggCCAIIAggCCAIIAggCCAITAgMCZHNxAH4AAAAAAAJzcQB+AAT///////////////7////+/////3VxAH4ABwAAAAQrEAtReHh3TQIeAAIBAgICZQAGMjAxNjAzAgQCBQIGAgcCCAIJAhwCCwIMAg0CCAIIAggCCAIIAggCCAIIAggCCAIIAggCCAIIAggCCAIIAhMCAwJmc3EAfgAAAAAAAnNxAH4ABP///////////////v////7/////dXEAfgAHAAAAAxJbqXh4d00CHgACAQICAmcABjIwMTgwOAIEAgUCBgIHAggCCQIKAgsCDAINAggCCAIIAggCCAIIAggCCAIIAggCCAIIAggCCAIIAggCCAITAgMCaHNxAH4AAAAAAAJzcQB+AAT///////////////7////+/////3VxAH4ABwAAAAQ789EkeHh3RQIeAAIBAgICVwIEAgUCBgIHAggCCQIKAgsCDAINAggCCAIIAggCCAIIAggCCAIIAggCCAIIAggCCAIIAggCCAITAgMCaXNxAH4AAAAAAAJzcQB+AAT///////////////7////+/////3VxAH4ABwAAAARDRE3geHh3mgIeAAIBAgICagAGMjAxODExAgQCBQIGAgcCCAIJAhwCCwIMAg0CCAIIAggCCAIIAggCCAIIAggCCAIIAggCCAIIAggCCAIIAhMCAwIoAh4AAgECAgJrAAYyMDE3MDcCBAIFAgYCBwIIAgkCHAILAgwCDQIIAggCCAIIAggCCAIIAggCCAIIAggCCAIIAggCCAIIAggCEwIDAmxzcQB+AAAAAAACc3EAfgAE///////////////+/////v////91cQB+AAcAAAADEpq3eHh3RQIeAAIBAgICOAIEAgUCBgIHAggCCQIfAgsCDAINAggCCAIIAggCCAIIAggCCAIIAggCCAIIAggCCAIIAggCCAITAgMCbXNxAH4AAAAAAAJzcQB+AAT///////////////7////+/////3VxAH4ABwAAAAQQposkeHh3RQIeAAIBAgICOgIEAgUCBgIHAggCCQIKAgsCDAINAggCCAIIAggCCAIIAggCCAIIAggCCAIIAggCCAIIAggCCAITAgMCbnNxAH4AAAAAAAJzcQB+AAT///////////////7////+/////3VxAH4ABwAAAAQ0OVToeHh3zwIeAAIBAgICIQIEAgUCBgIHAggCCQIcAgsCDAINAggCCAIIAggCCAIIAggCCAIIAggCCAIIAggCCAIIAggCCAITAgMCKAIeAAIBAgICNAIEAgUCBgIHAggCCQIcAgsCDAINAggCCAIIAggCCAIIAggCCAIIAggCCAIIAggCCAIIAggCCAITAgMCKAIeAAIBAgICJQIEAgUCBgIHAggCCQIKAgsCDAINAggCCAIIAggCCAIIAggCCAIIAggCCAIIAggCCAIIAggCCAITAgMCb3NxAH4AAAAAAAJzcQB+AAT///////////////7////+/////3VxAH4ABwAAAAQVrLWfeHh3RQIeAAIBAgICWwIEAgUCBgIHAggCCQIKAgsCDAINAggCCAIIAggCCAIIAggCCAIIAggCCAIIAggCCAIIAggCCAITAgMCcHNxAH4AAAAAAAJzcQB+AAT///////////////7////+/////3VxAH4ABwAAAAQx77UZeHh3RQIeAAIBAgICPgIEAgUCBgIHAggCCQIcAgsCDAINAggCCAIIAggCCAIIAggCCAIIAggCCAIIAggCCAIIAggCCAITAgMCcXNxAH4AAAAAAAJzcQB+AAT///////////////7////+/////3VxAH4ABwAAAAMSexV4eHdFAh4AAgECAgIyAgQCBQIGAgcCCAIJAhwCCwIMAg0CCAIIAggCCAIIAggCCAIIAggCCAIIAggCCAIIAggCCAIIAhMCAwJyc3EAfgAAAAAAAnNxAH4ABP///////////////v////7/////dXEAfgAHAAAAAxJjf3h4d0UCHgACAQICAikCBAIFAgYCBwIIAgkCHAILAgwCDQIIAggCCAIIAggCCAIIAggCCAIIAggCCAIIAggCCAIIAggCEwIDAnNzcQB+AAAAAAACc3EAfgAE///////////////+/////v////91cQB+AAcAAAADEqKoeHh3RQIeAAIBAgICRQIEAgUCBgIHAggCCQIcAgsCDAINAggCCAIIAggCCAIIAggCCAIIAggCCAIIAggCCAIIAggCCAITAgMCdHNxAH4AAAAAAAJzcQB+AAT///////////////7////+/////3VxAH4ABwAAAAMSksp4eHeKAh4AAgECAgI2AgQCBQIGAgcCCAIJAhwCCwIMAg0CCAIIAggCCAIIAggCCAIIAggCCAIIAggCCAIIAggCCAIIAhMCAwIoAh4AAgECAgJnAgQCBQIGAgcCCAIJAh8CCwIMAg0CCAIIAggCCAIIAggCCAIIAggCCAIIAggCCAIIAggCCAIIAhMCAwJ1c3EAfgAAAAAAAnNxAH4ABP///////////////v////4AAAABdXEAfgAHAAAABAPuMwZ4eHdFAh4AAgECAgIwAgQCBQIGAgcCCAIJAgoCCwIMAg0CCAIIAggCCAIIAggCCAIIAggCCAIIAggCCAIIAggCCAIIAhMCAwJ2c3EAfgAAAAAAAnNxAH4ABP///////////////v////7/////dXEAfgAHAAAABCPGeP14eHdFAh4AAgECAgIjAgQCBQIGAgcCCAIJAgoCCwIMAg0CCAIIAggCCAIIAggCCAIIAggCCAIIAggCCAIIAggCCAIIAhMCAwJ3c3EAfgAAAAAAAnNxAH4ABP///////////////v////7/////dXEAfgAHAAAABCoLRiF4eHdFAh4AAgECAgI4AgQCBQIGAgcCCAIJAgoCCwIMAg0CCAIIAggCCAIIAggCCAIIAggCCAIIAggCCAIIAggCCAIIAhMCAwJ4c3EAfgAAAAAAAnNxAH4ABP///////////////v////7/////dXEAfgAHAAAABCkgj4V4eHdFAh4AAgECAgJhAgQCBQIGAgcCCAIJAh8CCwIMAg0CCAIIAggCCAIIAggCCAIIAggCCAIIAggCCAIIAggCCAIIAhMCAwJ5c3EAfgAAAAAAAnNxAH4ABP///////////////v////4AAAABdXEAfgAHAAAAAzaltnh4d0UCHgACAQICAi4CBAIFAgYCBwIIAgkCCgILAgwCDQIIAggCCAIIAggCCAIIAggCCAIIAggCCAIIAggCCAIIAggCEwIDAnpzcQB+AAAAAAACc3EAfgAE///////////////+/////v////91cQB+AAcAAAAENJhHI3h4d0UCHgACAQICAgMCBAIFAgYCBwIIAgkCHAILAgwCDQIIAggCCAIIAggCCAIIAggCCAIIAggCCAIIAggCCAIIAggCEwIDAntzcQB+AAAAAAACc3EAfgAE///////////////+/////v////91cQB+AAcAAAADEmtYeHh3RQIeAAIBAgICJwIEAgUCBgIHAggCCQIfAgsCDAINAggCCAIIAggCCAIIAggCCAIIAggCCAIIAggCCAIIAggCCAITAgMCfHNxAH4AAAAAAAJzcQB+AAT///////////////7////+/////3VxAH4ABwAAAAQWt6iieHh3RQIeAAIBAgICWwIEAgUCBgIHAggCCQIfAgsCDAINAggCCAIIAggCCAIIAggCCAIIAggCCAIIAggCCAIIAggCCAITAgMCfXNxAH4AAAAAAAJzcQB+AAT///////////////7////+/////3VxAH4ABwAAAAOesqp4eHdFAh4AAgECAgJRAgQCBQIGAgcCCAIJAh8CCwIMAg0CCAIIAggCCAIIAggCCAIIAggCCAIIAggCCAIIAggCCAIIAhMCAwJ+c3EAfgAAAAAAAnNxAH4ABP///////////////v////7/////dXEAfgAHAAAABBQ694N4eHdFAh4AAgECAgJDAgQCBQIGAgcCCAIJAhwCCwIMAg0CCAIIAggCCAIIAggCCAIIAggCCAIIAggCCAIIAggCCAIIAhMCAwJ/c3EAfgAAAAAAAnNxAH4ABP///////////////v////7/////dXEAfgAHAAAAAxKK33h4d0UCHgACAQICAkcCBAIFAgYCBwIIAgkCCgILAgwCDQIIAggCCAIIAggCCAIIAggCCAIIAggCCAIIAggCCAIIAggCEwIDAoBzcQB+AAAAAAACc3EAfgAE///////////////+/////v////91cQB+AAcAAAAEG7MeXHh4d0UCHgACAQICAjACBAIFAgYCBwIIAgkCHwILAgwCDQIIAggCCAIIAggCCAIIAggCCAIIAggCCAIIAggCCAIIAggCEwIDAoFzcQB+AAAAAAACc3EAfgAE///////////////+/////v////91cQB+AAcAAAAEAlAe6Xh4d0UCHgACAQICAisCBAIFAgYCBwIIAgkCHwILAgwCDQIIAggCCAIIAggCCAIIAggCCAIIAggCCAIIAggCCAIIAggCEwIDAoJzcQB+AAAAAAACc3EAfgAE///////////////+/////gAAAAF1cQB+AAcAAAAEAaNwu3h4d0UCHgACAQICAiwCBAIFAgYCBwIIAgkCCgILAgwCDQIIAggCCAIIAggCCAIIAggCCAIIAggCCAIIAggCCAIIAggCEwIDAoNzcQB+AAAAAAACc3EAfgAE///////////////+/////v////91cQB+AAcAAAAESiXnBXh4d0UCHgACAQICAi4CBAIFAgYCBwIIAgkCHwILAgwCDQIIAggCCAIIAggCCAIIAggCCAIIAggCCAIIAggCCAIIAggCEwIDAoRzcQB+AAAAAAACc3EAfgAE///////////////+/////gAAAAF1cQB+AAcAAAADuXJ8eHh3RQIeAAIBAgICYQIEAgUCBgIHAggCCQIKAgsCDAINAggCCAIIAggCCAIIAggCCAIIAggCCAIIAggCCAIIAggCCAITAgMChXNxAH4AAAAAAAJzcQB+AAT///////////////7////+/////3VxAH4ABwAAAAQv/sZceHh3RQIeAAIBAgICZQIEAgUCBgIHAggCCQIfAgsCDAINAggCCAIIAggCCAIIAggCCAIIAggCCAIIAggCCAIIAggCCAITAgMChnNxAH4AAAAAAAJzcQB+AAT///////////////7////+/////3VxAH4ABwAAAAQC+0uLeHh3igIeAAIBAgICXQIEAgUCBgIHAggCCQIcAgsCDAINAggCCAIIAggCCAIIAggCCAIIAggCCAIIAggCCAIIAggCCAITAgMCKAIeAAIBAgICNAIEAgUCBgIHAggCCQIfAgsCDAINAggCCAIIAggCCAIIAggCCAIIAggCCAIIAggCCAIIAggCCAITAgMCh3NxAH4AAAAAAAJzcQB+AAT///////////////7////+AAAAAXVxAH4ABwAAAAQC1DjseHh3RQIeAAIBAgICSQIEAgUCBgIHAggCCQIKAgsCDAINAggCCAIIAggCCAIIAggCCAIIAggCCAIIAggCCAIIAggCCAITAgMCiHNxAH4AAAAAAAJzcQB+AAT///////////////7////+/////3VxAH4ABwAAAAQiCqwxeHh3igIeAAIBAgICagIEAgUCBgIHAggCCQIfAgsCDAINAggCCAIIAggCCAIIAggCCAIIAggCCAIIAggCCAIIAggCCAITAgMCLQIeAAIBAgICQwIEAgUCBgIHAggCCQIfAgsCDAINAggCCAIIAggCCAIIAggCCAIIAggCCAIIAggCCAIIAggCCAITAgMCiXNxAH4AAAAAAAJzcQB+AAT///////////////7////+/////3VxAH4ABwAAAAQIvUgheHh3RQIeAAIBAgICKwIEAgUCBgIHAggCCQIKAgsCDAINAggCCAIIAggCCAIIAggCCAIIAggCCAIIAggCCAIIAggCCAITAgMCinNxAH4AAAAAAAJzcQB+AAT///////////////7////+/////3VxAH4ABwAAAAQw8IEoeHh3RQIeAAIBAgICUQIEAgUCBgIHAggCCQIKAgsCDAINAggCCAIIAggCCAIIAggCCAIIAggCCAIIAggCCAIIAggCCAITAgMCi3NxAH4AAAAAAAJzcQB+AAT///////////////7////+/////3VxAH4ABwAAAAQdsfpMeHh3RQIeAAIBAgICawIEAgUCBgIHAggCCQIfAgsCDAINAggCCAIIAggCCAIIAggCCAIIAggCCAIIAggCCAIIAggCCAITAgMCjHNxAH4AAAAAAAJzcQB+AAT///////////////7////+/////3VxAH4ABwAAAANOuAp4eHeKAh4AAgECAgI8AgQCBQIGAgcCCAIJAhwCCwIMAg0CCAIIAggCCAIIAggCCAIIAggCCAIIAggCCAIIAggCCAIIAhMCAwIoAh4AAgECAgIeAgQCBQIGAgcCCAIJAgoCCwIMAg0CCAIIAggCCAIIAggCCAIIAggCCAIIAggCCAIIAggCCAIIAhMCAwKNc3EAfgAAAAAAAnNxAH4ABP///////////////v////7/////dXEAfgAHAAAABDO8lpJ4eHdFAh4AAgECAgInAgQCBQIGAgcCCAIJAgoCCwIMAg0CCAIIAggCCAIIAggCCAIIAggCCAIIAggCCAIIAggCCAIIAhMCAwKOc3EAfgAAAAAAAnNxAH4ABP///////////////v////7/////dXEAfgAHAAAABCQ0bfR4eHdFAh4AAgECAgJJAgQCBQIGAgcCCAIJAh8CCwIMAg0CCAIIAggCCAIIAggCCAIIAggCCAIIAggCCAIIAggCCAIIAhMCAwKPc3EAfgAAAAAAAnNxAH4ABP///////////////v////7/////dXEAfgAHAAAABA4LHEp4eHdFAh4AAgECAgJLAgQCBQIGAgcCCAIJAhwCCwIMAg0CCAIIAggCCAIIAggCCAIIAggCCAIIAggCCAIIAggCCAIIAhMCAwKQc3EAfgAAAAAAAnNxAH4ABP///////////////v////7/////dXEAfgAHAAAAAxKO1Hh4d0UCHgACAQICAjoCBAIFAgYCBwIIAgkCHwILAgwCDQIIAggCCAIIAggCCAIIAggCCAIIAggCCAIIAggCCAIIAggCEwIDApFzcQB+AAAAAAACc3EAfgAE///////////////+/////gAAAAF1cQB+AAcAAAAD/4leeHh3RQIeAAIBAgICVwIEAgUCBgIHAggCCQIcAgsCDAINAggCCAIIAggCCAIIAggCCAIIAggCCAIIAggCCAIIAggCCAITAgMCknNxAH4AAAAAAAJzcQB+AAT///////////////7////+/////3VxAH4ABwAAAAMSpqJ4eHdFAh4AAgECAgJlAgQCBQIGAgcCCAIJAgoCCwIMAg0CCAIIAggCCAIIAggCCAIIAggCCAIIAggCCAIIAggCCAIIAhMCAwKTc3EAfgAAAAAAAnNxAH4ABP///////////////v////7/////dXEAfgAHAAAABB6uCU94eHdFAh4AAgECAgJrAgQCBQIGAgcCCAIJAgoCCwIMAg0CCAIIAggCCAIIAggCCAIIAggCCAIIAggCCAIIAggCCAIIAhMCAwKUc3EAfgAAAAAAAnNxAH4ABP///////////////v////7/////dXEAfgAHAAAABC6RhSt4eHoAAAQAAh4AAgECAgJqAgQCBQIGAgcCCAIJAgoCCwIMAg0CCAIIAggCCAIIAggCCAIIAggCCAIIAggCCAIIAggCCAIIAhMCAwKDAh4AAgECAgJnAgQCBQIGAgcCCAIJAhwCCwIMAg0CCAIIAggCCAIIAggCCAIIAggCCAIIAggCCAIIAggCCAIIAhMCAwIoAh4AApUACTUzMjc4NDE2OAICAisCBAIFAgYCBwIIAgkCHwILAgwCDQIIAggCCAIIAggCCAIIAggCCAIIAggCCAIIAggCCAIIAggCLgIDAoICHgAClQICAjACBAIFAgYCBwIIAgkCHwILAgwCDQIIAggCCAIIAggCCAIIAggCCAIIAggCCAIIAggCCAIIAggCLgIDAoECHgAClQICAlcCBAIFAgYCBwIIAgkCCgILAgwCDQIIAggCCAIIAggCCAIIAggCCAIIAggCCAIIAggCCAIIAggCLgIDAmkCHgAClQICAkECBAIFAgYCBwIIAgkCCgILAgwCDQIIAggCCAIIAggCCAIIAggCCAIIAggCCAIIAggCCAIIAggCLgIDAkICHgAClQICAi4CBAIFAgYCBwIIAgkCHwILAgwCDQIIAggCCAIIAggCCAIIAggCCAIIAggCCAIIAggCCAIIAggCLgIDAoQCHgAClQICAicCBAIFAgYCBwIIAgkCHwILAgwCDQIIAggCCAIIAggCCAIIAggCCAIIAggCCAIIAggCCAIIAggCLgIDAnwCHgAClQICAiUCBAIFAgYCBwIIAgkCHwILAgwCDQIIAggCCAIIAggCCAIIAggCCAIIAggCCAIIAggCCAIIAggCLgIDAl8CHgAClQICAlcCBAIFAgYCBwIIAgkCHwILAgwCDQIIAggCCAIIAggCCAIIAggCCAIIAggCCAIIAggCCAIIAggCLgIDAlgCHgAClQICAiMCBAIFAgYCBwIIAgkCHwILAgwCDQIIAggCCAIIAggCCAIIAggCCAIIAggCCAIIAggCCAIIAggCLgIDAk8CHgAClQICAksCBAIFAgYCBwIIAgkCCgILAgwCDQIIAggCCAIIAggCCAIIAggCCAIIAggCCAIIAggCCAIIAggCLgIDAk4CHgAClQICAmECBAIFAgYCBwIIAgkCHAILAgwCDQIIAggCCAIIAggCCAIIAggCCAIIAggCCAIIAggCCAIIAggCLgIDAigCHgAClQICAjACBAIFAgYCBwIIAgkCCgILAgwCDQIIAggCCAIIAggCCAIIAggCCAIIAggCCAIIAggCCAIIAggCLgIDAnYCHgAClQICAlECBAIFAgYCBwIIAgkCHAILAgwCDQIIAggCCAIIAggCCAIIAggCCHoAAAQAAggCCAIIAggCCAIIAggCCAIuAgMCUgIeAAKVAgICRQIEAgUCBgIHAggCCQIcAgsCDAINAggCCAIIAggCCAIIAggCCAIIAggCCAIIAggCCAIIAggCCAIuAgMCdAIeAAKVAgICRwIEAgUCBgIHAggCCQIfAgsCDAINAggCCAIIAggCCAIIAggCCAIIAggCCAIIAggCCAIIAggCCAIuAgMCVAIeAAKVAgICKwIEAgUCBgIHAggCCQIKAgsCDAINAggCCAIIAggCCAIIAggCCAIIAggCCAIIAggCCAIIAggCCAIuAgMCigIeAAKVAgICQQIEAgUCBgIHAggCCQIfAgsCDAINAggCCAIIAggCCAIIAggCCAIIAggCCAIIAggCCAIIAggCCAIuAgMCWQIeAAKVAgICHgIEAgUCBgIHAggCCQIKAgsCDAINAggCCAIIAggCCAIIAggCCAIIAggCCAIIAggCCAIIAggCCAIuAgMCjQIeAAKVAgICJQIEAgUCBgIHAggCCQIKAgsCDAINAggCCAIIAggCCAIIAggCCAIIAggCCAIIAggCCAIIAggCCAIuAgMCbwIeAAKVAgICZQIEAgUCBgIHAggCCQIcAgsCDAINAggCCAIIAggCCAIIAggCCAIIAggCCAIIAggCCAIIAggCCAIuAgMCZgIeAAKVAgICSQIEAgUCBgIHAggCCQIKAgsCDAINAggCCAIIAggCCAIIAggCCAIIAggCCAIIAggCCAIIAggCCAIuAgMCiAIeAAKVAgICZwIEAgUCBgIHAggCCQIKAgsCDAINAggCCAIIAggCCAIIAggCCAIIAggCCAIIAggCCAIIAggCCAIuAgMCaAIeAAKVAgICXQIEAgUCBgIHAggCCQIcAgsCDAINAggCCAIIAggCCAIIAggCCAIIAggCCAIIAggCCAIIAggCCAIuAgMCKAIeAAKVAgICagIEAgUCBgIHAggCCQIcAgsCDAINAggCCAIIAggCCAIIAggCCAIIAggCCAIIAggCCAIIAggCCAIuAgMCKAIeAAKVAgICOgIEAgUCBgIHAggCCQIfAgsCDAINAggCCAIIAggCCAIIAggCCAIIAggCCAIIAggCCAIIAggCCAIuAgMCkQIeAAKVAgICGwIEAgUCBgIHAggCCQIKAgsCDAINAggCCAIIAggCCAIIAggCCAIIAggCCAIIAggCCAIIAggCCAIuAgMCZAIeAAKVAgICOAIEAgUCBgIHAggCCQIfAgsCDAINAggCCAIIAggCCAIIAggCCAIIAggCCAIIAggCCAIIAggCCAIuAgMCbQIeAAKVAgICIQIEAgUCBgIHAggCCQIKAgsCDAINAggCCAIIAnoAAAQACAIIAggCCAIIAggCCAIIAggCCAIIAggCCAIIAi4CAwIiAh4AApUCAgIeAgQCBQIGAgcCCAIJAh8CCwIMAg0CCAIIAggCCAIIAggCCAIIAggCCAIIAggCCAIIAggCCAIIAi4CAwIgAh4AApUCAgJnAgQCBQIGAgcCCAIJAhwCCwIMAg0CCAIIAggCCAIIAggCCAIIAggCCAIIAggCCAIIAggCCAIIAi4CAwIoAh4AApUCAgJRAgQCBQIGAgcCCAIJAh8CCwIMAg0CCAIIAggCCAIIAggCCAIIAggCCAIIAggCCAIIAggCCAIIAi4CAwJ+Ah4AApUCAgI6AgQCBQIGAgcCCAIJAhwCCwIMAg0CCAIIAggCCAIIAggCCAIIAggCCAIIAggCCAIIAggCCAIIAi4CAwI7Ah4AApUCAgIDAgQCBQIGAgcCCAIJAgoCCwIMAg0CCAIIAggCCAIIAggCCAIIAggCCAIIAggCCAIIAggCCAIIAi4CAwIOAh4AApUCAgJbAgQCBQIGAgcCCAIJAgoCCwIMAg0CCAIIAggCCAIIAggCCAIIAggCCAIIAggCCAIIAggCCAIIAi4CAwJwAh4AApUCAgI+AgQCBQIGAgcCCAIJAhwCCwIMAg0CCAIIAggCCAIIAggCCAIIAggCCAIIAggCCAIIAggCCAIIAi4CAwJxAh4AApUCAgJJAgQCBQIGAgcCCAIJAh8CCwIMAg0CCAIIAggCCAIIAggCCAIIAggCCAIIAggCCAIIAggCCAIIAi4CAwKPAh4AApUCAgIpAgQCBQIGAgcCCAIJAhwCCwIMAg0CCAIIAggCCAIIAggCCAIIAggCCAIIAggCCAIIAggCCAIIAi4CAwJzAh4AApUCAgIsAgQCBQIGAgcCCAIJAh8CCwIMAg0CCAIIAggCCAIIAggCCAIIAggCCAIIAggCCAIIAggCCAIIAi4CAwItAh4AApUCAgIwAgQCBQIGAgcCCAIJAhwCCwIMAg0CCAIIAggCCAIIAggCCAIIAggCCAIIAggCCAIIAggCCAIIAi4CAwIxAh4AApUCAgInAgQCBQIGAgcCCAIJAgoCCwIMAg0CCAIIAggCCAIIAggCCAIIAggCCAIIAggCCAIIAggCCAIIAi4CAwKOAh4AApUCAgJRAgQCBQIGAgcCCAIJAgoCCwIMAg0CCAIIAggCCAIIAggCCAIIAggCCAIIAggCCAIIAggCCAIIAi4CAwKLAh4AApUCAgJrAgQCBQIGAgcCCAIJAh8CCwIMAg0CCAIIAggCCAIIAggCCAIIAggCCAIIAggCCAIIAggCCAIIAi4CAwKMAh4AApUCAgI4AgQCBQIGAgcCCAIJAhwCC3oAAAQAAgwCDQIIAggCCAIIAggCCAIIAggCCAIIAggCCAIIAggCCAIIAggCLgIDAigCHgAClQICAiMCBAIFAgYCBwIIAgkCCgILAgwCDQIIAggCCAIIAggCCAIIAggCCAIIAggCCAIIAggCCAIIAggCLgIDAncCHgAClQICAmoCBAIFAgYCBwIIAgkCHwILAgwCDQIIAggCCAIIAggCCAIIAggCCAIIAggCCAIIAggCCAIIAggCLgIDAi0CHgAClQICAi4CBAIFAgYCBwIIAgkCHAILAgwCDQIIAggCCAIIAggCCAIIAggCCAIIAggCCAIIAggCCAIIAggCLgIDAi8CHgAClQICAjICBAIFAgYCBwIIAgkCHAILAgwCDQIIAggCCAIIAggCCAIIAggCCAIIAggCCAIIAggCCAIIAggCLgIDAnICHgAClQICAmUCBAIFAgYCBwIIAgkCHwILAgwCDQIIAggCCAIIAggCCAIIAggCCAIIAggCCAIIAggCCAIIAggCLgIDAoYCHgAClQICAiwCBAIFAgYCBwIIAgkCCgILAgwCDQIIAggCCAIIAggCCAIIAggCCAIIAggCCAIIAggCCAIIAggCLgIDAoMCHgAClQICAjQCBAIFAgYCBwIIAgkCHAILAgwCDQIIAggCCAIIAggCCAIIAggCCAIIAggCCAIIAggCCAIIAggCLgIDAigCHgAClQICAlsCBAIFAgYCBwIIAgkCHwILAgwCDQIIAggCCAIIAggCCAIIAggCCAIIAggCCAIIAggCCAIIAggCLgIDAn0CHgAClQICAkMCBAIFAgYCBwIIAgkCHAILAgwCDQIIAggCCAIIAggCCAIIAggCCAIIAggCCAIIAggCCAIIAggCLgIDAn8CHgAClQICAkcCBAIFAgYCBwIIAgkCCgILAgwCDQIIAggCCAIIAggCCAIIAggCCAIIAggCCAIIAggCCAIIAggCLgIDAoACHgAClQICAmECBAIFAgYCBwIIAgkCHwILAgwCDQIIAggCCAIIAggCCAIIAggCCAIIAggCCAIIAggCCAIIAggCLgIDAnkCHgAClQICAkUCBAIFAgYCBwIIAgkCHwILAgwCDQIIAggCCAIIAggCCAIIAggCCAIIAggCCAIIAggCCAIIAggCLgIDAkYCHgAClQICAmoCBAIFAgYCBwIIAgkCCgILAgwCDQIIAggCCAIIAggCCAIIAggCCAIIAggCCAIIAggCCAIIAggCLgIDAoMCHgAClQICAkMCBAIFAgYCBwIIAgkCCgILAgwCDQIIAggCCAIIAggCCAIIAggCCAIIAggCCAIIAggCCAIIAggCLgIDAkQCHgAClQICAkECBAIFAnoAAAQABgIHAggCCQIcAgsCDAINAggCCAIIAggCCAIIAggCCAIIAggCCAIIAggCCAIIAggCCAIuAgMCKAIeAAKVAgICLAIEAgUCBgIHAggCCQIcAgsCDAINAggCCAIIAggCCAIIAggCCAIIAggCCAIIAggCCAIIAggCCAIuAgMCKAIeAAKVAgICSQIEAgUCBgIHAggCCQIcAgsCDAINAggCCAIIAggCCAIIAggCCAIIAggCCAIIAggCCAIIAggCCAIuAgMCSgIeAAKVAgICZQIEAgUCBgIHAggCCQIKAgsCDAINAggCCAIIAggCCAIIAggCCAIIAggCCAIIAggCCAIIAggCCAIuAgMCkwIeAAKVAgICNgIEAgUCBgIHAggCCQIKAgsCDAINAggCCAIIAggCCAIIAggCCAIIAggCCAIIAggCCAIIAggCCAIuAgMCNwIeAAKVAgICSwIEAgUCBgIHAggCCQIcAgsCDAINAggCCAIIAggCCAIIAggCCAIIAggCCAIIAggCCAIIAggCCAIuAgMCkAIeAAKVAgICYQIEAgUCBgIHAggCCQIKAgsCDAINAggCCAIIAggCCAIIAggCCAIIAggCCAIIAggCCAIIAggCCAIuAgMChQIeAAKVAgICMgIEAgUCBgIHAggCCQIfAgsCDAINAggCCAIIAggCCAIIAggCCAIIAggCCAIIAggCCAIIAggCCAIuAgMCOQIeAAKVAgICPAIEAgUCBgIHAggCCQIcAgsCDAINAggCCAIIAggCCAIIAggCCAIIAggCCAIIAggCCAIIAggCCAIuAgMCKAIeAAKVAgICRQIEAgUCBgIHAggCCQIKAgsCDAINAggCCAIIAggCCAIIAggCCAIIAggCCAIIAggCCAIIAggCCAIuAgMCVgIeAAKVAgICNAIEAgUCBgIHAggCCQIfAgsCDAINAggCCAIIAggCCAIIAggCCAIIAggCCAIIAggCCAIIAggCCAIuAgMChwIeAAKVAgICQwIEAgUCBgIHAggCCQIfAgsCDAINAggCCAIIAggCCAIIAggCCAIIAggCCAIIAggCCAIIAggCCAIuAgMCiQIeAAKVAgICKwIEAgUCBgIHAggCCQIcAgsCDAINAggCCAIIAggCCAIIAggCCAIIAggCCAIIAggCCAIIAggCCAIuAgMCKAIeAAKVAgICAwIEAgUCBgIHAggCCQIfAgsCDAINAggCCAIIAggCCAIIAggCCAIIAggCCAIIAggCCAIIAggCCAIuAgMCYAIeAAKVAgICHgIEAgUCBgIHAggCCQIcAgsCDAINAggCCAIIAggCCAIIAggCCAIIAggCCAIIAggCCAIIAggCCAIuAgMCUAIeAHoAAAQAApUCAgJdAgQCBQIGAgcCCAIJAgoCCwIMAg0CCAIIAggCCAIIAggCCAIIAggCCAIIAggCCAIIAggCCAIIAi4CAwJiAh4AApUCAgJrAgQCBQIGAgcCCAIJAgoCCwIMAg0CCAIIAggCCAIIAggCCAIIAggCCAIIAggCCAIIAggCCAIIAi4CAwKUAh4AApUCAgI2AgQCBQIGAgcCCAIJAh8CCwIMAg0CCAIIAggCCAIIAggCCAIIAggCCAIIAggCCAIIAggCCAIIAi4CAwJNAh4AApUCAgJXAgQCBQIGAgcCCAIJAhwCCwIMAg0CCAIIAggCCAIIAggCCAIIAggCCAIIAggCCAIIAggCCAIIAi4CAwKSAh4AApUCAgIhAgQCBQIGAgcCCAIJAh8CCwIMAg0CCAIIAggCCAIIAggCCAIIAggCCAIIAggCCAIIAggCCAIIAi4CAwJjAh4AApUCAgIbAgQCBQIGAgcCCAIJAhwCCwIMAg0CCAIIAggCCAIIAggCCAIIAggCCAIIAggCCAIIAggCCAIIAi4CAwIdAh4AApUCAgJrAgQCBQIGAgcCCAIJAhwCCwIMAg0CCAIIAggCCAIIAggCCAIIAggCCAIIAggCCAIIAggCCAIIAi4CAwJsAh4AApUCAgI6AgQCBQIGAgcCCAIJAgoCCwIMAg0CCAIIAggCCAIIAggCCAIIAggCCAIIAggCCAIIAggCCAIIAi4CAwJuAh4AApUCAgI8AgQCBQIGAgcCCAIJAh8CCwIMAg0CCAIIAggCCAIIAggCCAIIAggCCAIIAggCCAIIAggCCAIIAi4CAwI9Ah4AApUCAgIpAgQCBQIGAgcCCAIJAh8CCwIMAg0CCAIIAggCCAIIAggCCAIIAggCCAIIAggCCAIIAggCCAIIAi4CAwJAAh4AApUCAgIlAgQCBQIGAgcCCAIJAhwCCwIMAg0CCAIIAggCCAIIAggCCAIIAggCCAIIAggCCAIIAggCCAIIAi4CAwImAh4AApUCAgIDAgQCBQIGAgcCCAIJAhwCCwIMAg0CCAIIAggCCAIIAggCCAIIAggCCAIIAggCCAIIAggCCAIIAi4CAwJ7Ah4AApUCAgIpAgQCBQIGAgcCCAIJAgoCCwIMAg0CCAIIAggCCAIIAggCCAIIAggCCAIIAggCCAIIAggCCAIIAi4CAwIqAh4AApUCAgI4AgQCBQIGAgcCCAIJAgoCCwIMAg0CCAIIAggCCAIIAggCCAIIAggCCAIIAggCCAIIAggCCAIIAi4CAwJ4Ah4AApUCAgIhAgQCBQIGAgcCCAIJAhwCCwIMAg0CCAIIAggCCAIIAggCCAIIAggCCAIIAggCCAIIAggCCHoAAAQAAggCLgIDAigCHgAClQICAicCBAIFAgYCBwIIAgkCHAILAgwCDQIIAggCCAIIAggCCAIIAggCCAIIAggCCAIIAggCCAIIAggCLgIDAigCHgAClQICAl0CBAIFAgYCBwIIAgkCHwILAgwCDQIIAggCCAIIAggCCAIIAggCCAIIAggCCAIIAggCCAIIAggCLgIDAl4CHgAClQICAlsCBAIFAgYCBwIIAgkCHAILAgwCDQIIAggCCAIIAggCCAIIAggCCAIIAggCCAIIAggCCAIIAggCLgIDAlwCHgAClQICAj4CBAIFAgYCBwIIAgkCCgILAgwCDQIIAggCCAIIAggCCAIIAggCCAIIAggCCAIIAggCCAIIAggCLgIDAloCHgAClQICAjwCBAIFAgYCBwIIAgkCCgILAgwCDQIIAggCCAIIAggCCAIIAggCCAIIAggCCAIIAggCCAIIAggCLgIDAlMCHgAClQICAhsCBAIFAgYCBwIIAgkCHwILAgwCDQIIAggCCAIIAggCCAIIAggCCAIIAggCCAIIAggCCAIIAggCLgIDAlUCHgAClQICAjYCBAIFAgYCBwIIAgkCHAILAgwCDQIIAggCCAIIAggCCAIIAggCCAIIAggCCAIIAggCCAIIAggCLgIDAigCHgAClQICAmcCBAIFAgYCBwIIAgkCHwILAgwCDQIIAggCCAIIAggCCAIIAggCCAIIAggCCAIIAggCCAIIAggCLgIDAnUCHgAClQICAjICBAIFAgYCBwIIAgkCCgILAgwCDQIIAggCCAIIAggCCAIIAggCCAIIAggCCAIIAggCCAIIAggCLgIDAjMCHgAClQICAi4CBAIFAgYCBwIIAgkCCgILAgwCDQIIAggCCAIIAggCCAIIAggCCAIIAggCCAIIAggCCAIIAggCLgIDAnoCHgAClQICAksCBAIFAgYCBwIIAgkCHwILAgwCDQIIAggCCAIIAggCCAIIAggCCAIIAggCCAIIAggCCAIIAggCLgIDAkwCHgAClQICAiMCBAIFAgYCBwIIAgkCHAILAgwCDQIIAggCCAIIAggCCAIIAggCCAIIAggCCAIIAggCCAIIAggCLgIDAiQCHgAClQICAjQCBAIFAgYCBwIIAgkCCgILAgwCDQIIAggCCAIIAggCCAIIAggCCAIIAggCCAIIAggCCAIIAggCLgIDAjUCHgAClQICAj4CBAIFAgYCBwIIAgkCHwILAgwCDQIIAggCCAIIAggCCAIIAggCCAIIAggCCAIIAggCCAIIAggCLgIDAj8CHgAClQICAkcCBAIFAgYCBwIIAgkCHAILAgwCDQIIAggCCAIIAggCCAIIAggCCAIIAndnCAIIAggCCAIIAggCCAIuAgMCSAIeAAKWAAk1MzI3ODA2ODgCAgI2AgQCBQIGAgcCCAIJAh8CCwKXAAJXQQINAggCCAIIAggCCAIIAggCCAIIAggCCAIIAggCCAIIAggCCAIvAgMCmHNxAH4AAAAAAAJzcQB+AAT///////////////7////+/////3VxAH4ABwAAAAREule8eHh3TQIeAAKWAgICKQIEAgUCBgIHAggCCQKZAAYxOTEwMjUCCwKXAg0CCAIIAggCCAIIAggCCAIIAggCCAIIAggCCAIIAggCCAIIAi8CAwKac3EAfgAAAAAAAnNxAH4ABP///////////////v////7/////dXEAfgAHAAAAAwQOrnh4d0UCHgAClgICAmECBAIFAgYCBwIIAgkCHwILApcCDQIIAggCCAIIAggCCAIIAggCCAIIAggCCAIIAggCCAIIAggCLwIDAptzcQB+AAAAAAACc3EAfgAE///////////////+/////v////91cQB+AAcAAAAEBEpBlXh4d0UCHgAClgICAl0CBAIFAgYCBwIIAgkCCgILApcCDQIIAggCCAIIAggCCAIIAggCCAIIAggCCAIIAggCCAIIAggCLwIDApxzcQB+AAAAAAACc3EAfgAE///////////////+/////v////91cQB+AAcAAAAEUn6jGnh4d0UCHgAClgICAmUCBAIFAgYCBwIIAgkCHwILApcCDQIIAggCCAIIAggCCAIIAggCCAIIAggCCAIIAggCCAIIAggCLwIDAp1zcQB+AAAAAAACc3EAfgAE///////////////+/////v////91cQB+AAcAAAAEBeiObnh4d4oCHgAClgICAiECBAIFAgYCBwIIAgkCmQILApcCDQIIAggCCAIIAggCCAIIAggCCAIIAggCCAIIAggCCAIIAggCLwIDAigCHgAClgICAkMCBAIFAgYCBwIIAgkCHwILApcCDQIIAggCCAIIAggCCAIIAggCCAIIAggCCAIIAggCCAIIAggCLwIDAp5zcQB+AAAAAAACc3EAfgAE///////////////+/////v////91cQB+AAcAAAAEEP3yI3h4d0UCHgAClgICAgMCBAIFAgYCBwIIAgkCmQILApcCDQIIAggCCAIIAggCCAIIAggCCAIIAggCCAIIAggCCAIIAggCLwIDAp9zcQB+AAAAAAACc3EAfgAE///////////////+/////v////91cQB+AAcAAAADCZ5/eHh3RQIeAAKWAgICagIEAgUCBgIHAggCCQIfAgsClwINAggCCAIIAggCCAIIAggCCAIIAggCCAIIAggCCAIIAggCCAIvAgMCoHNxAH4AAAAAAAJzcQB+AAT///////////////7////+AAAAAXVxAH4ABwAAAAQK/GdUeHh3RQIeAAKWAgICNAIEAgUCBgIHAggCCQIfAgsClwINAggCCAIIAggCCAIIAggCCAIIAggCCAIIAggCCAIIAggCCAIvAgMCoXNxAH4AAAAAAAJzcQB+AAT///////////////7////+AAAAAXVxAH4ABwAAAAMJSVB4eHdFAh4AApYCAgJRAgQCBQIGAgcCCAIJAgoCCwKXAg0CCAIIAggCCAIIAggCCAIIAggCCAIIAggCCAIIAggCCAIIAi8CAwKic3EAfgAAAAAAAnNxAH4ABP///////////////v////7/////dXEAfgAHAAAABD0VO3Z4eHeKAh4AApYCAgIsAgQCBQIGAgcCCAIJApkCCwKXAg0CCAIIAggCCAIIAggCCAIIAggCCAIIAggCCAIIAggCCAIIAi8CAwIoAh4AApYCAgJdAgQCBQIGAgcCCAIJAh8CCwKXAg0CCAIIAggCCAIIAggCCAIIAggCCAIIAggCCAIIAggCCAIIAi8CAwKjc3EAfgAAAAAAAnNxAH4ABP///////////////v////7/////dXEAfgAHAAAABA5TyYx4eHdFAh4AApYCAgJHAgQCBQIGAgcCCAIJApkCCwKXAg0CCAIIAggCCAIIAggCCAIIAggCCAIIAggCCAIIAggCCAIIAi8CAwKkc3EAfgAAAAAAAnNxAH4ABP///////////////v////7/////dXEAfgAHAAAAAxIVy3h4d0UCHgAClgICAmECBAIFAgYCBwIIAgkCCgILApcCDQIIAggCCAIIAggCCAIIAggCCAIIAggCCAIIAggCCAIIAggCLwIDAqVzcQB+AAAAAAACc3EAfgAE///////////////+/////v////91cQB+AAcAAAAEXOXAsHh4d4oCHgAClgICAjQCBAIFAgYCBwIIAgkCmQILApcCDQIIAggCCAIIAggCCAIIAggCCAIIAggCCAIIAggCCAIIAggCLwIDAigCHgAClgICAmoCBAIFAgYCBwIIAgkCCgILApcCDQIIAggCCAIIAggCCAIIAggCCAIIAggCCAIIAggCCAIIAggCLwIDAqZzcQB+AAAAAAACc3EAfgAE///////////////+/////v////91cQB+AAcAAAAEiGxyjnh4d0UCHgAClgICAjICBAIFAgYCBwIIAgkCmQILApcCDQIIAggCCAIIAggCCAIIAggCCAIIAggCCAIIAggCCAIIAggCLwIDAqdzcQB+AAAAAAACc3EAfgAE///////////////+/////v////91cQB+AAcAAAADC4KteHh3RQIeAAKWAgICZQIEAgUCBgIHAggCCQIKAgsClwINAggCCAIIAggCCAIIAggCCAIIAggCCAIIAggCCAIIAggCCAIvAgMCqHNxAH4AAAAAAAJzcQB+AAT///////////////7////+/////3VxAH4ABwAAAAQ9+1bieHh3RQIeAAKWAgICIQIEAgUCBgIHAggCCQIfAgsClwINAggCCAIIAggCCAIIAggCCAIIAggCCAIIAggCCAIIAggCCAIvAgMCqXNxAH4AAAAAAAJzcQB+AAT///////////////7////+AAAAAXVxAH4ABwAAAAQEqedkeHh3RQIeAAKWAgICRQIEAgUCBgIHAggCCQIfAgsClwINAggCCAIIAggCCAIIAggCCAIIAggCCAIIAggCCAIIAggCCAIvAgMCqnNxAH4AAAAAAAJzcQB+AAT///////////////7////+/////3VxAH4ABwAAAAQGIRiFeHh3igIeAAKWAgICPAIEAgUCBgIHAggCCQKZAgsClwINAggCCAIIAggCCAIIAggCCAIIAggCCAIIAggCCAIIAggCCAIvAgMCKAIeAAKWAgICawIEAgUCBgIHAggCCQIKAgsClwINAggCCAIIAggCCAIIAggCCAIIAggCCAIIAggCCAIIAggCCAIvAgMCq3NxAH4AAAAAAAJzcQB+AAT///////////////7////+/////3VxAH4ABwAAAARe1GL4eHh3RQIeAAKWAgICGwIEAgUCBgIHAggCCQIKAgsClwINAggCCAIIAggCCAIIAggCCAIIAggCCAIIAggCCAIIAggCCAIvAgMCrHNxAH4AAAAAAAJzcQB+AAT///////////////7////+/////3VxAH4ABwAAAARUiEubeHh3RQIeAAKWAgICLgIEAgUCBgIHAggCCQKZAgsClwINAggCCAIIAggCCAIIAggCCAIIAggCCAIIAggCCAIIAggCCAIvAgMCrXNxAH4AAAAAAAJzcQB+AAT///////////////7////+/////3VxAH4ABwAAAAMFP694eHdFAh4AApYCAgIwAgQCBQIGAgcCCAIJApkCCwKXAg0CCAIIAggCCAIIAggCCAIIAggCCAIIAggCCAIIAggCCAIIAi8CAwKuc3EAfgAAAAAAAnNxAH4ABP///////////////v////7/////dXEAfgAHAAAAAwzG/nh4d0UCHgAClgICAiUCBAIFAgYCBwIIAgkCCgILApcCDQIIAggCCAIIAggCCAIIAggCCAIIAggCCAIIAggCCAIIAggCLwIDAq9zcQB+AAAAAAACc3EAfgAE///////////////+/////v////91cQB+AAcAAAAEKKPaWXh4d4oCHgAClgICAmECBAIFAgYCBwIIAgkCmQILApcCDQIIAggCCAIIAggCCAIIAggCCAIIAggCCAIIAggCCAIIAggCLwIDAigCHgAClgICAh4CBAIFAgYCBwIIAgkCHwILApcCDQIIAggCCAIIAggCCAIIAggCCAIIAggCCAIIAggCCAIIAggCLwIDArBzcQB+AAAAAAACc3EAfgAE///////////////+/////v////91cQB+AAcAAAAEAhunbnh4d0UCHgAClgICAgMCBAIFAgYCBwIIAgkCHwILApcCDQIIAggCCAIIAggCCAIIAggCCAIIAggCCAIIAggCCAIIAggCLwIDArFzcQB+AAAAAAACc3EAfgAE///////////////+/////v////91cQB+AAcAAAAEAzaSmXh4d0UCHgAClgICAiMCBAIFAgYCBwIIAgkCCgILApcCDQIIAggCCAIIAggCCAIIAggCCAIIAggCCAIIAggCCAIIAggCLwIDArJzcQB+AAAAAAACc3EAfgAE///////////////+/////v////91cQB+AAcAAAAEWAsHLHh4d4oCHgAClgICAmoCBAIFAgYCBwIIAgkCmQILApcCDQIIAggCCAIIAggCCAIIAggCCAIIAggCCAIIAggCCAIIAggCLwIDAigCHgAClgICAiECBAIFAgYCBwIIAgkCCgILApcCDQIIAggCCAIIAggCCAIIAggCCAIIAggCCAIIAggCCAIIAggCLwIDArNzcQB+AAAAAAACc3EAfgAE///////////////+/////v////91cQB+AAcAAAAEcdGYlHh4d0UCHgAClgICAkMCBAIFAgYCBwIIAgkCmQILApcCDQIIAggCCAIIAggCCAIIAggCCAIIAggCCAIIAggCCAIIAggCLwIDArRzcQB+AAAAAAACc3EAfgAE///////////////+/////v////91cQB+AAcAAAADBKuXeHh3RQIeAAKWAgICZQIEAgUCBgIHAggCCQKZAgsClwINAggCCAIIAggCCAIIAggCCAIIAggCCAIIAggCCAIIAggCCAIvAgMCtXNxAH4AAAAAAAJzcQB+AAT///////////////7////+/////3VxAH4ABwAAAAMOg914eHdFAh4AApYCAgJbAgQCBQIGAgcCCAIJAgoCCwKXAg0CCAIIAggCCAIIAggCCAIIAggCCAIIAggCCAIIAggCCAIIAi8CAwK2c3EAfgAAAAAAAnNxAH4ABP///////////////v////7/////dXEAfgAHAAAABF1XUMl4eHdFAh4AApYCAgJrAgQCBQIGAgcCCAIJAh8CCwKXAg0CCAIIAggCCAIIAggCCAIIAggCCAIIAggCCAIIAggCCAIIAi8CAwK3c3EAfgAAAAAAAnNxAH4ABP///////////////v////7/////dXEAfgAHAAAABAIK9vR4eHdFAh4AApYCAgInAgQCBQIGAgcCCAIJAgoCCwKXAg0CCAIIAggCCAIIAggCCAIIAggCCAIIAggCCAIIAggCCAIIAi8CAwK4c3EAfgAAAAAAAnNxAH4ABP///////////////v////7/////dXEAfgAHAAAABEI0vHx4eHdFAh4AApYCAgJFAgQCBQIGAgcCCAIJAgoCCwKXAg0CCAIIAggCCAIIAggCCAIIAggCCAIIAggCCAIIAggCCAIIAi8CAwK5c3EAfgAAAAAAAnNxAH4ABP///////////////v////7/////dXEAfgAHAAAABFn95fJ4eHdFAh4AApYCAgJrAgQCBQIGAgcCCAIJApkCCwKXAg0CCAIIAggCCAIIAggCCAIIAggCCAIIAggCCAIIAggCCAIIAi8CAwK6c3EAfgAAAAAAAnNxAH4ABP///////////////v////7/////dXEAfgAHAAAAAwQ0OHh4d0UCHgAClgICAkkCBAIFAgYCBwIIAgkCmQILApcCDQIIAggCCAIIAggCCAIIAggCCAIIAggCCAIIAggCCAIIAggCLwIDArtzcQB+AAAAAAACc3EAfgAE///////////////+/////v////91cQB+AAcAAAADBPtoeHh3igIeAAKWAgICLAIEAgUCBgIHAggCCQIfAgsClwINAggCCAIIAggCCAIIAggCCAIIAggCCAIIAggCCAIIAggCCAIvAgMCoAIeAAKWAgICIwIEAgUCBgIHAggCCQIfAgsClwINAggCCAIIAggCCAIIAggCCAIIAggCCAIIAggCCAIIAggCCAIvAgMCvHNxAH4AAAAAAAJzcQB+AAT///////////////7////+/////3VxAH4ABwAAAAQD3U0geHh3RQIeAAKWAgICNgIEAgUCBgIHAggCCQIKAgsClwINAggCCAIIAggCCAIIAggCCAIIAggCCAIIAggCCAIIAggCCAIvAgMCvXNxAH4AAAAAAAJzcQB+AAT///////////////7////+/////3VxAH4ABwAAAAQw0KqzeHh3RQIeAAKWAgICJwIEAgUCBgIHAggCCQIfAgsClwINAggCCAIIAggCCAIIAggCCAIIAggCCAIIAggCCAIIAggCCAIvAgMCvnNxAH4AAAAAAAJzcQB+AAT///////////////7////+/////3VxAH4ABwAAAAQ0Sb4jeHh3RQIeAAKWAgICUQIEAgUCBgIHAggCCQIfAgsClwINAggCCAIIAggCCAIIAggCCAIIAggCCAIIAggCCAIIAggCCAIvAgMCv3NxAH4AAAAAAAJzcQB+AAT///////////////7////+/////3VxAH4ABwAAAAQo6Ya2eHh3RQIeAAKWAgICAwIEAgUCBgIHAggCCQIKAgsClwINAggCCAIIAggCCAIIAggCCAIIAggCCAIIAggCCAIIAggCCAIvAgMCwHNxAH4AAAAAAAJzcQB+AAT///////////////7////+/////3VxAH4ABwAAAARaL7WteHh3RQIeAAKWAgICRwIEAgUCBgIHAggCCQIKAgsClwINAggCCAIIAggCCAIIAggCCAIIAggCCAIIAggCCAIIAggCCAIvAgMCwXNxAH4AAAAAAAJzcQB+AAT///////////////7////+/////3VxAH4ABwAAAAQ3OPVPeHh3RQIeAAKWAgICQQIEAgUCBgIHAggCCQIKAgsClwINAggCCAIIAggCCAIIAggCCAIIAggCCAIIAggCCAIIAggCCAIvAgMCwnNxAH4AAAAAAAJzcQB+AAT///////////////7////+/////3VxAH4ABwAAAARaqchfeHh3RQIeAAKWAgICHgIEAgUCBgIHAggCCQKZAgsClwINAggCCAIIAggCCAIIAggCCAIIAggCCAIIAggCCAIIAggCCAIvAgMCw3NxAH4AAAAAAAJzcQB+AAT///////////////7////+/////3VxAH4ABwAAAAMHjdR4eHeKAh4AApYCAgIrAgQCBQIGAgcCCAIJApkCCwKXAg0CCAIIAggCCAIIAggCCAIIAggCCAIIAggCCAIIAggCCAIIAi8CAwIoAh4AApYCAgJbAgQCBQIGAgcCCAIJAh8CCwKXAg0CCAIIAggCCAIIAggCCAIIAggCCAIIAggCCAIIAggCCAIIAi8CAwLEc3EAfgAAAAAAAnNxAH4ABP///////////////v////7/////dXEAfgAHAAAABAK9P6R4eHfPAh4AApYCAgIsAgQCBQIGAgcCCAIJAgoCCwKXAg0CCAIIAggCCAIIAggCCAIIAggCCAIIAggCCAIIAggCCAIIAi8CAwKmAh4AApYCAgI4AgQCBQIGAgcCCAIJApkCCwKXAg0CCAIIAggCCAIIAggCCAIIAggCCAIIAggCCAIIAggCCAIIAi8CAwIoAh4AApYCAgJJAgQCBQIGAgcCCAIJAgoCCwKXAg0CCAIIAggCCAIIAggCCAIIAggCCAIIAggCCAIIAggCCAIIAi8CAwLFc3EAfgAAAAAAAnNxAH4ABP///////////////v////7/////dXEAfgAHAAAABEmLU8l4eHdFAh4AApYCAgJLAgQCBQIGAgcCCAIJAh8CCwKXAg0CCAIIAggCCAIIAggCCAIIAggCCAIIAggCCAIIAggCCAIIAi8CAwLGc3EAfgAAAAAAAnNxAH4ABP///////////////v////7/////dXEAfgAHAAAABAnwakZ4eHdFAh4AApYCAgJbAgQCBQIGAgcCCAIJApkCCwKXAg0CCAIIAggCCAIIAggCCAIIAggCCAIIAggCCAIIAggCCAIIAi8CAwLHc3EAfgAAAAAAAnNxAH4ABP///////////////v////7/////dXEAfgAHAAAAAwi2nHh4d0UCHgAClgICAi4CBAIFAgYCBwIIAgkCHwILApcCDQIIAggCCAIIAggCCAIIAggCCAIIAggCCAIIAggCCAIIAggCLwIDAshzcQB+AAAAAAACc3EAfgAE///////////////+/////v////91cQB+AAcAAAADvFyyeHh3RQIeAAKWAgICOgIEAgUCBgIHAggCCQKZAgsClwINAggCCAIIAggCCAIIAggCCAIIAggCCAIIAggCCAIIAggCCAIvAgMCyXNxAH4AAAAAAAJzcQB+AAT///////////////7////+/////3VxAH4ABwAAAAMEJQl4eHdFAh4AApYCAgJBAgQCBQIGAgcCCAIJAh8CCwKXAg0CCAIIAggCCAIIAggCCAIIAggCCAIIAggCCAIIAggCCAIIAi8CAwLKc3EAfgAAAAAAAnNxAH4ABP///////////////v////7/////dXEAfgAHAAAABAcZP5l4eHdFAh4AApYCAgI8AgQCBQIGAgcCCAIJAgoCCwKXAg0CCAIIAggCCAIIAggCCAIIAggCCAIIAggCCAIIAggCCAIIAi8CAwLLc3EAfgAAAAAAAnNxAH4ABP///////////////v////7/////dXEAfgAHAAAABE8qcfl4eHdFAh4AApYCAgJXAgQCBQIGAgcCCAIJAh8CCwKXAg0CCAIIAggCCAIIAggCCAIIAggCCAIIAggCCAIIAggCCAIIAi8CAwLMc3EAfgAAAAAAAnNxAH4ABP///////////////v////4AAAABdXEAfgAHAAAABAkNFf14eHdFAh4AApYCAgJHAgQCBQIGAgcCCAIJAh8CCwKXAg0CCAIIAggCCAIIAggCCAIIAggCCAIIAggCCAIIAggCCAIIAi8CAwLNc3EAfgAAAAAAAnNxAH4ABP///////////////v////7/////dXEAfgAHAAAABAgl/7F4eHdFAh4AApYCAgJJAgQCBQIGAgcCCAIJAh8CCwKXAg0CCAIIAggCCAIIAggCCAIIAggCCAIIAggCCAIIAggCCAIIAi8CAwLOc3EAfgAAAAAAAnNxAH4ABP///////////////v////7/////dXEAfgAHAAAABBtHMdN4eHdFAh4AApYCAgIrAgQCBQIGAgcCCAIJAgoCCwKXAg0CCAIIAggCCAIIAggCCAIIAggCCAIIAggCCAIIAggCCAIIAi8CAwLPc3EAfgAAAAAAAnNxAH4ABP///////////////v////7/////dXEAfgAHAAAABF0aA9N4eHdFAh4AApYCAgIeAgQCBQIGAgcCCAIJAgoCCwKXAg0CCAIIAggCCAIIAggCCAIIAggCCAIIAggCCAIIAggCCAIIAi8CAwLQc3EAfgAAAAAAAnNxAH4ABP///////////////v////7/////dXEAfgAHAAAABGExCBR4eHdFAh4AApYCAgJLAgQCBQIGAgcCCAIJAgoCCwKXAg0CCAIIAggCCAIIAggCCAIIAggCCAIIAggCCAIIAggCCAIIAi8CAwLRc3EAfgAAAAAAAnNxAH4ABP///////////////v////7/////dXEAfgAHAAAABFpw2Xd4eHdFAh4AApYCAgIlAgQCBQIGAgcCCAIJAh8CCwKXAg0CCAIIAggCCAIIAggCCAIIAggCCAIIAggCCAIIAggCCAIIAi8CAwLSc3EAfgAAAAAAAnNxAH4ABP///////////////v////7/////dXEAfgAHAAAABDuLiL14eHdFAh4AApYCAgI6AgQCBQIGAgcCCAIJAh8CCwKXAg0CCAIIAggCCAIIAggCCAIIAggCCAIIAggCCAIIAggCCAIIAi8CAwLTc3EAfgAAAAAAAnNxAH4ABP///////////////v////7/////dXEAfgAHAAAAAzKU1nh4d0UCHgAClgICAlECBAIFAgYCBwIIAgkCmQILApcCDQIIAggCCAIIAggCCAIIAggCCAIIAggCCAIIAggCCAIIAggCLwIDAtRzcQB+AAAAAAACc3EAfgAE///////////////+/////v////91cQB+AAcAAAADBWT/eHh3RQIeAAKWAgICIwIEAgUCBgIHAggCCQKZAgsClwINAggCCAIIAggCCAIIAggCCAIIAggCCAIIAggCCAIIAggCCAIvAgMC1XNxAH4AAAAAAAJzcQB+AAT///////////////7////+/////3VxAH4ABwAAAAMEQ3p4eHeKAh4AApYCAgInAgQCBQIGAgcCCAIJApkCCwKXAg0CCAIIAggCCAIIAggCCAIIAggCCAIIAggCCAIIAggCCAIIAi8CAwIoAh4AApYCAgIrAgQCBQIGAgcCCAIJAh8CCwKXAg0CCAIIAggCCAIIAggCCAIIAggCCAIIAggCCAIIAggCCAIIAi8CAwLWc3EAfgAAAAAAAnNxAH4ABP///////////////v////7/////dXEAfgAHAAAABAHuetZ4eHdFAh4AApYCAgJXAgQCBQIGAgcCCAIJAgoCCwKXAg0CCAIIAggCCAIIAggCCAIIAggCCAIIAggCCAIIAggCCAIIAi8CAwLXc3EAfgAAAAAAAnNxAH4ABP///////////////v////7/////dXEAfgAHAAAABILciPF4eHdFAh4AApYCAgIwAgQCBQIGAgcCCAIJAh8CCwKXAg0CCAIIAggCCAIIAggCCAIIAggCCAIIAggCCAIIAggCCAIIAi8CAwLYc3EAfgAAAAAAAnNxAH4ABP///////////////v////7/////dXEAfgAHAAAABATkMA94eHdFAh4AApYCAgIpAgQCBQIGAgcCCAIJAh8CCwKXAg0CCAIIAggCCAIIAggCCAIIAggCCAIIAggCCAIIAggCCAIIAi8CAwLZc3EAfgAAAAAAAnNxAH4ABP///////////////v////4AAAABdXEAfgAHAAAABAKOsKB4eHdFAh4AApYCAgJnAgQCBQIGAgcCCAIJAgoCCwKXAg0CCAIIAggCCAIIAggCCAIIAggCCAIIAggCCAIIAggCCAIIAi8CAwLac3EAfgAAAAAAAnNxAH4ABP///////////////v////7/////dXEAfgAHAAAABG9TFvJ4eHdFAh4AApYCAgJFAgQCBQIGAgcCCAIJApkCCwKXAg0CCAIIAggCCAIIAggCCAIIAggCCAIIAggCCAIIAggCCAIIAi8CAwLbc3EAfgAAAAAAAnNxAH4ABP///////////////v////7/////dXEAfgAHAAAAAwRWK3h4d0UCHgAClgICAjgCBAIFAgYCBwIIAgkCHwILApcCDQIIAggCCAIIAggCCAIIAggCCAIIAggCCAIIAggCCAIIAggCLwIDAtxzcQB+AAAAAAACc3EAfgAE///////////////+/////v////91cQB+AAcAAAAEJnGjV3h4d4oCHgAClgICAjYCBAIFAgYCBwIIAgkCmQILApcCDQIIAggCCAIIAggCCAIIAggCCAIIAggCCAIIAggCCAIIAggCLwIDAigCHgAClgICAj4CBAIFAgYCBwIIAgkCmQILApcCDQIIAggCCAIIAggCCAIIAggCCAIIAggCCAIIAggCCAIIAggCLwIDAt1zcQB+AAAAAAACc3EAfgAE///////////////+/////v////91cQB+AAcAAAADBmgreHh3RQIeAAKWAgICOgIEAgUCBgIHAggCCQIKAgsClwINAggCCAIIAggCCAIIAggCCAIIAggCCAIIAggCCAIIAggCCAIvAgMC3nNxAH4AAAAAAAJzcQB+AAT///////////////7////+/////3VxAH4ABwAAAARlMUGreHh3RQIeAAKWAgICMgIEAgUCBgIHAggCCQIKAgsClwINAggCCAIIAggCCAIIAggCCAIIAggCCAIIAggCCAIIAggCCAIvAgMC33NxAH4AAAAAAAJzcQB+AAT///////////////7////+/////3VxAH4ABwAAAARMKwuAeHh3RQIeAAKWAgICSwIEAgUCBgIHAggCCQKZAgsClwINAggCCAIIAggCCAIIAggCCAIIAggCCAIIAggCCAIIAggCCAIvAgMC4HNxAH4AAAAAAAJzcQB+AAT///////////////7////+/////3VxAH4ABwAAAAMEdI14eHdFAh4AApYCAgJXAgQCBQIGAgcCCAIJApkCCwKXAg0CCAIIAggCCAIIAggCCAIIAggCCAIIAggCCAIIAggCCAIIAi8CAwLhc3EAfgAAAAAAAnNxAH4ABP///////////////v////7/////dXEAfgAHAAAAAwPcq3h4d4oCHgAClgICAkECBAIFAgYCBwIIAgkCmQILApcCDQIIAggCCAIIAggCCAIIAggCCAIIAggCCAIIAggCCAIIAggCLwIDAigCHgAClgICAj4CBAIFAgYCBwIIAgkCCgILApcCDQIIAggCCAIIAggCCAIIAggCCAIIAggCCAIIAggCCAIIAggCLwIDAuJzcQB+AAAAAAACc3EAfgAE///////////////+/////v////91cQB+AAcAAAAEElQVqnh4d0UCHgAClgICAikCBAIFAgYCBwIIAgkCCgILApcCDQIIAggCCAIIAggCCAIIAggCCAIIAggCCAIIAggCCAIIAggCLwIDAuNzcQB+AAAAAAACc3EAfgAE///////////////+/////v////91cQB+AAcAAAAEcQZZSXh4d0UCHgAClgICAhsCBAIFAgYCBwIIAgkCHwILApcCDQIIAggCCAIIAggCCAIIAggCCAIIAggCCAIIAggCCAIIAggCLwIDAuRzcQB+AAAAAAACc3EAfgAE///////////////+/////v////91cQB+AAcAAAAEA6uLrXh4d4oCHgAClgICAmcCBAIFAgYCBwIIAgkCmQILApcCDQIIAggCCAIIAggCCAIIAggCCAIIAggCCAIIAggCCAIIAggCLwIDAigCHgAClgICAjACBAIFAgYCBwIIAgkCCgILApcCDQIIAggCCAIIAggCCAIIAggCCAIIAggCCAIIAggCCAIIAggCLwIDAuVzcQB+AAAAAAACc3EAfgAE///////////////+/////v////91cQB+AAcAAAAESHB4r3h4d0UCHgAClgICAjgCBAIFAgYCBwIIAgkCCgILApcCDQIIAggCCAIIAggCCAIIAggCCAIIAggCCAIIAggCCAIIAggCLwIDAuZzcQB+AAAAAAACc3EAfgAE///////////////+/////v////91cQB+AAcAAAAETu7o2nh4d0UCHgAClgICAhsCBAIFAgYCBwIIAgkCmQILApcCDQIIAggCCAIIAggCCAIIAggCCAIIAggCCAIIAggCCAIIAggCLwIDAudzcQB+AAAAAAACc3EAfgAE///////////////+/////v////91cQB+AAcAAAADCoBUeHh3RQIeAAKWAgICLgIEAgUCBgIHAggCCQIKAgsClwINAggCCAIIAggCCAIIAggCCAIIAggCCAIIAggCCAIIAggCCAIvAgMC6HNxAH4AAAAAAAJzcQB+AAT///////////////7////+/////3VxAH4ABwAAAARijcsWeHh3RQIeAAKWAgICZwIEAgUCBgIHAggCCQIfAgsClwINAggCCAIIAggCCAIIAggCCAIIAggCCAIIAggCCAIIAggCCAIvAgMC6XNxAH4AAAAAAAJzcQB+AAT///////////////7////+AAAAAXVxAH4ABwAAAAQCCDy9eHh3igIeAAKWAgICXQIEAgUCBgIHAggCCQKZAgsClwINAggCCAIIAggCCAIIAggCCAIIAggCCAIIAggCCAIIAggCCAIvAgMCKAIeAAKWAgICMgIEAgUCBgIHAggCCQIfAgsClwINAggCCAIIAggCCAIIAggCCAIIAggCCAIIAggCCAIIAggCCAIvAgMC6nNxAH4AAAAAAAJzcQB+AAT///////////////7////+/////3VxAH4ABwAAAAQENonjeHh3RQIeAAKWAgICPgIEAgUCBgIHAggCCQIfAgsClwINAggCCAIIAggCCAIIAggCCAIIAggCCAIIAggCCAIIAggCCAIvAgMC63NxAH4AAAAAAAJzcQB+AAT///////////////7////+/////3VxAH4ABwAAAARMQw4VeHh3RQIeAAKWAgICNAIEAgUCBgIHAggCCQIKAgsClwINAggCCAIIAggCCAIIAggCCAIIAggCCAIIAggCCAIIAggCCAIvAgMC7HNxAH4AAAAAAAJzcQB+AAT///////////////7////+/////3VxAH4ABwAAAARjz5oJeHh3RQIeAAKWAgICPAIEAgUCBgIHAggCCQIfAgsClwINAggCCAIIAggCCAIIAggCCAIIAggCCAIIAggCCAIIAggCCAIvAgMC7XNxAH4AAAAAAAJzcQB+AAT///////////////7////+/////3VxAH4ABwAAAAQZYudleHh3RQIeAAKWAgICJQIEAgUCBgIHAggCCQKZAgsClwINAggCCAIIAggCCAIIAggCCAIIAggCCAIIAggCCAIIAggCCAIvAgMC7nNxAH4AAAAAAAJzcQB+AAT///////////////7////+/////3VxAH4ABwAAAAMG3JN4eHdFAh4AApYCAgJDAgQCBQIGAgcCCAIJAgoCCwKXAg0CCAIIAggCCAIIAggCCAIIAggCCAIIAggCCAIIAggCCAIIAi8CAwLvc3EAfgAAAAAAAnNxAH4ABP///////////////v////7/////dXEAfgAHAAAABFNjmyZ4eA==]]></xxe4awand>
</file>

<file path=customXml/item18.xml><?xml version="1.0" encoding="utf-8"?>
<xxe4awand xmlns="http://www.excel4apps.com"><![CDATA[rO0ABXfZCMCtii8CLwL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egAABAACHgACAQICAmoCBAIFAgYCBwIIAgkCCgILAgwCDQIIAggCCAIIAggCCAIIAggCCAIIAggCCAIIAggCCAIIAggCEwIDAoMCHgACAQICAmcCBAIFAgYCBwIIAgkCHAILAgwCDQIIAggCCAIIAggCCAIIAggCCAIIAggCCAIIAggCCAIIAggCEwIDAigCHgAClQAJNTMyNzg0MTY4AgICKwIEAgUCBgIHAggCCQIfAgsCDAINAggCCAIIAggCCAIIAggCCAIIAggCCAIIAggCCAIIAggCCAIuAgMCggIeAAKVAgICMAIEAgUCBgIHAggCCQIfAgsCDAINAggCCAIIAggCCAIIAggCCAIIAggCCAIIAggCCAIIAggCCAIuAgMCgQIeAAKVAgICVwIEAgUCBgIHAggCCQIKAgsCDAINAggCCAIIAggCCAIIAggCCAIIAggCCAIIAggCCAIIAggCCAIuAgMCaQIeAAKVAgICQQIEAgUCBgIHAggCCQIKAgsCDAINAggCCAIIAggCCAIIAggCCAIIAggCCAIIAggCCAIIAggCCAIuAgMCQgIeAAKVAgICLgIEAgUCBgIHAggCCQIfAgsCDAINAggCCAIIAggCCAIIAggCCAIIAggCCAIIAggCCAIIAggCCAIuAgMChAIeAAKVAgICJwIEAgUCBgIHAggCCQIfAgsCDAINAggCCAIIAggCCAIIAggCCAIIAggCCAIIAggCCAIIAggCCAIuAgMCfAIeAAKVAgICJQIEAgUCBgIHAggCCQIfAgsCDAINAggCCAIIAggCCAIIAggCCAIIAggCCAIIAggCCAIIAggCCAIuAgMCXwIeAAKVAgICVwIEAgUCBgIHAggCCQIfAgsCDAINAggCCAIIAggCCAIIAggCCAIIAggCCAIIAggCCAIIAggCCAIuAgMCWAIeAAKVAgICIwIEAgUCBgIHAggCCQIfAgsCDAINAggCCAIIAggCCAIIAggCCAIIAggCCAIIAggCCAIIAggCCAIuAgMCTwIeAAKVAgICSwIEAgUCBgIHAggCCQIKAgsCDAINAggCCAIIAggCCAIIAggCCAIIAggCCAIIAggCCAIIAggCCAIuAgMCTgIeAAKVAgICYQIEAgUCBgIHAggCCQIcAgsCDAINAggCCAIIAggCCAIIAggCCAIIAggCCAIIAggCCAIIAggCCAIuAgMCKAIeAAKVAgICMAIEAgUCBgIHAggCCQIKAgsCDAINAggCCAIIAggCCAIIAggCCAIIAggCCAIIAggCCAIIAggCCAIuAgMCdgIeAAKVAgICUQIEAgUCBgIHAggCCQIcAgsCDAINAggCCAIIAggCCAIIAggCCAIIegAABAACCAIIAggCCAIIAggCCAIIAi4CAwJSAh4AApUCAgJFAgQCBQIGAgcCCAIJAhwCCwIMAg0CCAIIAggCCAIIAggCCAIIAggCCAIIAggCCAIIAggCCAIIAi4CAwJ0Ah4AApUCAgJHAgQCBQIGAgcCCAIJAh8CCwIMAg0CCAIIAggCCAIIAggCCAIIAggCCAIIAggCCAIIAggCCAIIAi4CAwJUAh4AApUCAgIrAgQCBQIGAgcCCAIJAgoCCwIMAg0CCAIIAggCCAIIAggCCAIIAggCCAIIAggCCAIIAggCCAIIAi4CAwKKAh4AApUCAgJBAgQCBQIGAgcCCAIJAh8CCwIMAg0CCAIIAggCCAIIAggCCAIIAggCCAIIAggCCAIIAggCCAIIAi4CAwJZAh4AApUCAgIeAgQCBQIGAgcCCAIJAgoCCwIMAg0CCAIIAggCCAIIAggCCAIIAggCCAIIAggCCAIIAggCCAIIAi4CAwKNAh4AApUCAgIlAgQCBQIGAgcCCAIJAgoCCwIMAg0CCAIIAggCCAIIAggCCAIIAggCCAIIAggCCAIIAggCCAIIAi4CAwJvAh4AApUCAgJlAgQCBQIGAgcCCAIJAhwCCwIMAg0CCAIIAggCCAIIAggCCAIIAggCCAIIAggCCAIIAggCCAIIAi4CAwJmAh4AApUCAgJJAgQCBQIGAgcCCAIJAgoCCwIMAg0CCAIIAggCCAIIAggCCAIIAggCCAIIAggCCAIIAggCCAIIAi4CAwKIAh4AApUCAgJnAgQCBQIGAgcCCAIJAgoCCwIMAg0CCAIIAggCCAIIAggCCAIIAggCCAIIAggCCAIIAggCCAIIAi4CAwJoAh4AApUCAgJdAgQCBQIGAgcCCAIJAhwCCwIMAg0CCAIIAggCCAIIAggCCAIIAggCCAIIAggCCAIIAggCCAIIAi4CAwIoAh4AApUCAgJqAgQCBQIGAgcCCAIJAhwCCwIMAg0CCAIIAggCCAIIAggCCAIIAggCCAIIAggCCAIIAggCCAIIAi4CAwIoAh4AApUCAgI6AgQCBQIGAgcCCAIJAh8CCwIMAg0CCAIIAggCCAIIAggCCAIIAggCCAIIAggCCAIIAggCCAIIAi4CAwKRAh4AApUCAgIbAgQCBQIGAgcCCAIJAgoCCwIMAg0CCAIIAggCCAIIAggCCAIIAggCCAIIAggCCAIIAggCCAIIAi4CAwJkAh4AApUCAgI4AgQCBQIGAgcCCAIJAh8CCwIMAg0CCAIIAggCCAIIAggCCAIIAggCCAIIAggCCAIIAggCCAIIAi4CAwJtAh4AApUCAgIhAgQCBQIGAgcCCAIJAgoCCwIMAg0CCAIIAggCegAABAAIAggCCAIIAggCCAIIAggCCAIIAggCCAIIAggCLgIDAiICHgAClQICAh4CBAIFAgYCBwIIAgkCHwILAgwCDQIIAggCCAIIAggCCAIIAggCCAIIAggCCAIIAggCCAIIAggCLgIDAiACHgAClQICAmcCBAIFAgYCBwIIAgkCHAILAgwCDQIIAggCCAIIAggCCAIIAggCCAIIAggCCAIIAggCCAIIAggCLgIDAigCHgAClQICAlECBAIFAgYCBwIIAgkCHwILAgwCDQIIAggCCAIIAggCCAIIAggCCAIIAggCCAIIAggCCAIIAggCLgIDAn4CHgAClQICAjoCBAIFAgYCBwIIAgkCHAILAgwCDQIIAggCCAIIAggCCAIIAggCCAIIAggCCAIIAggCCAIIAggCLgIDAjsCHgAClQICAgMCBAIFAgYCBwIIAgkCCgILAgwCDQIIAggCCAIIAggCCAIIAggCCAIIAggCCAIIAggCCAIIAggCLgIDAg4CHgAClQICAlsCBAIFAgYCBwIIAgkCCgILAgwCDQIIAggCCAIIAggCCAIIAggCCAIIAggCCAIIAggCCAIIAggCLgIDAnACHgAClQICAj4CBAIFAgYCBwIIAgkCHAILAgwCDQIIAggCCAIIAggCCAIIAggCCAIIAggCCAIIAggCCAIIAggCLgIDAnECHgAClQICAkkCBAIFAgYCBwIIAgkCHwILAgwCDQIIAggCCAIIAggCCAIIAggCCAIIAggCCAIIAggCCAIIAggCLgIDAo8CHgAClQICAikCBAIFAgYCBwIIAgkCHAILAgwCDQIIAggCCAIIAggCCAIIAggCCAIIAggCCAIIAggCCAIIAggCLgIDAnMCHgAClQICAiwCBAIFAgYCBwIIAgkCHwILAgwCDQIIAggCCAIIAggCCAIIAggCCAIIAggCCAIIAggCCAIIAggCLgIDAi0CHgAClQICAjACBAIFAgYCBwIIAgkCHAILAgwCDQIIAggCCAIIAggCCAIIAggCCAIIAggCCAIIAggCCAIIAggCLgIDAjECHgAClQICAicCBAIFAgYCBwIIAgkCCgILAgwCDQIIAggCCAIIAggCCAIIAggCCAIIAggCCAIIAggCCAIIAggCLgIDAo4CHgAClQICAlECBAIFAgYCBwIIAgkCCgILAgwCDQIIAggCCAIIAggCCAIIAggCCAIIAggCCAIIAggCCAIIAggCLgIDAosCHgAClQICAmsCBAIFAgYCBwIIAgkCHwILAgwCDQIIAggCCAIIAggCCAIIAggCCAIIAggCCAIIAggCCAIIAggCLgIDAowCHgAClQICAjgCBAIFAgYCBwIIAgkCHAILegAABAACDAINAggCCAIIAggCCAIIAggCCAIIAggCCAIIAggCCAIIAggCCAIuAgMCKAIeAAKVAgICIwIEAgUCBgIHAggCCQIKAgsCDAINAggCCAIIAggCCAIIAggCCAIIAggCCAIIAggCCAIIAggCCAIuAgMCdwIeAAKVAgICagIEAgUCBgIHAggCCQIfAgsCDAINAggCCAIIAggCCAIIAggCCAIIAggCCAIIAggCCAIIAggCCAIuAgMCLQIeAAKVAgICLgIEAgUCBgIHAggCCQIcAgsCDAINAggCCAIIAggCCAIIAggCCAIIAggCCAIIAggCCAIIAggCCAIuAgMCLwIeAAKVAgICMgIEAgUCBgIHAggCCQIcAgsCDAINAggCCAIIAggCCAIIAggCCAIIAggCCAIIAggCCAIIAggCCAIuAgMCcgIeAAKVAgICZQIEAgUCBgIHAggCCQIfAgsCDAINAggCCAIIAggCCAIIAggCCAIIAggCCAIIAggCCAIIAggCCAIuAgMChgIeAAKVAgICLAIEAgUCBgIHAggCCQIKAgsCDAINAggCCAIIAggCCAIIAggCCAIIAggCCAIIAggCCAIIAggCCAIuAgMCgwIeAAKVAgICNAIEAgUCBgIHAggCCQIcAgsCDAINAggCCAIIAggCCAIIAggCCAIIAggCCAIIAggCCAIIAggCCAIuAgMCKAIeAAKVAgICWwIEAgUCBgIHAggCCQIfAgsCDAINAggCCAIIAggCCAIIAggCCAIIAggCCAIIAggCCAIIAggCCAIuAgMCfQIeAAKVAgICQwIEAgUCBgIHAggCCQIcAgsCDAINAggCCAIIAggCCAIIAggCCAIIAggCCAIIAggCCAIIAggCCAIuAgMCfwIeAAKVAgICRwIEAgUCBgIHAggCCQIKAgsCDAINAggCCAIIAggCCAIIAggCCAIIAggCCAIIAggCCAIIAggCCAIuAgMCgAIeAAKVAgICYQIEAgUCBgIHAggCCQIfAgsCDAINAggCCAIIAggCCAIIAggCCAIIAggCCAIIAggCCAIIAggCCAIuAgMCeQIeAAKVAgICRQIEAgUCBgIHAggCCQIfAgsCDAINAggCCAIIAggCCAIIAggCCAIIAggCCAIIAggCCAIIAggCCAIuAgMCRgIeAAKVAgICagIEAgUCBgIHAggCCQIKAgsCDAINAggCCAIIAggCCAIIAggCCAIIAggCCAIIAggCCAIIAggCCAIuAgMCgwIeAAKVAgICQwIEAgUCBgIHAggCCQIKAgsCDAINAggCCAIIAggCCAIIAggCCAIIAggCCAIIAggCCAIIAggCCAIuAgMCRAIeAAKVAgICQQIEAgUCegAABAAGAgcCCAIJAhwCCwIMAg0CCAIIAggCCAIIAggCCAIIAggCCAIIAggCCAIIAggCCAIIAi4CAwIoAh4AApUCAgIsAgQCBQIGAgcCCAIJAhwCCwIMAg0CCAIIAggCCAIIAggCCAIIAggCCAIIAggCCAIIAggCCAIIAi4CAwIoAh4AApUCAgJJAgQCBQIGAgcCCAIJAhwCCwIMAg0CCAIIAggCCAIIAggCCAIIAggCCAIIAggCCAIIAggCCAIIAi4CAwJKAh4AApUCAgJlAgQCBQIGAgcCCAIJAgoCCwIMAg0CCAIIAggCCAIIAggCCAIIAggCCAIIAggCCAIIAggCCAIIAi4CAwKTAh4AApUCAgI2AgQCBQIGAgcCCAIJAgoCCwIMAg0CCAIIAggCCAIIAggCCAIIAggCCAIIAggCCAIIAggCCAIIAi4CAwI3Ah4AApUCAgJLAgQCBQIGAgcCCAIJAhwCCwIMAg0CCAIIAggCCAIIAggCCAIIAggCCAIIAggCCAIIAggCCAIIAi4CAwKQAh4AApUCAgJhAgQCBQIGAgcCCAIJAgoCCwIMAg0CCAIIAggCCAIIAggCCAIIAggCCAIIAggCCAIIAggCCAIIAi4CAwKFAh4AApUCAgIyAgQCBQIGAgcCCAIJAh8CCwIMAg0CCAIIAggCCAIIAggCCAIIAggCCAIIAggCCAIIAggCCAIIAi4CAwI5Ah4AApUCAgI8AgQCBQIGAgcCCAIJAhwCCwIMAg0CCAIIAggCCAIIAggCCAIIAggCCAIIAggCCAIIAggCCAIIAi4CAwIoAh4AApUCAgJFAgQCBQIGAgcCCAIJAgoCCwIMAg0CCAIIAggCCAIIAggCCAIIAggCCAIIAggCCAIIAggCCAIIAi4CAwJWAh4AApUCAgI0AgQCBQIGAgcCCAIJAh8CCwIMAg0CCAIIAggCCAIIAggCCAIIAggCCAIIAggCCAIIAggCCAIIAi4CAwKHAh4AApUCAgJDAgQCBQIGAgcCCAIJAh8CCwIMAg0CCAIIAggCCAIIAggCCAIIAggCCAIIAggCCAIIAggCCAIIAi4CAwKJAh4AApUCAgIrAgQCBQIGAgcCCAIJAhwCCwIMAg0CCAIIAggCCAIIAggCCAIIAggCCAIIAggCCAIIAggCCAIIAi4CAwIoAh4AApUCAgIDAgQCBQIGAgcCCAIJAh8CCwIMAg0CCAIIAggCCAIIAggCCAIIAggCCAIIAggCCAIIAggCCAIIAi4CAwJgAh4AApUCAgIeAgQCBQIGAgcCCAIJAhwCCwIMAg0CCAIIAggCCAIIAggCCAIIAggCCAIIAggCCAIIAggCCAIIAi4CAwJQAh4AegAABAAClQICAl0CBAIFAgYCBwIIAgkCCgILAgwCDQIIAggCCAIIAggCCAIIAggCCAIIAggCCAIIAggCCAIIAggCLgIDAmICHgAClQICAmsCBAIFAgYCBwIIAgkCCgILAgwCDQIIAggCCAIIAggCCAIIAggCCAIIAggCCAIIAggCCAIIAggCLgIDApQCHgAClQICAjYCBAIFAgYCBwIIAgkCHwILAgwCDQIIAggCCAIIAggCCAIIAggCCAIIAggCCAIIAggCCAIIAggCLgIDAk0CHgAClQICAlcCBAIFAgYCBwIIAgkCHAILAgwCDQIIAggCCAIIAggCCAIIAggCCAIIAggCCAIIAggCCAIIAggCLgIDApICHgAClQICAiECBAIFAgYCBwIIAgkCHwILAgwCDQIIAggCCAIIAggCCAIIAggCCAIIAggCCAIIAggCCAIIAggCLgIDAmMCHgAClQICAhsCBAIFAgYCBwIIAgkCHAILAgwCDQIIAggCCAIIAggCCAIIAggCCAIIAggCCAIIAggCCAIIAggCLgIDAh0CHgAClQICAmsCBAIFAgYCBwIIAgkCHAILAgwCDQIIAggCCAIIAggCCAIIAggCCAIIAggCCAIIAggCCAIIAggCLgIDAmwCHgAClQICAjoCBAIFAgYCBwIIAgkCCgILAgwCDQIIAggCCAIIAggCCAIIAggCCAIIAggCCAIIAggCCAIIAggCLgIDAm4CHgAClQICAjwCBAIFAgYCBwIIAgkCHwILAgwCDQIIAggCCAIIAggCCAIIAggCCAIIAggCCAIIAggCCAIIAggCLgIDAj0CHgAClQICAikCBAIFAgYCBwIIAgkCHwILAgwCDQIIAggCCAIIAggCCAIIAggCCAIIAggCCAIIAggCCAIIAggCLgIDAkACHgAClQICAiUCBAIFAgYCBwIIAgkCHAILAgwCDQIIAggCCAIIAggCCAIIAggCCAIIAggCCAIIAggCCAIIAggCLgIDAiYCHgAClQICAgMCBAIFAgYCBwIIAgkCHAILAgwCDQIIAggCCAIIAggCCAIIAggCCAIIAggCCAIIAggCCAIIAggCLgIDAnsCHgAClQICAikCBAIFAgYCBwIIAgkCCgILAgwCDQIIAggCCAIIAggCCAIIAggCCAIIAggCCAIIAggCCAIIAggCLgIDAioCHgAClQICAjgCBAIFAgYCBwIIAgkCCgILAgwCDQIIAggCCAIIAggCCAIIAggCCAIIAggCCAIIAggCCAIIAggCLgIDAngCHgAClQICAiECBAIFAgYCBwIIAgkCHAILAgwCDQIIAggCCAIIAggCCAIIAggCCAIIAggCCAIIAggCCAIIegAABAACCAIuAgMCKAIeAAKVAgICJwIEAgUCBgIHAggCCQIcAgsCDAINAggCCAIIAggCCAIIAggCCAIIAggCCAIIAggCCAIIAggCCAIuAgMCKAIeAAKVAgICXQIEAgUCBgIHAggCCQIfAgsCDAINAggCCAIIAggCCAIIAggCCAIIAggCCAIIAggCCAIIAggCCAIuAgMCXgIeAAKVAgICWwIEAgUCBgIHAggCCQIcAgsCDAINAggCCAIIAggCCAIIAggCCAIIAggCCAIIAggCCAIIAggCCAIuAgMCXAIeAAKVAgICPgIEAgUCBgIHAggCCQIKAgsCDAINAggCCAIIAggCCAIIAggCCAIIAggCCAIIAggCCAIIAggCCAIuAgMCWgIeAAKVAgICPAIEAgUCBgIHAggCCQIKAgsCDAINAggCCAIIAggCCAIIAggCCAIIAggCCAIIAggCCAIIAggCCAIuAgMCUwIeAAKVAgICGwIEAgUCBgIHAggCCQIfAgsCDAINAggCCAIIAggCCAIIAggCCAIIAggCCAIIAggCCAIIAggCCAIuAgMCVQIeAAKVAgICNgIEAgUCBgIHAggCCQIcAgsCDAINAggCCAIIAggCCAIIAggCCAIIAggCCAIIAggCCAIIAggCCAIuAgMCKAIeAAKVAgICZwIEAgUCBgIHAggCCQIfAgsCDAINAggCCAIIAggCCAIIAggCCAIIAggCCAIIAggCCAIIAggCCAIuAgMCdQIeAAKVAgICMgIEAgUCBgIHAggCCQIKAgsCDAINAggCCAIIAggCCAIIAggCCAIIAggCCAIIAggCCAIIAggCCAIuAgMCMwIeAAKVAgICLgIEAgUCBgIHAggCCQIKAgsCDAINAggCCAIIAggCCAIIAggCCAIIAggCCAIIAggCCAIIAggCCAIuAgMCegIeAAKVAgICSwIEAgUCBgIHAggCCQIfAgsCDAINAggCCAIIAggCCAIIAggCCAIIAggCCAIIAggCCAIIAggCCAIuAgMCTAIeAAKVAgICIwIEAgUCBgIHAggCCQIcAgsCDAINAggCCAIIAggCCAIIAggCCAIIAggCCAIIAggCCAIIAggCCAIuAgMCJAIeAAKVAgICNAIEAgUCBgIHAggCCQIKAgsCDAINAggCCAIIAggCCAIIAggCCAIIAggCCAIIAggCCAIIAggCCAIuAgMCNQIeAAKVAgICPgIEAgUCBgIHAggCCQIfAgsCDAINAggCCAIIAggCCAIIAggCCAIIAggCCAIIAggCCAIIAggCCAIuAgMCPwIeAAKVAgICRwIEAgUCBgIHAggCCQIcAgsCDAINAggCCAIIAggCCAIIAggCCAIIAggCdxMIAggCCAIIAggCCAIIAi4CAwJI]]></xxe4awand>
</file>

<file path=customXml/item19.xml><?xml version="1.0" encoding="utf-8"?>
<xxe4awand xmlns="http://www.excel4apps.com"><![CDATA[rO0ABXfZCMCtii8ABJsFAh4AAERjb20uZXhjZWw0YXBwcy53YW5kLm9yYWNsZS5n
bHdhbmQuY2FsY3VsYXRpb25zLmdldGJhbGFuY2UuR2V0QmFsYW5jZQIBAAk1Mzg2
MTU4NDACAgABMAIDAAYyMDE2MTACBAADWVREAgUAA1VTRAIGAAVUb3RhbAIHAAFB
AggAAAIJAAMwMDECCgAGMTkxMDI1AgsAAkdEAgwAAldBAg0AAkRMAggCCAIIAggC
CAIIAggCCAIIAggCCAIIAggCCAIIAggCCAIf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T+veHh3VQIeAAIBAgICGwAGMjAxNjA2AgQCBQIGAgcCCAIJAhwABjE5MTAx
MAILAgwCDQIIAggCCAIIAggCCAIIAggCCAIIAggCCAIIAggCCAIIAggCHwIDAh1zcQB+AAAAAAACc3EAfgAE///////////////+/////v////91cQB+AAcAAAAEVIhLm3h4d1UCHgACAQICAh4ABjIwMTcwOQIEAgUCBgIHAggCCQIfAAYxOTEwMDACCwIMAg0CCAIIAggCCAIIAggCCAIIAggCCAIIAggCCAIIAggCCAIIAh8CAwIgc3EAfgAAAAAAAnNxAH4ABP///////////////v////4AAAABdXEAfgAHAAAABAKOsKB4eHdNAh4AAgECAgIhAAYyMDE2MDgCBAIFAgYCBwIIAgkCHwILAgwCDQIIAggCCAIIAggCCAIIAggCCAIIAggCCAIIAggCCAIIAggCHwIDAiJzcQB+AAAAAAACc3EAfgAE///////////////+/////v////91cQB+AAcAAAAEAr0/pHh4d00CHgACAQICAiMABjIwMTcwNwIEAgUCBgIHAggCCQIcAgsCDAINAggCCAIIAggCCAIIAggCCAIIAggCCAIIAggCCAIIAggCCAIfAgMCJHNxAH4AAAAAAAJzcQB+AAT///////////////7////+/////3VxAH4ABwAAAARe1GL4eHh3TQIeAAIBAgICJQAGMjAxNzA4AgQCBQIGAgcCCAIJAh8CCwIMAg0CCAIIAggCCAIIAggCCAIIAggCCAIIAggCCAIIAggCCAIIAh8CAwImc3EAfgAAAAAAAnNxAH4ABP///////////////v////7/////dXEAfgAHAAAAAzKU1nh4d00CHgACAQICAicABjIwMTYwNAIEAgUCBgIHAggCCQIKAgsCDAINAggCCAIIAggCCAIIAggCCAIIAggCCAIIAggCCAIIAggCCAIfAgMCKHNxAH4AAAAAAAJzcQB+AAT///////////////7////+/////3VxAH4ABwAAAAMMxv54eHdNAh4AAgECAgIpAAYyMDE4MDECBAIFAgYCBwIIAgkCHwILAgwCDQIIAggCCAIIAggCCAIIAggCCAIIAggCCAIIAggCCAIIAggCHwIDAipzcQB+AAAAAAACc3EAfgAE///////////////+/////v////91cQB+AAcAAAAEJnGjV3h4d00CHgACAQICAisABjIwMTcxMAIEAgUCBgIHAggCCQIKAgsCDAINAggCCAIIAggCCAIIAggCCAIIAggCCAIIAggCCAIIAggCCAIfAgMCLHNxAH4AAAAAAAJzcQB+AAT///////////////7////+/////3VxAH4ABwAAAAMD3Kt4eHdNAh4AAgECAgItAAYyMDE3MDUCBAIFAgYCBwIIAgkCCgILAgwCDQIIAggCCAIIAggCCAIIAggCCAIIAggCCAIIAggCCAIIAggCHwIDAi5zcQB+AAAAAAACc3EAfgAE///////////////+/////v////91cQB+AAcAAAADBFYreHh3TQIeAAIBAgICLwAGMjAxNzEyAgQCBQIGAgcCCAIJAgoCCwIMAg0CCAIIAggCCAIIAggCCAIIAggCCAIIAggCCAIIAggCCAIIAh8CAwIwc3EAfgAAAAAAAnNxAH4ABP///////////////v////4AAAAAdXEAfgAHAAAAAHh4d00CHgACAQICAjEABjIwMTYxMQIEAgUCBgIHAggCCQIKAgsCDAINAggCCAIIAggCCAIIAggCCAIIAggCCAIIAggCCAIIAggCCAIfAgMCMnNxAH4AAAAAAAJzcQB+AAT///////////////7////+/////3VxAH4ABwAAAAMGaCt4eHdNAh4AAgECAgIzAAYyMDE3MDYCBAIFAgYCBwIIAgkCHAILAgwCDQIIAggCCAIIAggCCAIIAggCCAIIAggCCAIIAggCCAIIAggCHwIDAjRzcQB+AAAAAAACc3EAfgAE///////////////+/////v////91cQB+AAcAAAAEWAsHLHh4d0UCHgACAQICAi8CBAIFAgYCBwIIAgkCHAILAgwCDQIIAggCCAIIAggCCAIIAggCCAIIAggCCAIIAggCCAIIAggCHwIDAjVzcQB+AAAAAAACc3EAfgAE///////////////+/////v////91cQB+AAcAAAAEQjS8fHh4d00CHgACAQICAjYABjIwMTYwNwIEAgUCBgIHAggCCQIfAgsCDAINAggCCAIIAggCCAIIAggCCAIIAggCCAIIAggCCAIIAggCCAIfAgMCN3NxAH4AAAAAAAJzcQB+AAT///////////////7////+/////3VxAH4ABwAAAAQDNpKZeHh3TQIeAAIBAgICOAAGMjAxNjAzAgQCBQIGAgcCCAIJAgoCCwIMAg0CCAIIAggCCAIIAggCCAIIAggCCAIIAggCCAIIAggCCAIIAh8CAwI5c3EAfgAAAAAAAnNxAH4ABP///////////////v////7/////dXEAfgAHAAAAAw6D3Xh4d0UCHgACAQICAiMCBAIFAgYCBwIIAgkCHwILAgwCDQIIAggCCAIIAggCCAIIAggCCAIIAggCCAIIAggCCAIIAggCHwIDAjpzcQB+AAAAAAACc3EAfgAE///////////////+/////v////91cQB+AAcAAAAEAgr29Hh4d00CHgACAQICAjsABjIwMTYwNQIEAgUCBgIHAggCCQIcAgsCDAINAggCCAIIAggCCAIIAggCCAIIAggCCAIIAggCCAIIAggCCAIfAgMCPHNxAH4AAAAAAAJzcQB+AAT///////////////7////+/////3VxAH4ABwAAAARMKwuAeHh3TQIeAAIBAgICPQAGMjAxNjEyAgQCBQIGAgcCCAIJAhwCCwIMAg0CCAIIAggCCAIIAggCCAIIAggCCAIIAggCCAIIAggCCAIIAh8CAwI+c3EAfgAAAAAAAnNxAH4ABP///////////////v////7/////dXEAfgAHAAAABCij2ll4eHeaAh4AAgECAgI/AAYyMDE3MTECBAIFAgYCBwIIAgkCCgILAgwCDQIIAggCCAIIAggCCAIIAggCCAIIAggCCAIIAggCCAIIAggCHwIDAjACHgACAQICAkAABjIwMTcwNAIEAgUCBgIHAggCCQIKAgsCDAINAggCCAIIAggCCAIIAggCCAIIAggCCAIIAggCCAIIAggCCAIfAgMCQXNxAH4AAAAAAAJzcQB+AAT///////////////7////+/////3VxAH4ABwAAAAMEdI14eHdFAh4AAgECAgI9AgQCBQIGAgcCCAIJAh8CCwIMAg0CCAIIAggCCAIIAggCCAIIAggCCAIIAggCCAIIAggCCAIIAh8CAwJCc3EAfgAAAAAAAnNxAH4ABP///////////////v////7/////dXEAfgAHAAAABDuLiL14eHdNAh4AAgECAgJDAAYyMDE3MDICBAIFAgYCBwIIAgkCHwILAgwCDQIIAggCCAIIAggCCAIIAggCCAIIAggCCAIIAggCCAIIAggCHwIDAkRzcQB+AAAAAAACc3EAfgAE///////////////+/////v////91cQB+AAcAAAAEG0cx03h4d0UCHgACAQICAh4CBAIFAgYCBwIIAgkCHAILAgwCDQIIAggCCAIIAggCCAIIAggCCAIIAggCCAIIAggCCAIIAggCHwIDAkVzcQB+AAAAAAACc3EAfgAE///////////////+/////v////91cQB+AAcAAAAEcQZZSXh4d0UCHgACAQICAhsCBAIFAgYCBwIIAgkCHwILAgwCDQIIAggCCAIIAggCCAIIAggCCAIIAggCCAIIAggCCAIIAggCHwIDAkZzcQB+AAAAAAACc3EAfgAE///////////////+/////v////91cQB+AAcAAAAEA6uLrXh4d00CHgACAQICAkcABjIwMTYwMgIEAgUCBgIHAggCCQIKAgsCDAINAggCCAIIAggCCAIIAggCCAIIAggCCAIIAggCCAIIAggCCAIfAgMCSHNxAH4AAAAAAAJzcQB+AAT///////////////7////+/////3VxAH4ABwAAAAMSFct4eHdFAh4AAgECAgIhAgQCBQIGAgcCCAIJAhwCCwIMAg0CCAIIAggCCAIIAggCCAIIAggCCAIIAggCCAIIAggCCAIIAh8CAwJJc3EAfgAAAAAAAnNxAH4ABP///////////////v////7/////dXEAfgAHAAAABF1XUMl4eHdFAh4AAgECAgIxAgQCBQIGAgcCCAIJAhwCCwIMAg0CCAIIAggCCAIIAggCCAIIAggCCAIIAggCCAIIAggCCAIIAh8CAwJKc3EAfgAAAAAAAnNxAH4ABP///////////////v////7/////dXEAfgAHAAAABBJUFap4eHdNAh4AAgECAgJLAAYyMDE3MDMCBAIFAgYCBwIIAgkCCgILAgwCDQIIAggCCAIIAggCCAIIAggCCAIIAggCCAIIAggCCAIIAggCHwIDAkxzcQB+AAAAAAACc3EAfgAE///////////////+/////v////91cQB+AAcAAAADBKuXeHh3RQIeAAIBAgICKwIEAgUCBgIHAggCCQIcAgsCDAINAggCCAIIAggCCAIIAggCCAIIAggCCAIIAggCCAIIAggCCAIfAgMCTXNxAH4AAAAAAAJzcQB+AAT///////////////7////+/////3VxAH4ABwAAAASC3IjxeHh3RQIeAAIBAgICLQIEAgUCBgIHAggCCQIfAgsCDAINAggCCAIIAggCCAIIAggCCAIIAggCCAIIAggCCAIIAggCCAIfAgMCTnNxAH4AAAAAAAJzcQB+AAT///////////////7////+/////3VxAH4ABwAAAAQGIRiFeHh3RQIeAAIBAgICJwIEAgUCBgIHAggCCQIfAgsCDAINAggCCAIIAggCCAIIAggCCAIIAggCCAIIAggCCAIIAggCCAIfAgMCT3NxAH4AAAAAAAJzcQB+AAT///////////////7////+/////3VxAH4ABwAAAAQE5DAPeHh3TQIeAAIBAgICUAAGMjAxNjA5AgQCBQIGAgcCCAIJAh8CCwIMAg0CCAIIAggCCAIIAggCCAIIAggCCAIIAggCCAIIAggCCAIIAh8CAwJRc3EAfgAAAAAAAnNxAH4ABP///////////////v////7/////dXEAfgAHAAAABAIbp254eHdFAh4AAgECAgJAAgQCBQIGAgcCCAIJAhwCCwIMAg0CCAIIAggCCAIIAggCCAIIAggCCAIIAggCCAIIAggCCAIIAh8CAwJSc3EAfgAAAAAAAnNxAH4ABP///////////////v////7/////dXEAfgAHAAAABFpw2Xd4eHdFAh4AAgECAgI4AgQCBQIGAgcCCAIJAhwCCwIMAg0CCAIIAggCCAIIAggCCAIIAggCCAIIAggCCAIIAggCCAIIAh8CAwJTc3EAfgAAAAAAAnNxAH4ABP///////////////v////7/////dXEAfgAHAAAABD37VuJ4eHdFAh4AAgECAgI7AgQCBQIGAgcCCAIJAgoCCwIMAg0CCAIIAggCCAIIAggCCAIIAggCCAIIAggCCAIIAggCCAIIAh8CAwJUc3EAfgAAAAAAAnNxAH4ABP///////////////v////7/////dXEAfgAHAAAAAwuCrXh4d0UCHgACAQICAjMCBAIFAgYCBwIIAgkCCgILAgwCDQIIAggCCAIIAggCCAIIAggCCAIIAggCCAIIAggCCAIIAggCHwIDAlVzcQB+AAAAAAACc3EAfgAE///////////////+/////v////91cQB+AAcAAAADBEN6eHh3igIeAAIBAgICKQIEAgUCBgIHAggCCQIKAgsCDAINAggCCAIIAggCCAIIAggCCAIIAggCCAIIAggCCAIIAggCCAIfAgMCMAIeAAIBAgICQAIEAgUCBgIHAggCCQIfAgsCDAINAggCCAIIAggCCAIIAggCCAIIAggCCAIIAggCCAIIAggCCAIfAgMCVnNxAH4AAAAAAAJzcQB+AAT///////////////7////+/////3VxAH4ABwAAAAQJ8GpGeHh3RQIeAAIBAgICIQIEAgUCBgIHAggCCQIKAgsCDAINAggCCAIIAggCCAIIAggCCAIIAggCCAIIAggCCAIIAggCCAIfAgMCV3NxAH4AAAAAAAJzcQB+AAT///////////////7////+/////3VxAH4ABwAAAAMItpx4eHdFAh4AAgECAgJDAgQCBQIGAgcCCAIJAhwCCwIMAg0CCAIIAggCCAIIAggCCAIIAggCCAIIAggCCAIIAggCCAIIAh8CAwJYc3EAfgAAAAAAAnNxAH4ABP///////////////v////7/////dXEAfgAHAAAABEmLU8l4eHdFAh4AAgECAgIDAgQCBQIGAgcCCAIJAh8CCwIMAg0CCAIIAggCCAIIAggCCAIIAggCCAIIAggCCAIIAggCCAIIAh8CAwJZc3EAfgAAAAAAAnNxAH4ABP///////////////v////7/////dXEAfgAHAAAAA7xcsnh4d0UCHgACAQICAjgCBAIFAgYCBwIIAgkCHwILAgwCDQIIAggCCAIIAggCCAIIAggCCAIIAggCCAIIAggCCAIIAggCHwIDAlpzcQB+AAAAAAACc3EAfgAE///////////////+/////v////91cQB+AAcAAAAEBeiObnh4d0UCHgACAQICAkcCBAIFAgYCBwIIAgkCHAILAgwCDQIIAggCCAIIAggCCAIIAggCCAIIAggCCAIIAggCCAIIAggCHwIDAltzcQB+AAAAAAACc3EAfgAE///////////////+/////v////91cQB+AAcAAAAENzj1T3h4d0UCHgACAQICAj8CBAIFAgYCBwIIAgkCHwILAgwCDQIIAggCCAIIAggCCAIIAggCCAIIAggCCAIIAggCCAIIAggCHwIDAlxzcQB+AAAAAAACc3EAfgAE///////////////+/////v////91cQB+AAcAAAAERLpXvHh4d0UCHgACAQICAh4CBAIFAgYCBwIIAgkCCgILAgwCDQIIAggCCAIIAggCCAIIAggCCAIIAggCCAIIAggCCAIIAggCHwIDAl1zcQB+AAAAAAACc3EAfgAE///////////////+/////v////91cQB+AAcAAAADBA6ueHh3TQIeAAIBAgICXgAGMjAxNzAxAgQCBQIGAgcCCAIJAgoCCwIMAg0CCAIIAggCCAIIAggCCAIIAggCCAIIAggCCAIIAggCCAIIAh8CAwJfc3EAfgAAAAAAAnNxAH4ABP///////////////v////7/////dXEAfgAHAAAAAwVk/3h4d0UCHgACAQICAkcCBAIFAgYCBwIIAgkCHwILAgwCDQIIAggCCAIIAggCCAIIAggCCAIIAggCCAIIAggCCAIIAggCHwIDAmBzcQB+AAAAAAACc3EAfgAE///////////////+/////v////91cQB+AAcAAAAECCX/sXh4d0UCHgACAQICAjYCBAIFAgYCBwIIAgkCCgILAgwCDQIIAggCCAIIAggCCAIIAggCCAIIAggCCAIIAggCCAIIAggCHwIDAmFzcQB+AAAAAAACc3EAfgAE///////////////+/////v////91cQB+AAcAAAADCZ5/eHh3RQIeAAIBAgICSwIEAgUCBgIHAggCCQIfAgsCDAINAggCCAIIAggCCAIIAggCCAIIAggCCAIIAggCCAIIAggCCAIfAgMCYnNxAH4AAAAAAAJzcQB+AAT///////////////7////+/////3VxAH4ABwAAAAQQ/fIjeHh3RQIeAAIBAgICXgIEAgUCBgIHAggCCQIcAgsCDAINAggCCAIIAggCCAIIAggCCAIIAggCCAIIAggCCAIIAggCCAIfAgMCY3NxAH4AAAAAAAJzcQB+AAT///////////////7////+/////3VxAH4ABwAAAAQ9FTt2eHh3RQIeAAIBAgICKwIEAgUCBgIHAggCCQIfAgsCDAINAggCCAIIAggCCAIIAggCCAIIAggCCAIIAggCCAIIAggCCAIfAgMCZHNxAH4AAAAAAAJzcQB+AAT///////////////7////+AAAAAXVxAH4ABwAAAAQJDRX9eHh3RQIeAAIBAgICUAIEAgUCBgIHAggCCQIcAgsCDAINAggCCAIIAggCCAIIAggCCAIIAggCCAIIAggCCAIIAggCCAIfAgMCZXNxAH4AAAAAAAJzcQB+AAT///////////////7////+/////3VxAH4ABwAAAARhMQgUeHh3RQIeAAIBAgICJQIEAgUCBgIHAggCCQIKAgsCDAINAggCCAIIAggCCAIIAggCCAIIAggCCAIIAggCCAIIAggCCAIfAgMCZnNxAH4AAAAAAAJzcQB+AAT///////////////7////+/////3VxAH4ABwAAAAMEJQl4eHdFAh4AAgECAgIpAgQCBQIGAgcCCAIJAhwCCwIMAg0CCAIIAggCCAIIAggCCAIIAggCCAIIAggCCAIIAggCCAIIAh8CAwJnc3EAfgAAAAAAAnNxAH4ABP///////////////v////7/////dXEAfgAHAAAABE7u6Np4eHdFAh4AAgECAgI/AgQCBQIGAgcCCAIJAhwCCwIMAg0CCAIIAggCCAIIAggCCAIIAggCCAIIAggCCAIIAggCCAIIAh8CAwJoc3EAfgAAAAAAAnNxAH4ABP///////////////v////7/////dXEAfgAHAAAABDDQqrN4eHdFAh4AAgECAgIDAgQCBQIGAgcCCAIJAhwCCwIMAg0CCAIIAggCCAIIAggCCAIIAggCCAIIAggCCAIIAggCCAIIAh8CAwJpc3EAfgAAAAAAAnNxAH4ABP///////////////v////7/////dXEAfgAHAAAABGKNyxZ4eHdFAh4AAgECAgIbAgQCBQIGAgcCCAIJAgoCCwIMAg0CCAIIAggCCAIIAggCCAIIAggCCAIIAggCCAIIAggCCAIIAh8CAwJqc3EAfgAAAAAAAnNxAH4ABP///////////////v////7/////dXEAfgAHAAAAAwqAVHh4d0UCHgACAQICAj0CBAIFAgYCBwIIAgkCCgILAgwCDQIIAggCCAIIAggCCAIIAggCCAIIAggCCAIIAggCCAIIAggCHwIDAmtzcQB+AAAAAAACc3EAfgAE///////////////+/////v////91cQB+AAcAAAADBtyTeHh3RQIeAAIBAgICLQIEAgUCBgIHAggCCQIcAgsCDAINAggCCAIIAggCCAIIAggCCAIIAggCCAIIAggCCAIIAggCCAIfAgMCbHNxAH4AAAAAAAJzcQB+AAT///////////////7////+/////3VxAH4ABwAAAARZ/eXyeHh3RQIeAAIBAgICOwIEAgUCBgIHAggCCQIfAgsCDAINAggCCAIIAggCCAIIAggCCAIIAggCCAIIAggCCAIIAggCCAIfAgMCbXNxAH4AAAAAAAJzcQB+AAT///////////////7////+/////3VxAH4ABwAAAAQENonjeHh3RQIeAAIBAgICJwIEAgUCBgIHAggCCQIcAgsCDAINAggCCAIIAggCCAIIAggCCAIIAggCCAIIAggCCAIIAggCCAIfAgMCbnNxAH4AAAAAAAJzcQB+AAT///////////////7////+/////3VxAH4ABwAAAARIcHiveHh3RQIeAAIBAgICMwIEAgUCBgIHAggCCQIfAgsCDAINAggCCAIIAggCCAIIAggCCAIIAggCCAIIAggCCAIIAggCCAIfAgMCb3NxAH4AAAAAAAJzcQB+AAT///////////////7////+/////3VxAH4ABwAAAAQD3U0geHh3RQIeAAIBAgICIwIEAgUCBgIHAggCCQIKAgsCDAINAggCCAIIAggCCAIIAggCCAIIAggCCAIIAggCCAIIAggCCAIfAgMCcHNxAH4AAAAAAAJzcQB+AAT///////////////7////+/////3VxAH4ABwAAAAMENDh4eHdFAh4AAgECAgIlAgQCBQIGAgcCCAIJAhwCCwIMAg0CCAIIAggCCAIIAggCCAIIAggCCAIIAggCCAIIAggCCAIIAh8CAwJxc3EAfgAAAAAAAnNxAH4ABP///////////////v////7/////dXEAfgAHAAAABGUxQat4eHdFAh4AAgECAgI2AgQCBQIGAgcCCAIJAhwCCwIMAg0CCAIIAggCCAIIAggCCAIIAggCCAIIAggCCAIIAggCCAIIAh8CAwJyc3EAfgAAAAAAAnNxAH4ABP///////////////v////7/////dXEAfgAHAAAABFovta14eHdFAh4AAgECAgJQAgQCBQIGAgcCCAIJAgoCCwIMAg0CCAIIAggCCAIIAggCCAIIAggCCAIIAggCCAIIAggCCAIIAh8CAwJzc3EAfgAAAAAAAnNxAH4ABP///////////////v////7/////dXEAfgAHAAAAAweN1Hh4d0UCHgACAQICAi8CBAIFAgYCBwIIAgkCHwILAgwCDQIIAggCCAIIAggCCAIIAggCCAIIAggCCAIIAggCCAIIAggCHwIDAnRzcQB+AAAAAAACc3EAfgAE///////////////+/////v////91cQB+AAcAAAAENEm+I3h4d0UCHgACAQICAjECBAIFAgYCBwIIAgkCHwILAgwCDQIIAggCCAIIAggCCAIIAggCCAIIAggCCAIIAggCCAIIAggCHwIDAnVzcQB+AAAAAAACc3EAfgAE///////////////+/////v////91cQB+AAcAAAAETEMOFXh4d0UCHgACAQICAksCBAIFAgYCBwIIAgkCHAILAgwCDQIIAggCCAIIAggCCAIIAggCCAIIAggCCAIIAggCCAIIAggCHwIDAnZzcQB+AAAAAAACc3EAfgAE///////////////+/////v////91cQB+AAcAAAAEU2ObJnh4d0UCHgACAQICAl4CBAIFAgYCBwIIAgkCHwILAgwCDQIIAggCCAIIAggCCAIIAggCCAIIAggCCAIIAggCCAIIAggCHwIDAndzcQB+AAAAAAACc3EAfgAE///////////////+/////v////91cQB+AAcAAAAEKOmGtnh4d0UCHgACAQICAkMCBAIFAgYCBwIIAgkCCgILAgwCDQIIAggCCAIIAggCCAIIAggCCAIIAggCCAIIAggCCAIIAggCHwIDAnhzcQB+AAAAAAACc3EAfgAE///////////////+/////v////91cQB+AAcAAAADBPtoeHh3XAIeAAJ5AAk0MTcyMTQ3NjACAgI7AgQCBQIGAgcCCAIJAnoABjE5MTAxNQILAnsAAklEAg0CCAIIAggCCAIIAggCCAIIAggCCAIIAggCCAIIAggCCAIIAhoCAwJ8c3EAfgAAAAAAAnNxAH4ABP///////////////v////7/////dXEAfgAHAAAAAxJjf3h4d0UCHgACeQICAjMCBAIFAgYCBwIIAgkCegILAnsCDQIIAggCCAIIAggCCAIIAggCCAIIAggCCAIIAggCCAIIAggCGgIDAn1zcQB+AAAAAAACc3EAfgAE///////////////+/////v////91cQB+AAcAAAADEpbAeHh3RQIeAAJ5AgICGwIEAgUCBgIHAggCCQIcAgsCewINAggCCAIIAggCCAIIAggCCAIIAggCCAIIAggCCAIIAggCCAIaAgMCfnNxAH4AAAAAAAJzcQB+AAT///////////////7////+/////3VxAH4ABwAAAAQrEAtReHh3RQIeAAJ5AgICPQIEAgUCBgIHAggCCQIcAgsCewINAggCCAIIAggCCAIIAggCCAIIAggCCAIIAggCCAIIAggCCAIaAgMCf3NxAH4AAAAAAAJzcQB+AAT///////////////7////+/////3VxAH4ABwAAAAQVrLWfeHh3RQIeAAJ5AgICMwIEAgUCBgIHAggCCQIcAgsCewINAggCCAIIAggCCAIIAggCCAIIAggCCAIIAggCCAIIAggCCAIaAgMCgHNxAH4AAAAAAAJzcQB+AAT///////////////7////+/////3VxAH4ABwAAAAQqC0YheHh3RQIeAAJ5AgICOwIEAgUCBgIHAggCCQIcAgsCewINAggCCAIIAggCCAIIAggCCAIIAggCCAIIAggCCAIIAggCCAIaAgMCgXNxAH4AAAAAAAJzcQB+AAT///////////////7////+/////3VxAH4ABwAAAAQmLzLCeHh3RQIeAAJ5AgICMQIEAgUCBgIHAggCCQJ6AgsCewINAggCCAIIAggCCAIIAggCCAIIAggCCAIIAggCCAIIAggCCAIaAgMCgnNxAH4AAAAAAAJzcQB+AAT///////////////7////+/////3VxAH4ABwAAAAMSexV4eHdFAh4AAnkCAgI2AgQCBQIGAgcCCAIJAh8CCwJ7Ag0CCAIIAggCCAIIAggCCAIIAggCCAIIAggCCAIIAggCCAIIAhoCAwKDc3EAfgAAAAAAAnNxAH4ABP///////////////v////7/////dXEAfgAHAAAABAEGlGB4eHdFAh4AAnkCAgIlAgQCBQIGAgcCCAIJAh8CCwJ7Ag0CCAIIAggCCAIIAggCCAIIAggCCAIIAggCCAIIAggCCAIIAhoCAwKEc3EAfgAAAAAAAnNxAH4ABP///////////////v////4AAAABdXEAfgAHAAAAA/+JXnh4d0UCHgACeQICAiMCBAIFAgYCBwIIAgkCegILAnsCDQIIAggCCAIIAggCCAIIAggCCAIIAggCCAIIAggCCAIIAggCGgIDAoVzcQB+AAAAAAACc3EAfgAE///////////////+/////v////91cQB+AAcAAAADEpq3eHh3igIeAAJ5AgICPwIEAgUCBgIHAggCCQJ6AgsCewINAggCCAIIAggCCAIIAggCCAIIAggCCAIIAggCCAIIAggCCAIaAgMCMAIeAAJ5AgICKQIEAgUCBgIHAggCCQIfAgsCewINAggCCAIIAggCCAIIAggCCAIIAggCCAIIAggCCAIIAggCCAIaAgMChnNxAH4AAAAAAAJzcQB+AAT///////////////7////+/////3VxAH4ABwAAAAQQposkeHh3RQIeAAJ5AgICNgIEAgUCBgIHAggCCQIcAgsCewINAggCCAIIAggCCAIIAggCCAIIAggCCAIIAggCCAIIAggCCAIaAgMCh3NxAH4AAAAAAAJzcQB+AAT///////////////7////+/////3VxAH4ABwAAAAQu/eCSeHh3RQIeAAJ5AgICAwIEAgUCBgIHAggCCQJ6AgsCewINAggCCAIIAggCCAIIAggCCAIIAggCCAIIAggCCAIIAggCCAIaAgMCiHNxAH4AAAAAAAJzcQB+AAT///////////////7////+/////3VxAH4ABwAAAAMSdyV4eHdFAh4AAnkCAgIbAgQCBQIGAgcCCAIJAnoCCwJ7Ag0CCAIIAggCCAIIAggCCAIIAggCCAIIAggCCAIIAggCCAIIAhoCAwKJc3EAfgAAAAAAAnNxAH4ABP///////////////v////7/////dXEAfgAHAAAAAxJna3h4d0UCHgACeQICAh4CBAIFAgYCBwIIAgkCHwILAnsCDQIIAggCCAIIAggCCAIIAggCCAIIAggCCAIIAggCCAIIAggCGgIDAopzcQB+AAAAAAACc3EAfgAE///////////////+/////gAAAAF1cQB+AAcAAAAEAloS0nh4d0UCHgACeQICAl4CBAIFAgYCBwIIAgkCHwILAnsCDQIIAggCCAIIAggCCAIIAggCCAIIAggCCAIIAggCCAIIAggCGgIDAotzcQB+AAAAAAACc3EAfgAE///////////////+/////v////91cQB+AAcAAAAEFDr3g3h4d00CHgACeQICAowABjIwMTgwMgIEAgUCBgIHAggCCQIfAgsCewINAggCCAIIAggCCAIIAggCCAIIAggCCAIIAggCCAIIAggCCAIaAgMCjXNxAH4AAAAAAAJzcQB+AAT///////////////7////+/////3VxAH4ABwAAAAQKK9PneHh3RQIeAAJ5AgICIQIEAgUCBgIHAggCCQIfAgsCewINAggCCAIIAggCCAIIAggCCAIIAggCCAIIAggCCAIIAggCCAIaAgMCjnNxAH4AAAAAAAJzcQB+AAT///////////////7////+/////3VxAH4ABwAAAAOesqp4eHdFAh4AAnkCAgIjAgQCBQIGAgcCCAIJAhwCCwJ7Ag0CCAIIAggCCAIIAggCCAIIAggCCAIIAggCCAIIAggCCAIIAhoCAwKPc3EAfgAAAAAAAnNxAH4ABP///////////////v////7/////dXEAfgAHAAAABC6RhSt4eHdFAh4AAnkCAgI7AgQCBQIGAgcCCAIJAh8CCwJ7Ag0CCAIIAggCCAIIAggCCAIIAggCCAIIAggCCAIIAggCCAIIAhoCAwKQc3EAfgAAAAAAAnNxAH4ABP///////////////v////7/////dXEAfgAHAAAABAHNSnd4eHdFAh4AAnkCAgIzAgQCBQIGAgcCCAIJAh8CCwJ7Ag0CCAIIAggCCAIIAggCCAIIAggCCAIIAggCCAIIAggCCAIIAhoCAwKRc3EAfgAAAAAAAnNxAH4ABP///////////////v////7/////dXEAfgAHAAAABAFtStJ4eHdFAh4AAnkCAgIrAgQCBQIGAgcCCAIJAnoCCwJ7Ag0CCAIIAggCCAIIAggCCAIIAggCCAIIAggCCAIIAggCCAIIAhoCAwKSc3EAfgAAAAAAAnNxAH4ABP///////////////v////7/////dXEAfgAHAAAAAxKmonh4d0UCHgACeQICAiUCBAIFAgYCBwIIAgkCegILAnsCDQIIAggCCAIIAggCCAIIAggCCAIIAggCCAIIAggCCAIIAggCGgIDApNzcQB+AAAAAAACc3EAfgAE///////////////+/////v////91cQB+AAcAAAADEp6veHh3RQIeAAJ5AgICNgIEAgUCBgIHAggCCQJ6AgsCewINAggCCAIIAggCCAIIAggCCAIIAggCCAIIAggCCAIIAggCCAIaAgMClHNxAH4AAAAAAAJzcQB+AAT///////////////7////+/////3VxAH4ABwAAAAMSa1h4eHdFAh4AAnkCAgIDAgQCBQIGAgcCCAIJAhwCCwJ7Ag0CCAIIAggCCAIIAggCCAIIAggCCAIIAggCCAIIAggCCAIIAhoCAwKVc3EAfgAAAAAAAnNxAH4ABP///////////////v////7/////dXEAfgAHAAAABDSYRyN4eHdFAh4AAnkCAgI/AgQCBQIGAgcCCAIJAhwCCwJ7Ag0CCAIIAggCCAIIAggCCAIIAggCCAIIAggCCAIIAggCCAIIAhoCAwKWc3EAfgAAAAAAAnNxAH4ABP///////////////v////7/////dXEAfgAHAAAABBwjfJB4eHdFAh4AAnkCAgIlAgQCBQIGAgcCCAIJAhwCCwJ7Ag0CCAIIAggCCAIIAggCCAIIAggCCAIIAggCCAIIAggCCAIIAhoCAwKXc3EAfgAAAAAAAnNxAH4ABP///////////////v////7/////dXEAfgAHAAAABDQ5VOh4eHdFAh4AAnkCAgIpAgQCBQIGAgcCCAIJAhwCCwJ7Ag0CCAIIAggCCAIIAggCCAIIAggCCAIIAggCCAIIAggCCAIIAhoCAwKYc3EAfgAAAAAAAnNxAH4ABP///////////////v////7/////dXEAfgAHAAAABCkgj4V4eHeKAh4AAnkCAgIpAgQCBQIGAgcCCAIJAnoCCwJ7Ag0CCAIIAggCCAIIAggCCAIIAggCCAIIAggCCAIIAggCCAIIAhoCAwIwAh4AAnkCAgJQAgQCBQIGAgcCCAIJAhwCCwJ7Ag0CCAIIAggCCAIIAggCCAIIAggCCAIIAggCCAIIAggCCAIIAhoCAwKZc3EAfgAAAAAAAnNxAH4ABP///////////////v////7/////dXEAfgAHAAAABDO8lpJ4eHdFAh4AAnkCAgItAgQCBQIGAgcCCAIJAnoCCwJ7Ag0CCAIIAggCCAIIAggCCAIIAggCCAIIAggCCAIIAggCCAIIAhoCAwKac3EAfgAAAAAAAnNxAH4ABP///////////////v////7/////dXEAfgAHAAAAAxKSynh4d00CHgACeQICApsABjIwMTgwNAIEAgUCBgIHAggCCQIfAgsCewINAggCCAIIAggCCAIIAggCCAIIAggCCAIIAggCCAIIAggCCAIaAgMCnHNxAH4AAAAAAAJzcQB+AAT///////////////7////+/////3VxAH4ABwAAAAQBMmvPeHh3RQIeAAJ5AgICJwIEAgUCBgIHAggCCQJ6AgsCewINAggCCAIIAggCCAIIAggCCAIIAggCCAIIAggCCAIIAggCCAIaAgMCnXNxAH4AAAAAAAJzcQB+AAT///////////////7////+/////3VxAH4ABwAAAAMSX5R4eHdFAh4AAnkCAgInAgQCBQIGAgcCCAIJAhwCCwJ7Ag0CCAIIAggCCAIIAggCCAIIAggCCAIIAggCCAIIAggCCAIIAhoCAwKec3EAfgAAAAAAAnNxAH4ABP///////////////v////7/////dXEAfgAHAAAABCPGeP14eHdFAh4AAnkCAgJQAgQCBQIGAgcCCAIJAnoCCwJ7Ag0CCAIIAggCCAIIAggCCAIIAggCCAIIAggCCAIIAggCCAIIAhoCAwKfc3EAfgAAAAAAAnNxAH4ABP///////////////v////7/////dXEAfgAHAAAAAxJzNXh4d0UCHgACeQICAj0CBAIFAgYCBwIIAgkCegILAnsCDQIIAggCCAIIAggCCAIIAggCCAIIAggCCAIIAggCCAIIAggCGgIDAqBzcQB+AAAAAAACc3EAfgAE///////////////+/////v////91cQB+AAcAAAADEn8GeHh3RQIeAAJ5AgICLQIEAgUCBgIHAggCCQIcAgsCewINAggCCAIIAggCCAIIAggCCAIIAggCCAIIAggCCAIIAggCCAIaAgMCoXNxAH4AAAAAAAJzcQB+AAT///////////////7////+/////3VxAH4ABwAAAAQqJk8LeHh3RQIeAAJ5AgICRwIEAgUCBgIHAggCCQIfAgsCewINAggCCAIIAggCCAIIAggCCAIIAggCCAIIAggCCAIIAggCCAIaAgMConNxAH4AAAAAAAJzcQB+AAT///////////////7////+/////3VxAH4ABwAAAAQEW5IQeHh3RQIeAAJ5AgICSwIEAgUCBgIHAggCCQIfAgsCewINAggCCAIIAggCCAIIAggCCAIIAggCCAIIAggCCAIIAggCCAIaAgMCo3NxAH4AAAAAAAJzcQB+AAT///////////////7////+/////3VxAH4ABwAAAAQIvUgheHh3RQIeAAJ5AgICQwIEAgUCBgIHAggCCQIcAgsCewINAggCCAIIAggCCAIIAggCCAIIAggCCAIIAggCCAIIAggCCAIaAgMCpHNxAH4AAAAAAAJzcQB+AAT///////////////7////+/////3VxAH4ABwAAAAQiCqwxeHh3TQIeAAJ5AgICpQAGMjAxODAzAgQCBQIGAgcCCAIJAhwCCwJ7Ag0CCAIIAggCCAIIAggCCAIIAggCCAIIAggCCAIIAggCCAIIAhoCAwKmc3EAfgAAAAAAAnNxAH4ABP///////////////v////7/////dXEAfgAHAAAABCrCsfh4eHdFAh4AAnkCAgIDAgQCBQIGAgcCCAIJAh8CCwJ7Ag0CCAIIAggCCAIIAggCCAIIAggCCAIIAggCCAIIAggCCAIIAhoCAwKnc3EAfgAAAAAAAnNxAH4ABP///////////////v////4AAAABdXEAfgAHAAAAA7lyfHh4d0UCHgACeQICAkMCBAIFAgYCBwIIAgkCegILAnsCDQIIAggCCAIIAggCCAIIAggCCAIIAggCCAIIAggCCAIIAggCGgIDAqhzcQB+AAAAAAACc3EAfgAE///////////////+/////v////91cQB+AAcAAAADEobreHh3RQIeAAJ5AgICQAIEAgUCBgIHAggCCQIfAgsCewINAggCCAIIAggCCAIIAggCCAIIAggCCAIIAggCCAIIAggCCAIaAgMCqXNxAH4AAAAAAAJzcQB+AAT///////////////7////+/////3VxAH4ABwAAAAQFBKNBeHh3RQIeAAJ5AgICOAIEAgUCBgIHAggCCQIfAgsCewINAggCCAIIAggCCAIIAggCCAIIAggCCAIIAggCCAIIAggCCAIaAgMCqnNxAH4AAAAAAAJzcQB+AAT///////////////7////+/////3VxAH4ABwAAAAQC+0uLeHh3RQIeAAJ5AgICPwIEAgUCBgIHAggCCQIfAgsCewINAggCCAIIAggCCAIIAggCCAIIAggCCAIIAggCCAIIAggCCAIaAgMCq3NxAH4AAAAAAAJzcQB+AAT///////////////7////+/////3VxAH4ABwAAAAQewHRseHh3igIeAAJ5AgICpQIEAgUCBgIHAggCCQJ6AgsCewINAggCCAIIAggCCAIIAggCCAIIAggCCAIIAggCCAIIAggCCAIaAgMCMAIeAAJ5AgICLQIEAgUCBgIHAggCCQIfAgsCewINAggCCAIIAggCCAIIAggCCAIIAggCCAIIAggCCAIIAggCCAIaAgMCrHNxAH4AAAAAAAJzcQB+AAT///////////////7////+/////3VxAH4ABwAAAAQC12dUeHh3RQIeAAJ5AgICmwIEAgUCBgIHAggCCQIcAgsCewINAggCCAIIAggCCAIIAggCCAIIAggCCAIIAggCCAIIAggCCAIaAgMCrXNxAH4AAAAAAAJzcQB+AAT///////////////7////+/////3VxAH4ABwAAAAQu9BT/eHh3RQIeAAJ5AgICJwIEAgUCBgIHAggCCQIfAgsCewINAggCCAIIAggCCAIIAggCCAIIAggCCAIIAggCCAIIAggCCAIaAgMCrnNxAH4AAAAAAAJzcQB+AAT///////////////7////+/////3VxAH4ABwAAAAQCUB7peHh3RQIeAAJ5AgICSwIEAgUCBgIHAggCCQIcAgsCewINAggCCAIIAggCCAIIAggCCAIIAggCCAIIAggCCAIIAggCCAIaAgMCr3NxAH4AAAAAAAJzcQB+AAT///////////////7////+/////3VxAH4ABwAAAAQmeB9xeHh3RQIeAAJ5AgICRwIEAgUCBgIHAggCCQJ6AgsCewINAggCCAIIAggCCAIIAggCCAIIAggCCAIIAggCCAIIAggCCAIaAgMCsHNxAH4AAAAAAAJzcQB+AAT///////////////7////+/////3VxAH4ABwAAAAMSV794eHdFAh4AAnkCAgJHAgQCBQIGAgcCCAIJAhwCCwJ7Ag0CCAIIAggCCAIIAggCCAIIAggCCAIIAggCCAIIAggCCAIIAhoCAwKxc3EAfgAAAAAAAnNxAH4ABP///////////////v////7/////dXEAfgAHAAAABBuzHlx4eHdFAh4AAnkCAgIvAgQCBQIGAgcCCAIJAh8CCwJ7Ag0CCAIIAggCCAIIAggCCAIIAggCCAIIAggCCAIIAggCCAIIAhoCAwKyc3EAfgAAAAAAAnNxAH4ABP///////////////v////7/////dXEAfgAHAAAABBa3qKJ4eHdFAh4AAnkCAgIxAgQCBQIGAgcCCAIJAh8CCwJ7Ag0CCAIIAggCCAIIAggCCAIIAggCCAIIAggCCAIIAggCCAIIAhoCAwKzc3EAfgAAAAAAAnNxAH4ABP///////////////v////7/////dXEAfgAHAAAABCWQ0ft4eHdFAh4AAnkCAgIrAgQCBQIGAgcCCAIJAhwCCwJ7Ag0CCAIIAggCCAIIAggCCAIIAggCCAIIAggCCAIIAggCCAIIAhoCAwK0c3EAfgAAAAAAAnNxAH4ABP///////////////v////7/////dXEAfgAHAAAABENETeB4eHdFAh4AAnkCAgJLAgQCBQIGAgcCCAIJAnoCCwJ7Ag0CCAIIAggCCAIIAggCCAIIAggCCAIIAggCCAIIAggCCAIIAhoCAwK1c3EAfgAAAAAAAnNxAH4ABP///////////////v////7/////dXEAfgAHAAAAAxKK33h4d4oCHgACeQICApsCBAIFAgYCBwIIAgkCegILAnsCDQIIAggCCAIIAggCCAIIAggCCAIIAggCCAIIAggCCAIIAggCGgIDAjACHgACeQICAh4CBAIFAgYCBwIIAgkCHAILAnsCDQIIAggCCAIIAggCCAIIAggCCAIIAggCCAIIAggCCAIIAggCGgIDArZzcQB+AAAAAAACc3EAfgAE///////////////+/////v////91cQB+AAcAAAAEOUUu/nh4d0UCHgACeQICAjgCBAIFAgYCBwIIAgkCegILAnsCDQIIAggCCAIIAggCCAIIAggCCAIIAggCCAIIAggCCAIIAggCGgIDArdzcQB+AAAAAAACc3EAfgAE///////////////+/////v////91cQB+AAcAAAADElupeHh3RQIeAAJ5AgICOAIEAgUCBgIHAggCCQIcAgsCewINAggCCAIIAggCCAIIAggCCAIIAggCCAIIAggCCAIIAggCCAIaAgMCuHNxAH4AAAAAAAJzcQB+AAT///////////////7////+/////3VxAH4ABwAAAAQerglPeHh3RQIeAAJ5AgICIQIEAgUCBgIHAggCCQIcAgsCewINAggCCAIIAggCCAIIAggCCAIIAggCCAIIAggCCAIIAggCCAIaAgMCuXNxAH4AAAAAAAJzcQB+AAT///////////////7////+/////3VxAH4ABwAAAAQx77UZeHh3RQIeAAJ5AgICUAIEAgUCBgIHAggCCQIfAgsCewINAggCCAIIAggCCAIIAggCCAIIAggCCAIIAggCCAIIAggCCAIaAgMCunNxAH4AAAAAAAJzcQB+AAT///////////////7////+/////3VxAH4ABwAAAAMy9xF4eHdFAh4AAnkCAgJDAgQCBQIGAgcCCAIJAh8CCwJ7Ag0CCAIIAggCCAIIAggCCAIIAggCCAIIAggCCAIIAggCCAIIAhoCAwK7c3EAfgAAAAAAAnNxAH4ABP///////////////v////7/////dXEAfgAHAAAABA4LHEp4eHdFAh4AAnkCAgKlAgQCBQIGAgcCCAIJAh8CCwJ7Ag0CCAIIAggCCAIIAggCCAIIAggCCAIIAggCCAIIAggCCAIIAhoCAwK8c3EAfgAAAAAAAnNxAH4ABP///////////////v////7/////dXEAfgAHAAAABATh3pl4eHdFAh4AAnkCAgI9AgQCBQIGAgcCCAIJAh8CCwJ7Ag0CCAIIAggCCAIIAggCCAIIAggCCAIIAggCCAIIAggCCAIIAhoCAwK9c3EAfgAAAAAAAnNxAH4ABP///////////////v////7/////dXEAfgAHAAAABB0QqXR4eHdFAh4AAnkCAgJAAgQCBQIGAgcCCAIJAnoCCwJ7Ag0CCAIIAggCCAIIAggCCAIIAggCCAIIAggCCAIIAggCCAIIAhoCAwK+c3EAfgAAAAAAAnNxAH4ABP///////////////v////7/////dXEAfgAHAAAAAxKO1Hh4d0UCHgACeQICAkACBAIFAgYCBwIIAgkCHAILAnsCDQIIAggCCAIIAggCCAIIAggCCAIIAggCCAIIAggCCAIIAggCGgIDAr9zcQB+AAAAAAACc3EAfgAE///////////////+/////v////91cQB+AAcAAAAEKeDlE3h4d0UCHgACeQICAi8CBAIFAgYCBwIIAgkCHAILAnsCDQIIAggCCAIIAggCCAIIAggCCAIIAggCCAIIAggCCAIIAggCGgIDAsBzcQB+AAAAAAACc3EAfgAE///////////////+/////v////91cQB+AAcAAAAEJDRt9Hh4d0UCHgACeQICAl4CBAIFAgYCBwIIAgkCHAILAnsCDQIIAggCCAIIAggCCAIIAggCCAIIAggCCAIIAggCCAIIAggCGgIDAsFzcQB+AAAAAAACc3EAfgAE///////////////+/////v////91cQB+AAcAAAAEHbH6THh4d0UCHgACeQICAiECBAIFAgYCBwIIAgkCegILAnsCDQIIAggCCAIIAggCCAIIAggCCAIIAggCCAIIAggCCAIIAggCGgIDAsJzcQB+AAAAAAACc3EAfgAE///////////////+/////v////91cQB+AAcAAAADEm9GeHh3RQIeAAJ5AgICMQIEAgUCBgIHAggCCQIcAgsCewINAggCCAIIAggCCAIIAggCCAIIAggCCAIIAggCCAIIAggCCAIaAgMCw3NxAH4AAAAAAAJzcQB+AAT///////////////7////+/////3VxAH4ABwAAAAQL0RJ0eHh3igIeAAJ5AgICLwIEAgUCBgIHAggCCQJ6AgsCewINAggCCAIIAggCCAIIAggCCAIIAggCCAIIAggCCAIIAggCCAIaAgMCMAIeAAJ5AgICHgIEAgUCBgIHAggCCQJ6AgsCewINAggCCAIIAggCCAIIAggCCAIIAggCCAIIAggCCAIIAggCCAIaAgMCxHNxAH4AAAAAAAJzcQB+AAT///////////////7////+/////3VxAH4ABwAAAAMSoqh4eHdFAh4AAnkCAgJeAgQCBQIGAgcCCAIJAnoCCwJ7Ag0CCAIIAggCCAIIAggCCAIIAggCCAIIAggCCAIIAggCCAIIAhoCAwLFc3EAfgAAAAAAAnNxAH4ABP///////////////v////7/////dXEAfgAHAAAAAxKC+Hh4d0UCHgACeQICAisCBAIFAgYCBwIIAgkCHwILAnsCDQIIAggCCAIIAggCCAIIAggCCAIIAggCCAIIAggCCAIIAggCGgIDAsZzcQB+AAAAAAACc3EAfgAE///////////////+/////gAAAAF1cQB+AAcAAAAEBhtaanh4d0UCHgACeQICAhsCBAIFAgYCBwIIAgkCHwILAnsCDQIIAggCCAIIAggCCAIIAggCCAIIAggCCAIIAggCCAIIAggCGgIDAsdzcQB+AAAAAAACc3EAfgAE///////////////+/////v////91cQB+AAcAAAAEAWTK8nh4d0UCHgACeQICAiMCBAIFAgYCBwIIAgkCHwILAnsCDQIIAggCCAIIAggCCAIIAggCCAIIAggCCAIIAggCCAIIAggCGgIDAshzcQB+AAAAAAACc3EAfgAE///////////////+/////v////91cQB+AAcAAAADTrgKeHh3RQIeAAJ5AgICjAIEAgUCBgIHAggCCQIcAgsCewINAggCCAIIAggCCAIIAggCCAIIAggCCAIIAggCCAIIAggCCAIaAgMCyXNxAH4AAAAAAAJzcQB+AAT///////////////7////+/////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v////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AAT///////////////7////+/////3VxAH4ABwAAAAQv/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v////7/////dXEAfgAHAAAABAHuetZ4eHdFAh4AAs8CAgKlAgQCBQIGAgcCCAIJAh8CCwIMAg0CCAIIAggCCAIIAggCCAIIAggCCAIIAggCCAIIAggCCAIIAgQCAwLSc3EAfgAAAAAAAnNxAH4ABP///////////////v////7/////dXEAfgAHAAAABA5TyYx4eHeKAh4AAs8CAgJDAgQCBQIGAgcCCAIJAh8CCwIMAg0CCAIIAggCCAIIAggCCAIIAggCCAIIAggCCAIIAggCCAIIAgQCAwJEAh4AAs8CAgLMAgQCBQIGAgcCCAIJAh8CCwIMAg0CCAIIAggCCAIIAggCCAIIAggCCAIIAggCCAIIAggCCAIIAgQCAwLTc3EAfgAAAAAAAnNxAH4ABP///////////////v////7/////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v////7/////dXEAfgAHAAAABAcZP5l4eHdFAh4AAs8CAgKMAgQCBQIGAgcCCAIJAh8CCwIMAg0CCAIIAggCCAIIAggCCAIIAggCCAIIAggCCAIIAggCCAIIAgQCAwLVc3EAfgAAAAAAAnNxAH4ABP///////////////v////7/////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v////4AAAABdXEAfgAHAAAAAwlJUHh4d0UCHgAC1gICAswCBAIFAgYCBwIIAgkCHAILAgwCDQIIAggCCAIIAggCCAIIAggCCAIIAggCCAIIAggCCAIIAggCEgIDAttzcQB+AAAAAAACc3EAfgAE///////////////+/////v////91cQB+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AAT///////////////7////+/////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AAAAAAACc3EAfgAE///////////////+/////v////91cQB+AAcAAAAEY8+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AAAAAAACc3EAfgAE///////////////+/////v////91cQB+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AAAAAAACc3EAfgAE///////////////+/////v////91cQB+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v////7/////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v////7/////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v////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v////7/////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v////7/////dXEAfgAHAAAABDWm++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AAT///////////////7////+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Ah4AAvYCAgIlAgQCBQIGAgcCCAIJAhwCCwJ7Ag0CCAIIAggCCAIIAggCCAIIAggCCAIIAggCCAIIAggCCAIIAgMCAwKXAh4AAvYCAgI/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AgQCBQIGAgcCCAIJAnoCCwJ7Ag0CCAIIAggCCAIIAggCCAIIAggCCAIIAggCCAIIAggCCAIIAhQCAwIwAh4AAvcCAgI2AgQCBQIGAgcCCAIJAnoCCwJ7Ag0CCAIIAggCCAIIAggCCAIIAggCCAIIAggCCAIIAggCCAIIAhQCAwKUAh4AAvcCAgJeAgQCBQIGAgcCCAIJAh8CCwJ7Ag0CCAIIAggCCAIIAggCCAIIAggCCAIIAggCCAIIAggCCAIIAhQCAwKLAh4AAvcCAgI/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AICAjYCBAIFAgYCBwIIAgkCHAILAnsCDQIIAggCCAIIAggCCAIIAggCCAIIAggCCAIIAggCCAIIAggCHAIDAocCHgAC+AICAh4CBAIFAgYCBwIIAgkCHAILAnsCDQIIAggCCAIIAggCCAIIAggCCAIIAggCCAIIAggCCAIIAggCHAIDArYCHgAC+AICAl4CBAIFAgYCBwIIAgkCHwILAnsCDQIIAggCCAIIAggCCAIIAggCCAIIAggCCAIIAggCCAIIAggCHAIDAosCHgAC+AICAikCBAIFAgYCBwIIAgkCHwILAnsCDQIIAggCCAIIAggCCAIIAggCCAIIAggCCAIIAggCCAIIAggCHAIDAoYCHgAC+AICAiECBAIFAgYCBwIIAgkCHwILAnsCDQIIAggCCAIIAggCCAIIAggCCAIIAggCCAIIAggCCAIIAggCHAIDAo4CHgAC+AICAhsCBAIFAgYCBwIIAgkCegILAnsCDQIIAggCCAIIAggCCAIIAggCCAIIAggCCAIIAggCCAIIAggCHAIDAokCHgAC+AICAlACBAIFAgYCBwIIAgkCHAILAnsCDQIIAggCCAIIAggCCAIIAggCCAIIAggCCAIIAggCCAIIAggCHAIDApkCHgAC+AICAiMCBAIFAgYCBwIIAgkCHAILAnsCDQIIAggCCAIIAggCCAIIAggCCAIIAggCCAIIAggCCAIIAggCHAIDAo8CHgAC+AICAhsCBAIFAgYCBwIIAgkCHAILAnsCDQIIAggCCAIIAggCCAIIAggCCAIIAggCCAIIAggCCAIIAggCHAIDAn4CHgAC+AICAiMCBAIFAgYCBwIIAgkCegILAnsCDQIIAggCCAIIAggCCAIIAggCCAIIAggCCAIIAggCCAIIAggCHAIDAoUCHgAC+AICAjYCBAIFAgYCBwIIAgkCHwILAnsCDQIIAggCCAIIAggCCAIIAggCCAIIAggCCAIIAggCCAIIAggCHAIDAoMCHgAC+AICAiUCBAIFAgYCBwIIAgkCHwILAnsCDQIIAggCCAIIAggCCAIIAggCCAIIAggCCAIIAggCCAIIAggCHAIDAoQCHgAC+AICAlACBAIFAgYCBwIIAgkCegILAnsCDQIIAggCCAIIAggCCAIIAggCCAIIAggCCAIIAggCCAIIAggCHAIDAp8CHgAC+AICAj0CBAIFAgYCBwIIAgkCHAILAnsCDQIIAggCCAIIAggCCAIIAggCCAIIAggCCAIIAggCCAIIAggCHAIDAn8CHgAC+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AgQCBQIGAgcCCAIJAh8CCwJ7Ag0CCAIIAggCCAIIAggCCAIIAggCCAIIAggCCAIIAggCCAIIAhwCAwKrAh4AAvgCAgKlAgQCBQIGAgcCCAIJAnoCCwJ7Ag0CCAIIAgh6AAAEAAIIAggCCAIIAggCCAIIAggCCAIIAggCCAIIAggCHAIDAjACHgAC+AICAksCBAIFAgYCBwIIAgkCHAILAnsCDQIIAggCCAIIAggCCAIIAggCCAIIAggCCAIIAggCCAIIAggCHAIDAq8CHgAC+AICAkcCBAIFAgYCBwIIAgkCHAILAnsCDQIIAggCCAIIAggCCAIIAggCCAIIAggCCAIIAggCCAIIAggCHAIDArECHgAC+AICAkMCBAIFAgYCBwIIAgkCegILAnsCDQIIAggCCAIIAggCCAIIAggCCAIIAggCCAIIAggCCAIIAggCHAIDAqgCHgAC+AICAkACBAIFAgYCBwIIAgkCHwILAnsCDQIIAggCCAIIAggCCAIIAggCCAIIAggCCAIIAggCCAIIAggCHAIDAqkCHgAC+AICAjgCBAIFAgYCBwIIAgkCHwILAnsCDQIIAggCCAIIAggCCAIIAggCCAIIAggCCAIIAggCCAIIAggCHAIDAqoCHgAC+AICAkcCBAIFAgYCBwIIAgkCegILAnsCDQIIAggCCAIIAggCCAIIAggCCAIIAggCCAIIAggCCAIIAggCHAIDArACHgAC+AICAqUCBAIFAgYCBwIIAgkCHAILAnsCDQIIAggCCAIIAggCCAIIAggCCAIIAggCCAIIAggCCAIIAggCHAIDAqYCHgAC+AICAl4CBAIFAgYCBwIIAgkCegILAnsCDQIIAggCCAIIAggCCAIIAggCCAIIAggCCAIIAggCCAIIAggCHAIDAsUCHgAC+AICAowCBAIFAgYCBwIIAgkCegILAnsCDQIIAggCCAIIAggCCAIIAggCCAIIAggCCAIIAggCCAIIAggCHAIDAjACHgAC+AICAisCBAIFAgYCBwIIAgkCHwILAnsCDQIIAggCCAIIAggCCAIIAggCCAIIAggCCAIIAggCCAIIAggCHAIDAsYCHgAC+AICAjECBAIFAgYCBwIIAgkCegILAnsCDQIIAggCCAIIAggCCAIIAggCCAIIAggCCAIIAggCCAIIAggCHAIDAoICHgAC+AICAjMCBAIFAgYCBwIIAgkCHAILAnsCDQIIAggCCAIIAggCCAIIAggCCAIIAggCCAIIAggCCAIIAggCHAIDAoACHgAC+AICAjsCBAIFAgYCBwIIAgkCHAILAnsCDQIIAggCCAIIAggCCAIIAggCCAIIAggCCAIIAggCCAIIAggCHAIDAoECHgAC+AICAi8CBAIFAgYCBwIIAgkCegILAnsCDQIIAggCCAIIAggCCAIIAggCCAIIAggCCAIIAggCCAIIAggCHAIDAjACHgAC+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xxe4awand>
</file>

<file path=customXml/item2.xml><?xml version="1.0" encoding="utf-8"?>
<xxe4awand xmlns="http://www.excel4apps.com"><![CDATA[rO0ABXfaCMCtii8CAgRDAwIeAABEY29tLmV4Y2VsNGFwcHMud2FuZC5vcmFjbGUu
Z2x3YW5kLmNhbGN1bGF0aW9ucy5nZXRiYWxhbmNlLkdldEJhbGFuY2UCAQAJNTU3
NDk3MjI0AgIAATACAwAGMjAxNzExAgQAA1lURAIFAANVU0QCBgAFVG90YWwCBwAB
QQIIAAACCQADMDAxAgoABjE5MTAwMAILAAJHRAIMAAJXQQINAAJETAIIAggCCAII
AggCCAIIAggCCAIIAggCCAIIAggCCAIIAggCI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S6V7x4eHdNAh4AAgECAgIbAAYyMDE4MDECBAIFAgYCBwIIAgkCCgILAgwCDQIIAggCCAIIAggCCAIIAggCCAIIAggCCAIIAggCCAIIAggCIAIDAhxzcQB+AAAAAAACc3EAfgAE///////////////+/////v////91cQB+AAcAAAAEJnGjV3h4d00CHgACAQICAh0ABjIwMTcwOQIEAgUCBgIHAggCCQIKAgsCDAINAggCCAIIAggCCAIIAggCCAIIAggCCAIIAggCCAIIAggCCAIgAgMCHnNxAH4AAAAAAAJzcQB+AAT///////////////7////+AAAAAXVxAH4ABwAAAAQCjrCgeHh3TQIeAAIBAgICHwAGMjAxNzA3AgQCBQIGAgcCCAIJAgoCCwIMAg0CCAIIAggCCAIIAggCCAIIAggCCAIIAggCCAIIAggCCAIIAiACAwIgc3EAfgAAAAAAAnNxAH4ABP///////////////v////7/////dXEAfgAHAAAABAIK9vR4eHdNAh4AAgECAgIhAAYyMDE3MDICBAIFAgYCBwIIAgkCCgILAgwCDQIIAggCCAIIAggCCAIIAggCCAIIAggCCAIIAggCCAIIAggCIAIDAiJzcQB+AAAAAAACc3EAfgAE///////////////+/////v////91cQB+AAcAAAAEG0cx03h4d00CHgACAQICAiMABjIwMTgwMwIEAgUCBgIHAggCCQIKAgsCDAINAggCCAIIAggCCAIIAggCCAIIAggCCAIIAggCCAIIAggCCAIgAgMCJHNxAH4AAAAAAAJzcQB+AAT///////////////7////+/////3VxAH4ABwAAAAQOU8mMeHh3TQIeAAIBAgICJQAGMjAxNzAzAgQCBQIGAgcCCAIJAgoCCwIMAg0CCAIIAggCCAIIAggCCAIIAggCCAIIAggCCAIIAggCCAIIAiACAwImc3EAfgAAAAAAAnNxAH4ABP///////////////v////7/////dXEAfgAHAAAABBD98iN4eHdNAh4AAgECAgInAAYyMDE3MDUCBAIFAgYCBwIIAgkCCgILAgwCDQIIAggCCAIIAggCCAIIAggCCAIIAggCCAIIAggCCAIIAggCIAIDAihzcQB+AAAAAAACc3EAfgAE///////////////+/////v////91cQB+AAcAAAAEBiEYhXh4d00CHgACAQICAikABjIwMTcwOAIEAgUCBgIHAggCCQIKAgsCDAINAggCCAIIAggCCAIIAggCCAIIAggCCAIIAggCCAIIAggCCAIgAgMCKnNxAH4AAAAAAAJzcQB+AAT///////////////7////+/////3VxAH4ABwAAAAMylNZ4eHdNAh4AAgECAgIrAAYyMDE3MDECBAIFAgYCBwIIAgkCCgILAgwCDQIIAggCCAIIAggCCAIIAggCCAIIAggCCAIIAggCCAIIAggCIAIDAixzcQB+AAAAAAACc3EAfgAE///////////////+/////v////91cQB+AAcAAAAEKOmGtnh4d00CHgACAQICAi0ABjIwMTgwMgIEAgUCBgIHAggCCQIKAgsCDAINAggCCAIIAggCCAIIAggCCAIIAggCCAIIAggCCAIIAggCCAIgAgMCLnNxAH4AAAAAAAJzcQB+AAT///////////////7////+/////3VxAH4ABwAAAAQZYudleHh3TQIeAAIBAgICLwAGMjAxNzEwAgQCBQIGAgcCCAIJAgoCCwIMAg0CCAIIAggCCAIIAggCCAIIAggCCAIIAggCCAIIAggCCAIIAiACAwIwc3EAfgAAAAAAAnNxAH4ABP///////////////v////4AAAABdXEAfgAHAAAABAkNFf14eHdNAh4AAgECAgIxAAYyMDE3MTICBAIFAgYCBwIIAgkCCgILAgwCDQIIAggCCAIIAggCCAIIAggCCAIIAggCCAIIAggCCAIIAggCIAIDAjJzcQB+AAAAAAACc3EAfgAE///////////////+/////v////91cQB+AAcAAAAENEm+I3h4d00CHgACAQICAjMABjIwMTcwNgIEAgUCBgIHAggCCQIKAgsCDAINAggCCAIIAggCCAIIAggCCAIIAggCCAIIAggCCAIIAggCCAIgAgMCNHNxAH4AAAAAAAJzcQB+AAT///////////////7////+/////3VxAH4ABwAAAAQD3U0geHh3TQIeAAIBAgICNQAGMjAxNzA0AgQCBQIGAgcCCAIJAgoCCwIMAg0CCAIIAggCCAIIAggCCAIIAggCCAIIAggCCAIIAggCCAIIAiACAwI2c3EAfgAAAAAAAnNxAH4ABP///////////////v////7/////dXEAfgAHAAAABAnwakZ4eHdUAh4AAjcACTU2OTYxNDgxNgICAiMCBAIFAgYCBwIIAgkCCgILAjgAAklEAg0CCAIIAggCCAIIAggCCAIIAggCCAIIAggCCAIIAggCCAIIAhMCAwI5c3EAfgAAAAAAAnNxAH4ABP///////////////v////7/////dXEAfgAHAAAABATh3pl4eHdFAh4AAjcCAgIhAgQCBQIGAgcCCAIJAgoCCwI4Ag0CCAIIAggCCAIIAggCCAIIAggCCAIIAggCCAIIAggCCAIIAhMCAwI6c3EAfgAAAAAAAnNxAH4ABP///////////////v////7/////dXEAfgAHAAAABA4LHEp4eHdNAh4AAjcCAgIbAgQCBQIGAgcCCAIJAjsABjE5MTAxMAILAjgCDQIIAggCCAIIAggCCAIIAggCCAIIAggCCAIIAggCCAIIAggCEwIDAjxzcQB+AAAAAAACc3EAfgAE///////////////+/////v////91cQB+AAcAAAAEKSCPhXh4d00CHgACNwICAh0CBAIFAgYCBwIIAgkCPQAGMTkxMDE1AgsCOAINAggCCAIIAggCCAIIAggCCAIIAggCCAIIAggCCAIIAggCCAITAgMCPnNxAH4AAAAAAAJzcQB+AAT///////////////7////+/////3VxAH4ABwAAAAMSoqh4eHdFAh4AAjcCAgIdAgQCBQIGAgcCCAIJAjsCCwI4Ag0CCAIIAggCCAIIAggCCAIIAggCCAIIAggCCAIIAggCCAIIAhMCAwI/c3EAfgAAAAAAAnNxAH4ABP///////////////v////7/////dXEAfgAHAAAABDlFLv54eHdFAh4AAjcCAgIbAgQCBQIGAgcCCAIJAj0CCwI4Ag0CCAIIAggCCAIIAggCCAIIAggCCAIIAggCCAIIAggCCAIIAhMCAwJAc3EAfgAAAAAAAnNxAH4ABP///////////////v////4AAAAAdXEAfgAHAAAAAHh4d00CHgACNwICAkEABjIwMTYwOAIEAgUCBgIHAggCCQI7AgsCOAINAggCCAIIAggCCAIIAggCCAIIAggCCAIIAggCCAIIAggCCAITAgMCQnNxAH4AAAAAAAJzcQB+AAT///////////////7////+/////3VxAH4ABwAAAAQx77UZeHh3RQIeAAI3AgICQQIEAgUCBgIHAggCCQI9AgsCOAINAggCCAIIAggCCAIIAggCCAIIAggCCAIIAggCCAIIAggCCAITAgMCQ3NxAH4AAAAAAAJzcQB+AAT///////////////7////+/////3VxAH4ABwAAAAMSb0Z4eHdFAh4AAjcCAgIlAgQCBQIGAgcCCAIJAgoCCwI4Ag0CCAIIAggCCAIIAggCCAIIAggCCAIIAggCCAIIAggCCAIIAhMCAwJEc3EAfgAAAAAAAnNxAH4ABP///////////////v////7/////dXEAfgAHAAAABAi9SCF4eHdNAh4AAjcCAgJFAAYyMDE2MDkCBAIFAgYCBwIIAgkCPQILAjgCDQIIAggCCAIIAggCCAIIAggCCAIIAggCCAIIAggCCAIIAggCEwIDAkZzcQB+AAAAAAACc3EAfgAE///////////////+/////v////91cQB+AAcAAAADEnM1eHh3igIeAAI3AgICLQIEAgUCBgIHAggCCQI9AgsCOAINAggCCAIIAggCCAIIAggCCAIIAggCCAIIAggCCAIIAggCCAITAgMCQAIeAAI3AgICKwIEAgUCBgIHAggCCQI9AgsCOAINAggCCAIIAggCCAIIAggCCAIIAggCCAIIAggCCAIIAggCCAITAgMCR3NxAH4AAAAAAAJzcQB+AAT///////////////7////+/////3VxAH4ABwAAAAMSgvh4eHdFAh4AAjcCAgIrAgQCBQIGAgcCCAIJAjsCCwI4Ag0CCAIIAggCCAIIAggCCAIIAggCCAIIAggCCAIIAggCCAIIAhMCAwJIc3EAfgAAAAAAAnNxAH4ABP///////////////v////7/////dXEAfgAHAAAABB2x+kx4eHdNAh4AAjcCAgJJAAYyMDE2MDICBAIFAgYCBwIIAgkCCgILAjgCDQIIAggCCAIIAggCCAIIAggCCAIIAggCCAIIAggCCAIIAggCEwIDAkpzcQB+AAAAAAACc3EAfgAE///////////////+/////v////91cQB+AAcAAAAEBFuSEHh4d0UCHgACNwICAi8CBAIFAgYCBwIIAgkCCgILAjgCDQIIAggCCAIIAggCCAIIAggCCAIIAggCCAIIAggCCAIIAggCEwIDAktzcQB+AAAAAAACc3EAfgAE///////////////+/////gAAAAF1cQB+AAcAAAAEBhtaanh4d0UCHgACNwICAkUCBAIFAgYCBwIIAgkCOwILAjgCDQIIAggCCAIIAggCCAIIAggCCAIIAggCCAIIAggCCAIIAggCEwIDAkxzcQB+AAAAAAACc3EAfgAE///////////////+/////v////91cQB+AAcAAAAEM7yWknh4d0UCHgACNwICAi0CBAIFAgYCBwIIAgkCOwILAjgCDQIIAggCCAIIAggCCAIIAggCCAIIAggCCAIIAggCCAIIAggCEwIDAk1zcQB+AAAAAAACc3EAfgAE///////////////+/////v////91cQB+AAcAAAAEKUaEtnh4d0UCHgACNwICAh0CBAIFAgYCBwIIAgkCCgILAjgCDQIIAggCCAIIAggCCAIIAggCCAIIAggCCAIIAggCCAIIAggCEwIDAk5zcQB+AAAAAAACc3EAfgAE///////////////+/////gAAAAF1cQB+AAcAAAAEAloS0nh4d00CHgACNwICAk8ABjIwMTYwMwIEAgUCBgIHAggCCQIKAgsCOAINAggCCAIIAggCCAIIAggCCAIIAggCCAIIAggCCAIIAggCCAITAgMCUHNxAH4AAAAAAAJzcQB+AAT///////////////7////+/////3VxAH4ABwAAAAQC+0uLeHh3RQIeAAI3AgICMwIEAgUCBgIHAggCCQI9AgsCOAINAggCCAIIAggCCAIIAggCCAIIAggCCAIIAggCCAIIAggCCAITAgMCUXNxAH4AAAAAAAJzcQB+AAT///////////////7////+/////3VxAH4ABwAAAAMSlsB4eHdFAh4AAjcCAgJBAgQCBQIGAgcCCAIJAgoCCwI4Ag0CCAIIAggCCAIIAggCCAIIAggCCAIIAggCCAIIAggCCAIIAhMCAwJSc3EAfgAAAAAAAnNxAH4ABP///////////////v////7/////dXEAfgAHAAAAA56yqnh4d0UCHgACNwICAkkCBAIFAgYCBwIIAgkCOwILAjgCDQIIAggCCAIIAggCCAIIAggCCAIIAggCCAIIAggCCAIIAggCEwIDAlNzcQB+AAAAAAACc3EAfgAE///////////////+/////v////91cQB+AAcAAAAEG7MeXHh4d0UCHgACNwICAjUCBAIFAgYCBwIIAgkCCgILAjgCDQIIAggCCAIIAggCCAIIAggCCAIIAggCCAIIAggCCAIIAggCEwIDAlRzcQB+AAAAAAACc3EAfgAE///////////////+/////v////91cQB+AAcAAAAEBQSjQXh4d0UCHgACNwICAiUCBAIFAgYCBwIIAgkCPQILAjgCDQIIAggCCAIIAggCCAIIAggCCAIIAggCCAIIAggCCAIIAggCEwIDAlVzcQB+AAAAAAACc3EAfgAE///////////////+/////v////91cQB+AAcAAAADEorfeHh3RQIeAAI3AgICSQIEAgUCBgIHAggCCQI9AgsCOAINAggCCAIIAggCCAIIAggCCAIIAggCCAIIAggCCAIIAggCCAITAgMCVnNxAH4AAAAAAAJzcQB+AAT///////////////7////+/////3VxAH4ABwAAAAMSV794eHdFAh4AAjcCAgIxAgQCBQIGAgcCCAIJAgoCCwI4Ag0CCAIIAggCCAIIAggCCAIIAggCCAIIAggCCAIIAggCCAIIAhMCAwJXc3EAfgAAAAAAAnNxAH4ABP///////////////v////7/////dXEAfgAHAAAABBa3qKJ4eHdNAh4AAjcCAgJYAAYyMDE2MDcCBAIFAgYCBwIIAgkCOwILAjgCDQIIAggCCAIIAggCCAIIAggCCAIIAggCCAIIAggCCAIIAggCEwIDAllzcQB+AAAAAAACc3EAfgAE///////////////+/////v////91cQB+AAcAAAAELv3gknh4d0UCHgACNwICAikCBAIFAgYCBwIIAgkCPQILAjgCDQIIAggCCAIIAggCCAIIAggCCAIIAggCCAIIAggCCAIIAggCEwIDAlpzcQB+AAAAAAACc3EAfgAE///////////////+/////v////91cQB+AAcAAAADEp6veHh3RQIeAAI3AgICKQIEAgUCBgIHAggCCQI7AgsCOAINAggCCAIIAggCCAIIAggCCAIIAggCCAIIAggCCAIIAggCCAITAgMCW3NxAH4AAAAAAAJzcQB+AAT///////////////7////+/////3VxAH4ABwAAAAQ0OVToeHh3TQIeAAI3AgICXAAGMjAxNjExAgQCBQIGAgcCCAIJAgoCCwI4Ag0CCAIIAggCCAIIAggCCAIIAggCCAIIAggCCAIIAggCCAIIAhMCAwJdc3EAfgAAAAAAAnNxAH4ABP///////////////v////7/////dXEAfgAHAAAABCWQ0ft4eHdFAh4AAjcCAgIlAgQCBQIGAgcCCAIJAjsCCwI4Ag0CCAIIAggCCAIIAggCCAIIAggCCAIIAggCCAIIAggCCAIIAhMCAwJec3EAfgAAAAAAAnNxAH4ABP///////////////v////7/////dXEAfgAHAAAABCZ4H3F4eHdFAh4AAjcCAgJYAgQCBQIGAgcCCAIJAj0CCwI4Ag0CCAIIAggCCAIIAggCCAIIAggCCAIIAggCCAIIAggCCAIIAhMCAwJfc3EAfgAAAAAAAnNxAH4ABP///////////////v////7/////dXEAfgAHAAAAAxJrWHh4d0UCHgACNwICAi0CBAIFAgYCBwIIAgkCCgILAjgCDQIIAggCCAIIAggCCAIIAggCCAIIAggCCAIIAggCCAIIAggCEwIDAmBzcQB+AAAAAAACc3EAfgAE///////////////+/////v////91cQB+AAcAAAAECivT53h4d0UCHgACNwICAisCBAIFAgYCBwIIAgkCCgILAjgCDQIIAggCCAIIAggCCAIIAggCCAIIAggCCAIIAggCCAIIAggCEwIDAmFzcQB+AAAAAAACc3EAfgAE///////////////+/////v////91cQB+AAcAAAAEFDr3g3h4d00CHgACNwICAmIABjIwMTYxMAIEAgUCBgIHAggCCQI9AgsCOAINAggCCAIIAggCCAIIAggCCAIIAggCCAIIAggCCAIIAggCCAITAgMCY3NxAH4AAAAAAAJzcQB+AAT///////////////7////+/////3VxAH4ABwAAAAMSdyV4eHdFAh4AAjcCAgJPAgQCBQIGAgcCCAIJAj0CCwI4Ag0CCAIIAggCCAIIAggCCAIIAggCCAIIAggCCAIIAggCCAIIAhMCAwJkc3EAfgAAAAAAAnNxAH4ABP///////////////v////7/////dXEAfgAHAAAAAxJbqXh4d00CHgACNwICAmUABjIwMTYwNAIEAgUCBgIHAggCCQI7AgsCOAINAggCCAIIAggCCAIIAggCCAIIAggCCAIIAggCCAIIAggCCAITAgMCZnNxAH4AAAAAAAJzcQB+AAT///////////////7////+/////3VxAH4ABwAAAAQjxnj9eHh3RQIeAAI3AgICYgIEAgUCBgIHAggCCQI7AgsCOAINAggCCAIIAggCCAIIAggCCAIIAggCCAIIAggCCAIIAggCCAITAgMCZ3NxAH4AAAAAAAJzcQB+AAT///////////////7////+/////3VxAH4ABwAAAAQ0mEcjeHh3RQIeAAI3AgICJwIEAgUCBgIHAggCCQI7AgsCOAINAggCCAIIAggCCAIIAggCCAIIAggCCAIIAggCCAIIAggCCAITAgMCaHNxAH4AAAAAAAJzcQB+AAT///////////////7////+/////3VxAH4ABwAAAAQqJk8LeHh3igIeAAI3AgICAwIEAgUCBgIHAggCCQI9AgsCOAINAggCCAIIAggCCAIIAggCCAIIAggCCAIIAggCCAIIAggCCAITAgMCQAIeAAI3AgICNQIEAgUCBgIHAggCCQI9AgsCOAINAggCCAIIAggCCAIIAggCCAIIAggCCAIIAggCCAIIAggCCAITAgMCaXNxAH4AAAAAAAJzcQB+AAT///////////////7////+/////3VxAH4ABwAAAAMSjtR4eHdNAh4AAjcCAgJqAAYyMDE2MDYCBAIFAgYCBwIIAgkCCgILAjgCDQIIAggCCAIIAggCCAIIAggCCAIIAggCCAIIAggCCAIIAggCEwIDAmtzcQB+AAAAAAACc3EAfgAE///////////////+/////v////91cQB+AAcAAAAEAWTK8nh4d0UCHgACNwICAgMCBAIFAgYCBwIIAgkCOwILAjgCDQIIAggCCAIIAggCCAIIAggCCAIIAggCCAIIAggCCAIIAggCEwIDAmxzcQB+AAAAAAACc3EAfgAE///////////////+/////v////91cQB+AAcAAAAEHCN8kHh4d00CHgACNwICAm0ABjIwMTYxMgIEAgUCBgIHAggCCQIKAgsCOAINAggCCAIIAggCCAIIAggCCAIIAggCCAIIAggCCAIIAggCCAITAgMCbnNxAH4AAAAAAAJzcQB+AAT///////////////7////+/////3VxAH4ABwAAAAQdEKl0eHh3RQIeAAI3AgICMwIEAgUCBgIHAggCCQIKAgsCOAINAggCCAIIAggCCAIIAggCCAIIAggCCAIIAggCCAIIAggCCAITAgMCb3NxAH4AAAAAAAJzcQB+AAT///////////////7////+/////3VxAH4ABwAAAAQBbUrSeHh3TQIeAAI3AgICcAAGMjAxNjA1AgQCBQIGAgcCCAIJAgoCCwI4Ag0CCAIIAggCCAIIAggCCAIIAggCCAIIAggCCAIIAggCCAIIAhMCAwJxc3EAfgAAAAAAAnNxAH4ABP///////////////v////7/////dXEAfgAHAAAABAHNSnd4eHdFAh4AAjcCAgIvAgQCBQIGAgcCCAIJAj0CCwI4Ag0CCAIIAggCCAIIAggCCAIIAggCCAIIAggCCAIIAggCCAIIAhMCAwJyc3EAfgAAAAAAAnNxAH4ABP///////////////v////7/////dXEAfgAHAAAAAxKmonh4d0UCHgACNwICAlwCBAIFAgYCBwIIAgkCOwILAjgCDQIIAggCCAIIAggCCAIIAggCCAIIAggCCAIIAggCCAIIAggCEwIDAnNzcQB+AAAAAAACc3EAfgAE///////////////+/////v////91cQB+AAcAAAAEC9ESdHh4d0UCHgACNwICAmUCBAIFAgYCBwIIAgkCPQILAjgCDQIIAggCCAIIAggCCAIIAggCCAIIAggCCAIIAggCCAIIAggCEwIDAnRzcQB+AAAAAAACc3EAfgAE///////////////+/////v////91cQB+AAcAAAADEl+UeHh3RQIeAAI3AgICcAIEAgUCBgIHAggCCQI7AgsCOAINAggCCAIIAggCCAIIAggCCAIIAggCCAIIAggCCAIIAggCCAITAgMCdXNxAH4AAAAAAAJzcQB+AAT///////////////7////+/////3VxAH4ABwAAAAQmLzLCeHh3RQIeAAI3AgICJwIEAgUCBgIHAggCCQI9AgsCOAINAggCCAIIAggCCAIIAggCCAIIAggCCAIIAggCCAIIAggCCAITAgMCdnNxAH4AAAAAAAJzcQB+AAT///////////////7////+/////3VxAH4ABwAAAAMSksp4eHdFAh4AAjcCAgJYAgQCBQIGAgcCCAIJAgoCCwI4Ag0CCAIIAggCCAIIAggCCAIIAggCCAIIAggCCAIIAggCCAIIAhMCAwJ3c3EAfgAAAAAAAnNxAH4ABP///////////////v////7/////dXEAfgAHAAAABAEGlGB4eHeKAh4AAjcCAgIxAgQCBQIGAgcCCAIJAj0CCwI4Ag0CCAIIAggCCAIIAggCCAIIAggCCAIIAggCCAIIAggCCAIIAhMCAwJAAh4AAjcCAgIzAgQCBQIGAgcCCAIJAjsCCwI4Ag0CCAIIAggCCAIIAggCCAIIAggCCAIIAggCCAIIAggCCAIIAhMCAwJ4c3EAfgAAAAAAAnNxAH4ABP///////////////v////7/////dXEAfgAHAAAABCoLRiF4eHdFAh4AAjcCAgIxAgQCBQIGAgcCCAIJAjsCCwI4Ag0CCAIIAggCCAIIAggCCAIIAggCCAIIAggCCAIIAggCCAIIAhMCAwJ5c3EAfgAAAAAAAnNxAH4ABP///////////////v////7/////dXEAfgAHAAAABCQ0bfR4eHdFAh4AAjcCAgIfAgQCBQIGAgcCCAIJAgoCCwI4Ag0CCAIIAggCCAIIAggCCAIIAggCCAIIAggCCAIIAggCCAIIAhMCAwJ6c3EAfgAAAAAAAnNxAH4ABP///////////////v////7/////dXEAfgAHAAAAA064Cnh4d0UCHgACNwICAnACBAIFAgYCBwIIAgkCPQILAjgCDQIIAggCCAIIAggCCAIIAggCCAIIAggCCAIIAggCCAIIAggCEwIDAntzcQB+AAAAAAACc3EAfgAE///////////////+/////v////91cQB+AAcAAAADEmN/eHh3RQIeAAI3AgICbQIEAgUCBgIHAggCCQI7AgsCOAINAggCCAIIAggCCAIIAggCCAIIAggCCAIIAggCCAIIAggCCAITAgMCfHNxAH4AAAAAAAJzcQB+AAT///////////////7////+/////3VxAH4ABwAAAAQVrLWfeHh3RQIeAAI3AgICHwIEAgUCBgIHAggCCQI7AgsCOAINAggCCAIIAggCCAIIAggCCAIIAggCCAIIAggCCAIIAggCCAITAgMCfXNxAH4AAAAAAAJzcQB+AAT///////////////7////+/////3VxAH4ABwAAAAQukYUreHh3RQIeAAI3AgICbQIEAgUCBgIHAggCCQI9AgsCOAINAggCCAIIAggCCAIIAggCCAIIAggCCAIIAggCCAIIAggCCAITAgMCfnNxAH4AAAAAAAJzcQB+AAT///////////////7////+/////3VxAH4ABwAAAAMSfwZ4eHeKAh4AAjcCAgIjAgQCBQIGAgcCCAIJAj0CCwI4Ag0CCAIIAggCCAIIAggCCAIIAggCCAIIAggCCAIIAggCCAIIAhMCAwJAAh4AAjcCAgJqAgQCBQIGAgcCCAIJAjsCCwI4Ag0CCAIIAggCCAIIAggCCAIIAggCCAIIAggCCAIIAggCCAIIAhMCAwJ/c3EAfgAAAAAAAnNxAH4ABP///////////////v////7/////dXEAfgAHAAAABCsQC1F4eHdFAh4AAjcCAgIhAgQCBQIGAgcCCAIJAj0CCwI4Ag0CCAIIAggCCAIIAggCCAIIAggCCAIIAggCCAIIAggCCAIIAhMCAwKAc3EAfgAAAAAAAnNxAH4ABP///////////////v////7/////dXEAfgAHAAAAAxKG63h4d0UCHgACNwICAiECBAIFAgYCBwIIAgkCOwILAjgCDQIIAggCCAIIAggCCAIIAggCCAIIAggCCAIIAggCCAIIAggCEwIDAoFzcQB+AAAAAAACc3EAfgAE///////////////+/////v////91cQB+AAcAAAAEIgqsMXh4d0UCHgACNwICAmICBAIFAgYCBwIIAgkCCgILAjgCDQIIAggCCAIIAggCCAIIAggCCAIIAggCCAIIAggCCAIIAggCEwIDAoJzcQB+AAAAAAACc3EAfgAE///////////////+/////gAAAAF1cQB+AAcAAAADuXJ8eHh3RQIeAAI3AgICHwIEAgUCBgIHAggCCQI9AgsCOAINAggCCAIIAggCCAIIAggCCAIIAggCCAIIAggCCAIIAggCCAITAgMCg3NxAH4AAAAAAAJzcQB+AAT///////////////7////+/////3VxAH4ABwAAAAMSmrd4eHdFAh4AAjcCAgJqAgQCBQIGAgcCCAIJAj0CCwI4Ag0CCAIIAggCCAIIAggCCAIIAggCCAIIAggCCAIIAggCCAIIAhMCAwKEc3EAfgAAAAAAAnNxAH4ABP///////////////v////7/////dXEAfgAHAAAAAxJna3h4d0UCHgACNwICAiMCBAIFAgYCBwIIAgkCOwILAjgCDQIIAggCCAIIAggCCAIIAggCCAIIAggCCAIIAggCCAIIAggCEwIDAoVzcQB+AAAAAAACc3EAfgAE///////////////+/////v////91cQB+AAcAAAAEKsKx+Hh4d0UCHgACNwICAgMCBAIFAgYCBwIIAgkCCgILAjgCDQIIAggCCAIIAggCCAIIAggCCAIIAggCCAIIAggCCAIIAggCEwIDAoZzcQB+AAAAAAACc3EAfgAE///////////////+/////v////91cQB+AAcAAAAEHsB0bHh4d0UCHgACNwICAikCBAIFAgYCBwIIAgkCCgILAjgCDQIIAggCCAIIAggCCAIIAggCCAIIAggCCAIIAggCCAIIAggCEwIDAodzcQB+AAAAAAACc3EAfgAE///////////////+/////gAAAAF1cQB+AAcAAAAD/4leeHh3RQIeAAI3AgICGwIEAgUCBgIHAggCCQIKAgsCOAINAggCCAIIAggCCAIIAggCCAIIAggCCAIIAggCCAIIAggCCAITAgMCiHNxAH4AAAAAAAJzcQB+AAT///////////////7////+/////3VxAH4ABwAAAAQQposkeHh3RQIeAAI3AgICXAIEAgUCBgIHAggCCQI9AgsCOAINAggCCAIIAggCCAIIAggCCAIIAggCCAIIAggCCAIIAggCCAITAgMCiXNxAH4AAAAAAAJzcQB+AAT///////////////7////+/////3VxAH4ABwAAAAMSexV4eHdFAh4AAjcCAgJFAgQCBQIGAgcCCAIJAgoCCwI4Ag0CCAIIAggCCAIIAggCCAIIAggCCAIIAggCCAIIAggCCAIIAhMCAwKKc3EAfgAAAAAAAnNxAH4ABP///////////////v////7/////dXEAfgAHAAAAAzL3EXh4d0UCHgACNwICAjUCBAIFAgYCBwIIAgkCOwILAjgCDQIIAggCCAIIAggCCAIIAggCCAIIAggCCAIIAggCCAIIAggCEwIDAotzcQB+AAAAAAACc3EAfgAE///////////////+/////v////91cQB+AAcAAAAEKeDlE3h4d0UCHgACNwICAmUCBAIFAgYCBwIIAgkCCgILAjgCDQIIAggCCAIIAggCCAIIAggCCAIIAggCCAIIAggCCAIIAggCEwIDAoxzcQB+AAAAAAACc3EAfgAE///////////////+/////v////91cQB+AAcAAAAEAlAe6Xh4d0UCHgACNwICAi8CBAIFAgYCBwIIAgkCOwILAjgCDQIIAggCCAIIAggCCAIIAggCCAIIAggCCAIIAggCCAIIAggCEwIDAo1zcQB+AAAAAAACc3EAfgAE///////////////+/////v////91cQB+AAcAAAAEQ0RN4Hh4d0UCHgACNwICAk8CBAIFAgYCBwIIAgkCOwILAjgCDQIIAggCCAIIAggCCAIIAggCCAIIAggCCAIIAggCCAIIAggCEwIDAo5zcQB+AAAAAAACc3EAfgAE///////////////+/////v////91cQB+AAcAAAAEHq4JT3h4d0UCHgACNwICAicCBAIFAgYCBwIIAgkCCgILAjgCDQIIAggCCAIIAggCCAIIAggCCAIIAggCCAIIAggCCAIIAggCEwIDAo9zcQB+AAAAAAACc3EAfgAE///////////////+/////v////91cQB+AAcAAAAEAtdnVHh4d1gCHgACkAAJNTY5NjExMzM2AgICHQIEAgUCBgIHAggCCQKRAAYxOTEwMjUCCwIMAg0CCAIIAggCCAIIAggCCAIIAggCCAIIAggCCAIIAggCCAIIAhACAwKSc3EAfgAAAAAAAnNxAH4ABP///////////////v////7/////dXEAfgAHAAAAAwQOrnh4d4oCHgACkAICAjUCBAIFAgYCBwIIAgkCCgILAgwCDQIIAggCCAIIAggCCAIIAggCCAIIAggCCAIIAggCCAIIAggCEAIDAjYCHgACkAICAkECBAIFAgYCBwIIAgkCkQILAgwCDQIIAggCCAIIAggCCAIIAggCCAIIAggCCAIIAggCCAIIAggCEAIDApNzcQB+AAAAAAACc3EAfgAE///////////////+/////v////91cQB+AAcAAAADCLaceHh3kgIeAAKQAgICAwIEAgUCBgIHAggCCQIKAgsCDAINAggCCAIIAggCCAIIAggCCAIIAggCCAIIAggCCAIIAggCCAIQAgMCDgIeAAKQAgIClAAGMjAxODA0AgQCBQIGAgcCCAIJAjsCCwIMAg0CCAIIAggCCAIIAggCCAIIAggCCAIIAggCCAIIAggCCAIIAhACAwKVc3EAfgAAAAAAAnNxAH4ABP///////////////v////7/////dXEAfgAHAAAABFqpyF94eHdFAh4AApACAgIlAgQCBQIGAgcCCAIJAjsCCwIMAg0CCAIIAggCCAIIAggCCAIIAggCCAIIAggCCAIIAggCCAIIAhACAwKWc3EAfgAAAAAAAnNxAH4ABP///////////////v////7/////dXEAfgAHAAAABFNjmyZ4eHdFAh4AApACAgJJAgQCBQIGAgcCCAIJAjsCCwIMAg0CCAIIAggCCAIIAggCCAIIAggCCAIIAggCCAIIAggCCAIIAhACAwKXc3EAfgAAAAAAAnNxAH4ABP///////////////v////7/////dXEAfgAHAAAABDc49U94eHdFAh4AApACAgJlAgQCBQIGAgcCCAIJAgoCCwIMAg0CCAIIAggCCAIIAggCCAIIAggCCAIIAggCCAIIAggCCAIIAhACAwKYc3EAfgAAAAAAAnNxAH4ABP///////////////v////7/////dXEAfgAHAAAABATkMA94eHdFAh4AApACAgIvAgQCBQIGAgcCCAIJAjsCCwIMAg0CCAIIAggCCAIIAggCCAIIAggCCAIIAggCCAIIAggCCAIIAhACAwKZc3EAfgAAAAAAAnNxAH4ABP///////////////v////7/////dXEAfgAHAAAABILciPF4eHeKAh4AApACAgItAgQCBQIGAgcCCAIJApECCwIMAg0CCAIIAggCCAIIAggCCAIIAggCCAIIAggCCAIIAggCCAIIAhACAwJAAh4AApACAgKUAgQCBQIGAgcCCAIJAgoCCwIMAg0CCAIIAggCCAIIAggCCAIIAggCCAIIAggCCAIIAggCCAIIAhACAwKac3EAfgAAAAAAAnNxAH4ABP///////////////v////7/////dXEAfgAHAAAABAcZP5l4eHdFAh4AApACAgIpAgQCBQIGAgcCCAIJApECCwIMAg0CCAIIAggCCAIIAggCCAIIAggCCAIIAggCCAIIAggCCAIIAhACAwKbc3EAfgAAAAAAAnNxAH4ABP///////////////v////7/////dXEAfgAHAAAAAwQlCXh4d0UCHgACkAICAkkCBAIFAgYCBwIIAgkCCgILAgwCDQIIAggCCAIIAggCCAIIAggCCAIIAggCCAIIAggCCAIIAggCEAIDApxzcQB+AAAAAAACc3EAfgAE///////////////+/////v////91cQB+AAcAAAAECCX/sXh4d0UCHgACkAICAisCBAIFAgYCBwIIAgkCkQILAgwCDQIIAggCCAIIAggCCAIIAggCCAIIAggCCAIIAggCCAIIAggCEAIDAp1zcQB+AAAAAAACc3EAfgAE///////////////+/////v////91cQB+AAcAAAADBWT/eHh3RQIeAAKQAgICLQIEAgUCBgIHAggCCQI7AgsCDAINAggCCAIIAggCCAIIAggCCAIIAggCCAIIAggCCAIIAggCCAIQAgMCnnNxAH4AAAAAAAJzcQB+AAT///////////////7////+/////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AAT///////////////7////+/////3VxAH4ABwAAAAMJnn94eHdFAh4AApACAgIjAgQCBQIGAgcCCAIJAjsCCwIMAg0CCAIIAggCCAIIAggCCAIIAggCCAIIAggCCAIIAggCCAIIAhACAwKgc3EAfgAAAAAAAnNxAH4ABP///////////////v////7/////dXEAfgAHAAAABFJ+oxp4eHdFAh4AApACAgIhAgQCBQIGAgcCCAIJAjsCCwIMAg0CCAIIAggCCAIIAggCCAIIAggCCAIIAggCCAIIAggCCAIIAhACAwKhc3EAfgAAAAAAAnNxAH4ABP///////////////v////7/////dXEAfgAHAAAABEmLU8l4eHdFAh4AApACAgJFAgQCBQIGAgcCCAIJAjsCCwIMAg0CCAIIAggCCAIIAggCCAIIAggCCAIIAggCCAIIAggCCAIIAhACAwKic3EAfgAAAAAAAnNxAH4ABP///////////////v////7/////dXEAfgAHAAAABGExCBR4eHdFAh4AApACAgJPAgQCBQIGAgcCCAIJAgoCCwIMAg0CCAIIAggCCAIIAggCCAIIAggCCAIIAggCCAIIAggCCAIIAhACAwKjc3EAfgAAAAAAAnNxAH4ABP///////////////v////7/////dXEAfgAHAAAABAXojm54eHdFAh4AApACAgJiAgQCBQIGAgcCCAIJAgoCCwIMAg0CCAIIAggCCAIIAggCCAIIAggCCAIIAggCCAIIAggCCAIIAhACAwKkc3EAfgAAAAAAAnNxAH4ABP///////////////v////7/////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AAAAAAACc3EAfgAE///////////////+/////v////91cQB+AAcAAAAEO4uIvXh4d4oCHgACkAICAh8CBAIFAgYCBwIIAgkCCgILAgwCDQIIAggCCAIIAggCCAIIAggCCAIIAggCCAIIAggCCAIIAggCEAIDAiACHgACkAICAlwCBAIFAgYCBwIIAgkCOwILAgwCDQIIAggCCAIIAggCCAIIAggCCAIIAggCCAIIAggCCAIIAggCEAIDAqZzcQB+AAAAAAACc3EAfgAE///////////////+/////v////91cQB+AAcAAAAEElQVqnh4d0UCHgACkAICAiUCBAIFAgYCBwIIAgkCkQILAgwCDQIIAggCCAIIAggCCAIIAggCCAIIAggCCAIIAggCCAIIAggCEAIDAqdzcQB+AAAAAAACc3EAfgAE///////////////+/////v////91cQB+AAcAAAADBKuXeHh3RQIeAAKQAgICHQIEAgUCBgIHAggCCQI7AgsCDAINAggCCAIIAggCCAIIAggCCAIIAggCCAIIAggCCAIIAggCCAIQAgMCqHNxAH4AAAAAAAJzcQB+AAT///////////////7////+/////3VxAH4ABwAAAARxBllJeHh3RQIeAAKQAgICKwIEAgUCBgIHAggCCQI7AgsCDAINAggCCAIIAggCCAIIAggCCAIIAggCCAIIAggCCAIIAggCCAIQAgMCqXNxAH4AAAAAAAJzcQB+AAT///////////////7////+/////3VxAH4ABwAAAAQ9FTt2eHh3RQIeAAKQAgICagIEAgUCBgIHAggCCQIKAgsCDAINAggCCAIIAggCCAIIAggCCAIIAggCCAIIAggCCAIIAggCCAIQAgMCqnNxAH4AAAAAAAJzcQB+AAT///////////////7////+/////3VxAH4ABwAAAAQDq4uteHh3RQIeAAKQAgICQQIEAgUCBgIHAggCCQI7AgsCDAINAggCCAIIAggCCAIIAggCCAIIAggCCAIIAggCCAIIAggCCAIQAgMCq3NxAH4AAAAAAAJzcQB+AAT///////////////7////+/////3VxAH4ABwAAAARdV1DJeHh3RQIeAAKQAgICMQIEAgUCBgIHAggCCQI7AgsCDAINAggCCAIIAggCCAIIAggCCAIIAggCCAIIAggCCAIIAggCCAIQAgMCrHNxAH4AAAAAAAJzcQB+AAT///////////////7////+/////3VxAH4ABwAAAARCNLx8eHh3igIeAAKQAgIClAIEAgUCBgIHAggCCQKRAgsCDAINAggCCAIIAggCCAIIAggCCAIIAggCCAIIAggCCAIIAggCCAIQAgMCQAIeAAKQAgICRQIEAgUCBgIHAggCCQIKAgsCDAINAggCCAIIAggCCAIIAggCCAIIAggCCAIIAggCCAIIAggCCAIQAgMCrXNxAH4AAAAAAAJzcQB+AAT///////////////7////+/////3VxAH4ABwAAAAQCG6dueHh3RQIeAAKQAgICMwIEAgUCBgIHAggCCQKRAgsCDAINAggCCAIIAggCCAIIAggCCAIIAggCCAIIAggCCAIIAggCCAIQAgMCrnNxAH4AAAAAAAJzcQB+AAT///////////////7////+/////3VxAH4ABwAAAAMEQ3p4eHeKAh4AApACAgInAgQCBQIGAgcCCAIJAgoCCwIMAg0CCAIIAggCCAIIAggCCAIIAggCCAIIAggCCAIIAggCCAIIAhACAwIoAh4AApACAgJwAgQCBQIGAgcCCAIJApECCwIMAg0CCAIIAggCCAIIAggCCAIIAggCCAIIAggCCAIIAggCCAIIAhACAwKvc3EAfgAAAAAAAnNxAH4ABP///////////////v////7/////dXEAfgAHAAAAAwuCrXh4d0UCHgACkAICAkkCBAIFAgYCBwIIAgkCkQILAgwCDQIIAggCCAIIAggCCAIIAggCCAIIAggCCAIIAggCCAIIAggCEAIDArBzcQB+AAAAAAACc3EAfgAE///////////////+/////v////91cQB+AAcAAAADEhXLeHh3RQIeAAKQAgICNQIEAgUCBgIHAggCCQI7AgsCDAINAggCCAIIAggCCAIIAggCCAIIAggCCAIIAggCCAIIAggCCAIQAgMCsXNxAH4AAAAAAAJzcQB+AAT///////////////7////+/////3VxAH4ABwAAAARacNl3eHh3RQIeAAKQAgICTwIEAgUCBgIHAggCCQI7AgsCDAINAggCCAIIAggCCAIIAggCCAIIAggCCAIIAggCCAIIAggCCAIQAgMCsnNxAH4AAAAAAAJzcQB+AAT///////////////7////+/////3VxAH4ABwAAAAQ9+1bieHh3RQIeAAKQAgICHwIEAgUCBgIHAggCCQI7AgsCDAINAggCCAIIAggCCAIIAggCCAIIAggCCAIIAggCCAIIAggCCAIQAgMCs3NxAH4AAAAAAAJzcQB+AAT///////////////7////+/////3VxAH4ABwAAAARe1GL4eHh3RQIeAAKQAgICagIEAgUCBgIHAggCCQI7AgsCDAINAggCCAIIAggCCAIIAggCCAIIAggCCAIIAggCCAIIAggCCAIQAgMCtHNxAH4AAAAAAAJzcQB+AAT///////////////7////+/////3VxAH4ABwAAAARUiEubeHh3RQIeAAKQAgICQQIEAgUCBgIHAggCCQIKAgsCDAINAggCCAIIAggCCAIIAggCCAIIAggCCAIIAggCCAIIAggCCAIQAgMCtXNxAH4AAAAAAAJzcQB+AAT///////////////7////+/////3VxAH4ABwAAAAQCvT+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AAT///////////////7////+/////3VxAH4ABwAAAAMMxv54eHdFAh4AApACAgJiAgQCBQIGAgcCCAIJApECCwIMAg0CCAIIAggCCAIIAggCCAIIAggCCAIIAggCCAIIAggCCAIIAhACAwK3c3EAfgAAAAAAAnNxAH4ABP///////////////v////7/////dXEAfgAHAAAAAwU/r3h4d4oCHgACkAICAh0CBAIFAgYCBwIIAgkCCgILAgwCDQIIAggCCAIIAggCCAIIAggCCAIIAggCCAIIAggCCAIIAggCEAIDAh4CHgACkAICAicCBAIFAgYCBwIIAgkCkQILAgwCDQIIAggCCAIIAggCCAIIAggCCAIIAggCCAIIAggCCAIIAggCEAIDArhzcQB+AAAAAAACc3EAfgAE///////////////+/////v////91cQB+AAcAAAADBFYreHh3RQIeAAKQAgICMwIEAgUCBgIHAggCCQI7AgsCDAINAggCCAIIAggCCAIIAggCCAIIAggCCAIIAggCCAIIAggCCAIQAgMCuXNxAH4AAAAAAAJzcQB+AAT///////////////7////+/////3VxAH4ABwAAAARYCwcseHh3RQIeAAKQAgICcAIEAgUCBgIHAggCCQI7AgsCDAINAggCCAIIAggCCAIIAggCCAIIAggCCAIIAggCCAIIAggCCAIQAgMCunNxAH4AAAAAAAJzcQB+AAT///////////////7////+/////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AAT///////////////7////+/////3VxAH4ABwAAAAMGaCt4eHdFAh4AApACAgJPAgQCBQIGAgcCCAIJApECCwIMAg0CCAIIAggCCAIIAggCCAIIAggCCAIIAggCCAIIAggCCAIIAhACAwK8c3EAfgAAAAAAAnNxAH4ABP///////////////v////7/////dXEAfgAHAAAAAw6D3Xh4d0UCHgACkAICAm0CBAIFAgYCBwIIAgkCOwILAgwCDQIIAggCCAIIAggCCAIIAggCCAIIAggCCAIIAggCCAIIAggCEAIDAr1zcQB+AAAAAAACc3EAfgAE///////////////+/////v////91cQB+AAcAAAAEKKPaWXh4d0UCHgACkAICAjUCBAIFAgYCBwIIAgkCkQILAgwCDQIIAggCCAIIAggCCAIIAggCCAIIAggCCAIIAggCCAIIAggCEAIDAr5zcQB+AAAAAAACc3EAfgAE///////////////+/////v////91cQB+AAcAAAADBHSNeHh3RQIeAAKQAgICWAIEAgUCBgIHAggCCQIKAgsCDAINAggCCAIIAggCCAIIAggCCAIIAggCCAIIAggCCAIIAggCCAIQAgMCv3NxAH4AAAAAAAJzcQB+AAT///////////////7////+/////3VxAH4ABwAAAAQDNpKZeHh3RQIeAAKQAgICHwIEAgUCBgIHAggCCQKRAgsCDAINAggCCAIIAggCCAIIAggCCAIIAggCCAIIAggCCAIIAggCCAIQAgMCwHNxAH4AAAAAAAJzcQB+AAT///////////////7////+/////3VxAH4ABwAAAAMENDh4eHdFAh4AApACAgJqAgQCBQIGAgcCCAIJApECCwIMAg0CCAIIAggCCAIIAggCCAIIAggCCAIIAggCCAIIAggCCAIIAhACAwLBc3EAfgAAAAAAAnNxAH4ABP///////////////v////7/////dXEAfgAHAAAAAwqAVHh4d0UCHgACkAICAhsCBAIFAgYCBwIIAgkCOwILAgwCDQIIAggCCAIIAggCCAIIAggCCAIIAggCCAIIAggCCAIIAggCEAIDAsJzcQB+AAAAAAACc3EAfgAE///////////////+/////v////91cQB+AAcAAAAETu7o2nh4d0UCHgACkAICAm0CBAIFAgYCBwIIAgkCkQILAgwCDQIIAggCCAIIAggCCAIIAggCCAIIAggCCAIIAggCCAIIAggCEAIDAsNzcQB+AAAAAAACc3EAfgAE///////////////+/////v////91cQB+AAcAAAADBtyTeHh3RQIeAAKQAgICJwIEAgUCBgIHAggCCQI7AgsCDAINAggCCAIIAggCCAIIAggCCAIIAggCCAIIAggCCAIIAggCCAIQAgMCxHNxAH4AAAAAAAJzcQB+AAT///////////////7////+/////3VxAH4ABwAAAARZ/eXyeHh3RQIeAAKQAgICZQIEAgUCBgIHAggCCQI7AgsCDAINAggCCAIIAggCCAIIAggCCAIIAggCCAIIAggCCAIIAggCCAIQAgMCxXNxAH4AAAAAAAJzcQB+AAT///////////////7////+/////3VxAH4ABwAAAARIcHiveHh3RQIeAAKQAgICLwIEAgUCBgIHAggCCQKRAgsCDAINAggCCAIIAggCCAIIAggCCAIIAggCCAIIAggCCAIIAggCCAIQAgMCxnNxAH4AAAAAAAJzcQB+AAT///////////////7////+/////3VxAH4ABwAAAAMD3Kt4eHeKAh4AApACAgIxAgQCBQIGAgcCCAIJAgoCCwIMAg0CCAIIAggCCAIIAggCCAIIAggCCAIIAggCCAIIAggCCAIIAhACAwIyAh4AApACAgJcAgQCBQIGAgcCCAIJAgoCCwIMAg0CCAIIAggCCAIIAggCCAIIAggCCAIIAggCCAIIAggCCAIIAhACAwLHc3EAfgAAAAAAAnNxAH4ABP///////////////v////7/////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v////7/////dXEAfgAHAAAAAweN1Hh4d4oCHgACkAICAjMCBAIFAgYCBwIIAgkCCgILAgwCDQIIAggCCAIIAggCCAIIAggCCAIIAggCCAIIAggCCAIIAggCEAIDAjQCHgACkAICAnACBAIFAgYCBwIIAgkCCgILAgwCDQIIAggCCAIIAggCCAIIAggCCAIIAggCCAIIAggCCAIIAggCEAIDAslzcQB+AAAAAAACc3EAfgAE///////////////+/////v////91cQB+AAcAAAAEBDaJ43h4d0UCHgACkAICAiECBAIFAgYCBwIIAgkCkQILAgwCDQIIAggCCAIIAggCCAIIAggCCAIIAggCCAIIAggCCAIIAggCEAIDAspzcQB+AAAAAAACc3EAfgAE///////////////+/////v////91cQB+AAcAAAADBPtoeHh3RQIeAAKQAgICAwIEAgUCBgIHAggCCQI7AgsCDAINAggCCAIIAggCCAIIAggCCAIIAggCCAIIAggCCAIIAggCCAIQAgMCy3NxAH4AAAAAAAJzcQB+AAT///////////////7////+/////3VxAH4ABwAAAAQw0KqzeHh3RQIeAAKQAgICYgIEAgUCBgIHAggCCQI7AgsCDAINAggCCAIIAggCCAIIAggCCAIIAggCCAIIAggCCAIIAggCCAIQAgMCzHNxAH4AAAAAAAJzcQB+AAT///////////////7////+/////3VxAH4ABwAAAARijcsWeHh3RQIeAAKQAgICKQIEAgUCBgIHAggCCQI7AgsCDAINAggCCAIIAggCCAIIAggCCAIIAggCCAIIAggCCAIIAggCCAIQAgMCzXNxAH4AAAAAAAJzcQB+AAT///////////////7////+/////3VxAH4ABwAAAARlMUGreHh3RQIeAAKQAgICWAIEAgUCBgIHAggCCQI7AgsCDAINAggCCAIIAggCCAIIAggCCAIIAggCCAIIAggCCAIIAggCCAIQAgMCznNxAH4AAAAAAAJzcQB+AAT///////////////7////+/////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Ah4AAtECAgIrAgQCBQIGAgcCCAIJAj0CCwI4Ag0CCAIIAggCCAIIAggCCAIIAggCCAIIAggCCAIIAggCCAIIAhUCAwJHAh4AAtECAgIdAgQCBQIGAgcCCAIJAjsCCwI4Ag0CCAIIAggCCAIIAggCCAIIAggCCAIIAggCCAIIAggCCAIIAhUCAwI/Ah4AAtECAgIrAgQCBQIGAgcCCAIJAjsCCwI4Ag0CCAIIAggCCAIIAggCCAIIAggCCAIIAggCCAIIAggCCAIIAhUCAwJIAh4AAtECAgJqAgQCBQIGAgcCCAIJAjsCCwI4Ag0CCAIIAggCCAIIAggCCAIIAggCCAIIAggCCAIIAggCCAIIAhUCAwJ/Ah4AAtECAgIbAgQCBQIGAgcCCAIJAgoCCwI4Ag0CCAIIAggCCAIIAggCCAIIAggCCAIIAggCCAIIAggCCAIIAhUCAwKIAh4AAtECAgJtAgQCBQIGAgcCCAIJAj0CCwI4Ag0CCAIIAggCCAIIAggCCAIIAggCCAIIAggCCAIIAggCCAIIAhUCAwJ+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AAT///////////////7////+/////3VxAH4ABwAAAAQu9BT/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AAT///////////////7////+/////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Ah4AAtgACTU2OTQ5MTkyOAICAtkABjIwMTMxMgIEAgUCBgIHAggCCQKRAgsCDAINAggCCAIIAggCCAIIAggCCAIIAggCCAIIAggCCAIIAggCCAIeAgMC2nNxAH4AAAAAAAJzcQB+AAT///////////////7////+/////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xxe4awand>
</file>

<file path=customXml/item20.xml><?xml version="1.0" encoding="utf-8"?>
<xxe4awand xmlns="http://www.excel4apps.com"><![CDATA[rO0ABXfaCMCtii8CAgTx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xxe4awand>
</file>

<file path=customXml/item21.xml><?xml version="1.0" encoding="utf-8"?>
<xxe4awand xmlns="http://www.excel4apps.com"><![CDATA[rO0ABXfZCMCtii8ABDMHAh4AAERjb20uZXhjZWw0YXBwcy53YW5kLm9yYWNsZS5n
bHdhbmQuY2FsY3VsYXRpb25zLmdldGJhbGFuY2UuR2V0QmFsYW5jZQIBAAk0MDg5
NDg5NzYCAgABMAIDAAYyMDE3MTACBAADWVREAgUAA1VTRAIGAAVUb3RhbAIHAAFB
AggAAAIJAAMwMDECCgAGMTkxMDI1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A9yreHh3VQIeAAIBAgICGwAGMjAxNjA1AgQCBQIGAgcCCAIJAhwABjE5MTAx
MAILAgwCDQIIAggCCAIIAggCCAIIAggCCAIIAggCCAIIAggCCAIIAggCIAIDAh1zcQB+AAAAAAACc3EAfgAE///////////////+/////v////91cQB+AAcAAAAETCsLgHh4d00CHgACAQICAh4ABjIwMTcwMwIEAgUCBgIHAggCCQIKAgsCDAINAggCCAIIAggCCAIIAggCCAIIAggCCAIIAggCCAIIAggCCAIgAgMCH3NxAH4AAAAAAAJzcQB+AAT///////////////7////+/////3VxAH4ABwAAAAMEq5d4eHdNAh4AAgECAgIgAAYyMDE3MDYCBAIFAgYCBwIIAgkCHAILAgwCDQIIAggCCAIIAggCCAIIAggCCAIIAggCCAIIAggCCAIIAggCIAIDAiFzcQB+AAAAAAACc3EAfgAE///////////////+/////v////91cQB+AAcAAAAEWAsHLHh4d00CHgACAQICAiIABjIwMTYxMQIEAgUCBgIHAggCCQIcAgsCDAINAggCCAIIAggCCAIIAggCCAIIAggCCAIIAggCCAIIAggCCAIgAgMCI3NxAH4AAAAAAAJzcQB+AAT///////////////7////+/////3VxAH4ABwAAAAQSVBWqeHh3TQIeAAIBAgICJAAGMjAxNzEyAgQCBQIGAgcCCAIJAhwCCwIMAg0CCAIIAggCCAIIAggCCAIIAggCCAIIAggCCAIIAggCCAIIAiACAwIlc3EAfgAAAAAAAnNxAH4ABP///////////////v////7/////dXEAfgAHAAAABEI0vHx4eHdNAh4AAgECAgImAAYyMDE3MDQCBAIFAgYCBwIIAgkCCgILAgwCDQIIAggCCAIIAggCCAIIAggCCAIIAggCCAIIAggCCAIIAggCIAIDAidzcQB+AAAAAAACc3EAfgAE///////////////+/////v////91cQB+AAcAAAADBHSNeHh3TQIeAAIBAgICKAAGMjAxNzA1AgQCBQIGAgcCCAIJAhwCCwIMAg0CCAIIAggCCAIIAggCCAIIAggCCAIIAggCCAIIAggCCAIIAiACAwIpc3EAfgAAAAAAAnNxAH4ABP///////////////v////7/////dXEAfgAHAAAABFn95fJ4eHdVAh4AAgECAgIqAAYyMDE2MDYCBAIFAgYCBwIIAgkCKwAGMTkxMDAwAgsCDAINAggCCAIIAggCCAIIAggCCAIIAggCCAIIAggCCAIIAggCCAIgAgMCLHNxAH4AAAAAAAJzcQB+AAT///////////////7////+/////3VxAH4ABwAAAAQDq4uteHh3TQIeAAIBAgICLQAGMjAxNzA3AgQCBQIGAgcCCAIJAisCCwIMAg0CCAIIAggCCAIIAggCCAIIAggCCAIIAggCCAIIAggCCAIIAiACAwIuc3EAfgAAAAAAAnNxAH4ABP///////////////v////7/////dXEAfgAHAAAABAIK9vR4eHdNAh4AAgECAgIvAAYyMDE2MDMCBAIFAgYCBwIIAgkCCgILAgwCDQIIAggCCAIIAggCCAIIAggCCAIIAggCCAIIAggCCAIIAggCIAIDAjBzcQB+AAAAAAACc3EAfgAE///////////////+/////v////91cQB+AAcAAAADDoPdeHh3TQIeAAIBAgICMQAGMjAxNjEwAgQCBQIGAgcCCAIJAhwCCwIMAg0CCAIIAggCCAIIAggCCAIIAggCCAIIAggCCAIIAggCCAIIAiACAwIyc3EAfgAAAAAAAnNxAH4ABP///////////////v////7/////dXEAfgAHAAAABGKNyxZ4eHdNAh4AAgECAgIzAAYyMDE3MTECBAIFAgYCBwIIAgkCHAILAgwCDQIIAggCCAIIAggCCAIIAggCCAIIAggCCAIIAggCCAIIAggCIAIDAjRzcQB+AAAAAAACc3EAfgAE///////////////+/////v////91cQB+AAcAAAAEMNCqs3h4d00CHgACAQICAjUABjIwMTYxMgIEAgUCBgIHAggCCQIrAgsCDAINAggCCAIIAggCCAIIAggCCAIIAggCCAIIAggCCAIIAggCCAIgAgMCNnNxAH4AAAAAAAJzcQB+AAT///////////////7////+/////3VxAH4ABwAAAAQ7i4i9eHh3TQIeAAIBAgICNwAGMjAxNzAyAgQCBQIGAgcCCAIJAgoCCwIMAg0CCAIIAggCCAIIAggCCAIIAggCCAIIAggCCAIIAggCCAIIAiACAwI4c3EAfgAAAAAAAnNxAH4ABP///////////////v////7/////dXEAfgAHAAAAAwT7aHh4d00CHgACAQICAjkABjIwMTYwNAIEAgUCBgIHAggCCQIcAgsCDAINAggCCAIIAggCCAIIAggCCAIIAggCCAIIAggCCAIIAggCCAIgAgMCOnNxAH4AAAAAAAJzcQB+AAT///////////////7////+/////3VxAH4ABwAAAARIcHiveHh3RQIeAAIBAgICJgIEAgUCBgIHAggCCQIcAgsCDAINAggCCAIIAggCCAIIAggCCAIIAggCCAIIAggCCAIIAggCCAIgAgMCO3NxAH4AAAAAAAJzcQB+AAT///////////////7////+/////3VxAH4ABwAAAARacNl3eHh3RQIeAAIBAgICGwIEAgUCBgIHAggCCQIrAgsCDAINAggCCAIIAggCCAIIAggCCAIIAggCCAIIAggCCAIIAggCCAIgAgMCPHNxAH4AAAAAAAJzcQB+AAT///////////////7////+/////3VxAH4ABwAAAAQENonjeHh3TQIeAAIBAgICPQAGMjAxNjAyAgQCBQIGAgcCCAIJAgoCCwIMAg0CCAIIAggCCAIIAggCCAIIAggCCAIIAggCCAIIAggCCAIIAiACAwI+c3EAfgAAAAAAAnNxAH4ABP///////////////v////7/////dXEAfgAHAAAAAxIVy3h4d0UCHgACAQICAiACBAIFAgYCBwIIAgkCKwILAgwCDQIIAggCCAIIAggCCAIIAggCCAIIAggCCAIIAggCCAIIAggCIAIDAj9zcQB+AAAAAAACc3EAfgAE///////////////+/////v////91cQB+AAcAAAAEA91NIHh4d00CHgACAQICAkAABjIwMTYwNwIEAgUCBgIHAggCCQIcAgsCDAINAggCCAIIAggCCAIIAggCCAIIAggCCAIIAggCCAIIAggCCAIgAgMCQXNxAH4AAAAAAAJzcQB+AAT///////////////7////+/////3VxAH4ABwAAAARaL7WteHh3TQIeAAIBAgICQgAGMjAxNzA4AgQCBQIGAgcCCAIJAhwCCwIMAg0CCAIIAggCCAIIAggCCAIIAggCCAIIAggCCAIIAggCCAIIAiACAwJDc3EAfgAAAAAAAnNxAH4ABP///////////////v////7/////dXEAfgAHAAAABGUxQat4eHdFAh4AAgECAgIiAgQCBQIGAgcCCAIJAisCCwIMAg0CCAIIAggCCAIIAggCCAIIAggCCAIIAggCCAIIAggCCAIIAiACAwJEc3EAfgAAAAAAAnNxAH4ABP///////////////v////7/////dXEAfgAHAAAABExDDhV4eHdFAh4AAgECAgI9AgQCBQIGAgcCCAIJAhwCCwIMAg0CCAIIAggCCAIIAggCCAIIAggCCAIIAggCCAIIAggCCAIIAiACAwJFc3EAfgAAAAAAAnNxAH4ABP///////////////v////7/////dXEAfgAHAAAABDc49U94eHdFAh4AAgECAgIeAgQCBQIGAgcCCAIJAhwCCwIMAg0CCAIIAggCCAIIAggCCAIIAggCCAIIAggCCAIIAggCCAIIAiACAwJGc3EAfgAAAAAAAnNxAH4ABP///////////////v////7/////dXEAfgAHAAAABFNjmyZ4eHdNAh4AAgECAgJHAAYyMDE4MDICBAIFAgYCBwIIAgkCKwILAgwCDQIIAggCCAIIAggCCAIIAggCCAIIAggCCAIIAggCCAIIAggCIAIDAkhzcQB+AAAAAAACc3EAfgAE///////////////+/////v////91cQB+AAcAAAAEGWLnZXh4d0UCHgACAQICAiQCBAIFAgYCBwIIAgkCKwILAgwCDQIIAggCCAIIAggCCAIIAggCCAIIAggCCAIIAggCCAIIAggCIAIDAklzcQB+AAAAAAACc3EAfgAE///////////////+/////v////91cQB+AAcAAAAENEm+I3h4d00CHgACAQICAkoABjIwMTYwOQIEAgUCBgIHAggCCQIKAgsCDAINAggCCAIIAggCCAIIAggCCAIIAggCCAIIAggCCAIIAggCCAIgAgMCS3NxAH4AAAAAAAJzcQB+AAT///////////////7////+/////3VxAH4ABwAAAAMHjdR4eHdNAh4AAgECAgJMAAYyMDE3MDkCBAIFAgYCBwIIAgkCKwILAgwCDQIIAggCCAIIAggCCAIIAggCCAIIAggCCAIIAggCCAIIAggCIAIDAk1zcQB+AAAAAAACc3EAfgAE///////////////+/////gAAAAF1cQB+AAcAAAAEAo6woHh4d00CHgACAQICAk4ABjIwMTcwMQIEAgUCBgIHAggCCQIrAgsCDAINAggCCAIIAggCCAIIAggCCAIIAggCCAIIAggCCAIIAggCCAIgAgMCT3NxAH4AAAAAAAJzcQB+AAT///////////////7////+/////3VxAH4ABwAAAAQo6Ya2eHh3RQIeAAIBAgICNQIEAgUCBgIHAggCCQIKAgsCDAINAggCCAIIAggCCAIIAggCCAIIAggCCAIIAggCCAIIAggCCAIgAgMCUHNxAH4AAAAAAAJzcQB+AAT///////////////7////+/////3VxAH4ABwAAAAMG3JN4eHdFAh4AAgECAgIxAgQCBQIGAgcCCAIJAgoCCwIMAg0CCAIIAggCCAIIAggCCAIIAggCCAIIAggCCAIIAggCCAIIAiACAwJRc3EAfgAAAAAAAnNxAH4ABP///////////////v////7/////dXEAfgAHAAAAAwU/r3h4d0UCHgACAQICAi8CBAIFAgYCBwIIAgkCKwILAgwCDQIIAggCCAIIAggCCAIIAggCCAIIAggCCAIIAggCCAIIAggCIAIDAlJzcQB+AAAAAAACc3EAfgAE///////////////+/////v////91cQB+AAcAAAAEBeiObnh4d0UCHgACAQICAjMCBAIFAgYCBwIIAgkCCgILAgwCDQIIAggCCAIIAggCCAIIAggCCAIIAggCCAIIAggCCAIIAggCIAIDAlNzcQB+AAAAAAACc3EAfgAE///////////////+/////gAAAAB1cQB+AAcAAAAAeHh3TQIeAAIBAgICVAAGMjAxNjA4AgQCBQIGAgcCCAIJAisCCwIMAg0CCAIIAggCCAIIAggCCAIIAggCCAIIAggCCAIIAggCCAIIAiACAwJVc3EAfgAAAAAAAnNxAH4ABP///////////////v////7/////dXEAfgAHAAAABAK9P6R4eHeSAh4AAgECAgJWAAYyMDE4MDECBAIFAgYCBwIIAgkCCgILAgwCDQIIAggCCAIIAggCCAIIAggCCAIIAggCCAIIAggCCAIIAggCIAIDAlMCHgACAQICAigCBAIFAgYCBwIIAgkCCgILAgwCDQIIAggCCAIIAggCCAIIAggCCAIIAggCCAIIAggCCAIIAggCIAIDAldzcQB+AAAAAAACc3EAfgAE///////////////+/////v////91cQB+AAcAAAADBFYreHh3RQIeAAIBAgICOQIEAgUCBgIHAggCCQIKAgsCDAINAggCCAIIAggCCAIIAggCCAIIAggCCAIIAggCCAIIAggCCAIgAgMCWHNxAH4AAAAAAAJzcQB+AAT///////////////7////+/////3VxAH4ABwAAAAMMxv54eHdFAh4AAgECAgImAgQCBQIGAgcCCAIJAisCCwIMAg0CCAIIAggCCAIIAggCCAIIAggCCAIIAggCCAIIAggCCAIIAiACAwJZc3EAfgAAAAAAAnNxAH4ABP///////////////v////7/////dXEAfgAHAAAABAnwakZ4eHdFAh4AAgECAgJCAgQCBQIGAgcCCAIJAgoCCwIMAg0CCAIIAggCCAIIAggCCAIIAggCCAIIAggCCAIIAggCCAIIAiACAwJac3EAfgAAAAAAAnNxAH4ABP///////////////v////7/////dXEAfgAHAAAAAwQlCXh4d0UCHgACAQICAk4CBAIFAgYCBwIIAgkCHAILAgwCDQIIAggCCAIIAggCCAIIAggCCAIIAggCCAIIAggCCAIIAggCIAIDAltzcQB+AAAAAAACc3EAfgAE///////////////+/////v////91cQB+AAcAAAAEPRU7dnh4d0UCHgACAQICAj0CBAIFAgYCBwIIAgkCKwILAgwCDQIIAggCCAIIAggCCAIIAggCCAIIAggCCAIIAggCCAIIAggCIAIDAlxzcQB+AAAAAAACc3EAfgAE///////////////+/////v////91cQB+AAcAAAAECCX/sXh4d0UCHgACAQICAkoCBAIFAgYCBwIIAgkCHAILAgwCDQIIAggCCAIIAggCCAIIAggCCAIIAggCCAIIAggCCAIIAggCIAIDAl1zcQB+AAAAAAACc3EAfgAE///////////////+/////v////91cQB+AAcAAAAEYTEIFHh4d0UCHgACAQICAgMCBAIFAgYCBwIIAgkCKwILAgwCDQIIAggCCAIIAggCCAIIAggCCAIIAggCCAIIAggCCAIIAggCIAIDAl5zcQB+AAAAAAACc3EAfgAE///////////////+/////gAAAAF1cQB+AAcAAAAECQ0V/Xh4d0UCHgACAQICAh4CBAIFAgYCBwIIAgkCKwILAgwCDQIIAggCCAIIAggCCAIIAggCCAIIAggCCAIIAggCCAIIAggCIAIDAl9zcQB+AAAAAAACc3EAfgAE///////////////+/////v////91cQB+AAcAAAAEEP3yI3h4d0UCHgACAQICAkACBAIFAgYCBwIIAgkCCgILAgwCDQIIAggCCAIIAggCCAIIAggCCAIIAggCCAIIAggCCAIIAggCIAIDAmBzcQB+AAAAAAACc3EAfgAE///////////////+/////v////91cQB+AAcAAAADCZ5/eHh3RQIeAAIBAgICRwIEAgUCBgIHAggCCQIcAgsCDAINAggCCAIIAggCCAIIAggCCAIIAggCCAIIAggCCAIIAggCCAIgAgMCYXNxAH4AAAAAAAJzcQB+AAT///////////////7////+/////3VxAH4ABwAAAARPKnH5eHh3RQIeAAIBAgICTAIEAgUCBgIHAggCCQIcAgsCDAINAggCCAIIAggCCAIIAggCCAIIAggCCAIIAggCCAIIAggCCAIgAgMCYnNxAH4AAAAAAAJzcQB+AAT///////////////7////+/////3VxAH4ABwAAAARxBllJeHh3RQIeAAIBAgICLQIEAgUCBgIHAggCCQIKAgsCDAINAggCCAIIAggCCAIIAggCCAIIAggCCAIIAggCCAIIAggCCAIgAgMCY3NxAH4AAAAAAAJzcQB+AAT///////////////7////+/////3VxAH4ABwAAAAMENDh4eHdFAh4AAgECAgJUAgQCBQIGAgcCCAIJAhwCCwIMAg0CCAIIAggCCAIIAggCCAIIAggCCAIIAggCCAIIAggCCAIIAiACAwJkc3EAfgAAAAAAAnNxAH4ABP///////////////v////7/////dXEAfgAHAAAABF1XUMl4eHdFAh4AAgECAgI3AgQCBQIGAgcCCAIJAisCCwIMAg0CCAIIAggCCAIIAggCCAIIAggCCAIIAggCCAIIAggCCAIIAiACAwJlc3EAfgAAAAAAAnNxAH4ABP///////////////v////7/////dXEAfgAHAAAABBtHMdN4eHdFAh4AAgECAgIqAgQCBQIGAgcCCAIJAgoCCwIMAg0CCAIIAggCCAIIAggCCAIIAggCCAIIAggCCAIIAggCCAIIAiACAwJmc3EAfgAAAAAAAnNxAH4ABP///////////////v////7/////dXEAfgAHAAAAAwqAVHh4d0UCHgACAQICAlYCBAIFAgYCBwIIAgkCHAILAgwCDQIIAggCCAIIAggCCAIIAggCCAIIAggCCAIIAggCCAIIAggCIAIDAmdzcQB+AAAAAAACc3EAfgAE///////////////+/////v////91cQB+AAcAAAAETu7o2nh4d0UCHgACAQICAk4CBAIFAgYCBwIIAgkCCgILAgwCDQIIAggCCAIIAggCCAIIAggCCAIIAggCCAIIAggCCAIIAggCIAIDAmhzcQB+AAAAAAACc3EAfgAE///////////////+/////v////91cQB+AAcAAAADBWT/eHh3igIeAAIBAgICRwIEAgUCBgIHAggCCQIKAgsCDAINAggCCAIIAggCCAIIAggCCAIIAggCCAIIAggCCAIIAggCCAIgAgMCUwIeAAIBAgICAwIEAgUCBgIHAggCCQIcAgsCDAINAggCCAIIAggCCAIIAggCCAIIAggCCAIIAggCCAIIAggCCAIgAgMCaXNxAH4AAAAAAAJzcQB+AAT///////////////7////+/////3VxAH4ABwAAAASC3IjxeHh3RQIeAAIBAgICSgIEAgUCBgIHAggCCQIrAgsCDAINAggCCAIIAggCCAIIAggCCAIIAggCCAIIAggCCAIIAggCCAIgAgMCanNxAH4AAAAAAAJzcQB+AAT///////////////7////+/////3VxAH4ABwAAAAQCG6dueHh3igIeAAIBAgICJAIEAgUCBgIHAggCCQIKAgsCDAINAggCCAIIAggCCAIIAggCCAIIAggCCAIIAggCCAIIAggCCAIgAgMCUwIeAAIBAgICOQIEAgUCBgIHAggCCQIrAgsCDAINAggCCAIIAggCCAIIAggCCAIIAggCCAIIAggCCAIIAggCCAIgAgMCa3NxAH4AAAAAAAJzcQB+AAT///////////////7////+/////3VxAH4ABwAAAAQE5DAPeHh3RQIeAAIBAgICLwIEAgUCBgIHAggCCQIcAgsCDAINAggCCAIIAggCCAIIAggCCAIIAggCCAIIAggCCAIIAggCCAIgAgMCbHNxAH4AAAAAAAJzcQB+AAT///////////////7////+/////3VxAH4ABwAAAAQ9+1bieHh3RQIeAAIBAgICIAIEAgUCBgIHAggCCQIKAgsCDAINAggCCAIIAggCCAIIAggCCAIIAggCCAIIAggCCAIIAggCCAIgAgMCbXNxAH4AAAAAAAJzcQB+AAT///////////////7////+/////3VxAH4ABwAAAAMEQ3p4eHdFAh4AAgECAgIbAgQCBQIGAgcCCAIJAgoCCwIMAg0CCAIIAggCCAIIAggCCAIIAggCCAIIAggCCAIIAggCCAIIAiACAwJuc3EAfgAAAAAAAnNxAH4ABP///////////////v////7/////dXEAfgAHAAAAAwuCrXh4d0UCHgACAQICAigCBAIFAgYCBwIIAgkCKwILAgwCDQIIAggCCAIIAggCCAIIAggCCAIIAggCCAIIAggCCAIIAggCIAIDAm9zcQB+AAAAAAACc3EAfgAE///////////////+/////v////91cQB+AAcAAAAEBiEYhXh4d0UCHgACAQICAkwCBAIFAgYCBwIIAgkCCgILAgwCDQIIAggCCAIIAggCCAIIAggCCAIIAggCCAIIAggCCAIIAggCIAIDAnBzcQB+AAAAAAACc3EAfgAE///////////////+/////v////91cQB+AAcAAAADBA6ueHh3RQIeAAIBAgICLQIEAgUCBgIHAggCCQIcAgsCDAINAggCCAIIAggCCAIIAggCCAIIAggCCAIIAggCCAIIAggCCAIgAgMCcXNxAH4AAAAAAAJzcQB+AAT///////////////7////+/////3VxAH4ABwAAAARe1GL4eHh3RQIeAAIBAgICNwIEAgUCBgIHAggCCQIcAgsCDAINAggCCAIIAggCCAIIAggCCAIIAggCCAIIAggCCAIIAggCCAIgAgMCcnNxAH4AAAAAAAJzcQB+AAT///////////////7////+/////3VxAH4ABwAAAARJi1PJeHh3RQIeAAIBAgICNQIEAgUCBgIHAggCCQIcAgsCDAINAggCCAIIAggCCAIIAggCCAIIAggCCAIIAggCCAIIAggCCAIgAgMCc3NxAH4AAAAAAAJzcQB+AAT///////////////7////+/////3VxAH4ABwAAAAQoo9pZeHh3RQIeAAIBAgICKgIEAgUCBgIHAggCCQIcAgsCDAINAggCCAIIAggCCAIIAggCCAIIAggCCAIIAggCCAIIAggCCAIgAgMCdHNxAH4AAAAAAAJzcQB+AAT///////////////7////+/////3VxAH4ABwAAAARUiEubeHh3RQIeAAIBAgICMQIEAgUCBgIHAggCCQIrAgsCDAINAggCCAIIAggCCAIIAggCCAIIAggCCAIIAggCCAIIAggCCAIgAgMCdXNxAH4AAAAAAAJzcQB+AAT///////////////7////+/////3VxAH4ABwAAAAO8XLJ4eHdFAh4AAgECAgJAAgQCBQIGAgcCCAIJAisCCwIMAg0CCAIIAggCCAIIAggCCAIIAggCCAIIAggCCAIIAggCCAIIAiACAwJ2c3EAfgAAAAAAAnNxAH4ABP///////////////v////7/////dXEAfgAHAAAABAM2kpl4eHdFAh4AAgECAgJWAgQCBQIGAgcCCAIJAisCCwIMAg0CCAIIAggCCAIIAggCCAIIAggCCAIIAggCCAIIAggCCAIIAiACAwJ3c3EAfgAAAAAAAnNxAH4ABP///////////////v////7/////dXEAfgAHAAAABCZxo1d4eHdFAh4AAgECAgIzAgQCBQIGAgcCCAIJAisCCwIMAg0CCAIIAggCCAIIAggCCAIIAggCCAIIAggCCAIIAggCCAIIAiACAwJ4c3EAfgAAAAAAAnNxAH4ABP///////////////v////7/////dXEAfgAHAAAABES6V7x4eHdFAh4AAgECAgIiAgQCBQIGAgcCCAIJAgoCCwIMAg0CCAIIAggCCAIIAggCCAIIAggCCAIIAggCCAIIAggCCAIIAiACAwJ5c3EAfgAAAAAAAnNxAH4ABP///////////////v////7/////dXEAfgAHAAAAAwZoK3h4d0UCHgACAQICAlQCBAIFAgYCBwIIAgkCCgILAgwCDQIIAggCCAIIAggCCAIIAggCCAIIAggCCAIIAggCCAIIAggCIAIDAnpzcQB+AAAAAAACc3EAfgAE///////////////+/////v////91cQB+AAcAAAADCLaceHh3RQIeAAIBAgICQgIEAgUCBgIHAggCCQIrAgsCDAINAggCCAIIAggCCAIIAggCCAIIAggCCAIIAggCCAIIAggCCAIgAgMCe3NxAH4AAAAAAAJzcQB+AAT///////////////7////+/////3VxAH4ABwAAAAMylNZ4eHoAAAI7Ah4AAnwACTUzODgxMjgxNgICAkcCBAIFAgYCBwIIAgkCKwILAgwCDQIIAggCCAIIAggCCAIIAggCCAIIAggCCAIIAggCCAIIAggCBAIDAkgCHgACfAICAiQCBAIFAgYCBwIIAgkCKwILAgwCDQIIAggCCAIIAggCCAIIAggCCAIIAggCCAIIAggCCAIIAggCBAIDAkkCHgACfAICAgMCBAIFAgYCBwIIAgkCKwILAgwCDQIIAggCCAIIAggCCAIIAggCCAIIAggCCAIIAggCCAIIAggCBAIDAl4CHgACfAICAh4CBAIFAgYCBwIIAgkCKwILAgwCDQIIAggCCAIIAggCCAIIAggCCAIIAggCCAIIAggCCAIIAggCBAIDAl8CHgACfAICAk4CBAIFAgYCBwIIAgkCKwILAgwCDQIIAggCCAIIAggCCAIIAggCCAIIAggCCAIIAggCCAIIAggCBAIDAk8CHgACfAICAiACBAIFAgYCBwIIAgkCKwILAgwCDQIIAggCCAIIAggCCAIIAggCCAIIAggCCAIIAggCCAIIAggCBAIDAj8CHgACfAICAkICBAIFAgYCBwIIAgkCKwILAgwCDQIIAggCCAIIAggCCAIIAggCCAIIAggCCAIIAggCCAIIAggCBAIDAnsCHgACfAICAn0ABjIwMTgwNQIEAgUCBgIHAggCCQIrAgsCDAINAggCCAIIAggCCAIIAggCCAIIAggCCAIIAggCCAIIAggCCAIEAgMCfnNxAH4AAAAAAAJzcQB+AAT///////////////7////+/////3VxAH4ABwAAAAQESkGVeHh3kgIeAAJ8AgICMwIEAgUCBgIHAggCCQIrAgsCDAINAggCCAIIAggCCAIIAggCCAIIAggCCAIIAggCCAIIAggCCAIEAgMCeAIeAAJ8AgICfwAGMjAxODAzAgQCBQIGAgcCCAIJAisCCwIMAg0CCAIIAggCCAIIAggCCAIIAggCCAIIAggCCAIIAggCCAIIAgQCAwKAc3EAfgAAAAAAAnNxAH4ABP///////////////v////7/////dXEAfgAHAAAABA5TyYx4eHoAAAHrAh4AAnwCAgJWAgQCBQIGAgcCCAIJAisCCwIMAg0CCAIIAggCCAIIAggCCAIIAggCCAIIAggCCAIIAggCCAIIAgQCAwJ3Ah4AAnwCAgItAgQCBQIGAgcCCAIJAisCCwIMAg0CCAIIAggCCAIIAggCCAIIAggCCAIIAggCCAIIAggCCAIIAgQCAwIuAh4AAnwCAgJMAgQCBQIGAgcCCAIJAisCCwIMAg0CCAIIAggCCAIIAggCCAIIAggCCAIIAggCCAIIAggCCAIIAgQCAwJNAh4AAnwCAgIoAgQCBQIGAgcCCAIJAisCCwIMAg0CCAIIAggCCAIIAggCCAIIAggCCAIIAggCCAIIAggCCAIIAgQCAwJvAh4AAnwCAgImAgQCBQIGAgcCCAIJAisCCwIMAg0CCAIIAggCCAIIAggCCAIIAggCCAIIAggCCAIIAggCCAIIAgQCAwJZAh4AAnwCAgI3AgQCBQIGAgcCCAIJAisCCwIMAg0CCAIIAggCCAIIAggCCAIIAggCCAIIAggCCAIIAggCCAIIAgQCAwJlAh4AAnwCAgKBAAYyMDE4MDYCBAIFAgYCBwIIAgkCKwILAgwCDQIIAggCCAIIAggCCAIIAggCCAIIAggCCAIIAggCCAIIAggCBAIDAoJzcQB+AAAAAAACc3EAfgAE///////////////+/////v////91cQB+AAcAAAAEAe561nh4d00CHgACfAICAoMABjIwMTgwNAIEAgUCBgIHAggCCQIrAgsCDAINAggCCAIIAggCCAIIAggCCAIIAggCCAIIAggCCAIIAggCCAIEAgMChHNxAH4AAAAAAAJzcQB+AAT///////////////7////+/////3VxAH4ABwAAAAQHGT+ZeHh3XAIeAAKFAAk1MjYwNTI0MTYCAgIxAgQCBQIGAgcCCAIJAoYABjE5MTAxNQILAocAAklEAg0CCAIIAggCCAIIAggCCAIIAggCCAIIAggCCAIIAggCCAIIAhUCAwKIc3EAfgAAAAAAAnNxAH4ABP///////////////v////7/////dXEAfgAHAAAAAxJ3JXh4d0UCHgAChQICAi0CBAIFAgYCBwIIAgkCKwILAocCDQIIAggCCAIIAggCCAIIAggCCAIIAggCCAIIAggCCAIIAggCFQIDAolzcQB+AAAAAAACc3EAfgAE///////////////+/////v////91cQB+AAcAAAADTrgKeHh3TQIeAAKFAgICigAGMjAxODA3AgQCBQIGAgcCCAIJAisCCwKHAg0CCAIIAggCCAIIAggCCAIIAggCCAIIAggCCAIIAggCCAIIAhUCAwKLc3EAfgAAAAAAAnNxAH4ABP///////////////v////4AAAABdXEAfgAHAAAABALUOOx4eHdFAh4AAoUCAgIiAgQCBQIGAgcCCAIJAhwCCwKHAg0CCAIIAggCCAIIAggCCAIIAggCCAIIAggCCAIIAggCCAIIAhUCAwKMc3EAfgAAAAAAAnNxAH4ABP///////////////v////7/////dXEAfgAHAAAABAvREnR4eHdFAh4AAoUCAgI5AgQCBQIGAgcCCAIJAoYCCwKHAg0CCAIIAggCCAIIAggCCAIIAggCCAIIAggCCAIIAggCCAIIAhUCAwKNc3EAfgAAAAAAAnNxAH4ABP///////////////v////7/////dXEAfgAHAAAAAxJflHh4d0UCHgAChQICAigCBAIFAgYCBwIIAgkCHAILAocCDQIIAggCCAIIAggCCAIIAggCCAIIAggCCAIIAggCCAIIAggCFQIDAo5zcQB+AAAAAAACc3EAfgAE///////////////+/////v////91cQB+AAcAAAAEKiZPC3h4d0UCHgAChQICAgMCBAIFAgYCBwIIAgkChgILAocCDQIIAggCCAIIAggCCAIIAggCCAIIAggCCAIIAggCCAIIAggCFQIDAo9zcQB+AAAAAAACc3EAfgAE///////////////+/////v////91cQB+AAcAAAADEqaieHh3kgIeAAKFAgICgwIEAgUCBgIHAggCCQKGAgsChwINAggCCAIIAggCCAIIAggCCAIIAggCCAIIAggCCAIIAggCCAIVAgMCUwIeAAKFAgICkAAGMjAxODExAgQCBQIGAgcCCAIJAhwCCwKHAg0CCAIIAggCCAIIAggCCAIIAggCCAIIAggCCAIIAggCCAIIAhUCAwKRc3EAfgAAAAAAAnNxAH4ABP///////////////v////7/////dXEAfgAHAAAABD4jPrh4eHdFAh4AAoUCAgIiAgQCBQIGAgcCCAIJAisCCwKHAg0CCAIIAggCCAIIAggCCAIIAggCCAIIAggCCAIIAggCCAIIAhUCAwKSc3EAfgAAAAAAAnNxAH4ABP///////////////v////7/////dXEAfgAHAAAABCWQ0ft4eHdFAh4AAoUCAgJ9AgQCBQIGAgcCCAIJAhwCCwKHAg0CCAIIAggCCAIIAggCCAIIAggCCAIIAggCCAIIAggCCAIIAhUCAwKTc3EAfgAAAAAAAnNxAH4ABP///////////////v////7/////dXEAfgAHAAAABC/+xlx4eHdFAh4AAoUCAgIoAgQCBQIGAgcCCAIJAisCCwKHAg0CCAIIAggCCAIIAggCCAIIAggCCAIIAggCCAIIAggCCAIIAhUCAwKUc3EAfgAAAAAAAnNxAH4ABP///////////////v////7/////dXEAfgAHAAAABALXZ1R4eHdFAh4AAoUCAgIbAgQCBQIGAgcCCAIJAisCCwKHAg0CCAIIAggCCAIIAggCCAIIAggCCAIIAggCCAIIAggCCAIIAhUCAwKVc3EAfgAAAAAAAnNxAH4ABP///////////////v////7/////dXEAfgAHAAAABAHNSnd4eHdFAh4AAoUCAgIzAgQCBQIGAgcCCAIJAhwCCwKHAg0CCAIIAggCCAIIAggCCAIIAggCCAIIAggCCAIIAggCCAIIAhUCAwKWc3EAfgAAAAAAAnNxAH4ABP///////////////v////7/////dXEAfgAHAAAABBwjfJB4eHdFAh4AAoUCAgIvAgQCBQIGAgcCCAIJAhwCCwKHAg0CCAIIAggCCAIIAggCCAIIAggCCAIIAggCCAIIAggCCAIIAhUCAwKXc3EAfgAAAAAAAnNxAH4ABP///////////////v////7/////dXEAfgAHAAAABB6uCU94eHdFAh4AAoUCAgImAgQCBQIGAgcCCAIJAoYCCwKHAg0CCAIIAggCCAIIAggCCAIIAggCCAIIAggCCAIIAggCCAIIAhUCAwKYc3EAfgAAAAAAAnNxAH4ABP///////////////v////7/////dXEAfgAHAAAAAxKO1Hh4d0UCHgAChQICAjUCBAIFAgYCBwIIAgkChgILAocCDQIIAggCCAIIAggCCAIIAggCCAIIAggCCAIIAggCCAIIAggCFQIDAplzcQB+AAAAAAACc3EAfgAE///////////////+/////v////91cQB+AAcAAAADEn8GeHh3RQIeAAKFAgICLQIEAgUCBgIHAggCCQIcAgsChwINAggCCAIIAggCCAIIAggCCAIIAggCCAIIAggCCAIIAggCCAIVAgMCmnNxAH4AAAAAAAJzcQB+AAT///////////////7////+/////3VxAH4ABwAAAAQukYUreHh3RQIeAAKFAgICMwIEAgUCBgIHAggCCQIrAgsChwINAggCCAIIAggCCAIIAggCCAIIAggCCAIIAggCCAIIAggCCAIVAgMCm3NxAH4AAAAAAAJzcQB+AAT///////////////7////+/////3VxAH4ABwAAAAQewHRseHh3RQIeAAKFAgICfwIEAgUCBgIHAggCCQIcAgsChwINAggCCAIIAggCCAIIAggCCAIIAggCCAIIAggCCAIIAggCCAIVAgMCnHNxAH4AAAAAAAJzcQB+AAT///////////////7////+/////3VxAH4ABwAAAAQqwrH4eHh3kgIeAAKFAgICnQAGMjAxODA4AgQCBQIGAgcCCAIJAoYCCwKHAg0CCAIIAggCCAIIAggCCAIIAggCCAIIAggCCAIIAggCCAIIAhUCAwJTAh4AAoUCAgIqAgQCBQIGAgcCCAIJAoYCCwKHAg0CCAIIAggCCAIIAggCCAIIAggCCAIIAggCCAIIAggCCAIIAhUCAwKec3EAfgAAAAAAAnNxAH4ABP///////////////v////7/////dXEAfgAHAAAAAxJna3h4d0UCHgAChQICAkoCBAIFAgYCBwIIAgkChgILAocCDQIIAggCCAIIAggCCAIIAggCCAIIAggCCAIIAggCCAIIAggCFQIDAp9zcQB+AAAAAAACc3EAfgAE///////////////+/////v////91cQB+AAcAAAADEnM1eHh3TQIeAAKFAgICoAAGMjAxODA5AgQCBQIGAgcCCAIJAisCCwKHAg0CCAIIAggCCAIIAggCCAIIAggCCAIIAggCCAIIAggCCAIIAhUCAwKhc3EAfgAAAAAAAnNxAH4ABP///////////////v////4AAAABdXEAfgAHAAAABAV5RUJ4eHeKAh4AAoUCAgKBAgQCBQIGAgcCCAIJAoYCCwKHAg0CCAIIAggCCAIIAggCCAIIAggCCAIIAggCCAIIAggCCAIIAhUCAwJTAh4AAoUCAgIeAgQCBQIGAgcCCAIJAisCCwKHAg0CCAIIAggCCAIIAggCCAIIAggCCAIIAggCCAIIAggCCAIIAhUCAwKic3EAfgAAAAAAAnNxAH4ABP///////////////v////7/////dXEAfgAHAAAABAi9SCF4eHdFAh4AAoUCAgJAAgQCBQIGAgcCCAIJAisCCwKHAg0CCAIIAggCCAIIAggCCAIIAggCCAIIAggCCAIIAggCCAIIAhUCAwKjc3EAfgAAAAAAAnNxAH4ABP///////////////v////7/////dXEAfgAHAAAABAEGlGB4eHdFAh4AAoUCAgI3AgQCBQIGAgcCCAIJAoYCCwKHAg0CCAIIAggCCAIIAggCCAIIAggCCAIIAggCCAIIAggCCAIIAhUCAwKkc3EAfgAAAAAAAnNxAH4ABP///////////////v////7/////dXEAfgAHAAAAAxKG63h4d0UCHgAChQICAn8CBAIFAgYCBwIIAgkCKwILAocCDQIIAggCCAIIAggCCAIIAggCCAIIAggCCAIIAggCCAIIAggCFQIDAqVzcQB+AAAAAAACc3EAfgAE///////////////+/////v////91cQB+AAcAAAAEBOHemXh4d0UCHgAChQICAlQCBAIFAgYCBwIIAgkChgILAocCDQIIAggCCAIIAggCCAIIAggCCAIIAggCCAIIAggCCAIIAggCFQIDAqZzcQB+AAAAAAACc3EAfgAE///////////////+/////v////91cQB+AAcAAAADEm9GeHh3RQIeAAKFAgICVgIEAgUCBgIHAggCCQIcAgsChwINAggCCAIIAggCCAIIAggCCAIIAggCCAIIAggCCAIIAggCCAIVAgMCp3NxAH4AAAAAAAJzcQB+AAT///////////////7////+/////3VxAH4ABwAAAAQpII+FeHh3RQIeAAKFAgICTAIEAgUCBgIHAggCCQIcAgsChwINAggCCAIIAggCCAIIAggCCAIIAggCCAIIAggCCAIIAggCCAIVAgMCqHNxAH4AAAAAAAJzcQB+AAT///////////////7////+/////3VxAH4ABwAAAAQ5RS7+eHh3RQIeAAKFAgICRwIEAgUCBgIHAggCCQIrAgsChwINAggCCAIIAggCCAIIAggCCAIIAggCCAIIAggCCAIIAggCCAIVAgMCqXNxAH4AAAAAAAJzcQB+AAT///////////////7////+/////3VxAH4ABwAAAAQKK9PneHh3igIeAAKFAgICoAIEAgUCBgIHAggCCQKGAgsChwINAggCCAIIAggCCAIIAggCCAIIAggCCAIIAggCCAIIAggCCAIVAgMCUwIeAAKFAgICQAIEAgUCBgIHAggCCQKGAgsChwINAggCCAIIAggCCAIIAggCCAIIAggCCAIIAggCCAIIAggCCAIVAgMCqnNxAH4AAAAAAAJzcQB+AAT///////////////7////+/////3VxAH4ABwAAAAMSa1h4eHdFAh4AAoUCAgJCAgQCBQIGAgcCCAIJAhwCCwKHAg0CCAIIAggCCAIIAggCCAIIAggCCAIIAggCCAIIAggCCAIIAhUCAwKrc3EAfgAAAAAAAnNxAH4ABP///////////////v////7/////dXEAfgAHAAAABDQ5VOh4eHdFAh4AAoUCAgImAgQCBQIGAgcCCAIJAisCCwKHAg0CCAIIAggCCAIIAggCCAIIAggCCAIIAggCCAIIAggCCAIIAhUCAwKsc3EAfgAAAAAAAnNxAH4ABP///////////////v////7/////dXEAfgAHAAAABAUEo0F4eHdFAh4AAoUCAgJMAgQCBQIGAgcCCAIJAisCCwKHAg0CCAIIAggCCAIIAggCCAIIAggCCAIIAggCCAIIAggCCAIIAhUCAwKtc3EAfgAAAAAAAnNxAH4ABP///////////////v////4AAAABdXEAfgAHAAAABAJaEtJ4eHdFAh4AAoUCAgIeAgQCBQIGAgcCCAIJAhwCCwKHAg0CCAIIAggCCAIIAggCCAIIAggCCAIIAggCCAIIAggCCAIIAhUCAwKuc3EAfgAAAAAAAnNxAH4ABP///////////////v////7/////dXEAfgAHAAAABCZ4H3F4eHdFAh4AAoUCAgJOAgQCBQIGAgcCCAIJAoYCCwKHAg0CCAIIAggCCAIIAggCCAIIAggCCAIIAggCCAIIAggCCAIIAhUCAwKvc3EAfgAAAAAAAnNxAH4ABP///////////////v////7/////dXEAfgAHAAAAAxKC+Hh4d4oCHgAChQICAiQCBAIFAgYCBwIIAgkChgILAocCDQIIAggCCAIIAggCCAIIAggCCAIIAggCCAIIAggCCAIIAggCFQIDAlMCHgAChQICAhsCBAIFAgYCBwIIAgkCHAILAocCDQIIAggCCAIIAggCCAIIAggCCAIIAggCCAIIAggCCAIIAggCFQIDArBzcQB+AAAAAAACc3EAfgAE///////////////+/////v////91cQB+AAcAAAAEJi8ywnh4d0UCHgAChQICAj0CBAIFAgYCBwIIAgkChgILAocCDQIIAggCCAIIAggCCAIIAggCCAIIAggCCAIIAggCCAIIAggCFQIDArFzcQB+AAAAAAACc3EAfgAE///////////////+/////v////91cQB+AAcAAAADEle/eHh3RQIeAAKFAgICRwIEAgUCBgIHAggCCQIcAgsChwINAggCCAIIAggCCAIIAggCCAIIAggCCAIIAggCCAIIAggCCAIVAgMCsnNxAH4AAAAAAAJzcQB+AAT///////////////7////+/////3VxAH4ABwAAAAQpRoS2eHh3RQIeAAKFAgICAwIEAgUCBgIHAggCCQIrAgsChwINAggCCAIIAggCCAIIAggCCAIIAggCCAIIAggCCAIIAggCCAIVAgMCs3NxAH4AAAAAAAJzcQB+AAT///////////////7////+AAAAAXVxAH4ABwAAAAQGG1pqeHh3RQIeAAKFAgICigIEAgUCBgIHAggCCQIcAgsChwINAggCCAIIAggCCAIIAggCCAIIAggCCAIIAggCCAIIAggCCAIVAgMCtHNxAH4AAAAAAAJzcQB+AAT///////////////7////+/////3VxAH4ABwAAAAQ1pvvleHh3RQIeAAKFAgICnQIEAgUCBgIHAggCCQIrAgsChwINAggCCAIIAggCCAIIAggCCAIIAggCCAIIAggCCAIIAggCCAIVAgMCtXNxAH4AAAAAAAJzcQB+AAT///////////////7////+AAAAAXVxAH4ABwAAAAQD7jMGeHh3kgIeAAKFAgICtgAGMjAxODEwAgQCBQIGAgcCCAIJAoYCCwKHAg0CCAIIAggCCAIIAggCCAIIAggCCAIIAggCCAIIAggCCAIIAhUCAwJTAh4AAoUCAgIgAgQCBQIGAgcCCAIJAoYCCwKHAg0CCAIIAggCCAIIAggCCAIIAggCCAIIAggCCAIIAggCCAIIAhUCAwK3c3EAfgAAAAAAAnNxAH4ABP///////////////v////7/////dXEAfgAHAAAAAxKWwHh4d0UCHgAChQICAjUCBAIFAgYCBwIIAgkCKwILAocCDQIIAggCCAIIAggCCAIIAggCCAIIAggCCAIIAggCCAIIAggCFQIDArhzcQB+AAAAAAACc3EAfgAE///////////////+/////v////91cQB+AAcAAAAEHRCpdHh4d4oCHgAChQICAn0CBAIFAgYCBwIIAgkChgILAocCDQIIAggCCAIIAggCCAIIAggCCAIIAggCCAIIAggCCAIIAggCFQIDAlMCHgAChQICAi8CBAIFAgYCBwIIAgkChgILAocCDQIIAggCCAIIAggCCAIIAggCCAIIAggCCAIIAggCCAIIAggCFQIDArlzcQB+AAAAAAACc3EAfgAE///////////////+/////v////91cQB+AAcAAAADElupeHh3RQIeAAKFAgICgQIEAgUCBgIHAggCCQIcAgsChwINAggCCAIIAggCCAIIAggCCAIIAggCCAIIAggCCAIIAggCCAIVAgMCunNxAH4AAAAAAAJzcQB+AAT///////////////7////+/////3VxAH4ABwAAAAQw8IEoeHh3RQIeAAKFAgICKgIEAgUCBgIHAggCCQIrAgsChwINAggCCAIIAggCCAIIAggCCAIIAggCCAIIAggCCAIIAggCCAIVAgMCu3NxAH4AAAAAAAJzcQB+AAT///////////////7////+/////3VxAH4ABwAAAAQBZMryeHh3igIeAAKFAgICkAIEAgUCBgIHAggCCQKGAgsChwINAggCCAIIAggCCAIIAggCCAIIAggCCAIIAggCCAIIAggCCAIVAgMCUwIeAAKFAgICOQIEAgUCBgIHAggCCQIcAgsChwINAggCCAIIAggCCAIIAggCCAIIAggCCAIIAggCCAIIAggCCAIVAgMCvHNxAH4AAAAAAAJzcQB+AAT///////////////7////+/////3VxAH4ABwAAAAQjxnj9eHh3RQIeAAKFAgICJAIEAgUCBgIHAggCCQIcAgsChwINAggCCAIIAggCCAIIAggCCAIIAggCCAIIAggCCAIIAggCCAIVAgMCvXNxAH4AAAAAAAJzcQB+AAT///////////////7////+/////3VxAH4ABwAAAAQkNG30eHh3RQIeAAKFAgICKAIEAgUCBgIHAggCCQKGAgsChwINAggCCAIIAggCCAIIAggCCAIIAggCCAIIAggCCAIIAggCCAIVAgMCvnNxAH4AAAAAAAJzcQB+AAT///////////////7////+/////3VxAH4ABwAAAAMSksp4eHdFAh4AAoUCAgIeAgQCBQIGAgcCCAIJAoYCCwKHAg0CCAIIAggCCAIIAggCCAIIAggCCAIIAggCCAIIAggCCAIIAhUCAwK/c3EAfgAAAAAAAnNxAH4ABP///////////////v////7/////dXEAfgAHAAAAAxKK33h4d0UCHgAChQICAiQCBAIFAgYCBwIIAgkCKwILAocCDQIIAggCCAIIAggCCAIIAggCCAIIAggCCAIIAggCCAIIAggCFQIDAsBzcQB+AAAAAAACc3EAfgAE///////////////+/////v////91cQB+AAcAAAAEFreoonh4d0UCHgAChQICAiICBAIFAgYCBwIIAgkChgILAocCDQIIAggCCAIIAggCCAIIAggCCAIIAggCCAIIAggCCAIIAggCFQIDAsFzcQB+AAAAAAACc3EAfgAE///////////////+/////v////91cQB+AAcAAAADEnsVeHh3RQIeAAKFAgICIAIEAgUCBgIHAggCCQIrAgsChwINAggCCAIIAggCCAIIAggCCAIIAggCCAIIAggCCAIIAggCCAIVAgMCwnNxAH4AAAAAAAJzcQB+AAT///////////////7////+/////3VxAH4ABwAAAAQBbUrSeHh3RQIeAAKFAgICgQIEAgUCBgIHAggCCQIrAgsChwINAggCCAIIAggCCAIIAggCCAIIAggCCAIIAggCCAIIAggCCAIVAgMCw3NxAH4AAAAAAAJzcQB+AAT///////////////7////+AAAAAXVxAH4ABwAAAAQBo3C7eHh3RQIeAAKFAgICMQIEAgUCBgIHAggCCQIcAgsChwINAggCCAIIAggCCAIIAggCCAIIAggCCAIIAggCCAIIAggCCAIVAgMCxHNxAH4AAAAAAAJzcQB+AAT///////////////7////+/////3VxAH4ABwAAAAQ0mEcjeHh3RQIeAAKFAgICJgIEAgUCBgIHAggCCQIcAgsChwINAggCCAIIAggCCAIIAggCCAIIAggCCAIIAggCCAIIAggCCAIVAgMCxXNxAH4AAAAAAAJzcQB+AAT///////////////7////+/////3VxAH4ABwAAAAQp4OUTeHh3igIeAAKFAgICMwIEAgUCBgIHAggCCQKGAgsChwINAggCCAIIAggCCAIIAggCCAIIAggCCAIIAggCCAIIAggCCAIVAgMCUwIeAAKFAgICnQIEAgUCBgIHAggCCQIcAgsChwINAggCCAIIAggCCAIIAggCCAIIAggCCAIIAggCCAIIAggCCAIVAgMCxnNxAH4AAAAAAAJzcQB+AAT///////////////7////+/////3VxAH4ABwAAAAQ789EkeHh3RQIeAAKFAgICKgIEAgUCBgIHAggCCQIcAgsChwINAggCCAIIAggCCAIIAggCCAIIAggCCAIIAggCCAIIAggCCAIVAgMCx3NxAH4AAAAAAAJzcQB+AAT///////////////7////+/////3VxAH4ABwAAAAQrEAtReHh3igIeAAKFAgICfwIEAgUCBgIHAggCCQKGAgsChwINAggCCAIIAggCCAIIAggCCAIIAggCCAIIAggCCAIIAggCCAIVAgMCUwIeAAKFAgICVgIEAgUCBgIHAggCCQIrAgsChwINAggCCAIIAggCCAIIAggCCAIIAggCCAIIAggCCAIIAggCCAIVAgMCyHNxAH4AAAAAAAJzcQB+AAT///////////////7////+/////3VxAH4ABwAAAAQQposkeHh3RQIeAAKFAgICOQIEAgUCBgIHAggCCQIrAgsChwINAggCCAIIAggCCAIIAggCCAIIAggCCAIIAggCCAIIAggCCAIVAgMCyXNxAH4AAAAAAAJzcQB+AAT///////////////7////+/////3VxAH4ABwAAAAQCUB7peHh3RQIeAAKFAgICAwIEAgUCBgIHAggCCQIcAgsChwINAggCCAIIAggCCAIIAggCCAIIAggCCAIIAggCCAIIAggCCAIVAgMCynNxAH4AAAAAAAJzcQB+AAT///////////////7////+/////3VxAH4ABwAAAARDRE3geHh3RQIeAAKFAgICLQIEAgUCBgIHAggCCQKGAgsChwINAggCCAIIAggCCAIIAggCCAIIAggCCAIIAggCCAIIAggCCAIVAgMCy3NxAH4AAAAAAAJzcQB+AAT///////////////7////+/////3VxAH4ABwAAAAMSmrd4eHdFAh4AAoUCAgKDAgQCBQIGAgcCCAIJAisCCwKHAg0CCAIIAggCCAIIAggCCAIIAggCCAIIAggCCAIIAggCCAIIAhUCAwLMc3EAfgAAAAAAAnNxAH4ABP///////////////v////7/////dXEAfgAHAAAABAEya894eHdFAh4AAoUCAgI9AgQCBQIGAgcCCAIJAisCCwKHAg0CCAIIAggCCAIIAggCCAIIAggCCAIIAggCCAIIAggCCAIIAhUCAwLNc3EAfgAAAAAAAnNxAH4ABP///////////////v////7/////dXEAfgAHAAAABARbkhB4eHdFAh4AAoUCAgJCAgQCBQIGAgcCCAIJAisCCwKHAg0CCAIIAggCCAIIAggCCAIIAggCCAIIAggCCAIIAggCCAIIAhUCAwLOc3EAfgAAAAAAAnNxAH4ABP///////////////v////4AAAABdXEAfgAHAAAAA/+JXnh4d0UCHgAChQICAjUCBAIFAgYCBwIIAgkCHAILAocCDQIIAggCCAIIAggCCAIIAggCCAIIAggCCAIIAggCCAIIAggCFQIDAs9zcQB+AAAAAAACc3EAfgAE///////////////+/////v////91cQB+AAcAAAAEFay1n3h4d0UCHgAChQICAkoCBAIFAgYCBwIIAgkCHAILAocCDQIIAggCCAIIAggCCAIIAggCCAIIAggCCAIIAggCCAIIAggCFQIDAtBzcQB+AAAAAAACc3EAfgAE///////////////+/////v////91cQB+AAcAAAAEM7yWknh4d0UCHgAChQICAjcCBAIFAgYCBwIIAgkCHAILAocCDQIIAggCCAIIAggCCAIIAggCCAIIAggCCAIIAggCCAIIAggCFQIDAtFzcQB+AAAAAAACc3EAfgAE///////////////+/////v////91cQB+AAcAAAAEIgqsMXh4d0UCHgAChQICAjECBAIFAgYCBwIIAgkCKwILAocCDQIIAggCCAIIAggCCAIIAggCCAIIAggCCAIIAggCCAIIAggCFQIDAtJzcQB+AAAAAAACc3EAfgAE///////////////+/////gAAAAF1cQB+AAcAAAADuXJ8eHh3RQIeAAKFAgICNwIEAgUCBgIHAggCCQIrAgsChwINAggCCAIIAggCCAIIAggCCAIIAggCCAIIAggCCAIIAggCCAIVAgMC03NxAH4AAAAAAAJzcQB+AAT///////////////7////+/////3VxAH4ABwAAAAQOCxxKeHh3igIeAAKFAgICtgIEAgUCBgIHAggCCQIrAgsChwINAggCCAIIAggCCAIIAggCCAIIAggCCAIIAggCCAIIAggCCAIVAgMCoQIeAAKFAgICTgIEAgUCBgIHAggCCQIcAgsChwINAggCCAIIAggCCAIIAggCCAIIAggCCAIIAggCCAIIAggCCAIVAgMC1HNxAH4AAAAAAAJzcQB+AAT///////////////7////+/////3VxAH4ABwAAAAQdsfpMeHh3RQIeAAKFAgICVAIEAgUCBgIHAggCCQIcAgsChwINAggCCAIIAggCCAIIAggCCAIIAggCCAIIAggCCAIIAggCCAIVAgMC1XNxAH4AAAAAAAJzcQB+AAT///////////////7////+/////3VxAH4ABwAAAAQx77UZeHh3RQIeAAKFAgICTAIEAgUCBgIHAggCCQKGAgsChwINAggCCAIIAggCCAIIAggCCAIIAggCCAIIAggCCAIIAggCCAIVAgMC1nNxAH4AAAAAAAJzcQB+AAT///////////////7////+/////3VxAH4ABwAAAAMSoqh4eHdFAh4AAoUCAgJKAgQCBQIGAgcCCAIJAisCCwKHAg0CCAIIAggCCAIIAggCCAIIAggCCAIIAggCCAIIAggCCAIIAhUCAwLXc3EAfgAAAAAAAnNxAH4ABP///////////////v////7/////dXEAfgAHAAAAAzL3EXh4d4oCHgAChQICAqACBAIFAgYCBwIIAgkCHAILAocCDQIIAggCCAIIAggCCAIIAggCCAIIAggCCAIIAggCCAIIAggCFQIDApECHgAChQICAk4CBAIFAgYCBwIIAgkCKwILAocCDQIIAggCCAIIAggCCAIIAggCCAIIAggCCAIIAggCCAIIAggCFQIDAthzcQB+AAAAAAACc3EAfgAE///////////////+/////v////91cQB+AAcAAAAEFDr3g3h4d4oCHgAChQICAlYCBAIFAgYCBwIIAgkChgILAocCDQIIAggCCAIIAggCCAIIAggCCAIIAggCCAIIAggCCAIIAggCFQIDAlMCHgAChQICAkACBAIFAgYCBwIIAgkCHAILAocCDQIIAggCCAIIAggCCAIIAggCCAIIAggCCAIIAggCCAIIAggCFQIDAtlzcQB+AAAAAAACc3EAfgAE///////////////+/////v////91cQB+AAcAAAAELv3gknh4d0UCHgAChQICAkICBAIFAgYCBwIIAgkChgILAocCDQIIAggCCAIIAggCCAIIAggCCAIIAggCCAIIAggCCAIIAggCFQIDAtpzcQB+AAAAAAACc3EAfgAE///////////////+/////v////91cQB+AAcAAAADEp6veHh3igIeAAKFAgICtgIEAgUCBgIHAggCCQIcAgsChwINAggCCAIIAggCCAIIAggCCAIIAggCCAIIAggCCAIIAggCCAIVAgMCkQIeAAKFAgICVAIEAgUCBgIHAggCCQIrAgsChwINAggCCAIIAggCCAIIAggCCAIIAggCCAIIAggCCAIIAggCCAIVAgMC23NxAH4AAAAAAAJzcQB+AAT///////////////7////+/////3VxAH4ABwAAAAOesqp4eHdFAh4AAoUCAgJ9AgQCBQIGAgcCCAIJAisCCwKHAg0CCAIIAggCCAIIAggCCAIIAggCCAIIAggCCAIIAggCCAIIAhUCAwLcc3EAfgAAAAAAAnNxAH4ABP///////////////v////4AAAABdXEAfgAHAAAAAzaltnh4d0UCHgAChQICAoMCBAIFAgYCBwIIAgkCHAILAocCDQIIAggCCAIIAggCCAIIAggCCAIIAggCCAIIAggCCAIIAggCFQIDAt1zcQB+AAAAAAACc3EAfgAE///////////////+/////v////91cQB+AAcAAAAELvQU/3h4d0UCHgAChQICAj0CBAIFAgYCBwIIAgkCHAILAocCDQIIAggCCAIIAggCCAIIAggCCAIIAggCCAIIAggCCAIIAggCFQIDAt5zcQB+AAAAAAACc3EAfgAE///////////////+/////v////91cQB+AAcAAAAEG7MeXHh4d0UCHgAChQICAiACBAIFAgYCBwIIAgkCHAILAocCDQIIAggCCAIIAggCCAIIAggCCAIIAggCCAIIAggCCAIIAggCFQIDAt9zcQB+AAAAAAACc3EAfgAE///////////////+/////v////91cQB+AAcAAAAEKgtGIXh4egAAARQCHgAChQICAkcCBAIFAgYCBwIIAgkChgILAocCDQIIAggCCAIIAggCCAIIAggCCAIIAggCCAIIAggCCAIIAggCFQIDAlMCHgAChQICApACBAIFAgYCBwIIAgkCKwILAocCDQIIAggCCAIIAggCCAIIAggCCAIIAggCCAIIAggCCAIIAggCFQIDAqECHgAChQICAooCBAIFAgYCBwIIAgkChgILAocCDQIIAggCCAIIAggCCAIIAggCCAIIAggCCAIIAggCCAIIAggCFQIDAlMCHgAChQICAhsCBAIFAgYCBwIIAgkChgILAocCDQIIAggCCAIIAggCCAIIAggCCAIIAggCCAIIAggCCAIIAggCFQIDAuBzcQB+AAAAAAACc3EAfgAE///////////////+/////v////91cQB+AAcAAAADEmN/eHh3RQIeAAKFAgICLwIEAgUCBgIHAggCCQIrAgsChwINAggCCAIIAggCCAIIAggCCAIIAggCCAIIAggCCAIIAggCCAIVAgMC4XNxAH4AAAAAAAJzcQB+AAT///////////////7////+/////3VxAH4ABwAAAAQC+0uLeHh6AAAEAAIeAALiAAk0MTE1OTQzNjgCAgI5AgQCBQIGAgcCCAIJAisCCwIMAg0CCAIIAggCCAIIAggCCAIIAggCCAIIAggCCAIIAggCCAIIAiICAwJrAh4AAuICAgIeAgQCBQIGAgcCCAIJAhwCCwIMAg0CCAIIAggCCAIIAggCCAIIAggCCAIIAggCCAIIAggCCAIIAiICAwJGAh4AAuICAgJKAgQCBQIGAgcCCAIJAgoCCwIMAg0CCAIIAggCCAIIAggCCAIIAggCCAIIAggCCAIIAggCCAIIAiICAwJLAh4AAuICAgIoAgQCBQIGAgcCCAIJAisCCwIMAg0CCAIIAggCCAIIAggCCAIIAggCCAIIAggCCAIIAggCCAIIAiICAwJvAh4AAuICAgIzAgQCBQIGAgcCCAIJAisCCwIMAg0CCAIIAggCCAIIAggCCAIIAggCCAIIAggCCAIIAggCCAIIAiICAwJ4Ah4AAuICAgIDAgQCBQIGAgcCCAIJAhwCCwIMAg0CCAIIAggCCAIIAggCCAIIAggCCAIIAggCCAIIAggCCAIIAiICAwJpAh4AAuICAgIiAgQCBQIGAgcCCAIJAisCCwIMAg0CCAIIAggCCAIIAggCCAIIAggCCAIIAggCCAIIAggCCAIIAiICAwJEAh4AAuICAgJMAgQCBQIGAgcCCAIJAgoCCwIMAg0CCAIIAggCCAIIAggCCAIIAggCCAIIAggCCAIIAggCCAIIAiICAwJwAh4AAuICAgJOAgQCBQIGAgcCCAIJAgoCCwIMAg0CCAIIAggCCAIIAggCCAIIAggCCAIIAggCCAIIAggCCAIIAiICAwJoAh4AAuICAgI9AgQCBQIGAgcCCAIJAhwCCwIMAg0CCAIIAggCCAIIAggCCAIIAggCCAIIAggCCAIIAggCCAIIAiICAwJFAh4AAuICAgIvAgQCBQIGAgcCCAIJAisCCwIMAg0CCAIIAggCCAIIAggCCAIIAggCCAIIAggCCAIIAggCCAIIAiICAwJSAh4AAuICAgI3AgQCBQIGAgcCCAIJAhwCCwIMAg0CCAIIAggCCAIIAggCCAIIAggCCAIIAggCCAIIAggCCAIIAiICAwJyAh4AAuICAgImAgQCBQIGAgcCCAIJAisCCwIMAg0CCAIIAggCCAIIAggCCAIIAggCCAIIAggCCAIIAggCCAIIAiICAwJZAh4AAuICAgJUAgQCBQIGAgcCCAIJAgoCCwIMAg0CCAIIAggCCAIIAggCCAIIAggCCAIIAggCCAIIAggCCAIIAiICAwJ6Ah4AAuICAgIDAgQCBQIGAgcCCAIJAisCCwIMAg0CCAIIAggCCAIIAggCCAIIAgh6AAAEAAIIAggCCAIIAggCCAIIAggCIgIDAl4CHgAC4gICAlYCBAIFAgYCBwIIAgkCCgILAgwCDQIIAggCCAIIAggCCAIIAggCCAIIAggCCAIIAggCCAIIAggCIgIDAlMCHgAC4gICAkICBAIFAgYCBwIIAgkCCgILAgwCDQIIAggCCAIIAggCCAIIAggCCAIIAggCCAIIAggCCAIIAggCIgIDAloCHgAC4gICAjECBAIFAgYCBwIIAgkCKwILAgwCDQIIAggCCAIIAggCCAIIAggCCAIIAggCCAIIAggCCAIIAggCIgIDAnUCHgAC4gICAh4CBAIFAgYCBwIIAgkCCgILAgwCDQIIAggCCAIIAggCCAIIAggCCAIIAggCCAIIAggCCAIIAggCIgIDAh8CHgAC4gICAj0CBAIFAgYCBwIIAgkCCgILAgwCDQIIAggCCAIIAggCCAIIAggCCAIIAggCCAIIAggCCAIIAggCIgIDAj4CHgAC4gICAiQCBAIFAgYCBwIIAgkCHAILAgwCDQIIAggCCAIIAggCCAIIAggCCAIIAggCCAIIAggCCAIIAggCIgIDAiUCHgAC4gICAioCBAIFAgYCBwIIAgkCKwILAgwCDQIIAggCCAIIAggCCAIIAggCCAIIAggCCAIIAggCCAIIAggCIgIDAiwCHgAC4gICAk4CBAIFAgYCBwIIAgkCHAILAgwCDQIIAggCCAIIAggCCAIIAggCCAIIAggCCAIIAggCCAIIAggCIgIDAlsCHgAC4gICAi0CBAIFAgYCBwIIAgkCKwILAgwCDQIIAggCCAIIAggCCAIIAggCCAIIAggCCAIIAggCCAIIAggCIgIDAi4CHgAC4gICAkACBAIFAgYCBwIIAgkCCgILAgwCDQIIAggCCAIIAggCCAIIAggCCAIIAggCCAIIAggCCAIIAggCIgIDAmACHgAC4gICAjcCBAIFAgYCBwIIAgkCKwILAgwCDQIIAggCCAIIAggCCAIIAggCCAIIAggCCAIIAggCCAIIAggCIgIDAmUCHgAC4gICAiICBAIFAgYCBwIIAgkCHAILAgwCDQIIAggCCAIIAggCCAIIAggCCAIIAggCCAIIAggCCAIIAggCIgIDAiMCHgAC4gICAlQCBAIFAgYCBwIIAgkCHAILAgwCDQIIAggCCAIIAggCCAIIAggCCAIIAggCCAIIAggCCAIIAggCIgIDAmQCHgAC4gICAiYCBAIFAgYCBwIIAgkCHAILAgwCDQIIAggCCAIIAggCCAIIAggCCAIIAggCCAIIAggCCAIIAggCIgIDAjsCHgAC4gICAhsCBAIFAgYCBwIIAgkCCgILAgwCDQIIAggCCAJ6AAAEAAgCCAIIAggCCAIIAggCCAIIAggCCAIIAggCCAIiAgMCbgIeAALiAgICIAIEAgUCBgIHAggCCQIKAgsCDAINAggCCAIIAggCCAIIAggCCAIIAggCCAIIAggCCAIIAggCCAIiAgMCbQIeAALiAgICSgIEAgUCBgIHAggCCQIrAgsCDAINAggCCAIIAggCCAIIAggCCAIIAggCCAIIAggCCAIIAggCCAIiAgMCagIeAALiAgICNQIEAgUCBgIHAggCCQIrAgsCDAINAggCCAIIAggCCAIIAggCCAIIAggCCAIIAggCCAIIAggCCAIiAgMCNgIeAALiAgICLwIEAgUCBgIHAggCCQIcAgsCDAINAggCCAIIAggCCAIIAggCCAIIAggCCAIIAggCCAIIAggCCAIiAgMCbAIeAALiAgICOQIEAgUCBgIHAggCCQIKAgsCDAINAggCCAIIAggCCAIIAggCCAIIAggCCAIIAggCCAIIAggCCAIiAgMCWAIeAALiAgICTAIEAgUCBgIHAggCCQIrAgsCDAINAggCCAIIAggCCAIIAggCCAIIAggCCAIIAggCCAIIAggCCAIiAgMCTQIeAALiAgICIgIEAgUCBgIHAggCCQIKAgsCDAINAggCCAIIAggCCAIIAggCCAIIAggCCAIIAggCCAIIAggCCAIiAgMCeQIeAALiAgICLQIEAgUCBgIHAggCCQIcAgsCDAINAggCCAIIAggCCAIIAggCCAIIAggCCAIIAggCCAIIAggCCAIiAgMCcQIeAALiAgICVAIEAgUCBgIHAggCCQIrAgsCDAINAggCCAIIAggCCAIIAggCCAIIAggCCAIIAggCCAIIAggCCAIiAgMCVQIeAALiAgICKAIEAgUCBgIHAggCCQIKAgsCDAINAggCCAIIAggCCAIIAggCCAIIAggCCAIIAggCCAIIAggCCAIiAgMCVwIeAALiAgICJAIEAgUCBgIHAggCCQIKAgsCDAINAggCCAIIAggCCAIIAggCCAIIAggCCAIIAggCCAIIAggCCAIiAgMCUwIeAALiAgICVgIEAgUCBgIHAggCCQIrAgsCDAINAggCCAIIAggCCAIIAggCCAIIAggCCAIIAggCCAIIAggCCAIiAgMCdwIeAALiAgICKgIEAgUCBgIHAggCCQIcAgsCDAINAggCCAIIAggCCAIIAggCCAIIAggCCAIIAggCCAIIAggCCAIiAgMCdAIeAALiAgICNQIEAgUCBgIHAggCCQIcAgsCDAINAggCCAIIAggCCAIIAggCCAIIAggCCAIIAggCCAIIAggCCAIiAgMCcwIeAALiAgICJgIEAgUCBgIHAggCCQIKAgt6AAAEAAIMAg0CCAIIAggCCAIIAggCCAIIAggCCAIIAggCCAIIAggCCAIIAiICAwInAh4AAuICAgJMAgQCBQIGAgcCCAIJAhwCCwIMAg0CCAIIAggCCAIIAggCCAIIAggCCAIIAggCCAIIAggCCAIIAiICAwJiAh4AAuICAgJCAgQCBQIGAgcCCAIJAisCCwIMAg0CCAIIAggCCAIIAggCCAIIAggCCAIIAggCCAIIAggCCAIIAiICAwJ7Ah4AAuICAgIvAgQCBQIGAgcCCAIJAgoCCwIMAg0CCAIIAggCCAIIAggCCAIIAggCCAIIAggCCAIIAggCCAIIAiICAwIwAh4AAuICAgIxAgQCBQIGAgcCCAIJAgoCCwIMAg0CCAIIAggCCAIIAggCCAIIAggCCAIIAggCCAIIAggCCAIIAiICAwJRAh4AAuICAgIzAgQCBQIGAgcCCAIJAgoCCwIMAg0CCAIIAggCCAIIAggCCAIIAggCCAIIAggCCAIIAggCCAIIAiICAwJTAh4AAuICAgJAAgQCBQIGAgcCCAIJAisCCwIMAg0CCAIIAggCCAIIAggCCAIIAggCCAIIAggCCAIIAggCCAIIAiICAwJ2Ah4AAuICAgIgAgQCBQIGAgcCCAIJAhwCCwIMAg0CCAIIAggCCAIIAggCCAIIAggCCAIIAggCCAIIAggCCAIIAiICAwIhAh4AAuICAgIbAgQCBQIGAgcCCAIJAhwCCwIMAg0CCAIIAggCCAIIAggCCAIIAggCCAIIAggCCAIIAggCCAIIAiICAwIdAh4AAuICAgJKAgQCBQIGAgcCCAIJAhwCCwIMAg0CCAIIAggCCAIIAggCCAIIAggCCAIIAggCCAIIAggCCAIIAiICAwJdAh4AAuICAgIeAgQCBQIGAgcCCAIJAisCCwIMAg0CCAIIAggCCAIIAggCCAIIAggCCAIIAggCCAIIAggCCAIIAiICAwJfAh4AAuICAgItAgQCBQIGAgcCCAIJAgoCCwIMAg0CCAIIAggCCAIIAggCCAIIAggCCAIIAggCCAIIAggCCAIIAiICAwJjAh4AAuICAgIqAgQCBQIGAgcCCAIJAgoCCwIMAg0CCAIIAggCCAIIAggCCAIIAggCCAIIAggCCAIIAggCCAIIAiICAwJmAh4AAuICAgIDAgQCBQIGAgcCCAIJAgoCCwIMAg0CCAIIAggCCAIIAggCCAIIAggCCAIIAggCCAIIAggCCAIIAiICAwIOAh4AAuICAgI9AgQCBQIGAgcCCAIJAisCCwIMAg0CCAIIAggCCAIIAggCCAIIAggCCAIIAggCCAIIAggCCAIIAiICAwJcAh4AAuICAgIoAgQCBQJ6AAAEAAYCBwIIAgkCHAILAgwCDQIIAggCCAIIAggCCAIIAggCCAIIAggCCAIIAggCCAIIAggCIgIDAikCHgAC4gICAjkCBAIFAgYCBwIIAgkCHAILAgwCDQIIAggCCAIIAggCCAIIAggCCAIIAggCCAIIAggCCAIIAggCIgIDAjoCHgAC4gICAiACBAIFAgYCBwIIAgkCKwILAgwCDQIIAggCCAIIAggCCAIIAggCCAIIAggCCAIIAggCCAIIAggCIgIDAj8CHgAC4gICAjcCBAIFAgYCBwIIAgkCCgILAgwCDQIIAggCCAIIAggCCAIIAggCCAIIAggCCAIIAggCCAIIAggCIgIDAjgCHgAC4gICAhsCBAIFAgYCBwIIAgkCKwILAgwCDQIIAggCCAIIAggCCAIIAggCCAIIAggCCAIIAggCCAIIAggCIgIDAjwCHgAC4gICAk4CBAIFAgYCBwIIAgkCKwILAgwCDQIIAggCCAIIAggCCAIIAggCCAIIAggCCAIIAggCCAIIAggCIgIDAk8CHgAC4gICAiQCBAIFAgYCBwIIAgkCKwILAgwCDQIIAggCCAIIAggCCAIIAggCCAIIAggCCAIIAggCCAIIAggCIgIDAkkCHgAC4gICAjUCBAIFAgYCBwIIAgkCCgILAgwCDQIIAggCCAIIAggCCAIIAggCCAIIAggCCAIIAggCCAIIAggCIgIDAlACHgAC4gICAlYCBAIFAgYCBwIIAgkCHAILAgwCDQIIAggCCAIIAggCCAIIAggCCAIIAggCCAIIAggCCAIIAggCIgIDAmcCHgAC4gICAkICBAIFAgYCBwIIAgkCHAILAgwCDQIIAggCCAIIAggCCAIIAggCCAIIAggCCAIIAggCCAIIAggCIgIDAkMCHgAC4gICAjECBAIFAgYCBwIIAgkCHAILAgwCDQIIAggCCAIIAggCCAIIAggCCAIIAggCCAIIAggCCAIIAggCIgIDAjICHgAC4gICAjMCBAIFAgYCBwIIAgkCHAILAgwCDQIIAggCCAIIAggCCAIIAggCCAIIAggCCAIIAggCCAIIAggCIgIDAjQCHgAC4gICAkACBAIFAgYCBwIIAgkCHAILAgwCDQIIAggCCAIIAggCCAIIAggCCAIIAggCCAIIAggCCAIIAggCIgIDAkECHgAC4wAJMjM0NTA2NTg0AgICQgIEAgUCBgIHAggCCQIKAgsCDAINAggCCAIIAggCCAIIAggCCAIIAggCCAIIAggCCAIIAggCCAIaAgMCWgIeAALjAgICgwIEAgUCBgIHAggCCQIrAgsCDAINAggCCAIIAggCCAIIAggCCAIIAggCCAIIAggCCAIIAgh6AAAC/wIIAhoCAwKEAh4AAuMCAgI9AgQCBQIGAgcCCAIJAisCCwIMAg0CCAIIAggCCAIIAggCCAIIAggCCAIIAggCCAIIAggCCAIIAhoCAwJcAh4AAuMCAgJKAgQCBQIGAgcCCAIJAhwCCwIMAg0CCAIIAggCCAIIAggCCAIIAggCCAIIAggCCAIIAggCCAIIAhoCAwJdAh4AAuMCAgJOAgQCBQIGAgcCCAIJAhwCCwIMAg0CCAIIAggCCAIIAggCCAIIAggCCAIIAggCCAIIAggCCAIIAhoCAwJbAh4AAuMCAgIDAgQCBQIGAgcCCAIJAisCCwIMAg0CCAIIAggCCAIIAggCCAIIAggCCAIIAggCCAIIAggCCAIIAhoCAwJeAh4AAuMCAgJHAgQCBQIGAgcCCAIJAhwCCwIMAg0CCAIIAggCCAIIAggCCAIIAggCCAIIAggCCAIIAggCCAIIAhoCAwJhAh4AAuMCAgIeAgQCBQIGAgcCCAIJAisCCwIMAg0CCAIIAggCCAIIAggCCAIIAggCCAIIAggCCAIIAggCCAIIAhoCAwJfAh4AAuMCAgJAAgQCBQIGAgcCCAIJAgoCCwIMAg0CCAIIAggCCAIIAggCCAIIAggCCAIIAggCCAIIAggCCAIIAhoCAwJgAh4AAuMCAgIxAgQCBQIGAgcCCAIJAisCCwIMAg0CCAIIAggCCAIIAggCCAIIAggCCAIIAggCCAIIAggCCAIIAhoCAwJ1Ah4AAuMCAgJWAgQCBQIGAgcCCAIJAgoCCwIMAg0CCAIIAggCCAIIAggCCAIIAggCCAIIAggCCAIIAggCCAIIAhoCAwJTAh4AAuMCAgI9AgQCBQIGAgcCCAIJAhwCCwIMAg0CCAIIAggCCAIIAggCCAIIAggCCAIIAggCCAIIAggCCAIIAhoCAwJFAh4AAuMCAgJ/AgQCBQIGAgcCCAIJAhwCCwIMAg0CCAIIAggCCAIIAggCCAIIAggCCAIIAggCCAIIAggCCAIIAhoCAwLkc3EAfgAAAAAAAnNxAH4ABP///////////////v////7/////dXEAfgAHAAAABFJ+oxp4eHoAAAQAAh4AAuMCAgI3AgQCBQIGAgcCCAIJAhwCCwIMAg0CCAIIAggCCAIIAggCCAIIAggCCAIIAggCCAIIAggCCAIIAhoCAwJyAh4AAuMCAgIvAgQCBQIGAgcCCAIJAisCCwIMAg0CCAIIAggCCAIIAggCCAIIAggCCAIIAggCCAIIAggCCAIIAhoCAwJSAh4AAuMCAgJMAgQCBQIGAgcCCAIJAgoCCwIMAg0CCAIIAggCCAIIAggCCAIIAggCCAIIAggCCAIIAggCCAIIAhoCAwJwAh4AAuMCAgJOAgQCBQIGAgcCCAIJAgoCCwIMAg0CCAIIAggCCAIIAggCCAIIAggCCAIIAggCCAIIAggCCAIIAhoCAwJoAh4AAuMCAgJ9AgQCBQIGAgcCCAIJAisCCwIMAg0CCAIIAggCCAIIAggCCAIIAggCCAIIAggCCAIIAggCCAIIAhoCAwJ+Ah4AAuMCAgIzAgQCBQIGAgcCCAIJAisCCwIMAg0CCAIIAggCCAIIAggCCAIIAggCCAIIAggCCAIIAggCCAIIAhoCAwJ4Ah4AAuMCAgImAgQCBQIGAgcCCAIJAisCCwIMAg0CCAIIAggCCAIIAggCCAIIAggCCAIIAggCCAIIAggCCAIIAhoCAwJZAh4AAuMCAgJUAgQCBQIGAgcCCAIJAgoCCwIMAg0CCAIIAggCCAIIAggCCAIIAggCCAIIAggCCAIIAggCCAIIAhoCAwJ6Ah4AAuMCAgJKAgQCBQIGAgcCCAIJAisCCwIMAg0CCAIIAggCCAIIAggCCAIIAggCCAIIAggCCAIIAggCCAIIAhoCAwJqAh4AAuMCAgIgAgQCBQIGAgcCCAIJAgoCCwIMAg0CCAIIAggCCAIIAggCCAIIAggCCAIIAggCCAIIAggCCAIIAhoCAwJtAh4AAuMCAgJHAgQCBQIGAgcCCAIJAgoCCwIMAg0CCAIIAggCCAIIAggCCAIIAggCCAIIAggCCAIIAggCCAIIAhoCAwJTAh4AAuMCAgIvAgQCBQIGAgcCCAIJAhwCCwIMAg0CCAIIAggCCAIIAggCCAIIAggCCAIIAggCCAIIAggCCAIIAhoCAwJsAh4AAuMCAgImAgQCBQIGAgcCCAIJAhwCCwIMAg0CCAIIAggCCAIIAggCCAIIAggCCAIIAggCCAIIAggCCAIIAhoCAwI7Ah4AAuMCAgIDAgQCBQIGAgcCCAIJAhwCCwIMAg0CCAIIAggCCAIIAggCCAIIAggCCAIIAggCCAIIAggCCAIIAhoCAwJpAh4AAuMCAgI5AgQCBQIGAgcCCAIJAisCCwIMAg0CCAIIAggCCAIIAggCCAIIAggCCAIIAggCCAIIAnoAAAK9CAIIAggCGgIDAmsCHgAC4wICAkwCBAIFAgYCBwIIAgkCHAILAgwCDQIIAggCCAIIAggCCAIIAggCCAIIAggCCAIIAggCCAIIAggCGgIDAmICHgAC4wICAhsCBAIFAgYCBwIIAgkCCgILAgwCDQIIAggCCAIIAggCCAIIAggCCAIIAggCCAIIAggCCAIIAggCGgIDAm4CHgAC4wICAigCBAIFAgYCBwIIAgkCKwILAgwCDQIIAggCCAIIAggCCAIIAggCCAIIAggCCAIIAggCCAIIAggCGgIDAm8CHgAC4wICAn8CBAIFAgYCBwIIAgkCKwILAgwCDQIIAggCCAIIAggCCAIIAggCCAIIAggCCAIIAggCCAIIAggCGgIDAoACHgAC4wICAioCBAIFAgYCBwIIAgkCKwILAgwCDQIIAggCCAIIAggCCAIIAggCCAIIAggCCAIIAggCCAIIAggCGgIDAiwCHgAC4wICAjUCBAIFAgYCBwIIAgkCKwILAgwCDQIIAggCCAIIAggCCAIIAggCCAIIAggCCAIIAggCCAIIAggCGgIDAjYCHgAC4wICAiICBAIFAgYCBwIIAgkCHAILAgwCDQIIAggCCAIIAggCCAIIAggCCAIIAggCCAIIAggCCAIIAggCGgIDAiMCHgAC4wICAlQCBAIFAgYCBwIIAgkCHAILAgwCDQIIAggCCAIIAggCCAIIAggCCAIIAggCCAIIAggCCAIIAggCGgIDAmQCHgAC4wICAh4CBAIFAgYCBwIIAgkCCgILAgwCDQIIAggCCAIIAggCCAIIAggCCAIIAggCCAIIAggCCAIIAggCGgIDAh8CHgAC4wICAn0CBAIFAgYCBwIIAgkCHAILAgwCDQIIAggCCAIIAggCCAIIAggCCAIIAggCCAIIAggCCAIIAggCGgIDAuVzcQB+AAAAAAACc3EAfgAE///////////////+/////v////91cQB+AAcAAAAEXOXAsHh4egAABAACHgAC4wICAj0CBAIFAgYCBwIIAgkCCgILAgwCDQIIAggCCAIIAggCCAIIAggCCAIIAggCCAIIAggCCAIIAggCGgIDAj4CHgAC4wICAjcCBAIFAgYCBwIIAgkCKwILAgwCDQIIAggCCAIIAggCCAIIAggCCAIIAggCCAIIAggCCAIIAggCGgIDAmUCHgAC4wICAhsCBAIFAgYCBwIIAgkCHAILAgwCDQIIAggCCAIIAggCCAIIAggCCAIIAggCCAIIAggCCAIIAggCGgIDAh0CHgAC4wICAiACBAIFAgYCBwIIAgkCHAILAgwCDQIIAggCCAIIAggCCAIIAggCCAIIAggCCAIIAggCCAIIAggCGgIDAiECHgAC4wICAkACBAIFAgYCBwIIAgkCKwILAgwCDQIIAggCCAIIAggCCAIIAggCCAIIAggCCAIIAggCCAIIAggCGgIDAnYCHgAC4wICAgMCBAIFAgYCBwIIAgkCCgILAgwCDQIIAggCCAIIAggCCAIIAggCCAIIAggCCAIIAggCCAIIAggCGgIDAg4CHgAC4wICAn0CBAIFAgYCBwIIAgkCCgILAgwCDQIIAggCCAIIAggCCAIIAggCCAIIAggCCAIIAggCCAIIAggCGgIDAlMCHgAC4wICAoMCBAIFAgYCBwIIAgkCCgILAgwCDQIIAggCCAIIAggCCAIIAggCCAIIAggCCAIIAggCCAIIAggCGgIDAlMCHgAC4wICAjUCBAIFAgYCBwIIAgkCHAILAgwCDQIIAggCCAIIAggCCAIIAggCCAIIAggCCAIIAggCCAIIAggCGgIDAnMCHgAC4wICAiQCBAIFAgYCBwIIAgkCHAILAgwCDQIIAggCCAIIAggCCAIIAggCCAIIAggCCAIIAggCCAIIAggCGgIDAiUCHgAC4wICAiYCBAIFAgYCBwIIAgkCCgILAgwCDQIIAggCCAIIAggCCAIIAggCCAIIAggCCAIIAggCCAIIAggCGgIDAicCHgAC4wICAjECBAIFAgYCBwIIAgkCCgILAgwCDQIIAggCCAIIAggCCAIIAggCCAIIAggCCAIIAggCCAIIAggCGgIDAlECHgAC4wICAi0CBAIFAgYCBwIIAgkCKwILAgwCDQIIAggCCAIIAggCCAIIAggCCAIIAggCCAIIAggCCAIIAggCGgIDAi4CHgAC4wICAi8CBAIFAgYCBwIIAgkCCgILAgwCDQIIAggCCAIIAggCCAIIAggCCAIIAggCCAIIAggCCAIIAggCGgIDAjACHgAC4wICAkwCBAIFAgYCBwIIAgkCKwILAgwCDQIIAggCCAIIAggCCAIIAggCCAIIAggCCAIIAggCegAABAAIAggCCAIaAgMCTQIeAALjAgICVAIEAgUCBgIHAggCCQIrAgsCDAINAggCCAIIAggCCAIIAggCCAIIAggCCAIIAggCCAIIAggCCAIaAgMCVQIeAALjAgICLQIEAgUCBgIHAggCCQIcAgsCDAINAggCCAIIAggCCAIIAggCCAIIAggCCAIIAggCCAIIAggCCAIaAgMCcQIeAALjAgICKAIEAgUCBgIHAggCCQIKAgsCDAINAggCCAIIAggCCAIIAggCCAIIAggCCAIIAggCCAIIAggCCAIaAgMCVwIeAALjAgICMwIEAgUCBgIHAggCCQIKAgsCDAINAggCCAIIAggCCAIIAggCCAIIAggCCAIIAggCCAIIAggCCAIaAgMCUwIeAALjAgICVgIEAgUCBgIHAggCCQIrAgsCDAINAggCCAIIAggCCAIIAggCCAIIAggCCAIIAggCCAIIAggCCAIaAgMCdwIeAALjAgICKgIEAgUCBgIHAggCCQIcAgsCDAINAggCCAIIAggCCAIIAggCCAIIAggCCAIIAggCCAIIAggCCAIaAgMCdAIeAALjAgICJAIEAgUCBgIHAggCCQIKAgsCDAINAggCCAIIAggCCAIIAggCCAIIAggCCAIIAggCCAIIAggCCAIaAgMCUwIeAALjAgICIgIEAgUCBgIHAggCCQIKAgsCDAINAggCCAIIAggCCAIIAggCCAIIAggCCAIIAggCCAIIAggCCAIaAgMCeQIeAALjAgICOQIEAgUCBgIHAggCCQIKAgsCDAINAggCCAIIAggCCAIIAggCCAIIAggCCAIIAggCCAIIAggCCAIaAgMCWAIeAALjAgICQgIEAgUCBgIHAggCCQIrAgsCDAINAggCCAIIAggCCAIIAggCCAIIAggCCAIIAggCCAIIAggCCAIaAgMCewIeAALjAgICJAIEAgUCBgIHAggCCQIrAgsCDAINAggCCAIIAggCCAIIAggCCAIIAggCCAIIAggCCAIIAggCCAIaAgMCSQIeAALjAgICIgIEAgUCBgIHAggCCQIrAgsCDAINAggCCAIIAggCCAIIAggCCAIIAggCCAIIAggCCAIIAggCCAIaAgMCRAIeAALjAgICRwIEAgUCBgIHAggCCQIrAgsCDAINAggCCAIIAggCCAIIAggCCAIIAggCCAIIAggCCAIIAggCCAIaAgMCSAIeAALjAgICQgIEAgUCBgIHAggCCQIcAgsCDAINAggCCAIIAggCCAIIAggCCAIIAggCCAIIAggCCAIIAggCCAIaAgMCQwIeAALjAgICQAIEAgUCBgIHAggCCQIcAgsCDAINAggCCAIIAggCCAIIAggCCAIIegAAASoCCAIIAggCCAIIAggCCAIIAhoCAwJBAh4AAuMCAgI1AgQCBQIGAgcCCAIJAgoCCwIMAg0CCAIIAggCCAIIAggCCAIIAggCCAIIAggCCAIIAggCCAIIAhoCAwJQAh4AAuMCAgIeAgQCBQIGAgcCCAIJAhwCCwIMAg0CCAIIAggCCAIIAggCCAIIAggCCAIIAggCCAIIAggCCAIIAhoCAwJGAh4AAuMCAgI3AgQCBQIGAgcCCAIJAgoCCwIMAg0CCAIIAggCCAIIAggCCAIIAggCCAIIAggCCAIIAggCCAIIAhoCAwI4Ah4AAuMCAgKDAgQCBQIGAgcCCAIJAhwCCwIMAg0CCAIIAggCCAIIAggCCAIIAggCCAIIAggCCAIIAggCCAIIAhoCAwLmc3EAfgAAAAAAAnNxAH4ABP///////////////v////7/////dXEAfgAHAAAABFqpyF94eHoAAAQAAh4AAuMCAgJKAgQCBQIGAgcCCAIJAgoCCwIMAg0CCAIIAggCCAIIAggCCAIIAggCCAIIAggCCAIIAggCCAIIAhoCAwJLAh4AAuMCAgJOAgQCBQIGAgcCCAIJAisCCwIMAg0CCAIIAggCCAIIAggCCAIIAggCCAIIAggCCAIIAggCCAIIAhoCAwJPAh4AAuMCAgIoAgQCBQIGAgcCCAIJAhwCCwIMAg0CCAIIAggCCAIIAggCCAIIAggCCAIIAggCCAIIAggCCAIIAhoCAwIpAh4AAuMCAgItAgQCBQIGAgcCCAIJAgoCCwIMAg0CCAIIAggCCAIIAggCCAIIAggCCAIIAggCCAIIAggCCAIIAhoCAwJjAh4AAuMCAgIxAgQCBQIGAgcCCAIJAhwCCwIMAg0CCAIIAggCCAIIAggCCAIIAggCCAIIAggCCAIIAggCCAIIAhoCAwIyAh4AAuMCAgIzAgQCBQIGAgcCCAIJAhwCCwIMAg0CCAIIAggCCAIIAggCCAIIAggCCAIIAggCCAIIAggCCAIIAhoCAwI0Ah4AAuMCAgJ/AgQCBQIGAgcCCAIJAgoCCwIMAg0CCAIIAggCCAIIAggCCAIIAggCCAIIAggCCAIIAggCCAIIAhoCAwJTAh4AAuMCAgI5AgQCBQIGAgcCCAIJAhwCCwIMAg0CCAIIAggCCAIIAggCCAIIAggCCAIIAggCCAIIAggCCAIIAhoCAwI6Ah4AAuMCAgIbAgQCBQIGAgcCCAIJAisCCwIMAg0CCAIIAggCCAIIAggCCAIIAggCCAIIAggCCAIIAggCCAIIAhoCAwI8Ah4AAuMCAgJWAgQCBQIGAgcCCAIJAhwCCwIMAg0CCAIIAggCCAIIAggCCAIIAggCCAIIAggCCAIIAggCCAIIAhoCAwJnAh4AAuMCAgIgAgQCBQIGAgcCCAIJAisCCwIMAg0CCAIIAggCCAIIAggCCAIIAggCCAIIAggCCAIIAggCCAIIAhoCAwI/Ah4AAuMCAgIqAgQCBQIGAgcCCAIJAgoCCwIMAg0CCAIIAggCCAIIAggCCAIIAggCCAIIAggCCAIIAggCCAIIAhoCAwJmAh4AAucACTUyNjA1NDczNgICAiICBAIFAgYCBwIIAgkCKwILAocCDQIIAggCCAIIAggCCAIIAggCCAIIAggCCAIIAggCCAIIAggAAgMCkgIeAALnAgICgwIEAgUCBgIHAggCCQKGAgsChwINAggCCAIIAggCCAIIAggCCAIIAggCCAIIAggCCAIIAggCCAACAwJTAh4AAucCAgKQAgQCBQIGAgcCCAIJAhwCCwKHAg0CCAIIAggCCAIIAggCCAIIAggCCHoAAAQAAggCCAIIAggCCAIIAggAAgMCkQIeAALnAgICLwIEAgUCBgIHAggCCQIcAgsChwINAggCCAIIAggCCAIIAggCCAIIAggCCAIIAggCCAIIAggCCAACAwKXAh4AAucCAgI9AgQCBQIGAgcCCAIJAoYCCwKHAg0CCAIIAggCCAIIAggCCAIIAggCCAIIAggCCAIIAggCCAIIAAIDArECHgAC5wICAooCBAIFAgYCBwIIAgkCKwILAocCDQIIAggCCAIIAggCCAIIAggCCAIIAggCCAIIAggCCAIIAggAAgMCiwIeAALnAgICtgIEAgUCBgIHAggCCQKGAgsChwINAggCCAIIAggCCAIIAggCCAIIAggCCAIIAggCCAIIAggCCAACAwJTAh4AAucCAgJ9AgQCBQIGAgcCCAIJAhwCCwKHAg0CCAIIAggCCAIIAggCCAIIAggCCAIIAggCCAIIAggCCAIIAAIDApMCHgAC5wICAjMCBAIFAgYCBwIIAgkCHAILAocCDQIIAggCCAIIAggCCAIIAggCCAIIAggCCAIIAggCCAIIAggAAgMClgIeAALnAgICJgIEAgUCBgIHAggCCQKGAgsChwINAggCCAIIAggCCAIIAggCCAIIAggCCAIIAggCCAIIAggCCAACAwKYAh4AAucCAgIbAgQCBQIGAgcCCAIJAisCCwKHAg0CCAIIAggCCAIIAggCCAIIAggCCAIIAggCCAIIAggCCAIIAAIDApUCHgAC5wICAjMCBAIFAgYCBwIIAgkCKwILAocCDQIIAggCCAIIAggCCAIIAggCCAIIAggCCAIIAggCCAIIAggAAgMCmwIeAALnAgICMQIEAgUCBgIHAggCCQKGAgsChwINAggCCAIIAggCCAIIAggCCAIIAggCCAIIAggCCAIIAggCCAACAwKIAh4AAucCAgJ9AgQCBQIGAgcCCAIJAisCCwKHAg0CCAIIAggCCAIIAggCCAIIAggCCAIIAggCCAIIAggCCAIIAAIDAtwCHgAC5wICAgMCBAIFAgYCBwIIAgkChgILAocCDQIIAggCCAIIAggCCAIIAggCCAIIAggCCAIIAggCCAIIAggAAgMCjwIeAALnAgICKAIEAgUCBgIHAggCCQIrAgsChwINAggCCAIIAggCCAIIAggCCAIIAggCCAIIAggCCAIIAggCCAACAwKUAh4AAucCAgIeAgQCBQIGAgcCCAIJAhwCCwKHAg0CCAIIAggCCAIIAggCCAIIAggCCAIIAggCCAIIAggCCAIIAAIDAq4CHgAC5wICAhsCBAIFAgYCBwIIAgkCHAILAocCDQIIAggCCAIIAggCCAIIAggCCAIIAggCCHoAAAQAAggCCAIIAggCCAACAwKwAh4AAucCAgIkAgQCBQIGAgcCCAIJAoYCCwKHAg0CCAIIAggCCAIIAggCCAIIAggCCAIIAggCCAIIAggCCAIIAAIDAlMCHgAC5wICAooCBAIFAgYCBwIIAgkCHAILAocCDQIIAggCCAIIAggCCAIIAggCCAIIAggCCAIIAggCCAIIAggAAgMCtAIeAALnAgICkAIEAgUCBgIHAggCCQIrAgsChwINAggCCAIIAggCCAIIAggCCAIIAggCCAIIAggCCAIIAggCCAACAwKhAh4AAucCAgIgAgQCBQIGAgcCCAIJAoYCCwKHAg0CCAIIAggCCAIIAggCCAIIAggCCAIIAggCCAIIAggCCAIIAAIDArcCHgAC5wICAi8CBAIFAgYCBwIIAgkCKwILAocCDQIIAggCCAIIAggCCAIIAggCCAIIAggCCAIIAggCCAIIAggAAgMC4QIeAALnAgICfwIEAgUCBgIHAggCCQIrAgsChwINAggCCAIIAggCCAIIAggCCAIIAggCCAIIAggCCAIIAggCCAACAwKlAh4AAucCAgIiAgQCBQIGAgcCCAIJAhwCCwKHAg0CCAIIAggCCAIIAggCCAIIAggCCAIIAggCCAIIAggCCAIIAAIDAowCHgAC5wICAlQCBAIFAgYCBwIIAgkCHAILAocCDQIIAggCCAIIAggCCAIIAggCCAIIAggCCAIIAggCCAIIAggAAgMC1QIeAALnAgICLQIEAgUCBgIHAggCCQIrAgsChwINAggCCAIIAggCCAIIAggCCAIIAggCCAIIAggCCAIIAggCCAACAwKJAh4AAucCAgJMAgQCBQIGAgcCCAIJAoYCCwKHAg0CCAIIAggCCAIIAggCCAIIAggCCAIIAggCCAIIAggCCAIIAAIDAtYCHgAC5wICAkcCBAIFAgYCBwIIAgkChgILAocCDQIIAggCCAIIAggCCAIIAggCCAIIAggCCAIIAggCCAIIAggAAgMCUwIeAALnAgICTgIEAgUCBgIHAggCCQIcAgsChwINAggCCAIIAggCCAIIAggCCAIIAggCCAIIAggCCAIIAggCCAACAwLUAh4AAucCAgJAAgQCBQIGAgcCCAIJAoYCCwKHAg0CCAIIAggCCAIIAggCCAIIAggCCAIIAggCCAIIAggCCAIIAAIDAqoCHgAC5wICAkcCBAIFAgYCBwIIAgkCKwILAocCDQIIAggCCAIIAggCCAIIAggCCAIIAggCCAIIAggCCAIIAggAAgMCqQIeAALnAgICQgIEAgUCBgIHAggCCQIcAgsChwINAggCCAIIAggCCAIIAggCCAIIAggCCAIIAggCCHoAAAQAAggCCAIIAAIDAqsCHgAC5wICAqACBAIFAgYCBwIIAgkChgILAocCDQIIAggCCAIIAggCCAIIAggCCAIIAggCCAIIAggCCAIIAggAAgMCUwIeAALnAgICSgIEAgUCBgIHAggCCQIrAgsChwINAggCCAIIAggCCAIIAggCCAIIAggCCAIIAggCCAIIAggCCAACAwLXAh4AAucCAgJMAgQCBQIGAgcCCAIJAisCCwKHAg0CCAIIAggCCAIIAggCCAIIAggCCAIIAggCCAIIAggCCAIIAAIDAq0CHgAC5wICAlYCBAIFAgYCBwIIAgkCKwILAocCDQIIAggCCAIIAggCCAIIAggCCAIIAggCCAIIAggCCAIIAggAAgMCyAIeAALnAgICKgIEAgUCBgIHAggCCQKGAgsChwINAggCCAIIAggCCAIIAggCCAIIAggCCAIIAggCCAIIAggCCAACAwKeAh4AAucCAgKdAgQCBQIGAgcCCAIJAoYCCwKHAg0CCAIIAggCCAIIAggCCAIIAggCCAIIAggCCAIIAggCCAIIAAIDAlMCHgAC5wICAi0CBAIFAgYCBwIIAgkCHAILAocCDQIIAggCCAIIAggCCAIIAggCCAIIAggCCAIIAggCCAIIAggAAgMCmgIeAALnAgICHgIEAgUCBgIHAggCCQIrAgsChwINAggCCAIIAggCCAIIAggCCAIIAggCCAIIAggCCAIIAggCCAACAwKiAh4AAucCAgJCAgQCBQIGAgcCCAIJAisCCwKHAg0CCAIIAggCCAIIAggCCAIIAggCCAIIAggCCAIIAggCCAIIAAIDAs4CHgAC5wICAkoCBAIFAgYCBwIIAgkCHAILAocCDQIIAggCCAIIAggCCAIIAggCCAIIAggCCAIIAggCCAIIAggAAgMC0AIeAALnAgICMwIEAgUCBgIHAggCCQKGAgsChwINAggCCAIIAggCCAIIAggCCAIIAggCCAIIAggCCAIIAggCCAACAwJTAh4AAucCAgI3AgQCBQIGAgcCCAIJAhwCCwKHAg0CCAIIAggCCAIIAggCCAIIAggCCAIIAggCCAIIAggCCAIIAAIDAtECHgAC5wICAjUCBAIFAgYCBwIIAgkChgILAocCDQIIAggCCAIIAggCCAIIAggCCAIIAggCCAIIAggCCAIIAggAAgMCmQIeAALnAgICOQIEAgUCBgIHAggCCQIcAgsChwINAggCCAIIAggCCAIIAggCCAIIAggCCAIIAggCCAIIAggCCAACAwK8Ah4AAucCAgJWAgQCBQIGAgcCCAIJAhwCCwKHAg0CCAIIAggCCAIIAggCCAIIAggCCAIIAggCCAIIAggCCHoAAAQAAggAAgMCpwIeAALnAgICgQIEAgUCBgIHAggCCQIcAgsChwINAggCCAIIAggCCAIIAggCCAIIAggCCAIIAggCCAIIAggCCAACAwK6Ah4AAucCAgIoAgQCBQIGAgcCCAIJAoYCCwKHAg0CCAIIAggCCAIIAggCCAIIAggCCAIIAggCCAIIAggCCAIIAAIDAr4CHgAC5wICAiQCBAIFAgYCBwIIAgkCKwILAocCDQIIAggCCAIIAggCCAIIAggCCAIIAggCCAIIAggCCAIIAggAAgMCwAIeAALnAgICHgIEAgUCBgIHAggCCQKGAgsChwINAggCCAIIAggCCAIIAggCCAIIAggCCAIIAggCCAIIAggCCAACAwK/Ah4AAucCAgKBAgQCBQIGAgcCCAIJAisCCwKHAg0CCAIIAggCCAIIAggCCAIIAggCCAIIAggCCAIIAggCCAIIAAIDAsMCHgAC5wICAiACBAIFAgYCBwIIAgkCKwILAocCDQIIAggCCAIIAggCCAIIAggCCAIIAggCCAIIAggCCAIIAggAAgMCwgIeAALnAgICJgIEAgUCBgIHAggCCQIcAgsChwINAggCCAIIAggCCAIIAggCCAIIAggCCAIIAggCCAIIAggCCAACAwLFAh4AAucCAgJ9AgQCBQIGAgcCCAIJAoYCCwKHAg0CCAIIAggCCAIIAggCCAIIAggCCAIIAggCCAIIAggCCAIIAAIDAlMCHgAC5wICAjUCBAIFAgYCBwIIAgkCKwILAocCDQIIAggCCAIIAggCCAIIAggCCAIIAggCCAIIAggCCAIIAggAAgMCuAIeAALnAgICMQIEAgUCBgIHAggCCQIrAgsChwINAggCCAIIAggCCAIIAggCCAIIAggCCAIIAggCCAIIAggCCAACAwLSAh4AAucCAgK2AgQCBQIGAgcCCAIJAhwCCwKHAg0CCAIIAggCCAIIAggCCAIIAggCCAIIAggCCAIIAggCCAIIAAIDApECHgAC5wICAn8CBAIFAgYCBwIIAgkChgILAocCDQIIAggCCAIIAggCCAIIAggCCAIIAggCCAIIAggCCAIIAggAAgMCUwIeAALnAgICLwIEAgUCBgIHAggCCQKGAgsChwINAggCCAIIAggCCAIIAggCCAIIAggCCAIIAggCCAIIAggCCAACAwK5Ah4AAucCAgIxAgQCBQIGAgcCCAIJAhwCCwKHAg0CCAIIAggCCAIIAggCCAIIAggCCAIIAggCCAIIAggCCAIIAAIDAsQCHgAC5wICAj0CBAIFAgYCBwIIAgkCHAILAocCDQIIAggCCAIIAggCCAIIAggCCAIIAggCCAIIAggCCAIIAggAAnoAAAQAAwLeAh4AAucCAgKDAgQCBQIGAgcCCAIJAhwCCwKHAg0CCAIIAggCCAIIAggCCAIIAggCCAIIAggCCAIIAggCCAIIAAIDAt0CHgAC5wICAgMCBAIFAgYCBwIIAgkCHAILAocCDQIIAggCCAIIAggCCAIIAggCCAIIAggCCAIIAggCCAIIAggAAgMCygIeAALnAgICkAIEAgUCBgIHAggCCQKGAgsChwINAggCCAIIAggCCAIIAggCCAIIAggCCAIIAggCCAIIAggCCAACAwJTAh4AAucCAgI5AgQCBQIGAgcCCAIJAisCCwKHAg0CCAIIAggCCAIIAggCCAIIAggCCAIIAggCCAIIAggCCAIIAAIDAskCHgAC5wICAiACBAIFAgYCBwIIAgkCHAILAocCDQIIAggCCAIIAggCCAIIAggCCAIIAggCCAIIAggCCAIIAggAAgMC3wIeAALnAgICIgIEAgUCBgIHAggCCQKGAgsChwINAggCCAIIAggCCAIIAggCCAIIAggCCAIIAggCCAIIAggCCAACAwLBAh4AAucCAgIbAgQCBQIGAgcCCAIJAoYCCwKHAg0CCAIIAggCCAIIAggCCAIIAggCCAIIAggCCAIIAggCCAIIAAIDAuACHgAC5wICAooCBAIFAgYCBwIIAgkChgILAocCDQIIAggCCAIIAggCCAIIAggCCAIIAggCCAIIAggCCAIIAggAAgMCUwIeAALnAgICJgIEAgUCBgIHAggCCQIrAgsChwINAggCCAIIAggCCAIIAggCCAIIAggCCAIIAggCCAIIAggCCAACAwKsAh4AAucCAgI3AgQCBQIGAgcCCAIJAisCCwKHAg0CCAIIAggCCAIIAggCCAIIAggCCAIIAggCCAIIAggCCAIIAAIDAtMCHgAC5wICAlQCBAIFAgYCBwIIAgkChgILAocCDQIIAggCCAIIAggCCAIIAggCCAIIAggCCAIIAggCCAIIAggAAgMCpgIeAALnAgICnQIEAgUCBgIHAggCCQIrAgsChwINAggCCAIIAggCCAIIAggCCAIIAggCCAIIAggCCAIIAggCCAACAwK1Ah4AAucCAgJHAgQCBQIGAgcCCAIJAhwCCwKHAg0CCAIIAggCCAIIAggCCAIIAggCCAIIAggCCAIIAggCCAIIAAIDArICHgAC5wICAgMCBAIFAgYCBwIIAgkCKwILAocCDQIIAggCCAIIAggCCAIIAggCCAIIAggCCAIIAggCCAIIAggAAgMCswIeAALnAgICTgIEAgUCBgIHAggCCQKGAgsChwINAggCCAIIAggCCAIIAggCCAIIAggCCAIIAggCCAIIAggCCAACAwKvAnoAAAQAHgAC5wICAkwCBAIFAgYCBwIIAgkCHAILAocCDQIIAggCCAIIAggCCAIIAggCCAIIAggCCAIIAggCCAIIAggAAgMCqAIeAALnAgICJAIEAgUCBgIHAggCCQIcAgsChwINAggCCAIIAggCCAIIAggCCAIIAggCCAIIAggCCAIIAggCCAACAwK9Ah4AAucCAgIqAgQCBQIGAgcCCAIJAisCCwKHAg0CCAIIAggCCAIIAggCCAIIAggCCAIIAggCCAIIAggCCAIIAAIDArsCHgAC5wICAqACBAIFAgYCBwIIAgkCHAILAocCDQIIAggCCAIIAggCCAIIAggCCAIIAggCCAIIAggCCAIIAggAAgMCkQIeAALnAgICTgIEAgUCBgIHAggCCQIrAgsChwINAggCCAIIAggCCAIIAggCCAIIAggCCAIIAggCCAIIAggCCAACAwLYAh4AAucCAgJAAgQCBQIGAgcCCAIJAhwCCwKHAg0CCAIIAggCCAIIAggCCAIIAggCCAIIAggCCAIIAggCCAIIAAIDAtkCHgAC5wICAkICBAIFAgYCBwIIAgkChgILAocCDQIIAggCCAIIAggCCAIIAggCCAIIAggCCAIIAggCCAIIAggAAgMC2gIeAALnAgICKgIEAgUCBgIHAggCCQIcAgsChwINAggCCAIIAggCCAIIAggCCAIIAggCCAIIAggCCAIIAggCCAACAwLHAh4AAucCAgKdAgQCBQIGAgcCCAIJAhwCCwKHAg0CCAIIAggCCAIIAggCCAIIAggCCAIIAggCCAIIAggCCAIIAAIDAsYCHgAC5wICAi0CBAIFAgYCBwIIAgkChgILAocCDQIIAggCCAIIAggCCAIIAggCCAIIAggCCAIIAggCCAIIAggAAgMCywIeAALnAgICVAIEAgUCBgIHAggCCQIrAgsChwINAggCCAIIAggCCAIIAggCCAIIAggCCAIIAggCCAIIAggCCAACAwLbAh4AAucCAgJKAgQCBQIGAgcCCAIJAoYCCwKHAg0CCAIIAggCCAIIAggCCAIIAggCCAIIAggCCAIIAggCCAIIAAIDAp8CHgAC5wICAoMCBAIFAgYCBwIIAgkCKwILAocCDQIIAggCCAIIAggCCAIIAggCCAIIAggCCAIIAggCCAIIAggAAgMCzAIeAALnAgICOQIEAgUCBgIHAggCCQKGAgsChwINAggCCAIIAggCCAIIAggCCAIIAggCCAIIAggCCAIIAggCCAACAwKNAh4AAucCAgKgAgQCBQIGAgcCCAIJAisCCwKHAg0CCAIIAggCCAIIAggCCAIIAggCCAIIAggCCAIIAggCCAIIAAIDAqECHgAC53oAAAQAAgICNQIEAgUCBgIHAggCCQIcAgsChwINAggCCAIIAggCCAIIAggCCAIIAggCCAIIAggCCAIIAggCCAACAwLPAh4AAucCAgJ/AgQCBQIGAgcCCAIJAhwCCwKHAg0CCAIIAggCCAIIAggCCAIIAggCCAIIAggCCAIIAggCCAIIAAIDApwCHgAC5wICAlYCBAIFAgYCBwIIAgkChgILAocCDQIIAggCCAIIAggCCAIIAggCCAIIAggCCAIIAggCCAIIAggAAgMCUwIeAALnAgICQAIEAgUCBgIHAggCCQIrAgsChwINAggCCAIIAggCCAIIAggCCAIIAggCCAIIAggCCAIIAggCCAACAwKjAh4AAucCAgI3AgQCBQIGAgcCCAIJAoYCCwKHAg0CCAIIAggCCAIIAggCCAIIAggCCAIIAggCCAIIAggCCAIIAAIDAqQCHgAC5wICArYCBAIFAgYCBwIIAgkCKwILAocCDQIIAggCCAIIAggCCAIIAggCCAIIAggCCAIIAggCCAIIAggAAgMCoQIeAALnAgICgQIEAgUCBgIHAggCCQKGAgsChwINAggCCAIIAggCCAIIAggCCAIIAggCCAIIAggCCAIIAggCCAACAwJTAh4AAucCAgIoAgQCBQIGAgcCCAIJAhwCCwKHAg0CCAIIAggCCAIIAggCCAIIAggCCAIIAggCCAIIAggCCAIIAAIDAo4CHgAC5wICAj0CBAIFAgYCBwIIAgkCKwILAocCDQIIAggCCAIIAggCCAIIAggCCAIIAggCCAIIAggCCAIIAggAAgMCzQIeAALoAAk0MTE1OTIwNDgCAgIoAgQCBQIGAgcCCAIJAoYCCwKHAg0CCAIIAggCCAIIAggCCAIIAggCCAIIAggCCAIIAggCCAIIAiECAwK+Ah4AAugCAgI5AgQCBQIGAgcCCAIJAoYCCwKHAg0CCAIIAggCCAIIAggCCAIIAggCCAIIAggCCAIIAggCCAIIAiECAwKNAh4AAugCAgIiAgQCBQIGAgcCCAIJAhwCCwKHAg0CCAIIAggCCAIIAggCCAIIAggCCAIIAggCCAIIAggCCAIIAiECAwKMAh4AAugCAgIiAgQCBQIGAgcCCAIJAoYCCwKHAg0CCAIIAggCCAIIAggCCAIIAggCCAIIAggCCAIIAggCCAIIAiECAwLBAh4AAugCAgIkAgQCBQIGAgcCCAIJAoYCCwKHAg0CCAIIAggCCAIIAggCCAIIAggCCAIIAggCCAIIAggCCAIIAiECAwJTAh4AAugCAgItAgQCBQIGAgcCCAIJAisCCwKHAg0CCAIIAggCCAIIAggCCAIIAggCCAIIAggCCAIIAggCCHoAAAQAAggCIQIDAokCHgAC6AICAjkCBAIFAgYCBwIIAgkCHAILAocCDQIIAggCCAIIAggCCAIIAggCCAIIAggCCAIIAggCCAIIAggCIQIDArwCHgAC6AICAiQCBAIFAgYCBwIIAgkCHAILAocCDQIIAggCCAIIAggCCAIIAggCCAIIAggCCAIIAggCCAIIAggCIQIDAr0CHgAC6AICAioCBAIFAgYCBwIIAgkCKwILAocCDQIIAggCCAIIAggCCAIIAggCCAIIAggCCAIIAggCCAIIAggCIQIDArsCHgAC6AICAigCBAIFAgYCBwIIAgkCHAILAocCDQIIAggCCAIIAggCCAIIAggCCAIIAggCCAIIAggCCAIIAggCIQIDAo4CHgAC6AICAioCBAIFAgYCBwIIAgkCHAILAocCDQIIAggCCAIIAggCCAIIAggCCAIIAggCCAIIAggCCAIIAggCIQIDAscCHgAC6AICAjUCBAIFAgYCBwIIAgkChgILAocCDQIIAggCCAIIAggCCAIIAggCCAIIAggCCAIIAggCCAIIAggCIQIDApkCHgAC6AICAjUCBAIFAgYCBwIIAgkCHAILAocCDQIIAggCCAIIAggCCAIIAggCCAIIAggCCAIIAggCCAIIAggCIQIDAs8CHgAC6AICAhsCBAIFAgYCBwIIAgkChgILAocCDQIIAggCCAIIAggCCAIIAggCCAIIAggCCAIIAggCCAIIAggCIQIDAuACHgAC6AICAkACBAIFAgYCBwIIAgkCKwILAocCDQIIAggCCAIIAggCCAIIAggCCAIIAggCCAIIAggCCAIIAggCIQIDAqMCHgAC6AICAkICBAIFAgYCBwIIAgkCKwILAocCDQIIAggCCAIIAggCCAIIAggCCAIIAggCCAIIAggCCAIIAggCIQIDAs4CHgAC6AICAhsCBAIFAgYCBwIIAgkCHAILAocCDQIIAggCCAIIAggCCAIIAggCCAIIAggCCAIIAggCCAIIAggCIQIDArACHgAC6AICAiACBAIFAgYCBwIIAgkChgILAocCDQIIAggCCAIIAggCCAIIAggCCAIIAggCCAIIAggCCAIIAggCIQIDArcCHgAC6AICAiACBAIFAgYCBwIIAgkCHAILAocCDQIIAggCCAIIAggCCAIIAggCCAIIAggCCAIIAggCCAIIAggCIQIDAt8CHgAC6AICAigCBAIFAgYCBwIIAgkCKwILAocCDQIIAggCCAIIAggCCAIIAggCCAIIAggCCAIIAggCCAIIAggCIQIDApQCHgAC6AICAioCBAIFAgYCBwIIAgkChgILAocCDQIIAggCCAIIAggCCAIIAggCCAIIAnoAAAQACAIIAggCCAIIAggCCAIhAgMCngIeAALoAgICVgIEAgUCBgIHAggCCQIrAgsChwINAggCCAIIAggCCAIIAggCCAIIAggCCAIIAggCCAIIAggCCAIhAgMCyAIeAALoAgICAwIEAgUCBgIHAggCCQKGAgsChwINAggCCAIIAggCCAIIAggCCAIIAggCCAIIAggCCAIIAggCCAIhAgMCjwIeAALoAgICLQIEAgUCBgIHAggCCQKGAgsChwINAggCCAIIAggCCAIIAggCCAIIAggCCAIIAggCCAIIAggCCAIhAgMCywIeAALoAgICOQIEAgUCBgIHAggCCQIrAgsChwINAggCCAIIAggCCAIIAggCCAIIAggCCAIIAggCCAIIAggCCAIhAgMCyQIeAALoAgICTAIEAgUCBgIHAggCCQIcAgsChwINAggCCAIIAggCCAIIAggCCAIIAggCCAIIAggCCAIIAggCCAIhAgMCqAIeAALoAgICLQIEAgUCBgIHAggCCQIcAgsChwINAggCCAIIAggCCAIIAggCCAIIAggCCAIIAggCCAIIAggCCAIhAgMCmgIeAALoAgICAwIEAgUCBgIHAggCCQIcAgsChwINAggCCAIIAggCCAIIAggCCAIIAggCCAIIAggCCAIIAggCCAIhAgMCygIeAALoAgICLwIEAgUCBgIHAggCCQKGAgsChwINAggCCAIIAggCCAIIAggCCAIIAggCCAIIAggCCAIIAggCCAIhAgMCuQIeAALoAgICVAIEAgUCBgIHAggCCQIcAgsChwINAggCCAIIAggCCAIIAggCCAIIAggCCAIIAggCCAIIAggCCAIhAgMC1QIeAALoAgICNwIEAgUCBgIHAggCCQIrAgsChwINAggCCAIIAggCCAIIAggCCAIIAggCCAIIAggCCAIIAggCCAIhAgMC0wIeAALoAgICLwIEAgUCBgIHAggCCQIcAgsChwINAggCCAIIAggCCAIIAggCCAIIAggCCAIIAggCCAIIAggCCAIhAgMClwIeAALoAgICSgIEAgUCBgIHAggCCQIrAgsChwINAggCCAIIAggCCAIIAggCCAIIAggCCAIIAggCCAIIAggCCAIhAgMC1wIeAALoAgICJgIEAgUCBgIHAggCCQKGAgsChwINAggCCAIIAggCCAIIAggCCAIIAggCCAIIAggCCAIIAggCCAIhAgMCmAIeAALoAgICNQIEAgUCBgIHAggCCQIrAgsChwINAggCCAIIAggCCAIIAggCCAIIAggCCAIIAggCCAIIAggCCAIhAgMCuAIeAALoAgICJgIEAgUCBgIHAggCCQIcAgsChwINAggCCAIIAggCCHoAAAQAAggCCAIIAggCCAIIAggCCAIIAggCCAIIAiECAwLFAh4AAugCAgJHAgQCBQIGAgcCCAIJAhwCCwKHAg0CCAIIAggCCAIIAggCCAIIAggCCAIIAggCCAIIAggCCAIIAiECAwKyAh4AAugCAgIeAgQCBQIGAgcCCAIJAisCCwKHAg0CCAIIAggCCAIIAggCCAIIAggCCAIIAggCCAIIAggCCAIIAiECAwKiAh4AAugCAgJKAgQCBQIGAgcCCAIJAhwCCwKHAg0CCAIIAggCCAIIAggCCAIIAggCCAIIAggCCAIIAggCCAIIAiECAwLQAh4AAugCAgJKAgQCBQIGAgcCCAIJAoYCCwKHAg0CCAIIAggCCAIIAggCCAIIAggCCAIIAggCCAIIAggCCAIIAiECAwKfAh4AAugCAgJOAgQCBQIGAgcCCAIJAoYCCwKHAg0CCAIIAggCCAIIAggCCAIIAggCCAIIAggCCAIIAggCCAIIAiECAwKvAh4AAugCAgJHAgQCBQIGAgcCCAIJAoYCCwKHAg0CCAIIAggCCAIIAggCCAIIAggCCAIIAggCCAIIAggCCAIIAiECAwJTAh4AAugCAgJMAgQCBQIGAgcCCAIJAoYCCwKHAg0CCAIIAggCCAIIAggCCAIIAggCCAIIAggCCAIIAggCCAIIAiECAwLWAh4AAugCAgJUAgQCBQIGAgcCCAIJAoYCCwKHAg0CCAIIAggCCAIIAggCCAIIAggCCAIIAggCCAIIAggCCAIIAiECAwKmAh4AAugCAgIDAgQCBQIGAgcCCAIJAisCCwKHAg0CCAIIAggCCAIIAggCCAIIAggCCAIIAggCCAIIAggCCAIIAiECAwKzAh4AAugCAgI9AgQCBQIGAgcCCAIJAisCCwKHAg0CCAIIAggCCAIIAggCCAIIAggCCAIIAggCCAIIAggCCAIIAiECAwLNAh4AAugCAgJOAgQCBQIGAgcCCAIJAhwCCwKHAg0CCAIIAggCCAIIAggCCAIIAggCCAIIAggCCAIIAggCCAIIAiECAwLUAh4AAugCAgIvAgQCBQIGAgcCCAIJAisCCwKHAg0CCAIIAggCCAIIAggCCAIIAggCCAIIAggCCAIIAggCCAIIAiECAwLhAh4AAugCAgImAgQCBQIGAgcCCAIJAisCCwKHAg0CCAIIAggCCAIIAggCCAIIAggCCAIIAggCCAIIAggCCAIIAiECAwKsAh4AAugCAgIzAgQCBQIGAgcCCAIJAisCCwKHAg0CCAIIAggCCAIIAggCCAIIAggCCAIIAggCCAIIAggCCAIIAiECAwKbAh4AAugCAgI3AgQCBQIGAgcCCAIJAoYCCwKHAnoAAAQADQIIAggCCAIIAggCCAIIAggCCAIIAggCCAIIAggCCAIIAggCIQIDAqQCHgAC6AICAjECBAIFAgYCBwIIAgkCKwILAocCDQIIAggCCAIIAggCCAIIAggCCAIIAggCCAIIAggCCAIIAggCIQIDAtICHgAC6AICAjcCBAIFAgYCBwIIAgkCHAILAocCDQIIAggCCAIIAggCCAIIAggCCAIIAggCCAIIAggCCAIIAggCIQIDAtECHgAC6AICAkACBAIFAgYCBwIIAgkCHAILAocCDQIIAggCCAIIAggCCAIIAggCCAIIAggCCAIIAggCCAIIAggCIQIDAtkCHgAC6AICAj0CBAIFAgYCBwIIAgkChgILAocCDQIIAggCCAIIAggCCAIIAggCCAIIAggCCAIIAggCCAIIAggCIQIDArECHgAC6AICAkcCBAIFAgYCBwIIAgkCKwILAocCDQIIAggCCAIIAggCCAIIAggCCAIIAggCCAIIAggCCAIIAggCIQIDAqkCHgAC6AICAkwCBAIFAgYCBwIIAgkCKwILAocCDQIIAggCCAIIAggCCAIIAggCCAIIAggCCAIIAggCCAIIAggCIQIDAq0CHgAC6AICAk4CBAIFAgYCBwIIAgkCKwILAocCDQIIAggCCAIIAggCCAIIAggCCAIIAggCCAIIAggCCAIIAggCIQIDAtgCHgAC6AICAj0CBAIFAgYCBwIIAgkCHAILAocCDQIIAggCCAIIAggCCAIIAggCCAIIAggCCAIIAggCCAIIAggCIQIDAt4CHgAC6AICAiQCBAIFAgYCBwIIAgkCKwILAocCDQIIAggCCAIIAggCCAIIAggCCAIIAggCCAIIAggCCAIIAggCIQIDAsACHgAC6AICAh4CBAIFAgYCBwIIAgkChgILAocCDQIIAggCCAIIAggCCAIIAggCCAIIAggCCAIIAggCCAIIAggCIQIDAr8CHgAC6AICAlQCBAIFAgYCBwIIAgkCKwILAocCDQIIAggCCAIIAggCCAIIAggCCAIIAggCCAIIAggCCAIIAggCIQIDAtsCHgAC6AICAh4CBAIFAgYCBwIIAgkCHAILAocCDQIIAggCCAIIAggCCAIIAggCCAIIAggCCAIIAggCCAIIAggCIQIDAq4CHgAC6AICAiICBAIFAgYCBwIIAgkCKwILAocCDQIIAggCCAIIAggCCAIIAggCCAIIAggCCAIIAggCCAIIAggCIQIDApICHgAC6AICAjECBAIFAgYCBwIIAgkCHAILAocCDQIIAggCCAIIAggCCAIIAggCCAIIAggCCAIIAggCCAIIAggCIQIDAsQCHgAC6AICAlYCBAIFAgYCB3oAAAQAAggCCQIcAgsChwINAggCCAIIAggCCAIIAggCCAIIAggCCAIIAggCCAIIAggCCAIhAgMCpwIeAALoAgICIAIEAgUCBgIHAggCCQIrAgsChwINAggCCAIIAggCCAIIAggCCAIIAggCCAIIAggCCAIIAggCCAIhAgMCwgIeAALoAgICMQIEAgUCBgIHAggCCQKGAgsChwINAggCCAIIAggCCAIIAggCCAIIAggCCAIIAggCCAIIAggCCAIhAgMCiAIeAALoAgICQgIEAgUCBgIHAggCCQKGAgsChwINAggCCAIIAggCCAIIAggCCAIIAggCCAIIAggCCAIIAggCCAIhAgMC2gIeAALoAgICMwIEAgUCBgIHAggCCQKGAgsChwINAggCCAIIAggCCAIIAggCCAIIAggCCAIIAggCCAIIAggCCAIhAgMCUwIeAALoAgICQAIEAgUCBgIHAggCCQKGAgsChwINAggCCAIIAggCCAIIAggCCAIIAggCCAIIAggCCAIIAggCCAIhAgMCqgIeAALoAgICVgIEAgUCBgIHAggCCQKGAgsChwINAggCCAIIAggCCAIIAggCCAIIAggCCAIIAggCCAIIAggCCAIhAgMCUwIeAALoAgICGwIEAgUCBgIHAggCCQIrAgsChwINAggCCAIIAggCCAIIAggCCAIIAggCCAIIAggCCAIIAggCCAIhAgMClQIeAALoAgICMwIEAgUCBgIHAggCCQIcAgsChwINAggCCAIIAggCCAIIAggCCAIIAggCCAIIAggCCAIIAggCCAIhAgMClgIeAALoAgICQgIEAgUCBgIHAggCCQIcAgsChwINAggCCAIIAggCCAIIAggCCAIIAggCCAIIAggCCAIIAggCCAIhAgMCqwIeAALpAAk0MDg5NDY2NTYCAgJOAgQCBQIGAgcCCAIJAisCCwKHAg0CCAIIAggCCAIIAggCCAIIAggCCAIIAggCCAIIAggCCAIIAh8CAwLYAh4AAukCAgJCAgQCBQIGAgcCCAIJAhwCCwKHAg0CCAIIAggCCAIIAggCCAIIAggCCAIIAggCCAIIAggCCAIIAh8CAwKrAh4AAukCAgJCAgQCBQIGAgcCCAIJAoYCCwKHAg0CCAIIAggCCAIIAggCCAIIAggCCAIIAggCCAIIAggCCAIIAh8CAwLaAh4AAukCAgJKAgQCBQIGAgcCCAIJAisCCwKHAg0CCAIIAggCCAIIAggCCAIIAggCCAIIAggCCAIIAggCCAIIAh8CAwLXAh4AAukCAgJAAgQCBQIGAgcCCAIJAhwCCwKHAg0CCAIIAggCCAIIAggCCAIIAggCCAIIAggCCAIIAggCCAIIAnoAAAQAHwIDAtkCHgAC6QICAkACBAIFAgYCBwIIAgkChgILAocCDQIIAggCCAIIAggCCAIIAggCCAIIAggCCAIIAggCCAIIAggCHwIDAqoCHgAC6QICAkcCBAIFAgYCBwIIAgkCKwILAocCDQIIAggCCAIIAggCCAIIAggCCAIIAggCCAIIAggCCAIIAggCHwIDAqkCHgAC6QICAn8CBAIFAgYCBwIIAgkCKwILAocCDQIIAggCCAIIAggCCAIIAggCCAIIAggCCAIIAggCCAIIAggCHwIDAqUCHgAC6QICAlYCBAIFAgYCBwIIAgkCHAILAocCDQIIAggCCAIIAggCCAIIAggCCAIIAggCCAIIAggCCAIIAggCHwIDAqcCHgAC6QICAjcCBAIFAgYCBwIIAgkCKwILAocCDQIIAggCCAIIAggCCAIIAggCCAIIAggCCAIIAggCCAIIAggCHwIDAtMCHgAC6QICAlYCBAIFAgYCBwIIAgkChgILAocCDQIIAggCCAIIAggCCAIIAggCCAIIAggCCAIIAggCCAIIAggCHwIDAlMCHgAC6QICAkwCBAIFAgYCBwIIAgkChgILAocCDQIIAggCCAIIAggCCAIIAggCCAIIAggCCAIIAggCCAIIAggCHwIDAtYCHgAC6QICAkwCBAIFAgYCBwIIAgkCHAILAocCDQIIAggCCAIIAggCCAIIAggCCAIIAggCCAIIAggCCAIIAggCHwIDAqgCHgAC6QICAlQCBAIFAgYCBwIIAgkCHAILAocCDQIIAggCCAIIAggCCAIIAggCCAIIAggCCAIIAggCCAIIAggCHwIDAtUCHgAC6QICAlQCBAIFAgYCBwIIAgkChgILAocCDQIIAggCCAIIAggCCAIIAggCCAIIAggCCAIIAggCCAIIAggCHwIDAqYCHgAC6QICAiICBAIFAgYCBwIIAgkChgILAocCDQIIAggCCAIIAggCCAIIAggCCAIIAggCCAIIAggCCAIIAggCHwIDAsECHgAC6QICAhsCBAIFAgYCBwIIAgkCHAILAocCDQIIAggCCAIIAggCCAIIAggCCAIIAggCCAIIAggCCAIIAggCHwIDArACHgAC6QICAiACBAIFAgYCBwIIAgkCHAILAocCDQIIAggCCAIIAggCCAIIAggCCAIIAggCCAIIAggCCAIIAggCHwIDAt8CHgAC6QICAiQCBAIFAgYCBwIIAgkChgILAocCDQIIAggCCAIIAggCCAIIAggCCAIIAggCCAIIAggCCAIIAggCHwIDAlMCHgAC6QICAk4CBAIFAgYCBwIIAgkChgILAocCDQIIAggCCAIIAggCCAIIAggCCAIIAggCCHoAAAQAAggCCAIIAggCCAIfAgMCrwIeAALpAgICRwIEAgUCBgIHAggCCQKGAgsChwINAggCCAIIAggCCAIIAggCCAIIAggCCAIIAggCCAIIAggCCAIfAgMCUwIeAALpAgICJAIEAgUCBgIHAggCCQIcAgsChwINAggCCAIIAggCCAIIAggCCAIIAggCCAIIAggCCAIIAggCCAIfAgMCvQIeAALpAgICTgIEAgUCBgIHAggCCQIcAgsChwINAggCCAIIAggCCAIIAggCCAIIAggCCAIIAggCCAIIAggCCAIfAgMC1AIeAALpAgICGwIEAgUCBgIHAggCCQKGAgsChwINAggCCAIIAggCCAIIAggCCAIIAggCCAIIAggCCAIIAggCCAIfAgMC4AIeAALpAgICIAIEAgUCBgIHAggCCQKGAgsChwINAggCCAIIAggCCAIIAggCCAIIAggCCAIIAggCCAIIAggCCAIfAgMCtwIeAALpAgICLQIEAgUCBgIHAggCCQIrAgsChwINAggCCAIIAggCCAIIAggCCAIIAggCCAIIAggCCAIIAggCCAIfAgMCiQIeAALpAgICRwIEAgUCBgIHAggCCQIcAgsChwINAggCCAIIAggCCAIIAggCCAIIAggCCAIIAggCCAIIAggCCAIfAgMCsgIeAALpAgICAwIEAgUCBgIHAggCCQIrAgsChwINAggCCAIIAggCCAIIAggCCAIIAggCCAIIAggCCAIIAggCCAIfAgMCswIeAALpAgICMQIEAgUCBgIHAggCCQKGAgsChwINAggCCAIIAggCCAIIAggCCAIIAggCCAIIAggCCAIIAggCCAIfAgMCiAIeAALpAgICTAIEAgUCBgIHAggCCQIrAgsChwINAggCCAIIAggCCAIIAggCCAIIAggCCAIIAggCCAIIAggCCAIfAgMCrQIeAALpAgICHgIEAgUCBgIHAggCCQIcAgsChwINAggCCAIIAggCCAIIAggCCAIIAggCCAIIAggCCAIIAggCCAIfAgMCrgIeAALpAgICLwIEAgUCBgIHAggCCQIrAgsChwINAggCCAIIAggCCAIIAggCCAIIAggCCAIIAggCCAIIAggCCAIfAgMC4QIeAALpAgICVAIEAgUCBgIHAggCCQIrAgsChwINAggCCAIIAggCCAIIAggCCAIIAggCCAIIAggCCAIIAggCCAIfAgMC2wIeAALpAgICPQIEAgUCBgIHAggCCQIcAgsChwINAggCCAIIAggCCAIIAggCCAIIAggCCAIIAggCCAIIAggCCAIfAgMC3gIeAALpAgICJgIEAgUCBgIHAggCCQIrAgsChwINAggCCAIIAggCCAIIAnoAAAQACAIIAggCCAIIAggCCAIIAggCCAIIAh8CAwKsAh4AAukCAgI9AgQCBQIGAgcCCAIJAoYCCwKHAg0CCAIIAggCCAIIAggCCAIIAggCCAIIAggCCAIIAggCCAIIAh8CAwKxAh4AAukCAgIiAgQCBQIGAgcCCAIJAisCCwKHAg0CCAIIAggCCAIIAggCCAIIAggCCAIIAggCCAIIAggCCAIIAh8CAwKSAh4AAukCAgIkAgQCBQIGAgcCCAIJAisCCwKHAg0CCAIIAggCCAIIAggCCAIIAggCCAIIAggCCAIIAggCCAIIAh8CAwLAAh4AAukCAgIeAgQCBQIGAgcCCAIJAoYCCwKHAg0CCAIIAggCCAIIAggCCAIIAggCCAIIAggCCAIIAggCCAIIAh8CAwK/Ah4AAukCAgIDAgQCBQIGAgcCCAIJAhwCCwKHAg0CCAIIAggCCAIIAggCCAIIAggCCAIIAggCCAIIAggCCAIIAh8CAwLKAh4AAukCAgI5AgQCBQIGAgcCCAIJAisCCwKHAg0CCAIIAggCCAIIAggCCAIIAggCCAIIAggCCAIIAggCCAIIAh8CAwLJAh4AAukCAgImAgQCBQIGAgcCCAIJAhwCCwKHAg0CCAIIAggCCAIIAggCCAIIAggCCAIIAggCCAIIAggCCAIIAh8CAwLFAh4AAukCAgIbAgQCBQIGAgcCCAIJAisCCwKHAg0CCAIIAggCCAIIAggCCAIIAggCCAIIAggCCAIIAggCCAIIAh8CAwKVAh4AAukCAgIoAgQCBQIGAgcCCAIJAisCCwKHAg0CCAIIAggCCAIIAggCCAIIAggCCAIIAggCCAIIAggCCAIIAh8CAwKUAh4AAukCAgIvAgQCBQIGAgcCCAIJAhwCCwKHAg0CCAIIAggCCAIIAggCCAIIAggCCAIIAggCCAIIAggCCAIIAh8CAwKXAh4AAukCAgIvAgQCBQIGAgcCCAIJAoYCCwKHAg0CCAIIAggCCAIIAggCCAIIAggCCAIIAggCCAIIAggCCAIIAh8CAwK5Ah4AAukCAgIxAgQCBQIGAgcCCAIJAhwCCwKHAg0CCAIIAggCCAIIAggCCAIIAggCCAIIAggCCAIIAggCCAIIAh8CAwLEAh4AAukCAgI5AgQCBQIGAgcCCAIJAhwCCwKHAg0CCAIIAggCCAIIAggCCAIIAggCCAIIAggCCAIIAggCCAIIAh8CAwK8Ah4AAukCAgIzAgQCBQIGAgcCCAIJAhwCCwKHAg0CCAIIAggCCAIIAggCCAIIAggCCAIIAggCCAIIAggCCAIIAh8CAwKWAh4AAukCAgIzAgQCBQIGAgcCCAIJAoYCCwKHAg0CCHoAAAQAAggCCAIIAggCCAIIAggCCAIIAggCCAIIAggCCAIIAggCHwIDAlMCHgAC6QICAiYCBAIFAgYCBwIIAgkChgILAocCDQIIAggCCAIIAggCCAIIAggCCAIIAggCCAIIAggCCAIIAggCHwIDApgCHgAC6QICAjUCBAIFAgYCBwIIAgkCKwILAocCDQIIAggCCAIIAggCCAIIAggCCAIIAggCCAIIAggCCAIIAggCHwIDArgCHgAC6QICAigCBAIFAgYCBwIIAgkCHAILAocCDQIIAggCCAIIAggCCAIIAggCCAIIAggCCAIIAggCCAIIAggCHwIDAo4CHgAC6QICAioCBAIFAgYCBwIIAgkCKwILAocCDQIIAggCCAIIAggCCAIIAggCCAIIAggCCAIIAggCCAIIAggCHwIDArsCHgAC6QICAiICBAIFAgYCBwIIAgkCHAILAocCDQIIAggCCAIIAggCCAIIAggCCAIIAggCCAIIAggCCAIIAggCHwIDAowCHgAC6QICAiACBAIFAgYCBwIIAgkCKwILAocCDQIIAggCCAIIAggCCAIIAggCCAIIAggCCAIIAggCCAIIAggCHwIDAsICHgAC6QICAjkCBAIFAgYCBwIIAgkChgILAocCDQIIAggCCAIIAggCCAIIAggCCAIIAggCCAIIAggCCAIIAggCHwIDAo0CHgAC6QICAkoCBAIFAgYCBwIIAgkChgILAocCDQIIAggCCAIIAggCCAIIAggCCAIIAggCCAIIAggCCAIIAggCHwIDAp8CHgAC6QICAh4CBAIFAgYCBwIIAgkCKwILAocCDQIIAggCCAIIAggCCAIIAggCCAIIAggCCAIIAggCCAIIAggCHwIDAqICHgAC6QICAkICBAIFAgYCBwIIAgkCKwILAocCDQIIAggCCAIIAggCCAIIAggCCAIIAggCCAIIAggCCAIIAggCHwIDAs4CHgAC6QICAigCBAIFAgYCBwIIAgkChgILAocCDQIIAggCCAIIAggCCAIIAggCCAIIAggCCAIIAggCCAIIAggCHwIDAr4CHgAC6QICAkACBAIFAgYCBwIIAgkCKwILAocCDQIIAggCCAIIAggCCAIIAggCCAIIAggCCAIIAggCCAIIAggCHwIDAqMCHgAC6QICAj0CBAIFAgYCBwIIAgkCKwILAocCDQIIAggCCAIIAggCCAIIAggCCAIIAggCCAIIAggCCAIIAggCHwIDAs0CHgAC6QICAkoCBAIFAgYCBwIIAgkCHAILAocCDQIIAggCCAIIAggCCAIIAggCCAIIAggCCAIIAggCCAIIAggCHwIDAtACHgAC6QICAjUCBAIFAgYCBwIIAnoAAAQACQIcAgsChwINAggCCAIIAggCCAIIAggCCAIIAggCCAIIAggCCAIIAggCCAIfAgMCzwIeAALpAgICNQIEAgUCBgIHAggCCQKGAgsChwINAggCCAIIAggCCAIIAggCCAIIAggCCAIIAggCCAIIAggCCAIfAgMCmQIeAALpAgICNwIEAgUCBgIHAggCCQKGAgsChwINAggCCAIIAggCCAIIAggCCAIIAggCCAIIAggCCAIIAggCCAIfAgMCpAIeAALpAgICfwIEAgUCBgIHAggCCQKGAgsChwINAggCCAIIAggCCAIIAggCCAIIAggCCAIIAggCCAIIAggCCAIfAgMCUwIeAALpAgICMwIEAgUCBgIHAggCCQIrAgsChwINAggCCAIIAggCCAIIAggCCAIIAggCCAIIAggCCAIIAggCCAIfAgMCmwIeAALpAgICKgIEAgUCBgIHAggCCQIcAgsChwINAggCCAIIAggCCAIIAggCCAIIAggCCAIIAggCCAIIAggCCAIfAgMCxwIeAALpAgICLQIEAgUCBgIHAggCCQIcAgsChwINAggCCAIIAggCCAIIAggCCAIIAggCCAIIAggCCAIIAggCCAIfAgMCmgIeAALpAgICMQIEAgUCBgIHAggCCQIrAgsChwINAggCCAIIAggCCAIIAggCCAIIAggCCAIIAggCCAIIAggCCAIfAgMC0gIeAALpAgICNwIEAgUCBgIHAggCCQIcAgsChwINAggCCAIIAggCCAIIAggCCAIIAggCCAIIAggCCAIIAggCCAIfAgMC0QIeAALpAgICLQIEAgUCBgIHAggCCQKGAgsChwINAggCCAIIAggCCAIIAggCCAIIAggCCAIIAggCCAIIAggCCAIfAgMCywIeAALpAgICAwIEAgUCBgIHAggCCQKGAgsChwINAggCCAIIAggCCAIIAggCCAIIAggCCAIIAggCCAIIAggCCAIfAgMCjwIeAALpAgICfwIEAgUCBgIHAggCCQIcAgsChwINAggCCAIIAggCCAIIAggCCAIIAggCCAIIAggCCAIIAggCCAIfAgMCnAIeAALpAgICVgIEAgUCBgIHAggCCQIrAgsChwINAggCCAIIAggCCAIIAggCCAIIAggCCAIIAggCCAIIAggCCAIfAgMCyAIeAALpAgICKgIEAgUCBgIHAggCCQKGAgsChwINAggCCAIIAggCCAIIAggCCAIIAggCCAIIAggCCAIIAggCCAIfAgMCngIeAALqAAk0MDg5NTEyOTYCAgJ/AgQCBQIGAgcCCAIJAhwCCwKHAg0CCAIIAggCCAIIAggCCAIIAggCCAIIAggCCAIIAggCCAIIAh0CA3oAAAQAApwCHgAC6gICAjcCBAIFAgYCBwIIAgkCHAILAocCDQIIAggCCAIIAggCCAIIAggCCAIIAggCCAIIAggCCAIIAggCHQIDAtECHgAC6gICAi8CBAIFAgYCBwIIAgkCKwILAocCDQIIAggCCAIIAggCCAIIAggCCAIIAggCCAIIAggCCAIIAggCHQIDAuECHgAC6gICAk4CBAIFAgYCBwIIAgkChgILAocCDQIIAggCCAIIAggCCAIIAggCCAIIAggCCAIIAggCCAIIAggCHQIDAq8CHgAC6gICAjcCBAIFAgYCBwIIAgkChgILAocCDQIIAggCCAIIAggCCAIIAggCCAIIAggCCAIIAggCCAIIAggCHQIDAqQCHgAC6gICAn8CBAIFAgYCBwIIAgkChgILAocCDQIIAggCCAIIAggCCAIIAggCCAIIAggCCAIIAggCCAIIAggCHQIDAlMCHgAC6gICAjMCBAIFAgYCBwIIAgkCKwILAocCDQIIAggCCAIIAggCCAIIAggCCAIIAggCCAIIAggCCAIIAggCHQIDApsCHgAC6gICAjECBAIFAgYCBwIIAgkCKwILAocCDQIIAggCCAIIAggCCAIIAggCCAIIAggCCAIIAggCCAIIAggCHQIDAtICHgAC6gICAiYCBAIFAgYCBwIIAgkCKwILAocCDQIIAggCCAIIAggCCAIIAggCCAIIAggCCAIIAggCCAIIAggCHQIDAqwCHgAC6gICAjkCBAIFAgYCBwIIAgkCKwILAocCDQIIAggCCAIIAggCCAIIAggCCAIIAggCCAIIAggCCAIIAggCHQIDAskCHgAC6gICAigCBAIFAgYCBwIIAgkCKwILAocCDQIIAggCCAIIAggCCAIIAggCCAIIAggCCAIIAggCCAIIAggCHQIDApQCHgAC6gICAh4CBAIFAgYCBwIIAgkCHAILAocCDQIIAggCCAIIAggCCAIIAggCCAIIAggCCAIIAggCCAIIAggCHQIDAq4CHgAC6gICAj0CBAIFAgYCBwIIAgkCHAILAocCDQIIAggCCAIIAggCCAIIAggCCAIIAggCCAIIAggCCAIIAggCHQIDAt4CHgAC6gICAgMCBAIFAgYCBwIIAgkCHAILAocCDQIIAggCCAIIAggCCAIIAggCCAIIAggCCAIIAggCCAIIAggCHQIDAsoCHgAC6gICAh4CBAIFAgYCBwIIAgkChgILAocCDQIIAggCCAIIAggCCAIIAggCCAIIAggCCAIIAggCCAIIAggCHQIDAr8CHgAC6gICAiICBAIFAgYCBwIIAgkCKwILAocCDQIIAggCCAIIAggCCAIIAggCCAIIAggCCAIIAnoAAAQACAIIAggCCAIdAgMCkgIeAALqAgICJAIEAgUCBgIHAggCCQIrAgsChwINAggCCAIIAggCCAIIAggCCAIIAggCCAIIAggCCAIIAggCCAIdAgMCwAIeAALqAgICgwIEAgUCBgIHAggCCQKGAgsChwINAggCCAIIAggCCAIIAggCCAIIAggCCAIIAggCCAIIAggCCAIdAgMCUwIeAALqAgICgwIEAgUCBgIHAggCCQIcAgsChwINAggCCAIIAggCCAIIAggCCAIIAggCCAIIAggCCAIIAggCCAIdAgMC3QIeAALqAgICTAIEAgUCBgIHAggCCQIcAgsChwINAggCCAIIAggCCAIIAggCCAIIAggCCAIIAggCCAIIAggCCAIdAgMCqAIeAALqAgICVAIEAgUCBgIHAggCCQIcAgsChwINAggCCAIIAggCCAIIAggCCAIIAggCCAIIAggCCAIIAggCCAIdAgMC1QIeAALqAgICLwIEAgUCBgIHAggCCQKGAgsChwINAggCCAIIAggCCAIIAggCCAIIAggCCAIIAggCCAIIAggCCAIdAgMCuQIeAALqAgICJgIEAgUCBgIHAggCCQKGAgsChwINAggCCAIIAggCCAIIAggCCAIIAggCCAIIAggCCAIIAggCCAIdAgMCmAIeAALqAgICLwIEAgUCBgIHAggCCQIcAgsChwINAggCCAIIAggCCAIIAggCCAIIAggCCAIIAggCCAIIAggCCAIdAgMClwIeAALqAgICNQIEAgUCBgIHAggCCQIrAgsChwINAggCCAIIAggCCAIIAggCCAIIAggCCAIIAggCCAIIAggCCAIdAgMCuAIeAALqAgICJgIEAgUCBgIHAggCCQIcAgsChwINAggCCAIIAggCCAIIAggCCAIIAggCCAIIAggCCAIIAggCCAIdAgMCxQIeAALqAgICfwIEAgUCBgIHAggCCQIrAgsChwINAggCCAIIAggCCAIIAggCCAIIAggCCAIIAggCCAIIAggCCAIdAgMCpQIeAALqAgICSgIEAgUCBgIHAggCCQIrAgsChwINAggCCAIIAggCCAIIAggCCAIIAggCCAIIAggCCAIIAggCCAIdAgMC1wIeAALqAgICPQIEAgUCBgIHAggCCQKGAgsChwINAggCCAIIAggCCAIIAggCCAIIAggCCAIIAggCCAIIAggCCAIdAgMCsQIeAALqAgICVAIEAgUCBgIHAggCCQKGAgsChwINAggCCAIIAggCCAIIAggCCAIIAggCCAIIAggCCAIIAggCCAIdAgMCpgIeAALqAgICNwIEAgUCBgIHAggCCQIrAgsChwINAggCCAIIAggCCAIIAggCCHoAAAQAAggCCAIIAggCCAIIAggCCAIIAh0CAwLTAh4AAuoCAgIkAgQCBQIGAgcCCAIJAhwCCwKHAg0CCAIIAggCCAIIAggCCAIIAggCCAIIAggCCAIIAggCCAIIAh0CAwK9Ah4AAuoCAgIiAgQCBQIGAgcCCAIJAhwCCwKHAg0CCAIIAggCCAIIAggCCAIIAggCCAIIAggCCAIIAggCCAIIAh0CAwKMAh4AAuoCAgJOAgQCBQIGAgcCCAIJAhwCCwKHAg0CCAIIAggCCAIIAggCCAIIAggCCAIIAggCCAIIAggCCAIIAh0CAwLUAh4AAuoCAgIqAgQCBQIGAgcCCAIJAisCCwKHAg0CCAIIAggCCAIIAggCCAIIAggCCAIIAggCCAIIAggCCAIIAh0CAwK7Ah4AAuoCAgJMAgQCBQIGAgcCCAIJAoYCCwKHAg0CCAIIAggCCAIIAggCCAIIAggCCAIIAggCCAIIAggCCAIIAh0CAwLWAh4AAuoCAgIbAgQCBQIGAgcCCAIJAhwCCwKHAg0CCAIIAggCCAIIAggCCAIIAggCCAIIAggCCAIIAggCCAIIAh0CAwKwAh4AAuoCAgJHAgQCBQIGAgcCCAIJAoYCCwKHAg0CCAIIAggCCAIIAggCCAIIAggCCAIIAggCCAIIAggCCAIIAh0CAwJTAh4AAuoCAgItAgQCBQIGAgcCCAIJAisCCwKHAg0CCAIIAggCCAIIAggCCAIIAggCCAIIAggCCAIIAggCCAIIAh0CAwKJAh4AAuoCAgIDAgQCBQIGAgcCCAIJAisCCwKHAg0CCAIIAggCCAIIAggCCAIIAggCCAIIAggCCAIIAggCCAIIAh0CAwKzAh4AAuoCAgJHAgQCBQIGAgcCCAIJAhwCCwKHAg0CCAIIAggCCAIIAggCCAIIAggCCAIIAggCCAIIAggCCAIIAh0CAwKyAh4AAuoCAgI1AgQCBQIGAgcCCAIJAhwCCwKHAg0CCAIIAggCCAIIAggCCAIIAggCCAIIAggCCAIIAggCCAIIAh0CAwLPAh4AAuoCAgIbAgQCBQIGAgcCCAIJAoYCCwKHAg0CCAIIAggCCAIIAggCCAIIAggCCAIIAggCCAIIAggCCAIIAh0CAwLgAh4AAuoCAgItAgQCBQIGAgcCCAIJAhwCCwKHAg0CCAIIAggCCAIIAggCCAIIAggCCAIIAggCCAIIAggCCAIIAh0CAwKaAh4AAuoCAgIqAgQCBQIGAgcCCAIJAhwCCwKHAg0CCAIIAggCCAIIAggCCAIIAggCCAIIAggCCAIIAggCCAIIAh0CAwLHAh4AAuoCAgIkAgQCBQIGAgcCCAIJAoYCCwKHAg0CCAIIAnoAAAQACAIIAggCCAIIAggCCAIIAggCCAIIAggCCAIIAggCHQIDAlMCHgAC6gICAiACBAIFAgYCBwIIAgkChgILAocCDQIIAggCCAIIAggCCAIIAggCCAIIAggCCAIIAggCCAIIAggCHQIDArcCHgAC6gICAiICBAIFAgYCBwIIAgkChgILAocCDQIIAggCCAIIAggCCAIIAggCCAIIAggCCAIIAggCCAIIAggCHQIDAsECHgAC6gICAiACBAIFAgYCBwIIAgkCHAILAocCDQIIAggCCAIIAggCCAIIAggCCAIIAggCCAIIAggCCAIIAggCHQIDAt8CHgAC6gICAkACBAIFAgYCBwIIAgkCKwILAocCDQIIAggCCAIIAggCCAIIAggCCAIIAggCCAIIAggCCAIIAggCHQIDAqMCHgAC6gICAlYCBAIFAgYCBwIIAgkCKwILAocCDQIIAggCCAIIAggCCAIIAggCCAIIAggCCAIIAggCCAIIAggCHQIDAsgCHgAC6gICAkICBAIFAgYCBwIIAgkCKwILAocCDQIIAggCCAIIAggCCAIIAggCCAIIAggCCAIIAggCCAIIAggCHQIDAs4CHgAC6gICAioCBAIFAgYCBwIIAgkChgILAocCDQIIAggCCAIIAggCCAIIAggCCAIIAggCCAIIAggCCAIIAggCHQIDAp4CHgAC6gICAkACBAIFAgYCBwIIAgkCHAILAocCDQIIAggCCAIIAggCCAIIAggCCAIIAggCCAIIAggCCAIIAggCHQIDAtkCHgAC6gICAkICBAIFAgYCBwIIAgkCHAILAocCDQIIAggCCAIIAggCCAIIAggCCAIIAggCCAIIAggCCAIIAggCHQIDAqsCHgAC6gICAjMCBAIFAgYCBwIIAgkChgILAocCDQIIAggCCAIIAggCCAIIAggCCAIIAggCCAIIAggCCAIIAggCHQIDAlMCHgAC6gICAi0CBAIFAgYCBwIIAgkChgILAocCDQIIAggCCAIIAggCCAIIAggCCAIIAggCCAIIAggCCAIIAggCHQIDAssCHgAC6gICAkcCBAIFAgYCBwIIAgkCKwILAocCDQIIAggCCAIIAggCCAIIAggCCAIIAggCCAIIAggCCAIIAggCHQIDAqkCHgAC6gICAlQCBAIFAgYCBwIIAgkCKwILAocCDQIIAggCCAIIAggCCAIIAggCCAIIAggCCAIIAggCCAIIAggCHQIDAtsCHgAC6gICAkwCBAIFAgYCBwIIAgkCKwILAocCDQIIAggCCAIIAggCCAIIAggCCAIIAggCCAIIAggCCAIIAggCHQIDAq0CHgAC6gICAk4CBAIFAgYCBwIIAgkCK3oAAAQAAgsChwINAggCCAIIAggCCAIIAggCCAIIAggCCAIIAggCCAIIAggCCAIdAgMC2AIeAALqAgICMQIEAgUCBgIHAggCCQKGAgsChwINAggCCAIIAggCCAIIAggCCAIIAggCCAIIAggCCAIIAggCCAIdAgMCiAIeAALqAgICQAIEAgUCBgIHAggCCQKGAgsChwINAggCCAIIAggCCAIIAggCCAIIAggCCAIIAggCCAIIAggCCAIdAgMCqgIeAALqAgICMQIEAgUCBgIHAggCCQIcAgsChwINAggCCAIIAggCCAIIAggCCAIIAggCCAIIAggCCAIIAggCCAIdAgMCxAIeAALqAgICGwIEAgUCBgIHAggCCQIrAgsChwINAggCCAIIAggCCAIIAggCCAIIAggCCAIIAggCCAIIAggCCAIdAgMClQIeAALqAgICMwIEAgUCBgIHAggCCQIcAgsChwINAggCCAIIAggCCAIIAggCCAIIAggCCAIIAggCCAIIAggCCAIdAgMClgIeAALqAgICQgIEAgUCBgIHAggCCQKGAgsChwINAggCCAIIAggCCAIIAggCCAIIAggCCAIIAggCCAIIAggCCAIdAgMC2gIeAALqAgICAwIEAgUCBgIHAggCCQKGAgsChwINAggCCAIIAggCCAIIAggCCAIIAggCCAIIAggCCAIIAggCCAIdAgMCjwIeAALqAgICOQIEAgUCBgIHAggCCQIcAgsChwINAggCCAIIAggCCAIIAggCCAIIAggCCAIIAggCCAIIAggCCAIdAgMCvAIeAALqAgICVgIEAgUCBgIHAggCCQKGAgsChwINAggCCAIIAggCCAIIAggCCAIIAggCCAIIAggCCAIIAggCCAIdAgMCUwIeAALqAgICVgIEAgUCBgIHAggCCQIcAgsChwINAggCCAIIAggCCAIIAggCCAIIAggCCAIIAggCCAIIAggCCAIdAgMCpwIeAALqAgICIAIEAgUCBgIHAggCCQIrAgsChwINAggCCAIIAggCCAIIAggCCAIIAggCCAIIAggCCAIIAggCCAIdAgMCwgIeAALqAgICSgIEAgUCBgIHAggCCQIcAgsChwINAggCCAIIAggCCAIIAggCCAIIAggCCAIIAggCCAIIAggCCAIdAgMC0AIeAALqAgICOQIEAgUCBgIHAggCCQKGAgsChwINAggCCAIIAggCCAIIAggCCAIIAggCCAIIAggCCAIIAggCCAIdAgMCjQIeAALqAgICPQIEAgUCBgIHAggCCQIrAgsChwINAggCCAIIAggCCAIIAggCCAIIAggCCAIIAggCCAIIAggCCAIdAgMCzQIeAALqAgICKAIEAnoAAAQABQIGAgcCCAIJAoYCCwKHAg0CCAIIAggCCAIIAggCCAIIAggCCAIIAggCCAIIAggCCAIIAh0CAwK+Ah4AAuoCAgIoAgQCBQIGAgcCCAIJAhwCCwKHAg0CCAIIAggCCAIIAggCCAIIAggCCAIIAggCCAIIAggCCAIIAh0CAwKOAh4AAuoCAgI1AgQCBQIGAgcCCAIJAoYCCwKHAg0CCAIIAggCCAIIAggCCAIIAggCCAIIAggCCAIIAggCCAIIAh0CAwKZAh4AAuoCAgJKAgQCBQIGAgcCCAIJAoYCCwKHAg0CCAIIAggCCAIIAggCCAIIAggCCAIIAggCCAIIAggCCAIIAh0CAwKfAh4AAuoCAgIeAgQCBQIGAgcCCAIJAisCCwKHAg0CCAIIAggCCAIIAggCCAIIAggCCAIIAggCCAIIAggCCAIIAh0CAwKiAh4AAuoCAgKDAgQCBQIGAgcCCAIJAisCCwKHAg0CCAIIAggCCAIIAggCCAIIAggCCAIIAggCCAIIAggCCAIIAh0CAwLMAh4AAusACTIzNDUxMDA2NAICAooCBAIFAgYCBwIIAgkCKwILAocCDQIIAggCCAIIAggCCAIIAggCCAIIAggCCAIIAggCCAIIAggCFwIDAosCHgAC6wICAhsCBAIFAgYCBwIIAgkCKwILAocCDQIIAggCCAIIAggCCAIIAggCCAIIAggCCAIIAggCCAIIAggCFwIDApUCHgAC6wICAjMCBAIFAgYCBwIIAgkCHAILAocCDQIIAggCCAIIAggCCAIIAggCCAIIAggCCAIIAggCCAIIAggCFwIDApYCHgAC6wICAi8CBAIFAgYCBwIIAgkCHAILAocCDQIIAggCCAIIAggCCAIIAggCCAIIAggCCAIIAggCCAIIAggCFwIDApcCHgAC6wICAgMCBAIFAgYCBwIIAgkChgILAocCDQIIAggCCAIIAggCCAIIAggCCAIIAggCCAIIAggCCAIIAggCFwIDAo8CHgAC6wICAiYCBAIFAgYCBwIIAgkChgILAocCDQIIAggCCAIIAggCCAIIAggCCAIIAggCCAIIAggCCAIIAggCFwIDApgCHgAC6wICAiICBAIFAgYCBwIIAgkCKwILAocCDQIIAggCCAIIAggCCAIIAggCCAIIAggCCAIIAggCCAIIAggCFwIDApICHgAC6wICApACBAIFAgYCBwIIAgkCHAILAocCDQIIAggCCAIIAggCCAIIAggCCAIIAggCCAIIAggCCAIIAggCFwIDApECHgAC6wICAoMCBAIFAgYCBwIIAgkChgILAocCDQIIAggCCAIIAggCCAIIAggCCAIIAggCCAIIAggCCHoAAAQAAggCCAIXAgMCUwIeAALrAgICMQIEAgUCBgIHAggCCQKGAgsChwINAggCCAIIAggCCAIIAggCCAIIAggCCAIIAggCCAIIAggCCAIXAgMCiAIeAALrAgICLQIEAgUCBgIHAggCCQIrAgsChwINAggCCAIIAggCCAIIAggCCAIIAggCCAIIAggCCAIIAggCCAIXAgMCiQIeAALrAgICKAIEAgUCBgIHAggCCQIrAgsChwINAggCCAIIAggCCAIIAggCCAIIAggCCAIIAggCCAIIAggCCAIXAgMClAIeAALrAgICHgIEAgUCBgIHAggCCQIcAgsChwINAggCCAIIAggCCAIIAggCCAIIAggCCAIIAggCCAIIAggCCAIXAgMCrgIeAALrAgICtgIEAgUCBgIHAggCCQKGAgsChwINAggCCAIIAggCCAIIAggCCAIIAggCCAIIAggCCAIIAggCCAIXAgMCUwIeAALrAgICNwIEAgUCBgIHAggCCQKGAgsChwINAggCCAIIAggCCAIIAggCCAIIAggCCAIIAggCCAIIAggCCAIXAgMCpAIeAALrAgICigIEAgUCBgIHAggCCQIcAgsChwINAggCCAIIAggCCAIIAggCCAIIAggCCAIIAggCCAIIAggCCAIXAgMCtAIeAALrAgICPQIEAgUCBgIHAggCCQKGAgsChwINAggCCAIIAggCCAIIAggCCAIIAggCCAIIAggCCAIIAggCCAIXAgMCsQIeAALrAgICoAIEAgUCBgIHAggCCQIrAgsChwINAggCCAIIAggCCAIIAggCCAIIAggCCAIIAggCCAIIAggCCAIXAgMCoQIeAALrAgICfQIEAgUCBgIHAggCCQIrAgsChwINAggCCAIIAggCCAIIAggCCAIIAggCCAIIAggCCAIIAggCCAIXAgMC3AIeAALrAgICMwIEAgUCBgIHAggCCQIrAgsChwINAggCCAIIAggCCAIIAggCCAIIAggCCAIIAggCCAIIAggCCAIXAgMCmwIeAALrAgICfwIEAgUCBgIHAggCCQIcAgsChwINAggCCAIIAggCCAIIAggCCAIIAggCCAIIAggCCAIIAggCCAIXAgMCnAIeAALrAgICQAIEAgUCBgIHAggCCQIrAgsChwINAggCCAIIAggCCAIIAggCCAIIAggCCAIIAggCCAIIAggCCAIXAgMCowIeAALrAgICNQIEAgUCBgIHAggCCQKGAgsChwINAggCCAIIAggCCAIIAggCCAIIAggCCAIIAggCCAIIAggCCAIXAgMCmQIeAALrAgICSgIEAgUCBgIHAggCCQKGAgsChwINAggCCAIIAggCCAIIAggCCAIIAnoAAAQACAIIAggCCAIIAggCCAIIAhcCAwKfAh4AAusCAgIeAgQCBQIGAgcCCAIJAisCCwKHAg0CCAIIAggCCAIIAggCCAIIAggCCAIIAggCCAIIAggCCAIIAhcCAwKiAh4AAusCAgJMAgQCBQIGAgcCCAIJAisCCwKHAg0CCAIIAggCCAIIAggCCAIIAggCCAIIAggCCAIIAggCCAIIAhcCAwKtAh4AAusCAgI5AgQCBQIGAgcCCAIJAoYCCwKHAg0CCAIIAggCCAIIAggCCAIIAggCCAIIAggCCAIIAggCCAIIAhcCAwKNAh4AAusCAgKBAgQCBQIGAgcCCAIJAoYCCwKHAg0CCAIIAggCCAIIAggCCAIIAggCCAIIAggCCAIIAggCCAIIAhcCAwJTAh4AAusCAgIoAgQCBQIGAgcCCAIJAhwCCwKHAg0CCAIIAggCCAIIAggCCAIIAggCCAIIAggCCAIIAggCCAIIAhcCAwKOAh4AAusCAgJAAgQCBQIGAgcCCAIJAhwCCwKHAg0CCAIIAggCCAIIAggCCAIIAggCCAIIAggCCAIIAggCCAIIAhcCAwLZAh4AAusCAgKgAgQCBQIGAgcCCAIJAhwCCwKHAg0CCAIIAggCCAIIAggCCAIIAggCCAIIAggCCAIIAggCCAIIAhcCAwKRAh4AAusCAgJWAgQCBQIGAgcCCAIJAhwCCwKHAg0CCAIIAggCCAIIAggCCAIIAggCCAIIAggCCAIIAggCCAIIAhcCAwKnAh4AAusCAgJUAgQCBQIGAgcCCAIJAhwCCwKHAg0CCAIIAggCCAIIAggCCAIIAggCCAIIAggCCAIIAggCCAIIAhcCAwLVAh4AAusCAgJCAgQCBQIGAgcCCAIJAoYCCwKHAg0CCAIIAggCCAIIAggCCAIIAggCCAIIAggCCAIIAggCCAIIAhcCAwLaAh4AAusCAgJOAgQCBQIGAgcCCAIJAisCCwKHAg0CCAIIAggCCAIIAggCCAIIAggCCAIIAggCCAIIAggCCAIIAhcCAwLYAh4AAusCAgJKAgQCBQIGAgcCCAIJAhwCCwKHAg0CCAIIAggCCAIIAggCCAIIAggCCAIIAggCCAIIAggCCAIIAhcCAwLQAh4AAusCAgIqAgQCBQIGAgcCCAIJAoYCCwKHAg0CCAIIAggCCAIIAggCCAIIAggCCAIIAggCCAIIAggCCAIIAhcCAwKeAh4AAusCAgKdAgQCBQIGAgcCCAIJAoYCCwKHAg0CCAIIAggCCAIIAggCCAIIAggCCAIIAggCCAIIAggCCAIIAhcCAwJTAh4AAusCAgJWAgQCBQIGAgcCCAIJAisCCwKHAg0CCAIIAggCCHoAAAQAAggCCAIIAggCCAIIAggCCAIIAggCCAIIAggCFwIDAsgCHgAC6wICAhsCBAIFAgYCBwIIAgkChgILAocCDQIIAggCCAIIAggCCAIIAggCCAIIAggCCAIIAggCCAIIAggCFwIDAuACHgAC6wICAooCBAIFAgYCBwIIAgkChgILAocCDQIIAggCCAIIAggCCAIIAggCCAIIAggCCAIIAggCCAIIAggCFwIDAlMCHgAC6wICAi8CBAIFAgYCBwIIAgkCKwILAocCDQIIAggCCAIIAggCCAIIAggCCAIIAggCCAIIAggCCAIIAggCFwIDAuECHgAC6wICAi0CBAIFAgYCBwIIAgkCHAILAocCDQIIAggCCAIIAggCCAIIAggCCAIIAggCCAIIAggCCAIIAggCFwIDApoCHgAC6wICAkcCBAIFAgYCBwIIAgkChgILAocCDQIIAggCCAIIAggCCAIIAggCCAIIAggCCAIIAggCCAIIAggCFwIDAlMCHgAC6wICApACBAIFAgYCBwIIAgkCKwILAocCDQIIAggCCAIIAggCCAIIAggCCAIIAggCCAIIAggCCAIIAggCFwIDAqECHgAC6wICAoECBAIFAgYCBwIIAgkCKwILAocCDQIIAggCCAIIAggCCAIIAggCCAIIAggCCAIIAggCCAIIAggCFwIDAsMCHgAC6wICAk4CBAIFAgYCBwIIAgkCHAILAocCDQIIAggCCAIIAggCCAIIAggCCAIIAggCCAIIAggCCAIIAggCFwIDAtQCHgAC6wICAiQCBAIFAgYCBwIIAgkCHAILAocCDQIIAggCCAIIAggCCAIIAggCCAIIAggCCAIIAggCCAIIAggCFwIDAr0CHgAC6wICAkwCBAIFAgYCBwIIAgkChgILAocCDQIIAggCCAIIAggCCAIIAggCCAIIAggCCAIIAggCCAIIAggCFwIDAtYCHgAC6wICAjcCBAIFAgYCBwIIAgkCKwILAocCDQIIAggCCAIIAggCCAIIAggCCAIIAggCCAIIAggCCAIIAggCFwIDAtMCHgAC6wICAkoCBAIFAgYCBwIIAgkCKwILAocCDQIIAggCCAIIAggCCAIIAggCCAIIAggCCAIIAggCCAIIAggCFwIDAtcCHgAC6wICAiICBAIFAgYCBwIIAgkChgILAocCDQIIAggCCAIIAggCCAIIAggCCAIIAggCCAIIAggCCAIIAggCFwIDAsECHgAC6wICAn0CBAIFAgYCBwIIAgkCHAILAocCDQIIAggCCAIIAggCCAIIAggCCAIIAggCCAIIAggCCAIIAggCFwIDApMCHgAC6wICAiACBAIFAgYCBwIIAgkCKwILAnoAAAQAhwINAggCCAIIAggCCAIIAggCCAIIAggCCAIIAggCCAIIAggCCAIXAgMCwgIeAALrAgICkAIEAgUCBgIHAggCCQKGAgsChwINAggCCAIIAggCCAIIAggCCAIIAggCCAIIAggCCAIIAggCCAIXAgMCUwIeAALrAgICMQIEAgUCBgIHAggCCQIcAgsChwINAggCCAIIAggCCAIIAggCCAIIAggCCAIIAggCCAIIAggCCAIXAgMCxAIeAALrAgICJgIEAgUCBgIHAggCCQIcAgsChwINAggCCAIIAggCCAIIAggCCAIIAggCCAIIAggCCAIIAggCCAIXAgMCxQIeAALrAgICNQIEAgUCBgIHAggCCQIrAgsChwINAggCCAIIAggCCAIIAggCCAIIAggCCAIIAggCCAIIAggCCAIXAgMCuAIeAALrAgICJAIEAgUCBgIHAggCCQIrAgsChwINAggCCAIIAggCCAIIAggCCAIIAggCCAIIAggCCAIIAggCCAIXAgMCwAIeAALrAgICLwIEAgUCBgIHAggCCQKGAgsChwINAggCCAIIAggCCAIIAggCCAIIAggCCAIIAggCCAIIAggCCAIXAgMCuQIeAALrAgICgQIEAgUCBgIHAggCCQIcAgsChwINAggCCAIIAggCCAIIAggCCAIIAggCCAIIAggCCAIIAggCCAIXAgMCugIeAALrAgICgwIEAgUCBgIHAggCCQIcAgsChwINAggCCAIIAggCCAIIAggCCAIIAggCCAIIAggCCAIIAggCCAIXAgMC3QIeAALrAgICOQIEAgUCBgIHAggCCQIrAgsChwINAggCCAIIAggCCAIIAggCCAIIAggCCAIIAggCCAIIAggCCAIXAgMCyQIeAALrAgICPQIEAgUCBgIHAggCCQIcAgsChwINAggCCAIIAggCCAIIAggCCAIIAggCCAIIAggCCAIIAggCCAIXAgMC3gIeAALrAgICnQIEAgUCBgIHAggCCQIrAgsChwINAggCCAIIAggCCAIIAggCCAIIAggCCAIIAggCCAIIAggCCAIXAgMCtQIeAALrAgICMQIEAgUCBgIHAggCCQIrAgsChwINAggCCAIIAggCCAIIAggCCAIIAggCCAIIAggCCAIIAggCCAIXAgMC0gIeAALrAgICAwIEAgUCBgIHAggCCQIcAgsChwINAggCCAIIAggCCAIIAggCCAIIAggCCAIIAggCCAIIAggCCAIXAgMCygIeAALrAgICHgIEAgUCBgIHAggCCQKGAgsChwINAggCCAIIAggCCAIIAggCCAIIAggCCAIIAggCCAIIAggCCAIXAgMCvwIeAALrAgICtgIEAgUCBnoAAAQAAgcCCAIJAhwCCwKHAg0CCAIIAggCCAIIAggCCAIIAggCCAIIAggCCAIIAggCCAIIAhcCAwKRAh4AAusCAgIgAgQCBQIGAgcCCAIJAhwCCwKHAg0CCAIIAggCCAIIAggCCAIIAggCCAIIAggCCAIIAggCCAIIAhcCAwLfAh4AAusCAgJ/AgQCBQIGAgcCCAIJAoYCCwKHAg0CCAIIAggCCAIIAggCCAIIAggCCAIIAggCCAIIAggCCAIIAhcCAwJTAh4AAusCAgJCAgQCBQIGAgcCCAIJAisCCwKHAg0CCAIIAggCCAIIAggCCAIIAggCCAIIAggCCAIIAggCCAIIAhcCAwLOAh4AAusCAgImAgQCBQIGAgcCCAIJAisCCwKHAg0CCAIIAggCCAIIAggCCAIIAggCCAIIAggCCAIIAggCCAIIAhcCAwKsAh4AAusCAgI1AgQCBQIGAgcCCAIJAhwCCwKHAg0CCAIIAggCCAIIAggCCAIIAggCCAIIAggCCAIIAggCCAIIAhcCAwLPAh4AAusCAgI3AgQCBQIGAgcCCAIJAhwCCwKHAg0CCAIIAggCCAIIAggCCAIIAggCCAIIAggCCAIIAggCCAIIAhcCAwLRAh4AAusCAgJUAgQCBQIGAgcCCAIJAisCCwKHAg0CCAIIAggCCAIIAggCCAIIAggCCAIIAggCCAIIAggCCAIIAhcCAwLbAh4AAusCAgKDAgQCBQIGAgcCCAIJAisCCwKHAg0CCAIIAggCCAIIAggCCAIIAggCCAIIAggCCAIIAggCCAIIAhcCAwLMAh4AAusCAgK2AgQCBQIGAgcCCAIJAisCCwKHAg0CCAIIAggCCAIIAggCCAIIAggCCAIIAggCCAIIAggCCAIIAhcCAwKhAh4AAusCAgJWAgQCBQIGAgcCCAIJAoYCCwKHAg0CCAIIAggCCAIIAggCCAIIAggCCAIIAggCCAIIAggCCAIIAhcCAwJTAh4AAusCAgIzAgQCBQIGAgcCCAIJAoYCCwKHAg0CCAIIAggCCAIIAggCCAIIAggCCAIIAggCCAIIAggCCAIIAhcCAwJTAh4AAusCAgJCAgQCBQIGAgcCCAIJAhwCCwKHAg0CCAIIAggCCAIIAggCCAIIAggCCAIIAggCCAIIAggCCAIIAhcCAwKrAh4AAusCAgI5AgQCBQIGAgcCCAIJAhwCCwKHAg0CCAIIAggCCAIIAggCCAIIAggCCAIIAggCCAIIAggCCAIIAhcCAwK8Ah4AAusCAgI9AgQCBQIGAgcCCAIJAisCCwKHAg0CCAIIAggCCAIIAggCCAIIAggCCAIIAggCCAIIAggCCAIIAhcCAwLNAh4AAnoAAAQA6wICAigCBAIFAgYCBwIIAgkChgILAocCDQIIAggCCAIIAggCCAIIAggCCAIIAggCCAIIAggCCAIIAggCFwIDAr4CHgAC6wICAqACBAIFAgYCBwIIAgkChgILAocCDQIIAggCCAIIAggCCAIIAggCCAIIAggCCAIIAggCCAIIAggCFwIDAlMCHgAC6wICAkACBAIFAgYCBwIIAgkChgILAocCDQIIAggCCAIIAggCCAIIAggCCAIIAggCCAIIAggCCAIIAggCFwIDAqoCHgAC6wICAkwCBAIFAgYCBwIIAgkCHAILAocCDQIIAggCCAIIAggCCAIIAggCCAIIAggCCAIIAggCCAIIAggCFwIDAqgCHgAC6wICAkcCBAIFAgYCBwIIAgkCKwILAocCDQIIAggCCAIIAggCCAIIAggCCAIIAggCCAIIAggCCAIIAggCFwIDAqkCHgAC6wICAi0CBAIFAgYCBwIIAgkChgILAocCDQIIAggCCAIIAggCCAIIAggCCAIIAggCCAIIAggCCAIIAggCFwIDAssCHgAC6wICAioCBAIFAgYCBwIIAgkCHAILAocCDQIIAggCCAIIAggCCAIIAggCCAIIAggCCAIIAggCCAIIAggCFwIDAscCHgAC6wICAiQCBAIFAgYCBwIIAgkChgILAocCDQIIAggCCAIIAggCCAIIAggCCAIIAggCCAIIAggCCAIIAggCFwIDAlMCHgAC6wICAk4CBAIFAgYCBwIIAgkChgILAocCDQIIAggCCAIIAggCCAIIAggCCAIIAggCCAIIAggCCAIIAggCFwIDAq8CHgAC6wICAiACBAIFAgYCBwIIAgkChgILAocCDQIIAggCCAIIAggCCAIIAggCCAIIAggCCAIIAggCCAIIAggCFwIDArcCHgAC6wICAhsCBAIFAgYCBwIIAgkCHAILAocCDQIIAggCCAIIAggCCAIIAggCCAIIAggCCAIIAggCCAIIAggCFwIDArACHgAC6wICAp0CBAIFAgYCBwIIAgkCHAILAocCDQIIAggCCAIIAggCCAIIAggCCAIIAggCCAIIAggCCAIIAggCFwIDAsYCHgAC6wICAkcCBAIFAgYCBwIIAgkCHAILAocCDQIIAggCCAIIAggCCAIIAggCCAIIAggCCAIIAggCCAIIAggCFwIDArICHgAC6wICAgMCBAIFAgYCBwIIAgkCKwILAocCDQIIAggCCAIIAggCCAIIAggCCAIIAggCCAIIAggCCAIIAggCFwIDArMCHgAC6wICAiICBAIFAgYCBwIIAgkCHAILAocCDQIIAggCCAIIAggCCAIIAggCCAIIAggCCAIIAggCCAIIAnoAAAQACAIXAgMCjAIeAALrAgICKgIEAgUCBgIHAggCCQIrAgsChwINAggCCAIIAggCCAIIAggCCAIIAggCCAIIAggCCAIIAggCCAIXAgMCuwIeAALrAgICfwIEAgUCBgIHAggCCQIrAgsChwINAggCCAIIAggCCAIIAggCCAIIAggCCAIIAggCCAIIAggCCAIXAgMCpQIeAALrAgICfQIEAgUCBgIHAggCCQKGAgsChwINAggCCAIIAggCCAIIAggCCAIIAggCCAIIAggCCAIIAggCCAIXAgMCUwIeAALrAgICVAIEAgUCBgIHAggCCQKGAgsChwINAggCCAIIAggCCAIIAggCCAIIAggCCAIIAggCCAIIAggCCAIXAgMCpgIeAALsAAk1MjYwNTcwNTYCAgIoAgQCBQIGAgcCCAIJAoYCCwKHAg0CCAIIAggCCAIIAggCCAIIAggCCAIIAggCCAIIAggCCAIIAhMCAwK+Ah4AAuwCAgIkAgQCBQIGAgcCCAIJAhwCCwKHAg0CCAIIAggCCAIIAggCCAIIAggCCAIIAggCCAIIAggCCAIIAhMCAwK9Ah4AAuwCAgKBAgQCBQIGAgcCCAIJAhwCCwKHAg0CCAIIAggCCAIIAggCCAIIAggCCAIIAggCCAIIAggCCAIIAhMCAwK6Ah4AAuwCAgKdAgQCBQIGAgcCCAIJAisCCwKHAg0CCAIIAggCCAIIAggCCAIIAggCCAIIAggCCAIIAggCCAIIAhMCAwK1Ah4AAuwCAgIqAgQCBQIGAgcCCAIJAisCCwKHAg0CCAIIAggCCAIIAggCCAIIAggCCAIIAggCCAIIAggCCAIIAhMCAwK7Ah4AAuwCAgI1AgQCBQIGAgcCCAIJAhwCCwKHAg0CCAIIAggCCAIIAggCCAIIAggCCAIIAggCCAIIAggCCAIIAhMCAwLPAh4AAuwCAgIbAgQCBQIGAgcCCAIJAoYCCwKHAg0CCAIIAggCCAIIAggCCAIIAggCCAIIAggCCAIIAggCCAIIAhMCAwLgAh4AAuwCAgIqAgQCBQIGAgcCCAIJAhwCCwKHAg0CCAIIAggCCAIIAggCCAIIAggCCAIIAggCCAIIAggCCAIIAhMCAwLHAh4AAuwCAgJCAgQCBQIGAgcCCAIJAisCCwKHAg0CCAIIAggCCAIIAggCCAIIAggCCAIIAggCCAIIAggCCAIIAhMCAwLOAh4AAuwCAgJWAgQCBQIGAgcCCAIJAisCCwKHAg0CCAIIAggCCAIIAggCCAIIAggCCAIIAggCCAIIAggCCAIIAhMCAwLIAh4AAuwCAgIgAgQCBQIGAgcCCAIJAhwCCwKHAg0CCAIIAggCCAIIAnoAAAQACAIIAggCCAIIAggCCAIIAggCCAIIAggCEwIDAt8CHgAC7AICAooCBAIFAgYCBwIIAgkChgILAocCDQIIAggCCAIIAggCCAIIAggCCAIIAggCCAIIAggCCAIIAggCEwIDAlMCHgAC7AICAjkCBAIFAgYCBwIIAgkCKwILAocCDQIIAggCCAIIAggCCAIIAggCCAIIAggCCAIIAggCCAIIAggCEwIDAskCHgAC7AICAoECBAIFAgYCBwIIAgkCKwILAocCDQIIAggCCAIIAggCCAIIAggCCAIIAggCCAIIAggCCAIIAggCEwIDAsMCHgAC7AICAgMCBAIFAgYCBwIIAgkCHAILAocCDQIIAggCCAIIAggCCAIIAggCCAIIAggCCAIIAggCCAIIAggCEwIDAsoCHgAC7AICAi0CBAIFAgYCBwIIAgkChgILAocCDQIIAggCCAIIAggCCAIIAggCCAIIAggCCAIIAggCCAIIAggCEwIDAssCHgAC7AICAp0CBAIFAgYCBwIIAgkCHAILAocCDQIIAggCCAIIAggCCAIIAggCCAIIAggCCAIIAggCCAIIAggCEwIDAsYCHgAC7AICApACBAIFAgYCBwIIAgkChgILAocCDQIIAggCCAIIAggCCAIIAggCCAIIAggCCAIIAggCCAIIAggCEwIDAlMCHgAC7AICAi8CBAIFAgYCBwIIAgkChgILAocCDQIIAggCCAIIAggCCAIIAggCCAIIAggCCAIIAggCCAIIAggCEwIDArkCHgAC7AICAjUCBAIFAgYCBwIIAgkCKwILAocCDQIIAggCCAIIAggCCAIIAggCCAIIAggCCAIIAggCCAIIAggCEwIDArgCHgAC7AICAn8CBAIFAgYCBwIIAgkCKwILAocCDQIIAggCCAIIAggCCAIIAggCCAIIAggCCAIIAggCCAIIAggCEwIDAqUCHgAC7AICAlQCBAIFAgYCBwIIAgkCHAILAocCDQIIAggCCAIIAggCCAIIAggCCAIIAggCCAIIAggCCAIIAggCEwIDAtUCHgAC7AICAiICBAIFAgYCBwIIAgkChgILAocCDQIIAggCCAIIAggCCAIIAggCCAIIAggCCAIIAggCCAIIAggCEwIDAsECHgAC7AICAiYCBAIFAgYCBwIIAgkCHAILAocCDQIIAggCCAIIAggCCAIIAggCCAIIAggCCAIIAggCCAIIAggCEwIDAsUCHgAC7AICAn0CBAIFAgYCBwIIAgkChgILAocCDQIIAggCCAIIAggCCAIIAggCCAIIAggCCAIIAggCCAIIAggCEwIDAlMCHgAC7AICAk4CBAIFAgYCBwIIAgkCHAILAocCDXoAAAQAAggCCAIIAggCCAIIAggCCAIIAggCCAIIAggCCAIIAggCCAITAgMC1AIeAALsAgICPQIEAgUCBgIHAggCCQIrAgsChwINAggCCAIIAggCCAIIAggCCAIIAggCCAIIAggCCAIIAggCCAITAgMCzQIeAALsAgICtgIEAgUCBgIHAggCCQIrAgsChwINAggCCAIIAggCCAIIAggCCAIIAggCCAIIAggCCAIIAggCCAITAgMCoQIeAALsAgICSgIEAgUCBgIHAggCCQKGAgsChwINAggCCAIIAggCCAIIAggCCAIIAggCCAIIAggCCAIIAggCCAITAgMCnwIeAALsAgICgwIEAgUCBgIHAggCCQIrAgsChwINAggCCAIIAggCCAIIAggCCAIIAggCCAIIAggCCAIIAggCCAITAgMCzAIeAALsAgICTAIEAgUCBgIHAggCCQKGAgsChwINAggCCAIIAggCCAIIAggCCAIIAggCCAIIAggCCAIIAggCCAITAgMC1gIeAALsAgICRwIEAgUCBgIHAggCCQKGAgsChwINAggCCAIIAggCCAIIAggCCAIIAggCCAIIAggCCAIIAggCCAITAgMCUwIeAALsAgICkAIEAgUCBgIHAggCCQIrAgsChwINAggCCAIIAggCCAIIAggCCAIIAggCCAIIAggCCAIIAggCCAITAgMCoQIeAALsAgICLwIEAgUCBgIHAggCCQIrAgsChwINAggCCAIIAggCCAIIAggCCAIIAggCCAIIAggCCAIIAggCCAITAgMC4QIeAALsAgICfQIEAgUCBgIHAggCCQIrAgsChwINAggCCAIIAggCCAIIAggCCAIIAggCCAIIAggCCAIIAggCCAITAgMC3AIeAALsAgICNwIEAgUCBgIHAggCCQKGAgsChwINAggCCAIIAggCCAIIAggCCAIIAggCCAIIAggCCAIIAggCCAITAgMCpAIeAALsAgICfwIEAgUCBgIHAggCCQIcAgsChwINAggCCAIIAggCCAIIAggCCAIIAggCCAIIAggCCAIIAggCCAITAgMCnAIeAALsAgICMwIEAgUCBgIHAggCCQIrAgsChwINAggCCAIIAggCCAIIAggCCAIIAggCCAIIAggCCAIIAggCCAITAgMCmwIeAALsAgICtgIEAgUCBgIHAggCCQIcAgsChwINAggCCAIIAggCCAIIAggCCAIIAggCCAIIAggCCAIIAggCCAITAgMCkQIeAALsAgICHgIEAgUCBgIHAggCCQKGAgsChwINAggCCAIIAggCCAIIAggCCAIIAggCCAIIAggCCAIIAggCCAITAgMCvwIeAALsAgICQAIEAgUCBgIHAnoAAAQACAIJAhwCCwKHAg0CCAIIAggCCAIIAggCCAIIAggCCAIIAggCCAIIAggCCAIIAhMCAwLZAh4AAuwCAgI9AgQCBQIGAgcCCAIJAhwCCwKHAg0CCAIIAggCCAIIAggCCAIIAggCCAIIAggCCAIIAggCCAIIAhMCAwLeAh4AAuwCAgJUAgQCBQIGAgcCCAIJAisCCwKHAg0CCAIIAggCCAIIAggCCAIIAggCCAIIAggCCAIIAggCCAIIAhMCAwLbAh4AAuwCAgKDAgQCBQIGAgcCCAIJAhwCCwKHAg0CCAIIAggCCAIIAggCCAIIAggCCAIIAggCCAIIAggCCAIIAhMCAwLdAh4AAuwCAgJOAgQCBQIGAgcCCAIJAisCCwKHAg0CCAIIAggCCAIIAggCCAIIAggCCAIIAggCCAIIAggCCAIIAhMCAwLYAh4AAuwCAgIkAgQCBQIGAgcCCAIJAisCCwKHAg0CCAIIAggCCAIIAggCCAIIAggCCAIIAggCCAIIAggCCAIIAhMCAwLAAh4AAuwCAgIzAgQCBQIGAgcCCAIJAhwCCwKHAg0CCAIIAggCCAIIAggCCAIIAggCCAIIAggCCAIIAggCCAIIAhMCAwKWAh4AAuwCAgJCAgQCBQIGAgcCCAIJAoYCCwKHAg0CCAIIAggCCAIIAggCCAIIAggCCAIIAggCCAIIAggCCAIIAhMCAwLaAh4AAuwCAgIgAgQCBQIGAgcCCAIJAisCCwKHAg0CCAIIAggCCAIIAggCCAIIAggCCAIIAggCCAIIAggCCAIIAhMCAwLCAh4AAuwCAgKgAgQCBQIGAgcCCAIJAhwCCwKHAg0CCAIIAggCCAIIAggCCAIIAggCCAIIAggCCAIIAggCCAIIAhMCAwKRAh4AAuwCAgJWAgQCBQIGAgcCCAIJAoYCCwKHAg0CCAIIAggCCAIIAggCCAIIAggCCAIIAggCCAIIAggCCAIIAhMCAwJTAh4AAuwCAgKBAgQCBQIGAgcCCAIJAoYCCwKHAg0CCAIIAggCCAIIAggCCAIIAggCCAIIAggCCAIIAggCCAIIAhMCAwJTAh4AAuwCAgI5AgQCBQIGAgcCCAIJAoYCCwKHAg0CCAIIAggCCAIIAggCCAIIAggCCAIIAggCCAIIAggCCAIIAhMCAwKNAh4AAuwCAgIiAgQCBQIGAgcCCAIJAhwCCwKHAg0CCAIIAggCCAIIAggCCAIIAggCCAIIAggCCAIIAggCCAIIAhMCAwKMAh4AAuwCAgIbAgQCBQIGAgcCCAIJAhwCCwKHAg0CCAIIAggCCAIIAggCCAIIAggCCAIIAggCCAIIAggCCAIIAhMCAwKwAh4AAuwCAnoAAAQAAiQCBAIFAgYCBwIIAgkChgILAocCDQIIAggCCAIIAggCCAIIAggCCAIIAggCCAIIAggCCAIIAggCEwIDAlMCHgAC7AICAjECBAIFAgYCBwIIAgkChgILAocCDQIIAggCCAIIAggCCAIIAggCCAIIAggCCAIIAggCCAIIAggCEwIDAogCHgAC7AICAigCBAIFAgYCBwIIAgkCHAILAocCDQIIAggCCAIIAggCCAIIAggCCAIIAggCCAIIAggCCAIIAggCEwIDAo4CHgAC7AICAi0CBAIFAgYCBwIIAgkCKwILAocCDQIIAggCCAIIAggCCAIIAggCCAIIAggCCAIIAggCCAIIAggCEwIDAokCHgAC7AICAiACBAIFAgYCBwIIAgkChgILAocCDQIIAggCCAIIAggCCAIIAggCCAIIAggCCAIIAggCCAIIAggCEwIDArcCHgAC7AICAi0CBAIFAgYCBwIIAgkCHAILAocCDQIIAggCCAIIAggCCAIIAggCCAIIAggCCAIIAggCCAIIAggCEwIDApoCHgAC7AICAjUCBAIFAgYCBwIIAgkChgILAocCDQIIAggCCAIIAggCCAIIAggCCAIIAggCCAIIAggCCAIIAggCEwIDApkCHgAC7AICAgMCBAIFAgYCBwIIAgkChgILAocCDQIIAggCCAIIAggCCAIIAggCCAIIAggCCAIIAggCCAIIAggCEwIDAo8CHgAC7AICAqACBAIFAgYCBwIIAgkCKwILAocCDQIIAggCCAIIAggCCAIIAggCCAIIAggCCAIIAggCCAIIAggCEwIDAqECHgAC7AICAkACBAIFAgYCBwIIAgkCKwILAocCDQIIAggCCAIIAggCCAIIAggCCAIIAggCCAIIAggCCAIIAggCEwIDAqMCHgAC7AICAooCBAIFAgYCBwIIAgkCHAILAocCDQIIAggCCAIIAggCCAIIAggCCAIIAggCCAIIAggCCAIIAggCEwIDArQCHgAC7AICAioCBAIFAgYCBwIIAgkChgILAocCDQIIAggCCAIIAggCCAIIAggCCAIIAggCCAIIAggCCAIIAggCEwIDAp4CHgAC7AICAp0CBAIFAgYCBwIIAgkChgILAocCDQIIAggCCAIIAggCCAIIAggCCAIIAggCCAIIAggCCAIIAggCEwIDAlMCHgAC7AICAigCBAIFAgYCBwIIAgkCKwILAocCDQIIAggCCAIIAggCCAIIAggCCAIIAggCCAIIAggCCAIIAggCEwIDApQCHgAC7AICApACBAIFAgYCBwIIAgkCHAILAocCDQIIAggCCAIIAggCCAIIAggCCAIIAggCCAIIAggCCAIIAggCE3oAAAQAAgMCkQIeAALsAgICJgIEAgUCBgIHAggCCQKGAgsChwINAggCCAIIAggCCAIIAggCCAIIAggCCAIIAggCCAIIAggCCAITAgMCmAIeAALsAgICTAIEAgUCBgIHAggCCQIcAgsChwINAggCCAIIAggCCAIIAggCCAIIAggCCAIIAggCCAIIAggCCAITAgMCqAIeAALsAgICLwIEAgUCBgIHAggCCQIcAgsChwINAggCCAIIAggCCAIIAggCCAIIAggCCAIIAggCCAIIAggCCAITAgMClwIeAALsAgICVAIEAgUCBgIHAggCCQKGAgsChwINAggCCAIIAggCCAIIAggCCAIIAggCCAIIAggCCAIIAggCCAITAgMCpgIeAALsAgICNwIEAgUCBgIHAggCCQIrAgsChwINAggCCAIIAggCCAIIAggCCAIIAggCCAIIAggCCAIIAggCCAITAgMC0wIeAALsAgICSgIEAgUCBgIHAggCCQIrAgsChwINAggCCAIIAggCCAIIAggCCAIIAggCCAIIAggCCAIIAggCCAITAgMC1wIeAALsAgICfQIEAgUCBgIHAggCCQIcAgsChwINAggCCAIIAggCCAIIAggCCAIIAggCCAIIAggCCAIIAggCCAITAgMCkwIeAALsAgICRwIEAgUCBgIHAggCCQIcAgsChwINAggCCAIIAggCCAIIAggCCAIIAggCCAIIAggCCAIIAggCCAITAgMCsgIeAALsAgICSgIEAgUCBgIHAggCCQIcAgsChwINAggCCAIIAggCCAIIAggCCAIIAggCCAIIAggCCAIIAggCCAITAgMC0AIeAALsAgICTgIEAgUCBgIHAggCCQKGAgsChwINAggCCAIIAggCCAIIAggCCAIIAggCCAIIAggCCAIIAggCCAITAgMCrwIeAALsAgICHgIEAgUCBgIHAggCCQIrAgsChwINAggCCAIIAggCCAIIAggCCAIIAggCCAIIAggCCAIIAggCCAITAgMCogIeAALsAgICAwIEAgUCBgIHAggCCQIrAgsChwINAggCCAIIAggCCAIIAggCCAIIAggCCAIIAggCCAIIAggCCAITAgMCswIeAALsAgICJgIEAgUCBgIHAggCCQIrAgsChwINAggCCAIIAggCCAIIAggCCAIIAggCCAIIAggCCAIIAggCCAITAgMCrAIeAALsAgICNwIEAgUCBgIHAggCCQIcAgsChwINAggCCAIIAggCCAIIAggCCAIIAggCCAIIAggCCAIIAggCCAITAgMC0QIeAALsAgICMQIEAgUCBgIHAggCCQIrAgsChwINAggCCAIIAggCCAIIAggCCAIIAggCCAIIAnoAAAQACAIIAggCCAIIAhMCAwLSAh4AAuwCAgK2AgQCBQIGAgcCCAIJAoYCCwKHAg0CCAIIAggCCAIIAggCCAIIAggCCAIIAggCCAIIAggCCAIIAhMCAwJTAh4AAuwCAgJ/AgQCBQIGAgcCCAIJAoYCCwKHAg0CCAIIAggCCAIIAggCCAIIAggCCAIIAggCCAIIAggCCAIIAhMCAwJTAh4AAuwCAgJCAgQCBQIGAgcCCAIJAhwCCwKHAg0CCAIIAggCCAIIAggCCAIIAggCCAIIAggCCAIIAggCCAIIAhMCAwKrAh4AAuwCAgI9AgQCBQIGAgcCCAIJAoYCCwKHAg0CCAIIAggCCAIIAggCCAIIAggCCAIIAggCCAIIAggCCAIIAhMCAwKxAh4AAuwCAgJHAgQCBQIGAgcCCAIJAisCCwKHAg0CCAIIAggCCAIIAggCCAIIAggCCAIIAggCCAIIAggCCAIIAhMCAwKpAh4AAuwCAgJAAgQCBQIGAgcCCAIJAoYCCwKHAg0CCAIIAggCCAIIAggCCAIIAggCCAIIAggCCAIIAggCCAIIAhMCAwKqAh4AAuwCAgIeAgQCBQIGAgcCCAIJAhwCCwKHAg0CCAIIAggCCAIIAggCCAIIAggCCAIIAggCCAIIAggCCAIIAhMCAwKuAh4AAuwCAgIiAgQCBQIGAgcCCAIJAisCCwKHAg0CCAIIAggCCAIIAggCCAIIAggCCAIIAggCCAIIAggCCAIIAhMCAwKSAh4AAuwCAgKDAgQCBQIGAgcCCAIJAoYCCwKHAg0CCAIIAggCCAIIAggCCAIIAggCCAIIAggCCAIIAggCCAIIAhMCAwJTAh4AAuwCAgJMAgQCBQIGAgcCCAIJAisCCwKHAg0CCAIIAggCCAIIAggCCAIIAggCCAIIAggCCAIIAggCCAIIAhMCAwKtAh4AAuwCAgIxAgQCBQIGAgcCCAIJAhwCCwKHAg0CCAIIAggCCAIIAggCCAIIAggCCAIIAggCCAIIAggCCAIIAhMCAwLEAh4AAuwCAgKKAgQCBQIGAgcCCAIJAisCCwKHAg0CCAIIAggCCAIIAggCCAIIAggCCAIIAggCCAIIAggCCAIIAhMCAwKLAh4AAuwCAgI5AgQCBQIGAgcCCAIJAhwCCwKHAg0CCAIIAggCCAIIAggCCAIIAggCCAIIAggCCAIIAggCCAIIAhMCAwK8Ah4AAuwCAgIzAgQCBQIGAgcCCAIJAoYCCwKHAg0CCAIIAggCCAIIAggCCAIIAggCCAIIAggCCAIIAggCCAIIAhMCAwJTAh4AAuwCAgIbAgQCBQIGAgcCCAIJAisCCwKHAg0CCAIIAggCCAIIAggCCHoAAAE5AggCCAIIAggCCAIIAggCCAIIAggCEwIDApUCHgAC7AICAqACBAIFAgYCBwIIAgkChgILAocCDQIIAggCCAIIAggCCAIIAggCCAIIAggCCAIIAggCCAIIAggCEwIDAlMCHgAC7AICAlYCBAIFAgYCBwIIAgkCHAILAocCDQIIAggCCAIIAggCCAIIAggCCAIIAggCCAIIAggCCAIIAggCEwIDAqcCHgAC7QAJNTI2MDU1ODk2AgICIgIEAgUCBgIHAggCCQIrAgsCDAINAggCCAIIAggCCAIIAggCCAIIAggCCAIIAggCCAIIAggCCAIBAgMCRAIeAALtAgICkAIEAgUCBgIHAggCCQIcAgsCDAINAggCCAIIAggCCAIIAggCCAIIAggCCAIIAggCCAIIAggCCAIBAgMC7nNxAH4AAAAAAAJzcQB+AAT///////////////7////+/////3VxAH4ABwAAAARx0ZiUeHh3igIeAALtAgICfQIEAgUCBgIHAggCCQIcAgsCDAINAggCCAIIAggCCAIIAggCCAIIAggCCAIIAggCCAIIAggCCAIBAgMC5QIeAALtAgICigIEAgUCBgIHAggCCQIrAgsCDAINAggCCAIIAggCCAIIAggCCAIIAggCCAIIAggCCAIIAggCCAIBAgMC73NxAH4AAAAAAAJzcQB+AAT///////////////7////+AAAAAXVxAH4ABwAAAAMJSVB4eHoAAAJtAh4AAu0CAgIeAgQCBQIGAgcCCAIJAhwCCwIMAg0CCAIIAggCCAIIAggCCAIIAggCCAIIAggCCAIIAggCCAIIAgECAwJGAh4AAu0CAgJHAgQCBQIGAgcCCAIJAgoCCwIMAg0CCAIIAggCCAIIAggCCAIIAggCCAIIAggCCAIIAggCCAIIAgECAwJTAh4AAu0CAgIzAgQCBQIGAgcCCAIJAisCCwIMAg0CCAIIAggCCAIIAggCCAIIAggCCAIIAggCCAIIAggCCAIIAgECAwJ4Ah4AAu0CAgIoAgQCBQIGAgcCCAIJAhwCCwIMAg0CCAIIAggCCAIIAggCCAIIAggCCAIIAggCCAIIAggCCAIIAgECAwIpAh4AAu0CAgItAgQCBQIGAgcCCAIJAisCCwIMAg0CCAIIAggCCAIIAggCCAIIAggCCAIIAggCCAIIAggCCAIIAgECAwIuAh4AAu0CAgIvAgQCBQIGAgcCCAIJAisCCwIMAg0CCAIIAggCCAIIAggCCAIIAggCCAIIAggCCAIIAggCCAIIAgECAwJSAh4AAu0CAgIbAgQCBQIGAgcCCAIJAhwCCwIMAg0CCAIIAggCCAIIAggCCAIIAggCCAIIAggCCAIIAggCCAIIAgECAwIdAh4AAu0CAgIDAgQCBQIGAgcCCAIJAgoCCwIMAg0CCAIIAggCCAIIAggCCAIIAggCCAIIAggCCAIIAggCCAIIAgECAwIOAh4AAu0CAgKKAgQCBQIGAgcCCAIJAhwCCwIMAg0CCAIIAggCCAIIAggCCAIIAggCCAIIAggCCAIIAggCCAIIAgECAwLwc3EAfgAAAAAAAnNxAH4ABP///////////////v////7/////dXEAfgAHAAAABGPPmgl4eHoAAAQAAh4AAu0CAgIeAgQCBQIGAgcCCAIJAisCCwIMAg0CCAIIAggCCAIIAggCCAIIAggCCAIIAggCCAIIAggCCAIIAgECAwJfAh4AAu0CAgJ9AgQCBQIGAgcCCAIJAisCCwIMAg0CCAIIAggCCAIIAggCCAIIAggCCAIIAggCCAIIAggCCAIIAgECAwJ+Ah4AAu0CAgItAgQCBQIGAgcCCAIJAgoCCwIMAg0CCAIIAggCCAIIAggCCAIIAggCCAIIAggCCAIIAggCCAIIAgECAwJjAh4AAu0CAgJKAgQCBQIGAgcCCAIJAgoCCwIMAg0CCAIIAggCCAIIAggCCAIIAggCCAIIAggCCAIIAggCCAIIAgECAwJLAh4AAu0CAgJMAgQCBQIGAgcCCAIJAisCCwIMAg0CCAIIAggCCAIIAggCCAIIAggCCAIIAggCCAIIAggCCAIIAgECAwJNAh4AAu0CAgJWAgQCBQIGAgcCCAIJAhwCCwIMAg0CCAIIAggCCAIIAggCCAIIAggCCAIIAggCCAIIAggCCAIIAgECAwJnAh4AAu0CAgI3AgQCBQIGAgcCCAIJAgoCCwIMAg0CCAIIAggCCAIIAggCCAIIAggCCAIIAggCCAIIAggCCAIIAgECAwI4Ah4AAu0CAgIzAgQCBQIGAgcCCAIJAhwCCwIMAg0CCAIIAggCCAIIAggCCAIIAggCCAIIAggCCAIIAggCCAIIAgECAwI0Ah4AAu0CAgIbAgQCBQIGAgcCCAIJAisCCwIMAg0CCAIIAggCCAIIAggCCAIIAggCCAIIAggCCAIIAggCCAIIAgECAwI8Ah4AAu0CAgJAAgQCBQIGAgcCCAIJAhwCCwIMAg0CCAIIAggCCAIIAggCCAIIAggCCAIIAggCCAIIAggCCAIIAgECAwJBAh4AAu0CAgIgAgQCBQIGAgcCCAIJAgoCCwIMAg0CCAIIAggCCAIIAggCCAIIAggCCAIIAggCCAIIAggCCAIIAgECAwJtAh4AAu0CAgJHAgQCBQIGAgcCCAIJAisCCwIMAg0CCAIIAggCCAIIAggCCAIIAggCCAIIAggCCAIIAggCCAIIAgECAwJIAh4AAu0CAgKgAgQCBQIGAgcCCAIJAhwCCwIMAg0CCAIIAggCCAIIAggCCAIIAggCCAIIAggCCAIIAggCCAIIAgECAwLuAh4AAu0CAgI1AgQCBQIGAgcCCAIJAgoCCwIMAg0CCAIIAggCCAIIAggCCAIIAggCCAIIAggCCAIIAggCCAIIAgECAwJQAh4AAu0CAgJMAgQCBQIGAgcCCAIJAhwCCwIMAg0CCAIIAggCCAIIAggCCAIIAggCCAIIAggCCAIIAnoAAAIzCAIIAggCAQIDAmICHgAC7QICAiQCBAIFAgYCBwIIAgkCCgILAgwCDQIIAggCCAIIAggCCAIIAggCCAIIAggCCAIIAggCCAIIAggCAQIDAlMCHgAC7QICAigCBAIFAgYCBwIIAgkCCgILAgwCDQIIAggCCAIIAggCCAIIAggCCAIIAggCCAIIAggCCAIIAggCAQIDAlcCHgAC7QICAjMCBAIFAgYCBwIIAgkCCgILAgwCDQIIAggCCAIIAggCCAIIAggCCAIIAggCCAIIAggCCAIIAggCAQIDAlMCHgAC7QICAoMCBAIFAgYCBwIIAgkCKwILAgwCDQIIAggCCAIIAggCCAIIAggCCAIIAggCCAIIAggCCAIIAggCAQIDAoQCHgAC7QICAqACBAIFAgYCBwIIAgkCCgILAgwCDQIIAggCCAIIAggCCAIIAggCCAIIAggCCAIIAggCCAIIAggCAQIDAlMCHgAC7QICAn0CBAIFAgYCBwIIAgkCCgILAgwCDQIIAggCCAIIAggCCAIIAggCCAIIAggCCAIIAggCCAIIAggCAQIDAlMCHgAC7QICAjUCBAIFAgYCBwIIAgkCHAILAgwCDQIIAggCCAIIAggCCAIIAggCCAIIAggCCAIIAggCCAIIAggCAQIDAnMCHgAC7QICAqACBAIFAgYCBwIIAgkCKwILAgwCDQIIAggCCAIIAggCCAIIAggCCAIIAggCCAIIAggCCAIIAggCAQIDAvFzcQB+AAAAAAACc3EAfgAE///////////////+/////gAAAAF1cQB+AAcAAAAEBKnnZHh4egAAArICHgAC7QICAkACBAIFAgYCBwIIAgkCKwILAgwCDQIIAggCCAIIAggCCAIIAggCCAIIAggCCAIIAggCCAIIAggCAQIDAnYCHgAC7QICAgMCBAIFAgYCBwIIAgkCKwILAgwCDQIIAggCCAIIAggCCAIIAggCCAIIAggCCAIIAggCCAIIAggCAQIDAl4CHgAC7QICAkACBAIFAgYCBwIIAgkCCgILAgwCDQIIAggCCAIIAggCCAIIAggCCAIIAggCCAIIAggCCAIIAggCAQIDAmACHgAC7QICAn8CBAIFAgYCBwIIAgkCHAILAgwCDQIIAggCCAIIAggCCAIIAggCCAIIAggCCAIIAggCCAIIAggCAQIDAuQCHgAC7QICAkcCBAIFAgYCBwIIAgkCHAILAgwCDQIIAggCCAIIAggCCAIIAggCCAIIAggCCAIIAggCCAIIAggCAQIDAmECHgAC7QICAiICBAIFAgYCBwIIAgkCHAILAgwCDQIIAggCCAIIAggCCAIIAggCCAIIAggCCAIIAggCCAIIAggCAQIDAiMCHgAC7QICAioCBAIFAgYCBwIIAgkCHAILAgwCDQIIAggCCAIIAggCCAIIAggCCAIIAggCCAIIAggCCAIIAggCAQIDAnQCHgAC7QICAoMCBAIFAgYCBwIIAgkCCgILAgwCDQIIAggCCAIIAggCCAIIAggCCAIIAggCCAIIAggCCAIIAggCAQIDAlMCHgAC7QICAn8CBAIFAgYCBwIIAgkCKwILAgwCDQIIAggCCAIIAggCCAIIAggCCAIIAggCCAIIAggCCAIIAggCAQIDAoACHgAC7QICAp0CBAIFAgYCBwIIAgkCHAILAgwCDQIIAggCCAIIAggCCAIIAggCCAIIAggCCAIIAggCCAIIAggCAQIDAvJzcQB+AAAAAAACc3EAfgAE///////////////+/////v////91cQB+AAcAAAAEb1MW8nh4egAAA4ECHgAC7QICAigCBAIFAgYCBwIIAgkCKwILAgwCDQIIAggCCAIIAggCCAIIAggCCAIIAggCCAIIAggCCAIIAggCAQIDAm8CHgAC7QICAj0CBAIFAgYCBwIIAgkCCgILAgwCDQIIAggCCAIIAggCCAIIAggCCAIIAggCCAIIAggCCAIIAggCAQIDAj4CHgAC7QICAjUCBAIFAgYCBwIIAgkCKwILAgwCDQIIAggCCAIIAggCCAIIAggCCAIIAggCCAIIAggCCAIIAggCAQIDAjYCHgAC7QICArYCBAIFAgYCBwIIAgkCCgILAgwCDQIIAggCCAIIAggCCAIIAggCCAIIAggCCAIIAggCCAIIAggCAQIDAlMCHgAC7QICAiYCBAIFAgYCBwIIAgkCHAILAgwCDQIIAggCCAIIAggCCAIIAggCCAIIAggCCAIIAggCCAIIAggCAQIDAjsCHgAC7QICAiQCBAIFAgYCBwIIAgkCKwILAgwCDQIIAggCCAIIAggCCAIIAggCCAIIAggCCAIIAggCCAIIAggCAQIDAkkCHgAC7QICAiACBAIFAgYCBwIIAgkCKwILAgwCDQIIAggCCAIIAggCCAIIAggCCAIIAggCCAIIAggCCAIIAggCAQIDAj8CHgAC7QICAk4CBAIFAgYCBwIIAgkCCgILAgwCDQIIAggCCAIIAggCCAIIAggCCAIIAggCCAIIAggCCAIIAggCAQIDAmgCHgAC7QICAjkCBAIFAgYCBwIIAgkCKwILAgwCDQIIAggCCAIIAggCCAIIAggCCAIIAggCCAIIAggCCAIIAggCAQIDAmsCHgAC7QICAj0CBAIFAgYCBwIIAgkCHAILAgwCDQIIAggCCAIIAggCCAIIAggCCAIIAggCCAIIAggCCAIIAggCAQIDAkUCHgAC7QICAgMCBAIFAgYCBwIIAgkCHAILAgwCDQIIAggCCAIIAggCCAIIAggCCAIIAggCCAIIAggCCAIIAggCAQIDAmkCHgAC7QICAjECBAIFAgYCBwIIAgkCKwILAgwCDQIIAggCCAIIAggCCAIIAggCCAIIAggCCAIIAggCCAIIAggCAQIDAnUCHgAC7QICAp0CBAIFAgYCBwIIAgkCKwILAgwCDQIIAggCCAIIAggCCAIIAggCCAIIAggCCAIIAggCCAIIAggCAQIDAvNzcQB+AAAAAAACc3EAfgAE///////////////+/////gAAAAF1cQB+AAcAAAAEAgg8vXh4egAAARQCHgAC7QICAioCBAIFAgYCBwIIAgkCKwILAgwCDQIIAggCCAIIAggCCAIIAggCCAIIAggCCAIIAggCCAIIAggCAQIDAiwCHgAC7QICArYCBAIFAgYCBwIIAgkCHAILAgwCDQIIAggCCAIIAggCCAIIAggCCAIIAggCCAIIAggCCAIIAggCAQIDAu4CHgAC7QICAiYCBAIFAgYCBwIIAgkCKwILAgwCDQIIAggCCAIIAggCCAIIAggCCAIIAggCCAIIAggCCAIIAggCAQIDAlkCHgAC7QICAoECBAIFAgYCBwIIAgkCHAILAgwCDQIIAggCCAIIAggCCAIIAggCCAIIAggCCAIIAggCCAIIAggCAQIDAvRzcQB+AAAAAAACc3EAfgAE///////////////+/////v////91cQB+AAcAAAAEXRoD03h4egAABAACHgAC7QICAlQCBAIFAgYCBwIIAgkCCgILAgwCDQIIAggCCAIIAggCCAIIAggCCAIIAggCCAIIAggCCAIIAggCAQIDAnoCHgAC7QICAjcCBAIFAgYCBwIIAgkCHAILAgwCDQIIAggCCAIIAggCCAIIAggCCAIIAggCCAIIAggCCAIIAggCAQIDAnICHgAC7QICAlYCBAIFAgYCBwIIAgkCCgILAgwCDQIIAggCCAIIAggCCAIIAggCCAIIAggCCAIIAggCCAIIAggCAQIDAlMCHgAC7QICAiACBAIFAgYCBwIIAgkCHAILAgwCDQIIAggCCAIIAggCCAIIAggCCAIIAggCCAIIAggCCAIIAggCAQIDAiECHgAC7QICAi8CBAIFAgYCBwIIAgkCCgILAgwCDQIIAggCCAIIAggCCAIIAggCCAIIAggCCAIIAggCCAIIAggCAQIDAjACHgAC7QICArYCBAIFAgYCBwIIAgkCKwILAgwCDQIIAggCCAIIAggCCAIIAggCCAIIAggCCAIIAggCCAIIAggCAQIDAvECHgAC7QICAj0CBAIFAgYCBwIIAgkCKwILAgwCDQIIAggCCAIIAggCCAIIAggCCAIIAggCCAIIAggCCAIIAggCAQIDAlwCHgAC7QICApACBAIFAgYCBwIIAgkCCgILAgwCDQIIAggCCAIIAggCCAIIAggCCAIIAggCCAIIAggCCAIIAggCAQIDAlMCHgAC7QICAjkCBAIFAgYCBwIIAgkCHAILAgwCDQIIAggCCAIIAggCCAIIAggCCAIIAggCCAIIAggCCAIIAggCAQIDAjoCHgAC7QICAlQCBAIFAgYCBwIIAgkCKwILAgwCDQIIAggCCAIIAggCCAIIAggCCAIIAggCCAIIAggCCAIIAggCAQIDAlUCHgAC7QICAoMCBAIFAgYCBwIIAgkCHAILAgwCDQIIAggCCAIIAggCCAIIAggCCAIIAggCCAIIAggCCAIIAggCAQIDAuYCHgAC7QICAioCBAIFAgYCBwIIAgkCCgILAgwCDQIIAggCCAIIAggCCAIIAggCCAIIAggCCAIIAggCCAIIAggCAQIDAmYCHgAC7QICAn8CBAIFAgYCBwIIAgkCCgILAgwCDQIIAggCCAIIAggCCAIIAggCCAIIAggCCAIIAggCCAIIAggCAQIDAlMCHgAC7QICAjECBAIFAgYCBwIIAgkCHAILAgwCDQIIAggCCAIIAggCCAIIAggCCAIIAggCCAIIAggCCAIIAggCAQIDAjICHgAC7QICAkICBAIFAgYCBwIIAgkCHAILAgwCDQIIAggCCAIIAggCCAIIAggCCAIIAggCCAIIAggCegAABAAIAggCCAIBAgMCQwIeAALtAgICigIEAgUCBgIHAggCCQIKAgsCDAINAggCCAIIAggCCAIIAggCCAIIAggCCAIIAggCCAIIAggCCAIBAgMCUwIeAALtAgICGwIEAgUCBgIHAggCCQIKAgsCDAINAggCCAIIAggCCAIIAggCCAIIAggCCAIIAggCCAIIAggCCAIBAgMCbgIeAALtAgICIgIEAgUCBgIHAggCCQIKAgsCDAINAggCCAIIAggCCAIIAggCCAIIAggCCAIIAggCCAIIAggCCAIBAgMCeQIeAALtAgICTgIEAgUCBgIHAggCCQIrAgsCDAINAggCCAIIAggCCAIIAggCCAIIAggCCAIIAggCCAIIAggCCAIBAgMCTwIeAALtAgICVAIEAgUCBgIHAggCCQIcAgsCDAINAggCCAIIAggCCAIIAggCCAIIAggCCAIIAggCCAIIAggCCAIBAgMCZAIeAALtAgICnQIEAgUCBgIHAggCCQIKAgsCDAINAggCCAIIAggCCAIIAggCCAIIAggCCAIIAggCCAIIAggCCAIBAgMCUwIeAALtAgICgQIEAgUCBgIHAggCCQIKAgsCDAINAggCCAIIAggCCAIIAggCCAIIAggCCAIIAggCCAIIAggCCAIBAgMCUwIeAALtAgICVgIEAgUCBgIHAggCCQIrAgsCDAINAggCCAIIAggCCAIIAggCCAIIAggCCAIIAggCCAIIAggCCAIBAgMCdwIeAALtAgICOQIEAgUCBgIHAggCCQIKAgsCDAINAggCCAIIAggCCAIIAggCCAIIAggCCAIIAggCCAIIAggCCAIBAgMCWAIeAALtAgICMQIEAgUCBgIHAggCCQIKAgsCDAINAggCCAIIAggCCAIIAggCCAIIAggCCAIIAggCCAIIAggCCAIBAgMCUQIeAALtAgICQgIEAgUCBgIHAggCCQIKAgsCDAINAggCCAIIAggCCAIIAggCCAIIAggCCAIIAggCCAIIAggCCAIBAgMCWgIeAALtAgICJgIEAgUCBgIHAggCCQIKAgsCDAINAggCCAIIAggCCAIIAggCCAIIAggCCAIIAggCCAIIAggCCAIBAgMCJwIeAALtAgICSgIEAgUCBgIHAggCCQIcAgsCDAINAggCCAIIAggCCAIIAggCCAIIAggCCAIIAggCCAIIAggCCAIBAgMCXQIeAALtAgICkAIEAgUCBgIHAggCCQIrAgsCDAINAggCCAIIAggCCAIIAggCCAIIAggCCAIIAggCCAIIAggCCAIBAgMC8QIeAALtAgICQgIEAgUCBgIHAggCCQIrAgsCDAINAggCCAIIAggCCAIIAggCCAIIegAABAACCAIIAggCCAIIAggCCAIIAgECAwJ7Ah4AAu0CAgJOAgQCBQIGAgcCCAIJAhwCCwIMAg0CCAIIAggCCAIIAggCCAIIAggCCAIIAggCCAIIAggCCAIIAgECAwJbAh4AAu0CAgIkAgQCBQIGAgcCCAIJAhwCCwIMAg0CCAIIAggCCAIIAggCCAIIAggCCAIIAggCCAIIAggCCAIIAgECAwIlAh4AAu0CAgJMAgQCBQIGAgcCCAIJAgoCCwIMAg0CCAIIAggCCAIIAggCCAIIAggCCAIIAggCCAIIAggCCAIIAgECAwJwAh4AAu0CAgIeAgQCBQIGAgcCCAIJAgoCCwIMAg0CCAIIAggCCAIIAggCCAIIAggCCAIIAggCCAIIAggCCAIIAgECAwIfAh4AAu0CAgItAgQCBQIGAgcCCAIJAhwCCwIMAg0CCAIIAggCCAIIAggCCAIIAggCCAIIAggCCAIIAggCCAIIAgECAwJxAh4AAu0CAgI3AgQCBQIGAgcCCAIJAisCCwIMAg0CCAIIAggCCAIIAggCCAIIAggCCAIIAggCCAIIAggCCAIIAgECAwJlAh4AAu0CAgKBAgQCBQIGAgcCCAIJAisCCwIMAg0CCAIIAggCCAIIAggCCAIIAggCCAIIAggCCAIIAggCCAIIAgECAwKCAh4AAu0CAgJKAgQCBQIGAgcCCAIJAisCCwIMAg0CCAIIAggCCAIIAggCCAIIAggCCAIIAggCCAIIAggCCAIIAgECAwJqAh4AAu0CAgIvAgQCBQIGAgcCCAIJAhwCCwIMAg0CCAIIAggCCAIIAggCCAIIAggCCAIIAggCCAIIAggCCAIIAgECAwJsAh4AAvUACTUyNjA1MzU3NgICArYCBAIFAgYCBwIIAgkCCgILAgwCDQIIAggCCAIIAggCCAIIAggCCAIIAggCCAIIAggCCAIIAggCFAIDAlMCHgAC9QICAigCBAIFAgYCBwIIAgkCHAILAgwCDQIIAggCCAIIAggCCAIIAggCCAIIAggCCAIIAggCCAIIAggCFAIDAikCHgAC9QICAi0CBAIFAgYCBwIIAgkCKwILAgwCDQIIAggCCAIIAggCCAIIAggCCAIIAggCCAIIAggCCAIIAggCFAIDAi4CHgAC9QICAjMCBAIFAgYCBwIIAgkCHAILAgwCDQIIAggCCAIIAggCCAIIAggCCAIIAggCCAIIAggCCAIIAggCFAIDAjQCHgAC9QICAi8CBAIFAgYCBwIIAgkCHAILAgwCDQIIAggCCAIIAggCCAIIAggCCAIIAggCCAIIAggCCAIIAggCFAIDAmwCHgAC9QICAjcCBAIFAgYCBwIIAgkCCgILegAABAACDAINAggCCAIIAggCCAIIAggCCAIIAggCCAIIAggCCAIIAggCCAIUAgMCOAIeAAL1AgICGwIEAgUCBgIHAggCCQIcAgsCDAINAggCCAIIAggCCAIIAggCCAIIAggCCAIIAggCCAIIAggCCAIUAgMCHQIeAAL1AgICIgIEAgUCBgIHAggCCQIrAgsCDAINAggCCAIIAggCCAIIAggCCAIIAggCCAIIAggCCAIIAggCCAIUAgMCRAIeAAL1AgICQAIEAgUCBgIHAggCCQIrAgsCDAINAggCCAIIAggCCAIIAggCCAIIAggCCAIIAggCCAIIAggCCAIUAgMCdgIeAAL1AgICigIEAgUCBgIHAggCCQIcAgsCDAINAggCCAIIAggCCAIIAggCCAIIAggCCAIIAggCCAIIAggCCAIUAgMC8AIeAAL1AgICkAIEAgUCBgIHAggCCQIcAgsCDAINAggCCAIIAggCCAIIAggCCAIIAggCCAIIAggCCAIIAggCCAIUAgMC7gIeAAL1AgICRwIEAgUCBgIHAggCCQIKAgsCDAINAggCCAIIAggCCAIIAggCCAIIAggCCAIIAggCCAIIAggCCAIUAgMCUwIeAAL1AgICoAIEAgUCBgIHAggCCQIrAgsCDAINAggCCAIIAggCCAIIAggCCAIIAggCCAIIAggCCAIIAggCCAIUAgMC8QIeAAL1AgICOQIEAgUCBgIHAggCCQIKAgsCDAINAggCCAIIAggCCAIIAggCCAIIAggCCAIIAggCCAIIAggCCAIUAgMCWAIeAAL1AgICMQIEAgUCBgIHAggCCQIKAgsCDAINAggCCAIIAggCCAIIAggCCAIIAggCCAIIAggCCAIIAggCCAIUAgMCUQIeAAL1AgICLQIEAgUCBgIHAggCCQIcAgsCDAINAggCCAIIAggCCAIIAggCCAIIAggCCAIIAggCCAIIAggCCAIUAgMCcQIeAAL1AgICKAIEAgUCBgIHAggCCQIrAgsCDAINAggCCAIIAggCCAIIAggCCAIIAggCCAIIAggCCAIIAggCCAIUAgMCbwIeAAL1AgICLwIEAgUCBgIHAggCCQIrAgsCDAINAggCCAIIAggCCAIIAggCCAIIAggCCAIIAggCCAIIAggCCAIUAgMCUgIeAAL1AgICkAIEAgUCBgIHAggCCQIrAgsCDAINAggCCAIIAggCCAIIAggCCAIIAggCCAIIAggCCAIIAggCCAIUAgMC8QIeAAL1AgICQAIEAgUCBgIHAggCCQIKAgsCDAINAggCCAIIAggCCAIIAggCCAIIAggCCAIIAggCCAIIAggCCAIUAgMCYAIeAAL1AgICSgIEAgUCegAABAAGAgcCCAIJAisCCwIMAg0CCAIIAggCCAIIAggCCAIIAggCCAIIAggCCAIIAggCCAIIAhQCAwJqAh4AAvUCAgJ9AgQCBQIGAgcCCAIJAhwCCwIMAg0CCAIIAggCCAIIAggCCAIIAggCCAIIAggCCAIIAggCCAIIAhQCAwLlAh4AAvUCAgIiAgQCBQIGAgcCCAIJAhwCCwIMAg0CCAIIAggCCAIIAggCCAIIAggCCAIIAggCCAIIAggCCAIIAhQCAwIjAh4AAvUCAgJOAgQCBQIGAgcCCAIJAhwCCwIMAg0CCAIIAggCCAIIAggCCAIIAggCCAIIAggCCAIIAggCCAIIAhQCAwJbAh4AAvUCAgJMAgQCBQIGAgcCCAIJAhwCCwIMAg0CCAIIAggCCAIIAggCCAIIAggCCAIIAggCCAIIAggCCAIIAhQCAwJiAh4AAvUCAgI9AgQCBQIGAgcCCAIJAgoCCwIMAg0CCAIIAggCCAIIAggCCAIIAggCCAIIAggCCAIIAggCCAIIAhQCAwI+Ah4AAvUCAgKDAgQCBQIGAgcCCAIJAgoCCwIMAg0CCAIIAggCCAIIAggCCAIIAggCCAIIAggCCAIIAggCCAIIAhQCAwJTAh4AAvUCAgJCAgQCBQIGAgcCCAIJAgoCCwIMAg0CCAIIAggCCAIIAggCCAIIAggCCAIIAggCCAIIAggCCAIIAhQCAwJaAh4AAvUCAgKDAgQCBQIGAgcCCAIJAisCCwIMAg0CCAIIAggCCAIIAggCCAIIAggCCAIIAggCCAIIAggCCAIIAhQCAwKEAh4AAvUCAgJOAgQCBQIGAgcCCAIJAisCCwIMAg0CCAIIAggCCAIIAggCCAIIAggCCAIIAggCCAIIAggCCAIIAhQCAwJPAh4AAvUCAgIgAgQCBQIGAgcCCAIJAgoCCwIMAg0CCAIIAggCCAIIAggCCAIIAggCCAIIAggCCAIIAggCCAIIAhQCAwJtAh4AAvUCAgJ/AgQCBQIGAgcCCAIJAhwCCwIMAg0CCAIIAggCCAIIAggCCAIIAggCCAIIAggCCAIIAggCCAIIAhQCAwLkAh4AAvUCAgJUAgQCBQIGAgcCCAIJAgoCCwIMAg0CCAIIAggCCAIIAggCCAIIAggCCAIIAggCCAIIAggCCAIIAhQCAwJ6Ah4AAvUCAgIkAgQCBQIGAgcCCAIJAgoCCwIMAg0CCAIIAggCCAIIAggCCAIIAggCCAIIAggCCAIIAggCCAIIAhQCAwJTAh4AAvUCAgJ9AgQCBQIGAgcCCAIJAisCCwIMAg0CCAIIAggCCAIIAggCCAIIAggCCAIIAggCCAIIAggCCAIIAhQCAwJ+Ah4AegAABAAC9QICAjMCBAIFAgYCBwIIAgkCKwILAgwCDQIIAggCCAIIAggCCAIIAggCCAIIAggCCAIIAggCCAIIAggCFAIDAngCHgAC9QICAlQCBAIFAgYCBwIIAgkCKwILAgwCDQIIAggCCAIIAggCCAIIAggCCAIIAggCCAIIAggCCAIIAggCFAIDAlUCHgAC9QICAoECBAIFAgYCBwIIAgkCCgILAgwCDQIIAggCCAIIAggCCAIIAggCCAIIAggCCAIIAggCCAIIAggCFAIDAlMCHgAC9QICAoMCBAIFAgYCBwIIAgkCHAILAgwCDQIIAggCCAIIAggCCAIIAggCCAIIAggCCAIIAggCCAIIAggCFAIDAuYCHgAC9QICAkoCBAIFAgYCBwIIAgkCCgILAgwCDQIIAggCCAIIAggCCAIIAggCCAIIAggCCAIIAggCCAIIAggCFAIDAksCHgAC9QICAn0CBAIFAgYCBwIIAgkCCgILAgwCDQIIAggCCAIIAggCCAIIAggCCAIIAggCCAIIAggCCAIIAggCFAIDAlMCHgAC9QICAkACBAIFAgYCBwIIAgkCHAILAgwCDQIIAggCCAIIAggCCAIIAggCCAIIAggCCAIIAggCCAIIAggCFAIDAkECHgAC9QICAjUCBAIFAgYCBwIIAgkCHAILAgwCDQIIAggCCAIIAggCCAIIAggCCAIIAggCCAIIAggCCAIIAggCFAIDAnMCHgAC9QICApACBAIFAgYCBwIIAgkCCgILAgwCDQIIAggCCAIIAggCCAIIAggCCAIIAggCCAIIAggCCAIIAggCFAIDAlMCHgAC9QICAi8CBAIFAgYCBwIIAgkCCgILAgwCDQIIAggCCAIIAggCCAIIAggCCAIIAggCCAIIAggCCAIIAggCFAIDAjACHgAC9QICAqACBAIFAgYCBwIIAgkCHAILAgwCDQIIAggCCAIIAggCCAIIAggCCAIIAggCCAIIAggCCAIIAggCFAIDAu4CHgAC9QICAj0CBAIFAgYCBwIIAgkCKwILAgwCDQIIAggCCAIIAggCCAIIAggCCAIIAggCCAIIAggCCAIIAggCFAIDAlwCHgAC9QICAiACBAIFAgYCBwIIAgkCKwILAgwCDQIIAggCCAIIAggCCAIIAggCCAIIAggCCAIIAggCCAIIAggCFAIDAj8CHgAC9QICArYCBAIFAgYCBwIIAgkCKwILAgwCDQIIAggCCAIIAggCCAIIAggCCAIIAggCCAIIAggCCAIIAggCFAIDAvECHgAC9QICAi0CBAIFAgYCBwIIAgkCCgILAgwCDQIIAggCCAIIAggCCAIIAggCCAIIAggCCAIIAggCCAIIegAABAACCAIUAgMCYwIeAAL1AgICOQIEAgUCBgIHAggCCQIcAgsCDAINAggCCAIIAggCCAIIAggCCAIIAggCCAIIAggCCAIIAggCCAIUAgMCOgIeAAL1AgICgQIEAgUCBgIHAggCCQIcAgsCDAINAggCCAIIAggCCAIIAggCCAIIAggCCAIIAggCCAIIAggCCAIUAgMC9AIeAAL1AgICNQIEAgUCBgIHAggCCQIrAgsCDAINAggCCAIIAggCCAIIAggCCAIIAggCCAIIAggCCAIIAggCCAIUAgMCNgIeAAL1AgICKgIEAgUCBgIHAggCCQIrAgsCDAINAggCCAIIAggCCAIIAggCCAIIAggCCAIIAggCCAIIAggCCAIUAgMCLAIeAAL1AgICfwIEAgUCBgIHAggCCQIKAgsCDAINAggCCAIIAggCCAIIAggCCAIIAggCCAIIAggCCAIIAggCCAIUAgMCUwIeAAL1AgICnQIEAgUCBgIHAggCCQIrAgsCDAINAggCCAIIAggCCAIIAggCCAIIAggCCAIIAggCCAIIAggCCAIUAgMC8wIeAAL1AgICMQIEAgUCBgIHAggCCQIcAgsCDAINAggCCAIIAggCCAIIAggCCAIIAggCCAIIAggCCAIIAggCCAIUAgMCMgIeAAL1AgICJAIEAgUCBgIHAggCCQIrAgsCDAINAggCCAIIAggCCAIIAggCCAIIAggCCAIIAggCCAIIAggCCAIUAgMCSQIeAAL1AgICIAIEAgUCBgIHAggCCQIcAgsCDAINAggCCAIIAggCCAIIAggCCAIIAggCCAIIAggCCAIIAggCCAIUAgMCIQIeAAL1AgICQgIEAgUCBgIHAggCCQIrAgsCDAINAggCCAIIAggCCAIIAggCCAIIAggCCAIIAggCCAIIAggCCAIUAgMCewIeAAL1AgICAwIEAgUCBgIHAggCCQIcAgsCDAINAggCCAIIAggCCAIIAggCCAIIAggCCAIIAggCCAIIAggCCAIUAgMCaQIeAAL1AgICOQIEAgUCBgIHAggCCQIrAgsCDAINAggCCAIIAggCCAIIAggCCAIIAggCCAIIAggCCAIIAggCCAIUAgMCawIeAAL1AgICPQIEAgUCBgIHAggCCQIcAgsCDAINAggCCAIIAggCCAIIAggCCAIIAggCCAIIAggCCAIIAggCCAIUAgMCRQIeAAL1AgICKgIEAgUCBgIHAggCCQIcAgsCDAINAggCCAIIAggCCAIIAggCCAIIAggCCAIIAggCCAIIAggCCAIUAgMCdAIeAAL1AgICTgIEAgUCBgIHAggCCQIKAgsCDAINAggCCAIIAggCCAIIAggCCAIIAggCegAABAAIAggCCAIIAggCCAIIAhQCAwJoAh4AAvUCAgK2AgQCBQIGAgcCCAIJAhwCCwIMAg0CCAIIAggCCAIIAggCCAIIAggCCAIIAggCCAIIAggCCAIIAhQCAwLuAh4AAvUCAgJWAgQCBQIGAgcCCAIJAgoCCwIMAg0CCAIIAggCCAIIAggCCAIIAggCCAIIAggCCAIIAggCCAIIAhQCAwJTAh4AAvUCAgKdAgQCBQIGAgcCCAIJAhwCCwIMAg0CCAIIAggCCAIIAggCCAIIAggCCAIIAggCCAIIAggCCAIIAhQCAwLyAh4AAvUCAgKBAgQCBQIGAgcCCAIJAisCCwIMAg0CCAIIAggCCAIIAggCCAIIAggCCAIIAggCCAIIAggCCAIIAhQCAwKCAh4AAvUCAgIzAgQCBQIGAgcCCAIJAgoCCwIMAg0CCAIIAggCCAIIAggCCAIIAggCCAIIAggCCAIIAggCCAIIAhQCAwJTAh4AAvUCAgKKAgQCBQIGAgcCCAIJAgoCCwIMAg0CCAIIAggCCAIIAggCCAIIAggCCAIIAggCCAIIAggCCAIIAhQCAwJTAh4AAvUCAgIDAgQCBQIGAgcCCAIJAisCCwIMAg0CCAIIAggCCAIIAggCCAIIAggCCAIIAggCCAIIAggCCAIIAhQCAwJeAh4AAvUCAgImAgQCBQIGAgcCCAIJAhwCCwIMAg0CCAIIAggCCAIIAggCCAIIAggCCAIIAggCCAIIAggCCAIIAhQCAwI7Ah4AAvUCAgIkAgQCBQIGAgcCCAIJAhwCCwIMAg0CCAIIAggCCAIIAggCCAIIAggCCAIIAggCCAIIAggCCAIIAhQCAwIlAh4AAvUCAgJUAgQCBQIGAgcCCAIJAhwCCwIMAg0CCAIIAggCCAIIAggCCAIIAggCCAIIAggCCAIIAggCCAIIAhQCAwJkAh4AAvUCAgJ/AgQCBQIGAgcCCAIJAisCCwIMAg0CCAIIAggCCAIIAggCCAIIAggCCAIIAggCCAIIAggCCAIIAhQCAwKAAh4AAvUCAgIeAgQCBQIGAgcCCAIJAgoCCwIMAg0CCAIIAggCCAIIAggCCAIIAggCCAIIAggCCAIIAggCCAIIAhQCAwIfAh4AAvUCAgI3AgQCBQIGAgcCCAIJAisCCwIMAg0CCAIIAggCCAIIAggCCAIIAggCCAIIAggCCAIIAggCCAIIAhQCAwJlAh4AAvUCAgIqAgQCBQIGAgcCCAIJAgoCCwIMAg0CCAIIAggCCAIIAggCCAIIAggCCAIIAggCCAIIAggCCAIIAhQCAwJmAh4AAvUCAgKdAgQCBQIGAgcCCAIJAgoCCwIMAg0CCAIIAggCCAIIegAABAACCAIIAggCCAIIAggCCAIIAggCCAIIAggCFAIDAlMCHgAC9QICAlYCBAIFAgYCBwIIAgkCHAILAgwCDQIIAggCCAIIAggCCAIIAggCCAIIAggCCAIIAggCCAIIAggCFAIDAmcCHgAC9QICAkoCBAIFAgYCBwIIAgkCHAILAgwCDQIIAggCCAIIAggCCAIIAggCCAIIAggCCAIIAggCCAIIAggCFAIDAl0CHgAC9QICAjUCBAIFAgYCBwIIAgkCCgILAgwCDQIIAggCCAIIAggCCAIIAggCCAIIAggCCAIIAggCCAIIAggCFAIDAlACHgAC9QICAkcCBAIFAgYCBwIIAgkCHAILAgwCDQIIAggCCAIIAggCCAIIAggCCAIIAggCCAIIAggCCAIIAggCFAIDAmECHgAC9QICAhsCBAIFAgYCBwIIAgkCCgILAgwCDQIIAggCCAIIAggCCAIIAggCCAIIAggCCAIIAggCCAIIAggCFAIDAm4CHgAC9QICAkcCBAIFAgYCBwIIAgkCKwILAgwCDQIIAggCCAIIAggCCAIIAggCCAIIAggCCAIIAggCCAIIAggCFAIDAkgCHgAC9QICAqACBAIFAgYCBwIIAgkCCgILAgwCDQIIAggCCAIIAggCCAIIAggCCAIIAggCCAIIAggCCAIIAggCFAIDAlMCHgAC9QICAiICBAIFAgYCBwIIAgkCCgILAgwCDQIIAggCCAIIAggCCAIIAggCCAIIAggCCAIIAggCCAIIAggCFAIDAnkCHgAC9QICAiYCBAIFAgYCBwIIAgkCKwILAgwCDQIIAggCCAIIAggCCAIIAggCCAIIAggCCAIIAggCCAIIAggCFAIDAlkCHgAC9QICAkwCBAIFAgYCBwIIAgkCCgILAgwCDQIIAggCCAIIAggCCAIIAggCCAIIAggCCAIIAggCCAIIAggCFAIDAnACHgAC9QICAigCBAIFAgYCBwIIAgkCCgILAgwCDQIIAggCCAIIAggCCAIIAggCCAIIAggCCAIIAggCCAIIAggCFAIDAlcCHgAC9QICAlYCBAIFAgYCBwIIAgkCKwILAgwCDQIIAggCCAIIAggCCAIIAggCCAIIAggCCAIIAggCCAIIAggCFAIDAncCHgAC9QICAkwCBAIFAgYCBwIIAgkCKwILAgwCDQIIAggCCAIIAggCCAIIAggCCAIIAggCCAIIAggCCAIIAggCFAIDAk0CHgAC9QICAjECBAIFAgYCBwIIAgkCKwILAgwCDQIIAggCCAIIAggCCAIIAggCCAIIAggCCAIIAggCCAIIAggCFAIDAnUCHgAC9QICAh4CBAIFAgYCBwIIAgkCHAILAgwCegAABAANAggCCAIIAggCCAIIAggCCAIIAggCCAIIAggCCAIIAggCCAIUAgMCRgIeAAL1AgICNwIEAgUCBgIHAggCCQIcAgsCDAINAggCCAIIAggCCAIIAggCCAIIAggCCAIIAggCCAIIAggCCAIUAgMCcgIeAAL1AgICJgIEAgUCBgIHAggCCQIKAgsCDAINAggCCAIIAggCCAIIAggCCAIIAggCCAIIAggCCAIIAggCCAIUAgMCJwIeAAL1AgICHgIEAgUCBgIHAggCCQIrAgsCDAINAggCCAIIAggCCAIIAggCCAIIAggCCAIIAggCCAIIAggCCAIUAgMCXwIeAAL1AgICGwIEAgUCBgIHAggCCQIrAgsCDAINAggCCAIIAggCCAIIAggCCAIIAggCCAIIAggCCAIIAggCCAIUAgMCPAIeAAL1AgICQgIEAgUCBgIHAggCCQIcAgsCDAINAggCCAIIAggCCAIIAggCCAIIAggCCAIIAggCCAIIAggCCAIUAgMCQwIeAAL1AgICigIEAgUCBgIHAggCCQIrAgsCDAINAggCCAIIAggCCAIIAggCCAIIAggCCAIIAggCCAIIAggCCAIUAgMC7wIeAAL1AgICAwIEAgUCBgIHAggCCQIKAgsCDAINAggCCAIIAggCCAIIAggCCAIIAggCCAIIAggCCAIIAggCCAIUAgMCDgIeAAL2AAkyMzQ1MDg5MDQCAgItAgQCBQIGAgcCCAIJAisCCwIMAg0CCAIIAggCCAIIAggCCAIIAggCCAIIAggCCAIIAggCCAIIAhgCAwIuAh4AAvYCAgIqAgQCBQIGAgcCCAIJAisCCwIMAg0CCAIIAggCCAIIAggCCAIIAggCCAIIAggCCAIIAggCCAIIAhgCAwIsAh4AAvYCAgIoAgQCBQIGAgcCCAIJAhwCCwIMAg0CCAIIAggCCAIIAggCCAIIAggCCAIIAggCCAIIAggCCAIIAhgCAwIpAh4AAvYCAgIeAgQCBQIGAgcCCAIJAgoCCwIMAg0CCAIIAggCCAIIAggCCAIIAggCCAIIAggCCAIIAggCCAIIAhgCAwIfAh4AAvYCAgKDAgQCBQIGAgcCCAIJAgoCCwIMAg0CCAIIAggCCAIIAggCCAIIAggCCAIIAggCCAIIAggCCAIIAhgCAwJTAh4AAvYCAgIiAgQCBQIGAgcCCAIJAhwCCwIMAg0CCAIIAggCCAIIAggCCAIIAggCCAIIAggCCAIIAggCCAIIAhgCAwIjAh4AAvYCAgI5AgQCBQIGAgcCCAIJAhwCCwIMAg0CCAIIAggCCAIIAggCCAIIAggCCAIIAggCCAIIAggCCAIIAhgCAwI6Ah4AAvYCegAABAACAiQCBAIFAgYCBwIIAgkCHAILAgwCDQIIAggCCAIIAggCCAIIAggCCAIIAggCCAIIAggCCAIIAggCGAIDAiUCHgAC9gICAjECBAIFAgYCBwIIAgkCHAILAgwCDQIIAggCCAIIAggCCAIIAggCCAIIAggCCAIIAggCCAIIAggCGAIDAjICHgAC9gICAjcCBAIFAgYCBwIIAgkCCgILAgwCDQIIAggCCAIIAggCCAIIAggCCAIIAggCCAIIAggCCAIIAggCGAIDAjgCHgAC9gICAoECBAIFAgYCBwIIAgkCHAILAgwCDQIIAggCCAIIAggCCAIIAggCCAIIAggCCAIIAggCCAIIAggCGAIDAvQCHgAC9gICAiYCBAIFAgYCBwIIAgkCHAILAgwCDQIIAggCCAIIAggCCAIIAggCCAIIAggCCAIIAggCCAIIAggCGAIDAjsCHgAC9gICAn0CBAIFAgYCBwIIAgkCHAILAgwCDQIIAggCCAIIAggCCAIIAggCCAIIAggCCAIIAggCCAIIAggCGAIDAuUCHgAC9gICAi8CBAIFAgYCBwIIAgkCHAILAgwCDQIIAggCCAIIAggCCAIIAggCCAIIAggCCAIIAggCCAIIAggCGAIDAmwCHgAC9gICAhsCBAIFAgYCBwIIAgkCKwILAgwCDQIIAggCCAIIAggCCAIIAggCCAIIAggCCAIIAggCCAIIAggCGAIDAjwCHgAC9gICAn8CBAIFAgYCBwIIAgkCCgILAgwCDQIIAggCCAIIAggCCAIIAggCCAIIAggCCAIIAggCCAIIAggCGAIDAlMCHgAC9gICAjUCBAIFAgYCBwIIAgkCKwILAgwCDQIIAggCCAIIAggCCAIIAggCCAIIAggCCAIIAggCCAIIAggCGAIDAjYCHgAC9gICAjMCBAIFAgYCBwIIAgkCHAILAgwCDQIIAggCCAIIAggCCAIIAggCCAIIAggCCAIIAggCCAIIAggCGAIDAjQCHgAC9gICAgMCBAIFAgYCBwIIAgkCCgILAgwCDQIIAggCCAIIAggCCAIIAggCCAIIAggCCAIIAggCCAIIAggCGAIDAg4CHgAC9gICAiACBAIFAgYCBwIIAgkCKwILAgwCDQIIAggCCAIIAggCCAIIAggCCAIIAggCCAIIAggCCAIIAggCGAIDAj8CHgAC9gICAj0CBAIFAgYCBwIIAgkCCgILAgwCDQIIAggCCAIIAggCCAIIAggCCAIIAggCCAIIAggCCAIIAggCGAIDAj4CHgAC9gICAj0CBAIFAgYCBwIIAgkCHAILAgwCDQIIAggCCAIIAggCCAIIAggCCAIIAggCCAIIAggCCAIIAggCegAABAAYAgMCRQIeAAL2AgICHgIEAgUCBgIHAggCCQIcAgsCDAINAggCCAIIAggCCAIIAggCCAIIAggCCAIIAggCCAIIAggCCAIYAgMCRgIeAAL2AgICKAIEAgUCBgIHAggCCQIKAgsCDAINAggCCAIIAggCCAIIAggCCAIIAggCCAIIAggCCAIIAggCCAIYAgMCVwIeAAL2AgICVAIEAgUCBgIHAggCCQIrAgsCDAINAggCCAIIAggCCAIIAggCCAIIAggCCAIIAggCCAIIAggCCAIYAgMCVQIeAAL2AgICVgIEAgUCBgIHAggCCQIKAgsCDAINAggCCAIIAggCCAIIAggCCAIIAggCCAIIAggCCAIIAggCCAIYAgMCUwIeAAL2AgICgQIEAgUCBgIHAggCCQIKAgsCDAINAggCCAIIAggCCAIIAggCCAIIAggCCAIIAggCCAIIAggCCAIYAgMCUwIeAAL2AgICMwIEAgUCBgIHAggCCQIKAgsCDAINAggCCAIIAggCCAIIAggCCAIIAggCCAIIAggCCAIIAggCCAIYAgMCUwIeAAL2AgICMQIEAgUCBgIHAggCCQIKAgsCDAINAggCCAIIAggCCAIIAggCCAIIAggCCAIIAggCCAIIAggCCAIYAgMCUQIeAAL2AgICQAIEAgUCBgIHAggCCQIcAgsCDAINAggCCAIIAggCCAIIAggCCAIIAggCCAIIAggCCAIIAggCCAIYAgMCQQIeAAL2AgICTAIEAgUCBgIHAggCCQIrAgsCDAINAggCCAIIAggCCAIIAggCCAIIAggCCAIIAggCCAIIAggCCAIYAgMCTQIeAAL2AgICJAIEAgUCBgIHAggCCQIrAgsCDAINAggCCAIIAggCCAIIAggCCAIIAggCCAIIAggCCAIIAggCCAIYAgMCSQIeAAL2AgICgwIEAgUCBgIHAggCCQIcAgsCDAINAggCCAIIAggCCAIIAggCCAIIAggCCAIIAggCCAIIAggCCAIYAgMC5gIeAAL2AgICSgIEAgUCBgIHAggCCQIKAgsCDAINAggCCAIIAggCCAIIAggCCAIIAggCCAIIAggCCAIIAggCCAIYAgMCSwIeAAL2AgICTgIEAgUCBgIHAggCCQIrAgsCDAINAggCCAIIAggCCAIIAggCCAIIAggCCAIIAggCCAIIAggCCAIYAgMCTwIeAAL2AgICIAIEAgUCBgIHAggCCQIcAgsCDAINAggCCAIIAggCCAIIAggCCAIIAggCCAIIAggCCAIIAggCCAIYAgMCIQIeAAL2AgICGwIEAgUCBgIHAggCCQIcAgsCDAINAggCCAIIAggCCAIIAggCCAIIAggCCAIIegAABAACCAIIAggCCAIIAhgCAwIdAh4AAvYCAgIiAgQCBQIGAgcCCAIJAisCCwIMAg0CCAIIAggCCAIIAggCCAIIAggCCAIIAggCCAIIAggCCAIIAhgCAwJEAh4AAvYCAgIvAgQCBQIGAgcCCAIJAisCCwIMAg0CCAIIAggCCAIIAggCCAIIAggCCAIIAggCCAIIAggCCAIIAhgCAwJSAh4AAvYCAgJ9AgQCBQIGAgcCCAIJAisCCwIMAg0CCAIIAggCCAIIAggCCAIIAggCCAIIAggCCAIIAggCCAIIAhgCAwJ+Ah4AAvYCAgImAgQCBQIGAgcCCAIJAisCCwIMAg0CCAIIAggCCAIIAggCCAIIAggCCAIIAggCCAIIAggCCAIIAhgCAwJZAh4AAvYCAgI5AgQCBQIGAgcCCAIJAgoCCwIMAg0CCAIIAggCCAIIAggCCAIIAggCCAIIAggCCAIIAggCCAIIAhgCAwJYAh4AAvYCAgJKAgQCBQIGAgcCCAIJAhwCCwIMAg0CCAIIAggCCAIIAggCCAIIAggCCAIIAggCCAIIAggCCAIIAhgCAwJdAh4AAvYCAgIeAgQCBQIGAgcCCAIJAisCCwIMAg0CCAIIAggCCAIIAggCCAIIAggCCAIIAggCCAIIAggCCAIIAhgCAwJfAh4AAvYCAgI9AgQCBQIGAgcCCAIJAisCCwIMAg0CCAIIAggCCAIIAggCCAIIAggCCAIIAggCCAIIAggCCAIIAhgCAwJcAh4AAvYCAgJOAgQCBQIGAgcCCAIJAhwCCwIMAg0CCAIIAggCCAIIAggCCAIIAggCCAIIAggCCAIIAggCCAIIAhgCAwJbAh4AAvYCAgJMAgQCBQIGAgcCCAIJAhwCCwIMAg0CCAIIAggCCAIIAggCCAIIAggCCAIIAggCCAIIAggCCAIIAhgCAwJiAh4AAvYCAgJCAgQCBQIGAgcCCAIJAgoCCwIMAg0CCAIIAggCCAIIAggCCAIIAggCCAIIAggCCAIIAggCCAIIAhgCAwJaAh4AAvYCAgKDAgQCBQIGAgcCCAIJAisCCwIMAg0CCAIIAggCCAIIAggCCAIIAggCCAIIAggCCAIIAggCCAIIAhgCAwKEAh4AAvYCAgI1AgQCBQIGAgcCCAIJAgoCCwIMAg0CCAIIAggCCAIIAggCCAIIAggCCAIIAggCCAIIAggCCAIIAhgCAwJQAh4AAvYCAgJHAgQCBQIGAgcCCAIJAhwCCwIMAg0CCAIIAggCCAIIAggCCAIIAggCCAIIAggCCAIIAggCCAIIAhgCAwJhAh4AAvYCAgJAAgQCBQIGAgcCCAIJAgoCCwIMAg0CCAIIAggCCAIIAggCegAABAAIAggCCAIIAggCCAIIAggCCAIIAggCGAIDAmACHgAC9gICAgMCBAIFAgYCBwIIAgkCKwILAgwCDQIIAggCCAIIAggCCAIIAggCCAIIAggCCAIIAggCCAIIAggCGAIDAl4CHgAC9gICAiACBAIFAgYCBwIIAgkCCgILAgwCDQIIAggCCAIIAggCCAIIAggCCAIIAggCCAIIAggCCAIIAggCGAIDAm0CHgAC9gICAkcCBAIFAgYCBwIIAgkCKwILAgwCDQIIAggCCAIIAggCCAIIAggCCAIIAggCCAIIAggCCAIIAggCGAIDAkgCHgAC9gICAlQCBAIFAgYCBwIIAgkCHAILAgwCDQIIAggCCAIIAggCCAIIAggCCAIIAggCCAIIAggCCAIIAggCGAIDAmQCHgAC9gICAkICBAIFAgYCBwIIAgkCHAILAgwCDQIIAggCCAIIAggCCAIIAggCCAIIAggCCAIIAggCCAIIAggCGAIDAkMCHgAC9gICAlYCBAIFAgYCBwIIAgkCHAILAgwCDQIIAggCCAIIAggCCAIIAggCCAIIAggCCAIIAggCCAIIAggCGAIDAmcCHgAC9gICAkoCBAIFAgYCBwIIAgkCKwILAgwCDQIIAggCCAIIAggCCAIIAggCCAIIAggCCAIIAggCCAIIAggCGAIDAmoCHgAC9gICAn8CBAIFAgYCBwIIAgkCKwILAgwCDQIIAggCCAIIAggCCAIIAggCCAIIAggCCAIIAggCCAIIAggCGAIDAoACHgAC9gICAi0CBAIFAgYCBwIIAgkCCgILAgwCDQIIAggCCAIIAggCCAIIAggCCAIIAggCCAIIAggCCAIIAggCGAIDAmMCHgAC9gICAjcCBAIFAgYCBwIIAgkCKwILAgwCDQIIAggCCAIIAggCCAIIAggCCAIIAggCCAIIAggCCAIIAggCGAIDAmUCHgAC9gICAioCBAIFAgYCBwIIAgkCCgILAgwCDQIIAggCCAIIAggCCAIIAggCCAIIAggCCAIIAggCCAIIAggCGAIDAmYCHgAC9gICAlYCBAIFAgYCBwIIAgkCKwILAgwCDQIIAggCCAIIAggCCAIIAggCCAIIAggCCAIIAggCCAIIAggCGAIDAncCHgAC9gICAjkCBAIFAgYCBwIIAgkCKwILAgwCDQIIAggCCAIIAggCCAIIAggCCAIIAggCCAIIAggCCAIIAggCGAIDAmsCHgAC9gICAjECBAIFAgYCBwIIAgkCKwILAgwCDQIIAggCCAIIAggCCAIIAggCCAIIAggCCAIIAggCCAIIAggCGAIDAnUCHgAC9gICAkcCBAIFAgYCBwIIAgkCCgILAgwCDQIIegAABAACCAIIAggCCAIIAggCCAIIAggCCAIIAggCCAIIAggCCAIYAgMCUwIeAAL2AgICAwIEAgUCBgIHAggCCQIcAgsCDAINAggCCAIIAggCCAIIAggCCAIIAggCCAIIAggCCAIIAggCCAIYAgMCaQIeAAL2AgICLQIEAgUCBgIHAggCCQIcAgsCDAINAggCCAIIAggCCAIIAggCCAIIAggCCAIIAggCCAIIAggCCAIYAgMCcQIeAAL2AgICgQIEAgUCBgIHAggCCQIrAgsCDAINAggCCAIIAggCCAIIAggCCAIIAggCCAIIAggCCAIIAggCCAIYAgMCggIeAAL2AgICKAIEAgUCBgIHAggCCQIrAgsCDAINAggCCAIIAggCCAIIAggCCAIIAggCCAIIAggCCAIIAggCCAIYAgMCbwIeAAL2AgICGwIEAgUCBgIHAggCCQIKAgsCDAINAggCCAIIAggCCAIIAggCCAIIAggCCAIIAggCCAIIAggCCAIYAgMCbgIeAAL2AgICLwIEAgUCBgIHAggCCQIKAgsCDAINAggCCAIIAggCCAIIAggCCAIIAggCCAIIAggCCAIIAggCCAIYAgMCMAIeAAL2AgICQAIEAgUCBgIHAggCCQIrAgsCDAINAggCCAIIAggCCAIIAggCCAIIAggCCAIIAggCCAIIAggCCAIYAgMCdgIeAAL2AgICJgIEAgUCBgIHAggCCQIKAgsCDAINAggCCAIIAggCCAIIAggCCAIIAggCCAIIAggCCAIIAggCCAIYAgMCJwIeAAL2AgICNwIEAgUCBgIHAggCCQIcAgsCDAINAggCCAIIAggCCAIIAggCCAIIAggCCAIIAggCCAIIAggCCAIYAgMCcgIeAAL2AgICNQIEAgUCBgIHAggCCQIcAgsCDAINAggCCAIIAggCCAIIAggCCAIIAggCCAIIAggCCAIIAggCCAIYAgMCcwIeAAL2AgICfQIEAgUCBgIHAggCCQIKAgsCDAINAggCCAIIAggCCAIIAggCCAIIAggCCAIIAggCCAIIAggCCAIYAgMCUwIeAAL2AgICKgIEAgUCBgIHAggCCQIcAgsCDAINAggCCAIIAggCCAIIAggCCAIIAggCCAIIAggCCAIIAggCCAIYAgMCdAIeAAL2AgICJAIEAgUCBgIHAggCCQIKAgsCDAINAggCCAIIAggCCAIIAggCCAIIAggCCAIIAggCCAIIAggCCAIYAgMCUwIeAAL2AgICTAIEAgUCBgIHAggCCQIKAgsCDAINAggCCAIIAggCCAIIAggCCAIIAggCCAIIAggCCAIIAggCCAIYAgMCcAIeAAL2AgICTgIEAgUCBgIHAggCegAABAAJAgoCCwIMAg0CCAIIAggCCAIIAggCCAIIAggCCAIIAggCCAIIAggCCAIIAhgCAwJoAh4AAvYCAgJ/AgQCBQIGAgcCCAIJAhwCCwIMAg0CCAIIAggCCAIIAggCCAIIAggCCAIIAggCCAIIAggCCAIIAhgCAwLkAh4AAvYCAgIzAgQCBQIGAgcCCAIJAisCCwIMAg0CCAIIAggCCAIIAggCCAIIAggCCAIIAggCCAIIAggCCAIIAhgCAwJ4Ah4AAvYCAgIiAgQCBQIGAgcCCAIJAgoCCwIMAg0CCAIIAggCCAIIAggCCAIIAggCCAIIAggCCAIIAggCCAIIAhgCAwJ5Ah4AAvYCAgJCAgQCBQIGAgcCCAIJAisCCwIMAg0CCAIIAggCCAIIAggCCAIIAggCCAIIAggCCAIIAggCCAIIAhgCAwJ7Ah4AAvYCAgJUAgQCBQIGAgcCCAIJAgoCCwIMAg0CCAIIAggCCAIIAggCCAIIAggCCAIIAggCCAIIAggCCAIIAhgCAwJ6Ah4AAvcACTIzNDUwNzc0NAICAn8CBAIFAgYCBwIIAgkCKwILAocCDQIIAggCCAIIAggCCAIIAggCCAIIAggCCAIIAggCCAIIAggCGQIDAqUCHgAC9wICAjcCBAIFAgYCBwIIAgkCKwILAocCDQIIAggCCAIIAggCCAIIAggCCAIIAggCCAIIAggCCAIIAggCGQIDAtMCHgAC9wICAlYCBAIFAgYCBwIIAgkChgILAocCDQIIAggCCAIIAggCCAIIAggCCAIIAggCCAIIAggCCAIIAggCGQIDAlMCHgAC9wICAlYCBAIFAgYCBwIIAgkCHAILAocCDQIIAggCCAIIAggCCAIIAggCCAIIAggCCAIIAggCCAIIAggCGQIDAqcCHgAC9wICAkICBAIFAgYCBwIIAgkChgILAocCDQIIAggCCAIIAggCCAIIAggCCAIIAggCCAIIAggCCAIIAggCGQIDAtoCHgAC9wICAkACBAIFAgYCBwIIAgkChgILAocCDQIIAggCCAIIAggCCAIIAggCCAIIAggCCAIIAggCCAIIAggCGQIDAqoCHgAC9wICAkoCBAIFAgYCBwIIAgkCHAILAocCDQIIAggCCAIIAggCCAIIAggCCAIIAggCCAIIAggCCAIIAggCGQIDAtACHgAC9wICAkcCBAIFAgYCBwIIAgkCKwILAocCDQIIAggCCAIIAggCCAIIAggCCAIIAggCCAIIAggCCAIIAggCGQIDAqkCHgAC9wICAk4CBAIFAgYCBwIIAgkCKwILAocCDQIIAggCCAIIAggCCAIIAggCCAIIAggCCAIIAggCCAIIAggCGQIDegAABAAC2AIeAAL3AgICKgIEAgUCBgIHAggCCQKGAgsChwINAggCCAIIAggCCAIIAggCCAIIAggCCAIIAggCCAIIAggCCAIZAgMCngIeAAL3AgICLQIEAgUCBgIHAggCCQKGAgsChwINAggCCAIIAggCCAIIAggCCAIIAggCCAIIAggCCAIIAggCCAIZAgMCywIeAAL3AgICfQIEAgUCBgIHAggCCQIrAgsChwINAggCCAIIAggCCAIIAggCCAIIAggCCAIIAggCCAIIAggCCAIZAgMC3AIeAAL3AgICVgIEAgUCBgIHAggCCQIrAgsChwINAggCCAIIAggCCAIIAggCCAIIAggCCAIIAggCCAIIAggCCAIZAgMCyAIeAAL3AgICLQIEAgUCBgIHAggCCQIcAgsChwINAggCCAIIAggCCAIIAggCCAIIAggCCAIIAggCCAIIAggCCAIZAgMCmgIeAAL3AgICLwIEAgUCBgIHAggCCQIrAgsChwINAggCCAIIAggCCAIIAggCCAIIAggCCAIIAggCCAIIAggCCAIZAgMC4QIeAAL3AgICJgIEAgUCBgIHAggCCQIrAgsChwINAggCCAIIAggCCAIIAggCCAIIAggCCAIIAggCCAIIAggCCAIZAgMCrAIeAAL3AgICGwIEAgUCBgIHAggCCQKGAgsChwINAggCCAIIAggCCAIIAggCCAIIAggCCAIIAggCCAIIAggCCAIZAgMC4AIeAAL3AgICIAIEAgUCBgIHAggCCQKGAgsChwINAggCCAIIAggCCAIIAggCCAIIAggCCAIIAggCCAIIAggCCAIZAgMCtwIeAAL3AgICgQIEAgUCBgIHAggCCQIrAgsChwINAggCCAIIAggCCAIIAggCCAIIAggCCAIIAggCCAIIAggCCAIZAgMCwwIeAAL3AgICGwIEAgUCBgIHAggCCQIcAgsChwINAggCCAIIAggCCAIIAggCCAIIAggCCAIIAggCCAIIAggCCAIZAgMCsAIeAAL3AgICSgIEAgUCBgIHAggCCQIrAgsChwINAggCCAIIAggCCAIIAggCCAIIAggCCAIIAggCCAIIAggCCAIZAgMC1wIeAAL3AgICIgIEAgUCBgIHAggCCQKGAgsChwINAggCCAIIAggCCAIIAggCCAIIAggCCAIIAggCCAIIAggCCAIZAgMCwQIeAAL3AgICRwIEAgUCBgIHAggCCQIcAgsChwINAggCCAIIAggCCAIIAggCCAIIAggCCAIIAggCCAIIAggCCAIZAgMCsgIeAAL3AgICRwIEAgUCBgIHAggCCQKGAgsChwINAggCCAIIAggCCAIIAggCCAIIAggCCAIIAggCegAABAAIAggCCAIIAhkCAwJTAh4AAvcCAgJ9AgQCBQIGAgcCCAIJAhwCCwKHAg0CCAIIAggCCAIIAggCCAIIAggCCAIIAggCCAIIAggCCAIIAhkCAwKTAh4AAvcCAgIDAgQCBQIGAgcCCAIJAisCCwKHAg0CCAIIAggCCAIIAggCCAIIAggCCAIIAggCCAIIAggCCAIIAhkCAwKzAh4AAvcCAgIqAgQCBQIGAgcCCAIJAisCCwKHAg0CCAIIAggCCAIIAggCCAIIAggCCAIIAggCCAIIAggCCAIIAhkCAwK7Ah4AAvcCAgJMAgQCBQIGAgcCCAIJAhwCCwKHAg0CCAIIAggCCAIIAggCCAIIAggCCAIIAggCCAIIAggCCAIIAhkCAwKoAh4AAvcCAgJOAgQCBQIGAgcCCAIJAhwCCwKHAg0CCAIIAggCCAIIAggCCAIIAggCCAIIAggCCAIIAggCCAIIAhkCAwLUAh4AAvcCAgIkAgQCBQIGAgcCCAIJAhwCCwKHAg0CCAIIAggCCAIIAggCCAIIAggCCAIIAggCCAIIAggCCAIIAhkCAwK9Ah4AAvcCAgJOAgQCBQIGAgcCCAIJAoYCCwKHAg0CCAIIAggCCAIIAggCCAIIAggCCAIIAggCCAIIAggCCAIIAhkCAwKvAh4AAvcCAgJMAgQCBQIGAgcCCAIJAoYCCwKHAg0CCAIIAggCCAIIAggCCAIIAggCCAIIAggCCAIIAggCCAIIAhkCAwLWAh4AAvcCAgIkAgQCBQIGAgcCCAIJAoYCCwKHAg0CCAIIAggCCAIIAggCCAIIAggCCAIIAggCCAIIAggCCAIIAhkCAwJTAh4AAvcCAgJUAgQCBQIGAgcCCAIJAoYCCwKHAg0CCAIIAggCCAIIAggCCAIIAggCCAIIAggCCAIIAggCCAIIAhkCAwKmAh4AAvcCAgIiAgQCBQIGAgcCCAIJAhwCCwKHAg0CCAIIAggCCAIIAggCCAIIAggCCAIIAggCCAIIAggCCAIIAhkCAwKMAh4AAvcCAgJUAgQCBQIGAgcCCAIJAhwCCwKHAg0CCAIIAggCCAIIAggCCAIIAggCCAIIAggCCAIIAggCCAIIAhkCAwLVAh4AAvcCAgImAgQCBQIGAgcCCAIJAoYCCwKHAg0CCAIIAggCCAIIAggCCAIIAggCCAIIAggCCAIIAggCCAIIAhkCAwKYAh4AAvcCAgIoAgQCBQIGAgcCCAIJAhwCCwKHAg0CCAIIAggCCAIIAggCCAIIAggCCAIIAggCCAIIAggCCAIIAhkCAwKOAh4AAvcCAgIzAgQCBQIGAgcCCAIJAhwCCwKHAg0CCAIIAggCCAIIAggCCAIIegAABAACCAIIAggCCAIIAggCCAIIAggCGQIDApYCHgAC9wICAjUCBAIFAgYCBwIIAgkCKwILAocCDQIIAggCCAIIAggCCAIIAggCCAIIAggCCAIIAggCCAIIAggCGQIDArgCHgAC9wICAoECBAIFAgYCBwIIAgkCHAILAocCDQIIAggCCAIIAggCCAIIAggCCAIIAggCCAIIAggCCAIIAggCGQIDAroCHgAC9wICAn0CBAIFAgYCBwIIAgkChgILAocCDQIIAggCCAIIAggCCAIIAggCCAIIAggCCAIIAggCCAIIAggCGQIDAlMCHgAC9wICAi0CBAIFAgYCBwIIAgkCKwILAocCDQIIAggCCAIIAggCCAIIAggCCAIIAggCCAIIAggCCAIIAggCGQIDAokCHgAC9wICAhsCBAIFAgYCBwIIAgkCKwILAocCDQIIAggCCAIIAggCCAIIAggCCAIIAggCCAIIAggCCAIIAggCGQIDApUCHgAC9wICAiYCBAIFAgYCBwIIAgkCHAILAocCDQIIAggCCAIIAggCCAIIAggCCAIIAggCCAIIAggCCAIIAggCGQIDAsUCHgAC9wICAjECBAIFAgYCBwIIAgkCHAILAocCDQIIAggCCAIIAggCCAIIAggCCAIIAggCCAIIAggCCAIIAggCGQIDAsQCHgAC9wICAjECBAIFAgYCBwIIAgkChgILAocCDQIIAggCCAIIAggCCAIIAggCCAIIAggCCAIIAggCCAIIAggCGQIDAogCHgAC9wICAjMCBAIFAgYCBwIIAgkChgILAocCDQIIAggCCAIIAggCCAIIAggCCAIIAggCCAIIAggCCAIIAggCGQIDAlMCHgAC9wICAi8CBAIFAgYCBwIIAgkChgILAocCDQIIAggCCAIIAggCCAIIAggCCAIIAggCCAIIAggCCAIIAggCGQIDArkCHgAC9wICAi8CBAIFAgYCBwIIAgkCHAILAocCDQIIAggCCAIIAggCCAIIAggCCAIIAggCCAIIAggCCAIIAggCGQIDApcCHgAC9wICAoMCBAIFAgYCBwIIAgkChgILAocCDQIIAggCCAIIAggCCAIIAggCCAIIAggCCAIIAggCCAIIAggCGQIDAlMCHgAC9wICAh4CBAIFAgYCBwIIAgkChgILAocCDQIIAggCCAIIAggCCAIIAggCCAIIAggCCAIIAggCCAIIAggCGQIDAr8CHgAC9wICAj0CBAIFAgYCBwIIAgkChgILAocCDQIIAggCCAIIAggCCAIIAggCCAIIAggCCAIIAggCCAIIAggCGQIDArECHgAC9wICAiICBAIFAgYCBwIIAgkCKwILAocCDQIIAggCegAABAAIAggCCAIIAggCCAIIAggCCAIIAggCCAIIAggCCAIZAgMCkgIeAAL3AgICIAIEAgUCBgIHAggCCQIcAgsChwINAggCCAIIAggCCAIIAggCCAIIAggCCAIIAggCCAIIAggCCAIZAgMC3wIeAAL3AgICAwIEAgUCBgIHAggCCQIcAgsChwINAggCCAIIAggCCAIIAggCCAIIAggCCAIIAggCCAIIAggCCAIZAgMCygIeAAL3AgICQAIEAgUCBgIHAggCCQIrAgsChwINAggCCAIIAggCCAIIAggCCAIIAggCCAIIAggCCAIIAggCCAIZAgMCowIeAAL3AgICQgIEAgUCBgIHAggCCQIrAgsChwINAggCCAIIAggCCAIIAggCCAIIAggCCAIIAggCCAIIAggCCAIZAgMCzgIeAAL3AgICKAIEAgUCBgIHAggCCQIrAgsChwINAggCCAIIAggCCAIIAggCCAIIAggCCAIIAggCCAIIAggCCAIZAgMClAIeAAL3AgICJAIEAgUCBgIHAggCCQIrAgsChwINAggCCAIIAggCCAIIAggCCAIIAggCCAIIAggCCAIIAggCCAIZAgMCwAIeAAL3AgICAwIEAgUCBgIHAggCCQKGAgsChwINAggCCAIIAggCCAIIAggCCAIIAggCCAIIAggCCAIIAggCCAIZAgMCjwIeAAL3AgICOQIEAgUCBgIHAggCCQIrAgsChwINAggCCAIIAggCCAIIAggCCAIIAggCCAIIAggCCAIIAggCCAIZAgMCyQIeAAL3AgICHgIEAgUCBgIHAggCCQIcAgsChwINAggCCAIIAggCCAIIAggCCAIIAggCCAIIAggCCAIIAggCCAIZAgMCrgIeAAL3AgICPQIEAgUCBgIHAggCCQIcAgsChwINAggCCAIIAggCCAIIAggCCAIIAggCCAIIAggCCAIIAggCCAIZAgMC3gIeAAL3AgICKgIEAgUCBgIHAggCCQIcAgsChwINAggCCAIIAggCCAIIAggCCAIIAggCCAIIAggCCAIIAggCCAIZAgMCxwIeAAL3AgICNQIEAgUCBgIHAggCCQKGAgsChwINAggCCAIIAggCCAIIAggCCAIIAggCCAIIAggCCAIIAggCCAIZAgMCmQIeAAL3AgICNwIEAgUCBgIHAggCCQKGAgsChwINAggCCAIIAggCCAIIAggCCAIIAggCCAIIAggCCAIIAggCCAIZAgMCpAIeAAL3AgICVAIEAgUCBgIHAggCCQIrAgsChwINAggCCAIIAggCCAIIAggCCAIIAggCCAIIAggCCAIIAggCCAIZAgMC2wIeAAL3AgICMQIEAgUCBgIHAggCCQIregAABAACCwKHAg0CCAIIAggCCAIIAggCCAIIAggCCAIIAggCCAIIAggCCAIIAhkCAwLSAh4AAvcCAgJ/AgQCBQIGAgcCCAIJAhwCCwKHAg0CCAIIAggCCAIIAggCCAIIAggCCAIIAggCCAIIAggCCAIIAhkCAwKcAh4AAvcCAgJ/AgQCBQIGAgcCCAIJAoYCCwKHAg0CCAIIAggCCAIIAggCCAIIAggCCAIIAggCCAIIAggCCAIIAhkCAwJTAh4AAvcCAgJMAgQCBQIGAgcCCAIJAisCCwKHAg0CCAIIAggCCAIIAggCCAIIAggCCAIIAggCCAIIAggCCAIIAhkCAwKtAh4AAvcCAgIzAgQCBQIGAgcCCAIJAisCCwKHAg0CCAIIAggCCAIIAggCCAIIAggCCAIIAggCCAIIAggCCAIIAhkCAwKbAh4AAvcCAgKDAgQCBQIGAgcCCAIJAhwCCwKHAg0CCAIIAggCCAIIAggCCAIIAggCCAIIAggCCAIIAggCCAIIAhkCAwLdAh4AAvcCAgI1AgQCBQIGAgcCCAIJAhwCCwKHAg0CCAIIAggCCAIIAggCCAIIAggCCAIIAggCCAIIAggCCAIIAhkCAwLPAh4AAvcCAgI3AgQCBQIGAgcCCAIJAhwCCwKHAg0CCAIIAggCCAIIAggCCAIIAggCCAIIAggCCAIIAggCCAIIAhkCAwLRAh4AAvcCAgJAAgQCBQIGAgcCCAIJAhwCCwKHAg0CCAIIAggCCAIIAggCCAIIAggCCAIIAggCCAIIAggCCAIIAhkCAwLZAh4AAvcCAgJKAgQCBQIGAgcCCAIJAoYCCwKHAg0CCAIIAggCCAIIAggCCAIIAggCCAIIAggCCAIIAggCCAIIAhkCAwKfAh4AAvcCAgKDAgQCBQIGAgcCCAIJAisCCwKHAg0CCAIIAggCCAIIAggCCAIIAggCCAIIAggCCAIIAggCCAIIAhkCAwLMAh4AAvcCAgI9AgQCBQIGAgcCCAIJAisCCwKHAg0CCAIIAggCCAIIAggCCAIIAggCCAIIAggCCAIIAggCCAIIAhkCAwLNAh4AAvcCAgJCAgQCBQIGAgcCCAIJAhwCCwKHAg0CCAIIAggCCAIIAggCCAIIAggCCAIIAggCCAIIAggCCAIIAhkCAwKrAh4AAvcCAgKBAgQCBQIGAgcCCAIJAoYCCwKHAg0CCAIIAggCCAIIAggCCAIIAggCCAIIAggCCAIIAggCCAIIAhkCAwJTAh4AAvcCAgIeAgQCBQIGAgcCCAIJAisCCwKHAg0CCAIIAggCCAIIAggCCAIIAggCCAIIAggCCAIIAggCCAIIAhkCAwKiAh4AAvcCAgIgAgQCegAABAAFAgYCBwIIAgkCKwILAocCDQIIAggCCAIIAggCCAIIAggCCAIIAggCCAIIAggCCAIIAggCGQIDAsICHgAC9wICAigCBAIFAgYCBwIIAgkChgILAocCDQIIAggCCAIIAggCCAIIAggCCAIIAggCCAIIAggCCAIIAggCGQIDAr4CHgAC9wICAjkCBAIFAgYCBwIIAgkChgILAocCDQIIAggCCAIIAggCCAIIAggCCAIIAggCCAIIAggCCAIIAggCGQIDAo0CHgAC9wICAjkCBAIFAgYCBwIIAgkCHAILAocCDQIIAggCCAIIAggCCAIIAggCCAIIAggCCAIIAggCCAIIAggCGQIDArwCHgAC+AAJMjM0NTA1NDI0AgICHgIEAgUCBgIHAggCCQIrAgsChwINAggCCAIIAggCCAIIAggCCAIIAggCCAIIAggCCAIIAggCCAIbAgMCogIeAAL4AgICRwIEAgUCBgIHAggCCQIcAgsChwINAggCCAIIAggCCAIIAggCCAIIAggCCAIIAggCCAIIAggCCAIbAgMCsgIeAAL4AgICTgIEAgUCBgIHAggCCQIcAgsChwINAggCCAIIAggCCAIIAggCCAIIAggCCAIIAggCCAIIAggCCAIbAgMC1AIeAAL4AgICTgIEAgUCBgIHAggCCQKGAgsChwINAggCCAIIAggCCAIIAggCCAIIAggCCAIIAggCCAIIAggCCAIbAgMCrwIeAAL4AgICRwIEAgUCBgIHAggCCQKGAgsChwINAggCCAIIAggCCAIIAggCCAIIAggCCAIIAggCCAIIAggCCAIbAgMCUwIeAAL4AgICPQIEAgUCBgIHAggCCQIrAgsChwINAggCCAIIAggCCAIIAggCCAIIAggCCAIIAggCCAIIAggCCAIbAgMCzQIeAAL4AgICVgIEAgUCBgIHAggCCQKGAgsChwINAggCCAIIAggCCAIIAggCCAIIAggCCAIIAggCCAIIAggCCAIbAgMCUwIeAAL4AgICfwIEAgUCBgIHAggCCQIcAgsChwINAggCCAIIAggCCAIIAggCCAIIAggCCAIIAggCCAIIAggCCAIbAgMCnAIeAAL4AgICVAIEAgUCBgIHAggCCQKGAgsChwINAggCCAIIAggCCAIIAggCCAIIAggCCAIIAggCCAIIAggCCAIbAgMCpgIeAAL4AgICfwIEAgUCBgIHAggCCQIrAgsChwINAggCCAIIAggCCAIIAggCCAIIAggCCAIIAggCCAIIAggCCAIbAgMCpQIeAAL4AgICfQIEAgUCBgIHAggCCQIrAgsChwINAggCCAIIAggCCAIIAggCCAIIAggCCAIIAggCCAIIegAABAACCAIIAhsCAwLcAh4AAvgCAgJWAgQCBQIGAgcCCAIJAhwCCwKHAg0CCAIIAggCCAIIAggCCAIIAggCCAIIAggCCAIIAggCCAIIAhsCAwKnAh4AAvgCAgI3AgQCBQIGAgcCCAIJAisCCwKHAg0CCAIIAggCCAIIAggCCAIIAggCCAIIAggCCAIIAggCCAIIAhsCAwLTAh4AAvgCAgKDAgQCBQIGAgcCCAIJAhwCCwKHAg0CCAIIAggCCAIIAggCCAIIAggCCAIIAggCCAIIAggCCAIIAhsCAwLdAh4AAvgCAgJCAgQCBQIGAgcCCAIJAoYCCwKHAg0CCAIIAggCCAIIAggCCAIIAggCCAIIAggCCAIIAggCCAIIAhsCAwLaAh4AAvgCAgIoAgQCBQIGAgcCCAIJAisCCwKHAg0CCAIIAggCCAIIAggCCAIIAggCCAIIAggCCAIIAggCCAIIAhsCAwKUAh4AAvgCAgJAAgQCBQIGAgcCCAIJAoYCCwKHAg0CCAIIAggCCAIIAggCCAIIAggCCAIIAggCCAIIAggCCAIIAhsCAwKqAh4AAvgCAgJHAgQCBQIGAgcCCAIJAisCCwKHAg0CCAIIAggCCAIIAggCCAIIAggCCAIIAggCCAIIAggCCAIIAhsCAwKpAh4AAvgCAgIDAgQCBQIGAgcCCAIJAhwCCwKHAg0CCAIIAggCCAIIAggCCAIIAggCCAIIAggCCAIIAggCCAIIAhsCAwLKAh4AAvgCAgJAAgQCBQIGAgcCCAIJAhwCCwKHAg0CCAIIAggCCAIIAggCCAIIAggCCAIIAggCCAIIAggCCAIIAhsCAwLZAh4AAvgCAgJCAgQCBQIGAgcCCAIJAhwCCwKHAg0CCAIIAggCCAIIAggCCAIIAggCCAIIAggCCAIIAggCCAIIAhsCAwKrAh4AAvgCAgI5AgQCBQIGAgcCCAIJAisCCwKHAg0CCAIIAggCCAIIAggCCAIIAggCCAIIAggCCAIIAggCCAIIAhsCAwLJAh4AAvgCAgIDAgQCBQIGAgcCCAIJAoYCCwKHAg0CCAIIAggCCAIIAggCCAIIAggCCAIIAggCCAIIAggCCAIIAhsCAwKPAh4AAvgCAgIqAgQCBQIGAgcCCAIJAoYCCwKHAg0CCAIIAggCCAIIAggCCAIIAggCCAIIAggCCAIIAggCCAIIAhsCAwKeAh4AAvgCAgItAgQCBQIGAgcCCAIJAoYCCwKHAg0CCAIIAggCCAIIAggCCAIIAggCCAIIAggCCAIIAggCCAIIAhsCAwLLAh4AAvgCAgIgAgQCBQIGAgcCCAIJAisCCwKHAg0CCAIIAggCCAIIAggCCAIIAggCegAABAAIAggCCAIIAggCCAIIAggCGwIDAsICHgAC+AICAlYCBAIFAgYCBwIIAgkCKwILAocCDQIIAggCCAIIAggCCAIIAggCCAIIAggCCAIIAggCCAIIAggCGwIDAsgCHgAC+AICAjcCBAIFAgYCBwIIAgkChgILAocCDQIIAggCCAIIAggCCAIIAggCCAIIAggCCAIIAggCCAIIAggCGwIDAqQCHgAC+AICAigCBAIFAgYCBwIIAgkCHAILAocCDQIIAggCCAIIAggCCAIIAggCCAIIAggCCAIIAggCCAIIAggCGwIDAo4CHgAC+AICAjMCBAIFAgYCBwIIAgkCKwILAocCDQIIAggCCAIIAggCCAIIAggCCAIIAggCCAIIAggCCAIIAggCGwIDApsCHgAC+AICAjECBAIFAgYCBwIIAgkCKwILAocCDQIIAggCCAIIAggCCAIIAggCCAIIAggCCAIIAggCCAIIAggCGwIDAtICHgAC+AICAn8CBAIFAgYCBwIIAgkChgILAocCDQIIAggCCAIIAggCCAIIAggCCAIIAggCCAIIAggCCAIIAggCGwIDAlMCHgAC+AICAjcCBAIFAgYCBwIIAgkCHAILAocCDQIIAggCCAIIAggCCAIIAggCCAIIAggCCAIIAggCCAIIAggCGwIDAtECHgAC+AICAjUCBAIFAgYCBwIIAgkCHAILAocCDQIIAggCCAIIAggCCAIIAggCCAIIAggCCAIIAggCCAIIAggCGwIDAs8CHgAC+AICAkoCBAIFAgYCBwIIAgkCHAILAocCDQIIAggCCAIIAggCCAIIAggCCAIIAggCCAIIAggCCAIIAggCGwIDAtACHgAC+AICAkoCBAIFAgYCBwIIAgkChgILAocCDQIIAggCCAIIAggCCAIIAggCCAIIAggCCAIIAggCCAIIAggCGwIDAp8CHgAC+AICAoMCBAIFAgYCBwIIAgkCKwILAocCDQIIAggCCAIIAggCCAIIAggCCAIIAggCCAIIAggCCAIIAggCGwIDAswCHgAC+AICAjUCBAIFAgYCBwIIAgkChgILAocCDQIIAggCCAIIAggCCAIIAggCCAIIAggCCAIIAggCCAIIAggCGwIDApkCHgAC+AICAhsCBAIFAgYCBwIIAgkCHAILAocCDQIIAggCCAIIAggCCAIIAggCCAIIAggCCAIIAggCCAIIAggCGwIDArACHgAC+AICAigCBAIFAgYCBwIIAgkChgILAocCDQIIAggCCAIIAggCCAIIAggCCAIIAggCCAIIAggCCAIIAggCGwIDAr4CHgAC+AICAiQCBAIFAgYCBwIIAgkChgILAocCDQIIAggCCAIIegAABAACCAIIAggCCAIIAggCCAIIAggCCAIIAggCCAIbAgMCUwIeAAL4AgICQAIEAgUCBgIHAggCCQIrAgsChwINAggCCAIIAggCCAIIAggCCAIIAggCCAIIAggCCAIIAggCCAIbAgMCowIeAAL4AgICJAIEAgUCBgIHAggCCQIcAgsChwINAggCCAIIAggCCAIIAggCCAIIAggCCAIIAggCCAIIAggCCAIbAgMCvQIeAAL4AgICIAIEAgUCBgIHAggCCQIcAgsChwINAggCCAIIAggCCAIIAggCCAIIAggCCAIIAggCCAIIAggCCAIbAgMC3wIeAAL4AgICQgIEAgUCBgIHAggCCQIrAgsChwINAggCCAIIAggCCAIIAggCCAIIAggCCAIIAggCCAIIAggCCAIbAgMCzgIeAAL4AgICOQIEAgUCBgIHAggCCQIcAgsChwINAggCCAIIAggCCAIIAggCCAIIAggCCAIIAggCCAIIAggCCAIbAgMCvAIeAAL4AgICOQIEAgUCBgIHAggCCQKGAgsChwINAggCCAIIAggCCAIIAggCCAIIAggCCAIIAggCCAIIAggCCAIbAgMCjQIeAAL4AgICIgIEAgUCBgIHAggCCQIcAgsChwINAggCCAIIAggCCAIIAggCCAIIAggCCAIIAggCCAIIAggCCAIbAgMCjAIeAAL4AgICIgIEAgUCBgIHAggCCQKGAgsChwINAggCCAIIAggCCAIIAggCCAIIAggCCAIIAggCCAIIAggCCAIbAgMCwQIeAAL4AgICLQIEAgUCBgIHAggCCQIcAgsChwINAggCCAIIAggCCAIIAggCCAIIAggCCAIIAggCCAIIAggCCAIbAgMCmgIeAAL4AgICNQIEAgUCBgIHAggCCQIrAgsChwINAggCCAIIAggCCAIIAggCCAIIAggCCAIIAggCCAIIAggCCAIbAgMCuAIeAAL4AgICKgIEAgUCBgIHAggCCQIcAgsChwINAggCCAIIAggCCAIIAggCCAIIAggCCAIIAggCCAIIAggCCAIbAgMCxwIeAAL4AgICfQIEAgUCBgIHAggCCQKGAgsChwINAggCCAIIAggCCAIIAggCCAIIAggCCAIIAggCCAIIAggCCAIbAgMCUwIeAAL4AgICJgIEAgUCBgIHAggCCQKGAgsChwINAggCCAIIAggCCAIIAggCCAIIAggCCAIIAggCCAIIAggCCAIbAgMCmAIeAAL4AgICTAIEAgUCBgIHAggCCQIrAgsChwINAggCCAIIAggCCAIIAggCCAIIAggCCAIIAggCCAIIAggCCAIbAgMCrQIeAAL4AgICMwIEAgUCBgIHAggCCQIcAgsCegAABACHAg0CCAIIAggCCAIIAggCCAIIAggCCAIIAggCCAIIAggCCAIIAhsCAwKWAh4AAvgCAgJUAgQCBQIGAgcCCAIJAisCCwKHAg0CCAIIAggCCAIIAggCCAIIAggCCAIIAggCCAIIAggCCAIIAhsCAwLbAh4AAvgCAgIbAgQCBQIGAgcCCAIJAisCCwKHAg0CCAIIAggCCAIIAggCCAIIAggCCAIIAggCCAIIAggCCAIIAhsCAwKVAh4AAvgCAgIvAgQCBQIGAgcCCAIJAhwCCwKHAg0CCAIIAggCCAIIAggCCAIIAggCCAIIAggCCAIIAggCCAIIAhsCAwKXAh4AAvgCAgIzAgQCBQIGAgcCCAIJAoYCCwKHAg0CCAIIAggCCAIIAggCCAIIAggCCAIIAggCCAIIAggCCAIIAhsCAwJTAh4AAvgCAgIxAgQCBQIGAgcCCAIJAhwCCwKHAg0CCAIIAggCCAIIAggCCAIIAggCCAIIAggCCAIIAggCCAIIAhsCAwLEAh4AAvgCAgIvAgQCBQIGAgcCCAIJAoYCCwKHAg0CCAIIAggCCAIIAggCCAIIAggCCAIIAggCCAIIAggCCAIIAhsCAwK5Ah4AAvgCAgIxAgQCBQIGAgcCCAIJAoYCCwKHAg0CCAIIAggCCAIIAggCCAIIAggCCAIIAggCCAIIAggCCAIIAhsCAwKIAh4AAvgCAgI9AgQCBQIGAgcCCAIJAoYCCwKHAg0CCAIIAggCCAIIAggCCAIIAggCCAIIAggCCAIIAggCCAIIAhsCAwKxAh4AAvgCAgIeAgQCBQIGAgcCCAIJAoYCCwKHAg0CCAIIAggCCAIIAggCCAIIAggCCAIIAggCCAIIAggCCAIIAhsCAwK/Ah4AAvgCAgJKAgQCBQIGAgcCCAIJAisCCwKHAg0CCAIIAggCCAIIAggCCAIIAggCCAIIAggCCAIIAggCCAIIAhsCAwLXAh4AAvgCAgKDAgQCBQIGAgcCCAIJAoYCCwKHAg0CCAIIAggCCAIIAggCCAIIAggCCAIIAggCCAIIAggCCAIIAhsCAwJTAh4AAvgCAgIkAgQCBQIGAgcCCAIJAisCCwKHAg0CCAIIAggCCAIIAggCCAIIAggCCAIIAggCCAIIAggCCAIIAhsCAwLAAh4AAvgCAgJOAgQCBQIGAgcCCAIJAisCCwKHAg0CCAIIAggCCAIIAggCCAIIAggCCAIIAggCCAIIAggCCAIIAhsCAwLYAh4AAvgCAgIiAgQCBQIGAgcCCAIJAisCCwKHAg0CCAIIAggCCAIIAggCCAIIAggCCAIIAggCCAIIAggCCAIIAhsCAwKSAh4AAvgCAgImAgQCBQIGegAABAACBwIIAgkCHAILAocCDQIIAggCCAIIAggCCAIIAggCCAIIAggCCAIIAggCCAIIAggCGwIDAsUCHgAC+AICAh4CBAIFAgYCBwIIAgkCHAILAocCDQIIAggCCAIIAggCCAIIAggCCAIIAggCCAIIAggCCAIIAggCGwIDAq4CHgAC+AICAj0CBAIFAgYCBwIIAgkCHAILAocCDQIIAggCCAIIAggCCAIIAggCCAIIAggCCAIIAggCCAIIAggCGwIDAt4CHgAC+AICAn0CBAIFAgYCBwIIAgkCHAILAocCDQIIAggCCAIIAggCCAIIAggCCAIIAggCCAIIAggCCAIIAggCGwIDApMCHgAC+AICAlQCBAIFAgYCBwIIAgkCHAILAocCDQIIAggCCAIIAggCCAIIAggCCAIIAggCCAIIAggCCAIIAggCGwIDAtUCHgAC+AICAiYCBAIFAgYCBwIIAgkCKwILAocCDQIIAggCCAIIAggCCAIIAggCCAIIAggCCAIIAggCCAIIAggCGwIDAqwCHgAC+AICAkwCBAIFAgYCBwIIAgkCHAILAocCDQIIAggCCAIIAggCCAIIAggCCAIIAggCCAIIAggCCAIIAggCGwIDAqgCHgAC+AICAkwCBAIFAgYCBwIIAgkChgILAocCDQIIAggCCAIIAggCCAIIAggCCAIIAggCCAIIAggCCAIIAggCGwIDAtYCHgAC+AICAi8CBAIFAgYCBwIIAgkCKwILAocCDQIIAggCCAIIAggCCAIIAggCCAIIAggCCAIIAggCCAIIAggCGwIDAuECHgAC+AICAioCBAIFAgYCBwIIAgkCKwILAocCDQIIAggCCAIIAggCCAIIAggCCAIIAggCCAIIAggCCAIIAggCGwIDArsCHgAC+AICAiACBAIFAgYCBwIIAgkChgILAocCDQIIAggCCAIIAggCCAIIAggCCAIIAggCCAIIAggCCAIIAggCGwIDArcCHgAC+AICAgMCBAIFAgYCBwIIAgkCKwILAocCDQIIAggCCAIIAggCCAIIAggCCAIIAggCCAIIAggCCAIIAggCGwIDArMCHgAC+AICAi0CBAIFAgYCBwIIAgkCKwILAocCDQIIAggCCAIIAggCCAIIAggCCAIIAggCCAIIAggCCAIIAggCGwIDAokCHgAC+AICAhsCBAIFAgYCBwIIAgkChgILAocCDQIIAggCCAIIAggCCAIIAggCCAIIAggCCAIIAggCCAIIAggCGwIDAuACHgAC+QAJNTM4ODEzOTc2AgICVgIEAgUCBgIHAggCCQIcAgsChwINAggCCAIIAggCCAIIAggCCAIIAggCCAIIAggCCAIIAggCegAABAAIAgMCAwKnAh4AAvkCAgIzAgQCBQIGAgcCCAIJAhwCCwKHAg0CCAIIAggCCAIIAggCCAIIAggCCAIIAggCCAIIAggCCAIIAgMCAwKWAh4AAvkCAgItAgQCBQIGAgcCCAIJAhwCCwKHAg0CCAIIAggCCAIIAggCCAIIAggCCAIIAggCCAIIAggCCAIIAgMCAwKaAh4AAvkCAgJMAgQCBQIGAgcCCAIJAhwCCwKHAg0CCAIIAggCCAIIAggCCAIIAggCCAIIAggCCAIIAggCCAIIAgMCAwKoAh4AAvkCAgIoAgQCBQIGAgcCCAIJAhwCCwKHAg0CCAIIAggCCAIIAggCCAIIAggCCAIIAggCCAIIAggCCAIIAgMCAwKOAh4AAvkCAgI3AgQCBQIGAgcCCAIJAhwCCwKHAg0CCAIIAggCCAIIAggCCAIIAggCCAIIAggCCAIIAggCCAIIAgMCAwLRAh4AAvkCAgJ9AgQCBQIGAgcCCAIJAhwCCwKHAg0CCAIIAggCCAIIAggCCAIIAggCCAIIAggCCAIIAggCCAIIAgMCAwKTAh4AAvkCAgImAgQCBQIGAgcCCAIJAhwCCwKHAg0CCAIIAggCCAIIAggCCAIIAggCCAIIAggCCAIIAggCCAIIAgMCAwLFAh4AAvkCAgJ/AgQCBQIGAgcCCAIJAhwCCwKHAg0CCAIIAggCCAIIAggCCAIIAggCCAIIAggCCAIIAggCCAIIAgMCAwKcAh4AAvkCAgJCAgQCBQIGAgcCCAIJAhwCCwKHAg0CCAIIAggCCAIIAggCCAIIAggCCAIIAggCCAIIAggCCAIIAgMCAwKrAh4AAvkCAgIDAgQCBQIGAgcCCAIJAhwCCwKHAg0CCAIIAggCCAIIAggCCAIIAggCCAIIAggCCAIIAggCCAIIAgMCAwLKAh4AAvkCAgJOAgQCBQIGAgcCCAIJAhwCCwKHAg0CCAIIAggCCAIIAggCCAIIAggCCAIIAggCCAIIAggCCAIIAgMCAwLUAh4AAvkCAgIkAgQCBQIGAgcCCAIJAhwCCwKHAg0CCAIIAggCCAIIAggCCAIIAggCCAIIAggCCAIIAggCCAIIAgMCAwK9Ah4AAvkCAgIgAgQCBQIGAgcCCAIJAhwCCwKHAg0CCAIIAggCCAIIAggCCAIIAggCCAIIAggCCAIIAggCCAIIAgMCAwLfAh4AAvkCAgIeAgQCBQIGAgcCCAIJAhwCCwKHAg0CCAIIAggCCAIIAggCCAIIAggCCAIIAggCCAIIAggCCAIIAgMCAwKuAh4AAvkCAgKDAgQCBQIGAgcCCAIJAhwCCwKHAg0CCAIIAggCCAIIAggCCAIIAggCCAIIegAABAACCAIIAggCCAIIAggCAwIDAt0CHgAC+QICAkcCBAIFAgYCBwIIAgkCHAILAocCDQIIAggCCAIIAggCCAIIAggCCAIIAggCCAIIAggCCAIIAggCAwIDArICHgAC+QICAoECBAIFAgYCBwIIAgkCHAILAocCDQIIAggCCAIIAggCCAIIAggCCAIIAggCCAIIAggCCAIIAggCAwIDAroCHgAC+gAJMTExOTg1ODAwAgICSgIEAgUCBgIHAggCCQKGAgsChwINAggCCAIIAggCCAIIAggCCAIIAggCCAIIAggCCAIIAggCCAIjAgMCnwIeAAL6AgICTgIEAgUCBgIHAggCCQKGAgsChwINAggCCAIIAggCCAIIAggCCAIIAggCCAIIAggCCAIIAggCCAIjAgMCrwIeAAL6AgICSgIEAgUCBgIHAggCCQIcAgsChwINAggCCAIIAggCCAIIAggCCAIIAggCCAIIAggCCAIIAggCCAIjAgMC0AIeAAL6AgICNwIEAgUCBgIHAggCCQIcAgsChwINAggCCAIIAggCCAIIAggCCAIIAggCCAIIAggCCAIIAggCCAIjAgMC0QIeAAL6AgICLwIEAgUCBgIHAggCCQIrAgsChwINAggCCAIIAggCCAIIAggCCAIIAggCCAIIAggCCAIIAggCCAIjAgMC4QIeAAL6AgICJgIEAgUCBgIHAggCCQIrAgsChwINAggCCAIIAggCCAIIAggCCAIIAggCCAIIAggCCAIIAggCCAIjAgMCrAIeAAL6AgICVgIEAgUCBgIHAggCCQKGAgsChwINAggCCAIIAggCCAIIAggCCAIIAggCCAIIAggCCAIIAggCCAIjAgMCUwIeAAL6AgICPQIEAgUCBgIHAggCCQIcAgsChwINAggCCAIIAggCCAIIAggCCAIIAggCCAIIAggCCAIIAggCCAIjAgMC3gIeAAL6AgICOQIEAgUCBgIHAggCCQIrAgsChwINAggCCAIIAggCCAIIAggCCAIIAggCCAIIAggCCAIIAggCCAIjAgMCyQIeAAL6AgICKAIEAgUCBgIHAggCCQIrAgsChwINAggCCAIIAggCCAIIAggCCAIIAggCCAIIAggCCAIIAggCCAIjAgMClAIeAAL6AgICHgIEAgUCBgIHAggCCQIcAgsChwINAggCCAIIAggCCAIIAggCCAIIAggCCAIIAggCCAIIAggCCAIjAgMCrgIeAAL6AgICJAIEAgUCBgIHAggCCQIrAgsChwINAggCCAIIAggCCAIIAggCCAIIAggCCAIIAggCCAIIAggCCAIjAgMCwAIeAAL6AgICTgIEAgUCBgIHAggCCQIrAgsChwINegAABAACCAIIAggCCAIIAggCCAIIAggCCAIIAggCCAIIAggCCAIIAiMCAwLYAh4AAvoCAgIDAgQCBQIGAgcCCAIJAhwCCwKHAg0CCAIIAggCCAIIAggCCAIIAggCCAIIAggCCAIIAggCCAIIAiMCAwLKAh4AAvoCAgJAAgQCBQIGAgcCCAIJAhwCCwKHAg0CCAIIAggCCAIIAggCCAIIAggCCAIIAggCCAIIAggCCAIIAiMCAwLZAh4AAvoCAgJCAgQCBQIGAgcCCAIJAoYCCwKHAg0CCAIIAggCCAIIAggCCAIIAggCCAIIAggCCAIIAggCCAIIAiMCAwLaAh4AAvoCAgJAAgQCBQIGAgcCCAIJAoYCCwKHAg0CCAIIAggCCAIIAggCCAIIAggCCAIIAggCCAIIAggCCAIIAiMCAwKqAh4AAvoCAgIgAgQCBQIGAgcCCAIJAisCCwKHAg0CCAIIAggCCAIIAggCCAIIAggCCAIIAggCCAIIAggCCAIIAiMCAwLCAh4AAvoCAgIbAgQCBQIGAgcCCAIJAisCCwKHAg0CCAIIAggCCAIIAggCCAIIAggCCAIIAggCCAIIAggCCAIIAiMCAwKVAh4AAvoCAgIzAgQCBQIGAgcCCAIJAhwCCwKHAg0CCAIIAggCCAIIAggCCAIIAggCCAIIAggCCAIIAggCCAIIAiMCAwKWAh4AAvoCAgJCAgQCBQIGAgcCCAIJAhwCCwKHAg0CCAIIAggCCAIIAggCCAIIAggCCAIIAggCCAIIAggCCAIIAiMCAwKrAh4AAvoCAgJWAgQCBQIGAgcCCAIJAhwCCwKHAg0CCAIIAggCCAIIAggCCAIIAggCCAIIAggCCAIIAggCCAIIAiMCAwKnAh4AAvoCAgIzAgQCBQIGAgcCCAIJAisCCwKHAg0CCAIIAggCCAIIAggCCAIIAggCCAIIAggCCAIIAggCCAIIAiMCAwKbAh4AAvoCAgI3AgQCBQIGAgcCCAIJAoYCCwKHAg0CCAIIAggCCAIIAggCCAIIAggCCAIIAggCCAIIAggCCAIIAiMCAwKkAh4AAvoCAgI1AgQCBQIGAgcCCAIJAoYCCwKHAg0CCAIIAggCCAIIAggCCAIIAggCCAIIAggCCAIIAggCCAIIAiMCAwKZAh4AAvoCAgIoAgQCBQIGAgcCCAIJAhwCCwKHAg0CCAIIAggCCAIIAggCCAIIAggCCAIIAggCCAIIAggCCAIIAiMCAwKOAh4AAvoCAgIxAgQCBQIGAgcCCAIJAisCCwKHAg0CCAIIAggCCAIIAggCCAIIAggCCAIIAggCCAIIAggCCAIIAiMCAwLSAh4AAvoCAgI5AgQCBQIGAgcCegAABAAIAgkCHAILAocCDQIIAggCCAIIAggCCAIIAggCCAIIAggCCAIIAggCCAIIAggCIwIDArwCHgAC+gICAigCBAIFAgYCBwIIAgkChgILAocCDQIIAggCCAIIAggCCAIIAggCCAIIAggCCAIIAggCCAIIAggCIwIDAr4CHgAC+gICAh4CBAIFAgYCBwIIAgkCKwILAocCDQIIAggCCAIIAggCCAIIAggCCAIIAggCCAIIAggCCAIIAggCIwIDAqICHgAC+gICAj0CBAIFAgYCBwIIAgkCKwILAocCDQIIAggCCAIIAggCCAIIAggCCAIIAggCCAIIAggCCAIIAggCIwIDAs0CHgAC+gICAhsCBAIFAgYCBwIIAgkCHAILAocCDQIIAggCCAIIAggCCAIIAggCCAIIAggCCAIIAggCCAIIAggCIwIDArACHgAC+gICAiACBAIFAgYCBwIIAgkCHAILAocCDQIIAggCCAIIAggCCAIIAggCCAIIAggCCAIIAggCCAIIAggCIwIDAt8CHgAC+gICAiICBAIFAgYCBwIIAgkChgILAocCDQIIAggCCAIIAggCCAIIAggCCAIIAggCCAIIAggCCAIIAggCIwIDAsECHgAC+gICAiQCBAIFAgYCBwIIAgkChgILAocCDQIIAggCCAIIAggCCAIIAggCCAIIAggCCAIIAggCCAIIAggCIwIDAlMCHgAC+gICAjkCBAIFAgYCBwIIAgkChgILAocCDQIIAggCCAIIAggCCAIIAggCCAIIAggCCAIIAggCCAIIAggCIwIDAo0CHgAC+gICAiICBAIFAgYCBwIIAgkCHAILAocCDQIIAggCCAIIAggCCAIIAggCCAIIAggCCAIIAggCCAIIAggCIwIDAowCHgAC+gICAjUCBAIFAgYCBwIIAgkCHAILAocCDQIIAggCCAIIAggCCAIIAggCCAIIAggCCAIIAggCCAIIAggCIwIDAs8CHgAC+gICAiACBAIFAgYCBwIIAgkChgILAocCDQIIAggCCAIIAggCCAIIAggCCAIIAggCCAIIAggCCAIIAggCIwIDArcCHgAC+gICAkACBAIFAgYCBwIIAgkCKwILAocCDQIIAggCCAIIAggCCAIIAggCCAIIAggCCAIIAggCCAIIAggCIwIDAqMCHgAC+gICAkICBAIFAgYCBwIIAgkCKwILAocCDQIIAggCCAIIAggCCAIIAggCCAIIAggCCAIIAggCCAIIAggCIwIDAs4CHgAC+gICAlQCBAIFAgYCBwIIAgkCKwILAocCDQIIAggCCAIIAggCCAIIAggCCAIIAggCCAIIAggCCAIIAggCIwIDAtsCHgAC+gICegAABAACTAIEAgUCBgIHAggCCQIrAgsChwINAggCCAIIAggCCAIIAggCCAIIAggCCAIIAggCCAIIAggCCAIjAgMCrQIeAAL6AgICLQIEAgUCBgIHAggCCQIcAgsChwINAggCCAIIAggCCAIIAggCCAIIAggCCAIIAggCCAIIAggCCAIjAgMCmgIeAAL6AgICNQIEAgUCBgIHAggCCQIrAgsChwINAggCCAIIAggCCAIIAggCCAIIAggCCAIIAggCCAIIAggCCAIjAgMCuAIeAAL6AgICJgIEAgUCBgIHAggCCQKGAgsChwINAggCCAIIAggCCAIIAggCCAIIAggCCAIIAggCCAIIAggCCAIjAgMCmAIeAAL6AgICMwIEAgUCBgIHAggCCQKGAgsChwINAggCCAIIAggCCAIIAggCCAIIAggCCAIIAggCCAIIAggCCAIjAgMCUwIeAAL6AgICLwIEAgUCBgIHAggCCQKGAgsChwINAggCCAIIAggCCAIIAggCCAIIAggCCAIIAggCCAIIAggCCAIjAgMCuQIeAAL6AgICMQIEAgUCBgIHAggCCQKGAgsChwINAggCCAIIAggCCAIIAggCCAIIAggCCAIIAggCCAIIAggCCAIjAgMCiAIeAAL6AgICVgIEAgUCBgIHAggCCQIrAgsChwINAggCCAIIAggCCAIIAggCCAIIAggCCAIIAggCCAIIAggCCAIjAgMCyAIeAAL6AgICKgIEAgUCBgIHAggCCQIcAgsChwINAggCCAIIAggCCAIIAggCCAIIAggCCAIIAggCCAIIAggCCAIjAgMCxwIeAAL6AgICKgIEAgUCBgIHAggCCQKGAgsChwINAggCCAIIAggCCAIIAggCCAIIAggCCAIIAggCCAIIAggCCAIjAgMCngIeAAL6AgICMQIEAgUCBgIHAggCCQIcAgsChwINAggCCAIIAggCCAIIAggCCAIIAggCCAIIAggCCAIIAggCCAIjAgMCxAIeAAL6AgICAwIEAgUCBgIHAggCCQKGAgsChwINAggCCAIIAggCCAIIAggCCAIIAggCCAIIAggCCAIIAggCCAIjAgMCjwIeAAL6AgICLQIEAgUCBgIHAggCCQKGAgsChwINAggCCAIIAggCCAIIAggCCAIIAggCCAIIAggCCAIIAggCCAIjAgMCywIeAAL6AgICIgIEAgUCBgIHAggCCQIrAgsChwINAggCCAIIAggCCAIIAggCCAIIAggCCAIIAggCCAIIAggCCAIjAgMCkgIeAAL6AgICHgIEAgUCBgIHAggCCQKGAgsChwINAggCCAIIAggCCAIIAggCCAIIAggCCAIIAggCCAIIAggCCAIjegAABAACAwK/Ah4AAvoCAgJKAgQCBQIGAgcCCAIJAisCCwKHAg0CCAIIAggCCAIIAggCCAIIAggCCAIIAggCCAIIAggCCAIIAiMCAwLXAh4AAvoCAgIvAgQCBQIGAgcCCAIJAhwCCwKHAg0CCAIIAggCCAIIAggCCAIIAggCCAIIAggCCAIIAggCCAIIAiMCAwKXAh4AAvoCAgI9AgQCBQIGAgcCCAIJAoYCCwKHAg0CCAIIAggCCAIIAggCCAIIAggCCAIIAggCCAIIAggCCAIIAiMCAwKxAh4AAvoCAgImAgQCBQIGAgcCCAIJAhwCCwKHAg0CCAIIAggCCAIIAggCCAIIAggCCAIIAggCCAIIAggCCAIIAiMCAwLFAh4AAvoCAgI3AgQCBQIGAgcCCAIJAisCCwKHAg0CCAIIAggCCAIIAggCCAIIAggCCAIIAggCCAIIAggCCAIIAiMCAwLTAh4AAvoCAgJMAgQCBQIGAgcCCAIJAoYCCwKHAg0CCAIIAggCCAIIAggCCAIIAggCCAIIAggCCAIIAggCCAIIAiMCAwLWAh4AAvoCAgJUAgQCBQIGAgcCCAIJAhwCCwKHAg0CCAIIAggCCAIIAggCCAIIAggCCAIIAggCCAIIAggCCAIIAiMCAwLVAh4AAvoCAgJUAgQCBQIGAgcCCAIJAoYCCwKHAg0CCAIIAggCCAIIAggCCAIIAggCCAIIAggCCAIIAggCCAIIAiMCAwKmAh4AAvoCAgIbAgQCBQIGAgcCCAIJAoYCCwKHAg0CCAIIAggCCAIIAggCCAIIAggCCAIIAggCCAIIAggCCAIIAiMCAwLgAh4AAvoCAgJMAgQCBQIGAgcCCAIJAhwCCwKHAg0CCAIIAggCCAIIAggCCAIIAggCCAIIAggCCAIIAggCCAIIAiMCAwKoAh4AAvoCAgJOAgQCBQIGAgcCCAIJAhwCCwKHAg0CCAIIAggCCAIIAggCCAIIAggCCAIIAggCCAIIAggCCAIIAiMCAwLUAh4AAvoCAgIkAgQCBQIGAgcCCAIJAhwCCwKHAg0CCAIIAggCCAIIAggCCAIIAggCCAIIAggCCAIIAggCCAIIAiMCAwK9Ah4AAvoCAgIDAgQCBQIGAgcCCAIJAisCCwKHAg0CCAIIAggCCAIIAggCCAIIAggCCAIIAggCCAIIAggCCAIIAiMCAwKzAh4AAvoCAgItAgQCBQIGAgcCCAIJAisCCwKHAg0CCAIIAggCCAIIAggCCAIIAggCCAIIAggCCAIIAggCCAIIAiMCAwKJAh4AAvoCAgIqAgQCBQIGAgcCCAIJAisCCwKHAg0CCAIIAggCCAIIAggCCAIIAggCCAIIAggCegAABAAIAggCCAIIAggCIwIDArsCHgAC+wAJNTM4ODExNjU2AgICTAIEAgUCBgIHAggCCQIcAgsCDAINAggCCAIIAggCCAIIAggCCAIIAggCCAIIAggCCAIIAggCCAICAgMCYgIeAAL7AgICNwIEAgUCBgIHAggCCQIcAgsCDAINAggCCAIIAggCCAIIAggCCAIIAggCCAIIAggCCAIIAggCCAICAgMCcgIeAAL7AgICJgIEAgUCBgIHAggCCQIcAgsCDAINAggCCAIIAggCCAIIAggCCAIIAggCCAIIAggCCAIIAggCCAICAgMCOwIeAAL7AgICfwIEAgUCBgIHAggCCQIcAgsCDAINAggCCAIIAggCCAIIAggCCAIIAggCCAIIAggCCAIIAggCCAICAgMC5AIeAAL7AgICfQIEAgUCBgIHAggCCQIcAgsCDAINAggCCAIIAggCCAIIAggCCAIIAggCCAIIAggCCAIIAggCCAICAgMC5QIeAAL7AgICVgIEAgUCBgIHAggCCQIcAgsCDAINAggCCAIIAggCCAIIAggCCAIIAggCCAIIAggCCAIIAggCCAICAgMCZwIeAAL7AgICIAIEAgUCBgIHAggCCQIcAgsCDAINAggCCAIIAggCCAIIAggCCAIIAggCCAIIAggCCAIIAggCCAICAgMCIQIeAAL7AgICMwIEAgUCBgIHAggCCQIcAgsCDAINAggCCAIIAggCCAIIAggCCAIIAggCCAIIAggCCAIIAggCCAICAgMCNAIeAAL7AgICQgIEAgUCBgIHAggCCQIcAgsCDAINAggCCAIIAggCCAIIAggCCAIIAggCCAIIAggCCAIIAggCCAICAgMCQwIeAAL7AgICJAIEAgUCBgIHAggCCQIcAgsCDAINAggCCAIIAggCCAIIAggCCAIIAggCCAIIAggCCAIIAggCCAICAgMCJQIeAAL7AgICHgIEAgUCBgIHAggCCQIcAgsCDAINAggCCAIIAggCCAIIAggCCAIIAggCCAIIAggCCAIIAggCCAICAgMCRgIeAAL7AgICTgIEAgUCBgIHAggCCQIcAgsCDAINAggCCAIIAggCCAIIAggCCAIIAggCCAIIAggCCAIIAggCCAICAgMCWwIeAAL7AgICgQIEAgUCBgIHAggCCQIcAgsCDAINAggCCAIIAggCCAIIAggCCAIIAggCCAIIAggCCAIIAggCCAICAgMC9AIeAAL7AgICRwIEAgUCBgIHAggCCQIcAgsCDAINAggCCAIIAggCCAIIAggCCAIIAggCCAIIAggCCAIIAggCCAICAgMCYQIeAAL7AgICgwIEAgUCBgIHAggCCQIcAgsCDAINAggCegAABAAIAggCCAIIAggCCAIIAggCCAIIAggCCAIIAggCCAIIAgICAwLmAh4AAvsCAgIDAgQCBQIGAgcCCAIJAhwCCwIMAg0CCAIIAggCCAIIAggCCAIIAggCCAIIAggCCAIIAggCCAIIAgICAwJpAh4AAvsCAgItAgQCBQIGAgcCCAIJAhwCCwIMAg0CCAIIAggCCAIIAggCCAIIAggCCAIIAggCCAIIAggCCAIIAgICAwJxAh4AAvsCAgIoAgQCBQIGAgcCCAIJAhwCCwIMAg0CCAIIAggCCAIIAggCCAIIAggCCAIIAggCCAIIAggCCAIIAgICAwIpAh4AAvwACTIzNDUxMTIyNAICAlYCBAIFAgYCBwIIAgkCHAILAgwCDQIIAggCCAIIAggCCAIIAggCCAIIAggCCAIIAggCCAIIAggCFgIDAmcCHgAC/AICAlQCBAIFAgYCBwIIAgkCHAILAgwCDQIIAggCCAIIAggCCAIIAggCCAIIAggCCAIIAggCCAIIAggCFgIDAmQCHgAC/AICAi0CBAIFAgYCBwIIAgkCCgILAgwCDQIIAggCCAIIAggCCAIIAggCCAIIAggCCAIIAggCCAIIAggCFgIDAmMCHgAC/AICAn8CBAIFAgYCBwIIAgkCKwILAgwCDQIIAggCCAIIAggCCAIIAggCCAIIAggCCAIIAggCCAIIAggCFgIDAoACHgAC/AICAk4CBAIFAgYCBwIIAgkCHAILAgwCDQIIAggCCAIIAggCCAIIAggCCAIIAggCCAIIAggCCAIIAggCFgIDAlsCHgAC/AICAhsCBAIFAgYCBwIIAgkCCgILAgwCDQIIAggCCAIIAggCCAIIAggCCAIIAggCCAIIAggCCAIIAggCFgIDAm4CHgAC/AICAk4CBAIFAgYCBwIIAgkCKwILAgwCDQIIAggCCAIIAggCCAIIAggCCAIIAggCCAIIAggCCAIIAggCFgIDAk8CHgAC/AICAooCBAIFAgYCBwIIAgkCCgILAgwCDQIIAggCCAIIAggCCAIIAggCCAIIAggCCAIIAggCCAIIAggCFgIDAlMCHgAC/AICAkICBAIFAgYCBwIIAgkCHAILAgwCDQIIAggCCAIIAggCCAIIAggCCAIIAggCCAIIAggCCAIIAggCFgIDAkMCHgAC/AICAkwCBAIFAgYCBwIIAgkCCgILAgwCDQIIAggCCAIIAggCCAIIAggCCAIIAggCCAIIAggCCAIIAggCFgIDAnACHgAC/AICAp0CBAIFAgYCBwIIAgkCHAILAgwCDQIIAggCCAIIAggCCAIIAggCCAIIAggCCAIIAggCCAIIAggCFgIDAvICHgAC/AICAioCegAABAAEAgUCBgIHAggCCQIcAgsCDAINAggCCAIIAggCCAIIAggCCAIIAggCCAIIAggCCAIIAggCCAIWAgMCdAIeAAL8AgICfwIEAgUCBgIHAggCCQIcAgsCDAINAggCCAIIAggCCAIIAggCCAIIAggCCAIIAggCCAIIAggCCAIWAgMC5AIeAAL8AgICVgIEAgUCBgIHAggCCQIrAgsCDAINAggCCAIIAggCCAIIAggCCAIIAggCCAIIAggCCAIIAggCCAIWAgMCdwIeAAL8AgICLwIEAgUCBgIHAggCCQIKAgsCDAINAggCCAIIAggCCAIIAggCCAIIAggCCAIIAggCCAIIAggCCAIWAgMCMAIeAAL8AgICHgIEAgUCBgIHAggCCQIrAgsCDAINAggCCAIIAggCCAIIAggCCAIIAggCCAIIAggCCAIIAggCCAIWAgMCXwIeAAL8AgICRwIEAgUCBgIHAggCCQIKAgsCDAINAggCCAIIAggCCAIIAggCCAIIAggCCAIIAggCCAIIAggCCAIWAgMCUwIeAAL8AgICIgIEAgUCBgIHAggCCQIKAgsCDAINAggCCAIIAggCCAIIAggCCAIIAggCCAIIAggCCAIIAggCCAIWAgMCeQIeAAL8AgICfQIEAgUCBgIHAggCCQIKAgsCDAINAggCCAIIAggCCAIIAggCCAIIAggCCAIIAggCCAIIAggCCAIWAgMCUwIeAAL8AgICNQIEAgUCBgIHAggCCQIcAgsCDAINAggCCAIIAggCCAIIAggCCAIIAggCCAIIAggCCAIIAggCCAIWAgMCcwIeAAL8AgICQgIEAgUCBgIHAggCCQIrAgsCDAINAggCCAIIAggCCAIIAggCCAIIAggCCAIIAggCCAIIAggCCAIWAgMCewIeAAL8AgICMwIEAgUCBgIHAggCCQIrAgsCDAINAggCCAIIAggCCAIIAggCCAIIAggCCAIIAggCCAIIAggCCAIWAgMCeAIeAAL8AgICNwIEAgUCBgIHAggCCQIKAgsCDAINAggCCAIIAggCCAIIAggCCAIIAggCCAIIAggCCAIIAggCCAIWAgMCOAIeAAL8AgICLQIEAgUCBgIHAggCCQIrAgsCDAINAggCCAIIAggCCAIIAggCCAIIAggCCAIIAggCCAIIAggCCAIWAgMCLgIeAAL8AgICJAIEAgUCBgIHAggCCQIcAgsCDAINAggCCAIIAggCCAIIAggCCAIIAggCCAIIAggCCAIIAggCCAIWAgMCJQIeAAL8AgICKAIEAgUCBgIHAggCCQIcAgsCDAINAggCCAIIAggCCAIIAggCCAIIAggCCAIIAggCCAIIAggCCAIWAgMCegAABAApAh4AAvwCAgKQAgQCBQIGAgcCCAIJAgoCCwIMAg0CCAIIAggCCAIIAggCCAIIAggCCAIIAggCCAIIAggCCAIIAhYCAwJTAh4AAvwCAgIkAgQCBQIGAgcCCAIJAisCCwIMAg0CCAIIAggCCAIIAggCCAIIAggCCAIIAggCCAIIAggCCAIIAhYCAwJJAh4AAvwCAgKQAgQCBQIGAgcCCAIJAhwCCwIMAg0CCAIIAggCCAIIAggCCAIIAggCCAIIAggCCAIIAggCCAIIAhYCAwLuAh4AAvwCAgJKAgQCBQIGAgcCCAIJAgoCCwIMAg0CCAIIAggCCAIIAggCCAIIAggCCAIIAggCCAIIAggCCAIIAhYCAwJLAh4AAvwCAgKBAgQCBQIGAgcCCAIJAisCCwIMAg0CCAIIAggCCAIIAggCCAIIAggCCAIIAggCCAIIAggCCAIIAhYCAwKCAh4AAvwCAgIeAgQCBQIGAgcCCAIJAgoCCwIMAg0CCAIIAggCCAIIAggCCAIIAggCCAIIAggCCAIIAggCCAIIAhYCAwIfAh4AAvwCAgJ9AgQCBQIGAgcCCAIJAhwCCwIMAg0CCAIIAggCCAIIAggCCAIIAggCCAIIAggCCAIIAggCCAIIAhYCAwLlAh4AAvwCAgIgAgQCBQIGAgcCCAIJAisCCwIMAg0CCAIIAggCCAIIAggCCAIIAggCCAIIAggCCAIIAggCCAIIAhYCAwI/Ah4AAvwCAgIvAgQCBQIGAgcCCAIJAhwCCwIMAg0CCAIIAggCCAIIAggCCAIIAggCCAIIAggCCAIIAggCCAIIAhYCAwJsAh4AAvwCAgIzAgQCBQIGAgcCCAIJAhwCCwIMAg0CCAIIAggCCAIIAggCCAIIAggCCAIIAggCCAIIAggCCAIIAhYCAwI0Ah4AAvwCAgIxAgQCBQIGAgcCCAIJAgoCCwIMAg0CCAIIAggCCAIIAggCCAIIAggCCAIIAggCCAIIAggCCAIIAhYCAwJRAh4AAvwCAgJWAgQCBQIGAgcCCAIJAgoCCwIMAg0CCAIIAggCCAIIAggCCAIIAggCCAIIAggCCAIIAggCCAIIAhYCAwJTAh4AAvwCAgK2AgQCBQIGAgcCCAIJAhwCCwIMAg0CCAIIAggCCAIIAggCCAIIAggCCAIIAggCCAIIAggCCAIIAhYCAwLuAh4AAvwCAgJ9AgQCBQIGAgcCCAIJAisCCwIMAg0CCAIIAggCCAIIAggCCAIIAggCCAIIAggCCAIIAggCCAIIAhYCAwJ+Ah4AAvwCAgKBAgQCBQIGAgcCCAIJAgoCCwIMAg0CCAIIAggCCAIIAggCCAIIAggCCAIIAggCCAIIegAABAACCAIIAggCFgIDAlMCHgAC/AICAoMCBAIFAgYCBwIIAgkCHAILAgwCDQIIAggCCAIIAggCCAIIAggCCAIIAggCCAIIAggCCAIIAggCFgIDAuYCHgAC/AICAj0CBAIFAgYCBwIIAgkCHAILAgwCDQIIAggCCAIIAggCCAIIAggCCAIIAggCCAIIAggCCAIIAggCFgIDAkUCHgAC/AICAlQCBAIFAgYCBwIIAgkCKwILAgwCDQIIAggCCAIIAggCCAIIAggCCAIIAggCCAIIAggCCAIIAggCFgIDAlUCHgAC/AICAkICBAIFAgYCBwIIAgkCCgILAgwCDQIIAggCCAIIAggCCAIIAggCCAIIAggCCAIIAggCCAIIAggCFgIDAloCHgAC/AICApACBAIFAgYCBwIIAgkCKwILAgwCDQIIAggCCAIIAggCCAIIAggCCAIIAggCCAIIAggCCAIIAggCFgIDAvECHgAC/AICAjkCBAIFAgYCBwIIAgkCCgILAgwCDQIIAggCCAIIAggCCAIIAggCCAIIAggCCAIIAggCCAIIAggCFgIDAlgCHgAC/AICAi8CBAIFAgYCBwIIAgkCKwILAgwCDQIIAggCCAIIAggCCAIIAggCCAIIAggCCAIIAggCCAIIAggCFgIDAlICHgAC/AICAiACBAIFAgYCBwIIAgkCHAILAgwCDQIIAggCCAIIAggCCAIIAggCCAIIAggCCAIIAggCCAIIAggCFgIDAiECHgAC/AICAjcCBAIFAgYCBwIIAgkCKwILAgwCDQIIAggCCAIIAggCCAIIAggCCAIIAggCCAIIAggCCAIIAggCFgIDAmUCHgAC/AICAioCBAIFAgYCBwIIAgkCCgILAgwCDQIIAggCCAIIAggCCAIIAggCCAIIAggCCAIIAggCCAIIAggCFgIDAmYCHgAC/AICAjUCBAIFAgYCBwIIAgkCCgILAgwCDQIIAggCCAIIAggCCAIIAggCCAIIAggCCAIIAggCCAIIAggCFgIDAlACHgAC/AICAp0CBAIFAgYCBwIIAgkCCgILAgwCDQIIAggCCAIIAggCCAIIAggCCAIIAggCCAIIAggCCAIIAggCFgIDAlMCHgAC/AICAkwCBAIFAgYCBwIIAgkCHAILAgwCDQIIAggCCAIIAggCCAIIAggCCAIIAggCCAIIAggCCAIIAggCFgIDAmICHgAC/AICAqACBAIFAgYCBwIIAgkCHAILAgwCDQIIAggCCAIIAggCCAIIAggCCAIIAggCCAIIAggCCAIIAggCFgIDAu4CHgAC/AICAkACBAIFAgYCBwIIAgkCHAILAgwCDQIIAggCCAIIAggCCAIIAggCegAABAAIAggCCAIIAggCCAIIAggCCAIWAgMCQQIeAAL8AgICRwIEAgUCBgIHAggCCQIrAgsCDAINAggCCAIIAggCCAIIAggCCAIIAggCCAIIAggCCAIIAggCCAIWAgMCSAIeAAL8AgICIAIEAgUCBgIHAggCCQIKAgsCDAINAggCCAIIAggCCAIIAggCCAIIAggCCAIIAggCCAIIAggCCAIWAgMCbQIeAAL8AgICtgIEAgUCBgIHAggCCQIrAgsCDAINAggCCAIIAggCCAIIAggCCAIIAggCCAIIAggCCAIIAggCCAIWAgMC8QIeAAL8AgICSgIEAgUCBgIHAggCCQIrAgsCDAINAggCCAIIAggCCAIIAggCCAIIAggCCAIIAggCCAIIAggCCAIWAgMCagIeAAL8AgICVAIEAgUCBgIHAggCCQIKAgsCDAINAggCCAIIAggCCAIIAggCCAIIAggCCAIIAggCCAIIAggCCAIWAgMCegIeAAL8AgICOQIEAgUCBgIHAggCCQIrAgsCDAINAggCCAIIAggCCAIIAggCCAIIAggCCAIIAggCCAIIAggCCAIWAgMCawIeAAL8AgICLQIEAgUCBgIHAggCCQIcAgsCDAINAggCCAIIAggCCAIIAggCCAIIAggCCAIIAggCCAIIAggCCAIWAgMCcQIeAAL8AgICgwIEAgUCBgIHAggCCQIrAgsCDAINAggCCAIIAggCCAIIAggCCAIIAggCCAIIAggCCAIIAggCCAIWAgMChAIeAAL8AgICAwIEAgUCBgIHAggCCQIcAgsCDAINAggCCAIIAggCCAIIAggCCAIIAggCCAIIAggCCAIIAggCCAIWAgMCaQIeAAL8AgICPQIEAgUCBgIHAggCCQIrAgsCDAINAggCCAIIAggCCAIIAggCCAIIAggCCAIIAggCCAIIAggCCAIWAgMCXAIeAAL8AgICTgIEAgUCBgIHAggCCQIKAgsCDAINAggCCAIIAggCCAIIAggCCAIIAggCCAIIAggCCAIIAggCCAIWAgMCaAIeAAL8AgICoAIEAgUCBgIHAggCCQIrAgsCDAINAggCCAIIAggCCAIIAggCCAIIAggCCAIIAggCCAIIAggCCAIWAgMC8QIeAAL8AgICJAIEAgUCBgIHAggCCQIKAgsCDAINAggCCAIIAggCCAIIAggCCAIIAggCCAIIAggCCAIIAggCCAIWAgMCUwIeAAL8AgICJgIEAgUCBgIHAggCCQIKAgsCDAINAggCCAIIAggCCAIIAggCCAIIAggCCAIIAggCCAIIAggCCAIWAgMCJwIeAAL8AgICSgIEAgUCBgIHAggCCQIcAgsCDAINAggCCAIIegAABAACCAIIAggCCAIIAggCCAIIAggCCAIIAggCCAIIAhYCAwJdAh4AAvwCAgJAAgQCBQIGAgcCCAIJAisCCwIMAg0CCAIIAggCCAIIAggCCAIIAggCCAIIAggCCAIIAggCCAIIAhYCAwJ2Ah4AAvwCAgIxAgQCBQIGAgcCCAIJAisCCwIMAg0CCAIIAggCCAIIAggCCAIIAggCCAIIAggCCAIIAggCCAIIAhYCAwJ1Ah4AAvwCAgI3AgQCBQIGAgcCCAIJAhwCCwIMAg0CCAIIAggCCAIIAggCCAIIAggCCAIIAggCCAIIAggCCAIIAhYCAwJyAh4AAvwCAgIxAgQCBQIGAgcCCAIJAhwCCwIMAg0CCAIIAggCCAIIAggCCAIIAggCCAIIAggCCAIIAggCCAIIAhYCAwIyAh4AAvwCAgKKAgQCBQIGAgcCCAIJAisCCwIMAg0CCAIIAggCCAIIAggCCAIIAggCCAIIAggCCAIIAggCCAIIAhYCAwLvAh4AAvwCAgIqAgQCBQIGAgcCCAIJAisCCwIMAg0CCAIIAggCCAIIAggCCAIIAggCCAIIAggCCAIIAggCCAIIAhYCAwIsAh4AAvwCAgKBAgQCBQIGAgcCCAIJAhwCCwIMAg0CCAIIAggCCAIIAggCCAIIAggCCAIIAggCCAIIAggCCAIIAhYCAwL0Ah4AAvwCAgI5AgQCBQIGAgcCCAIJAhwCCwIMAg0CCAIIAggCCAIIAggCCAIIAggCCAIIAggCCAIIAggCCAIIAhYCAwI6Ah4AAvwCAgKDAgQCBQIGAgcCCAIJAgoCCwIMAg0CCAIIAggCCAIIAggCCAIIAggCCAIIAggCCAIIAggCCAIIAhYCAwJTAh4AAvwCAgIiAgQCBQIGAgcCCAIJAisCCwIMAg0CCAIIAggCCAIIAggCCAIIAggCCAIIAggCCAIIAggCCAIIAhYCAwJEAh4AAvwCAgIiAgQCBQIGAgcCCAIJAhwCCwIMAg0CCAIIAggCCAIIAggCCAIIAggCCAIIAggCCAIIAggCCAIIAhYCAwIjAh4AAvwCAgIoAgQCBQIGAgcCCAIJAisCCwIMAg0CCAIIAggCCAIIAggCCAIIAggCCAIIAggCCAIIAggCCAIIAhYCAwJvAh4AAvwCAgIDAgQCBQIGAgcCCAIJAgoCCwIMAg0CCAIIAggCCAIIAggCCAIIAggCCAIIAggCCAIIAggCCAIIAhYCAwIOAh4AAvwCAgI9AgQCBQIGAgcCCAIJAgoCCwIMAg0CCAIIAggCCAIIAggCCAIIAggCCAIIAggCCAIIAggCCAIIAhYCAwI+Ah4AAvwCAgK2AgQCBQIGAgcCCAIJAgoCegAABAALAgwCDQIIAggCCAIIAggCCAIIAggCCAIIAggCCAIIAggCCAIIAggCFgIDAlMCHgAC/AICAn8CBAIFAgYCBwIIAgkCCgILAgwCDQIIAggCCAIIAggCCAIIAggCCAIIAggCCAIIAggCCAIIAggCFgIDAlMCHgAC/AICAhsCBAIFAgYCBwIIAgkCKwILAgwCDQIIAggCCAIIAggCCAIIAggCCAIIAggCCAIIAggCCAIIAggCFgIDAjwCHgAC/AICAjUCBAIFAgYCBwIIAgkCKwILAgwCDQIIAggCCAIIAggCCAIIAggCCAIIAggCCAIIAggCCAIIAggCFgIDAjYCHgAC/AICAiYCBAIFAgYCBwIIAgkCHAILAgwCDQIIAggCCAIIAggCCAIIAggCCAIIAggCCAIIAggCCAIIAggCFgIDAjsCHgAC/AICAjMCBAIFAgYCBwIIAgkCCgILAgwCDQIIAggCCAIIAggCCAIIAggCCAIIAggCCAIIAggCCAIIAggCFgIDAlMCHgAC/AICAiYCBAIFAgYCBwIIAgkCKwILAgwCDQIIAggCCAIIAggCCAIIAggCCAIIAggCCAIIAggCCAIIAggCFgIDAlkCHgAC/AICAkwCBAIFAgYCBwIIAgkCKwILAgwCDQIIAggCCAIIAggCCAIIAggCCAIIAggCCAIIAggCCAIIAggCFgIDAk0CHgAC/AICAigCBAIFAgYCBwIIAgkCCgILAgwCDQIIAggCCAIIAggCCAIIAggCCAIIAggCCAIIAggCCAIIAggCFgIDAlcCHgAC/AICAgMCBAIFAgYCBwIIAgkCKwILAgwCDQIIAggCCAIIAggCCAIIAggCCAIIAggCCAIIAggCCAIIAggCFgIDAl4CHgAC/AICAh4CBAIFAgYCBwIIAgkCHAILAgwCDQIIAggCCAIIAggCCAIIAggCCAIIAggCCAIIAggCCAIIAggCFgIDAkYCHgAC/AICAkACBAIFAgYCBwIIAgkCCgILAgwCDQIIAggCCAIIAggCCAIIAggCCAIIAggCCAIIAggCCAIIAggCFgIDAmACHgAC/AICAqACBAIFAgYCBwIIAgkCCgILAgwCDQIIAggCCAIIAggCCAIIAggCCAIIAggCCAIIAggCCAIIAggCFgIDAlMCHgAC/AICAkcCBAIFAgYCBwIIAgkCHAILAgwCDQIIAggCCAIIAggCCAIIAggCCAIIAggCCAIIAggCCAIIAggCFgIDAmECHgAC/AICAhsCBAIFAgYCBwIIAgkCHAILAgwCDQIIAggCCAIIAggCCAIIAggCCAIIAggCCAIIAggCCAIIAggCFgIDAh0CHgAC/AICAooCBAIFd9UCBgIHAggCCQIcAgsCDAINAggCCAIIAggCCAIIAggCCAIIAggCCAIIAggCCAIIAggCCAIWAgMC8AIeAAL8AgICnQIEAgUCBgIHAggCCQIrAgsCDAINAggCCAIIAggCCAIIAggCCAIIAggCCAIIAggCCAIIAggCCAIWAgMC8wIeAAL9AAk1MzcwMTIwMjQCAgL+AAYyMDEzMTICBAIFAgYCBwIIAgkCCgILAgwCDQIIAggCCAIIAggCCAIIAggCCAIIAggCCAIIAggCCAIIAggCKgIDAv9zcQB+AAAAAAACc3EAfgAE///////////////+/////v////91cQB+AAcAAAADFOXkeHh6AAAEAAIeAAQAAQAJNDA4OTQ3ODE2AgICGwIEAgUCBgIHAggCCQIrAgsCDAINAggCCAIIAggCCAIIAggCCAIIAggCCAIIAggCCAIIAggCCAIcAgMCPAIeAAQAAQICAi8CBAIFAgYCBwIIAgkCHAILAgwCDQIIAggCCAIIAggCCAIIAggCCAIIAggCCAIIAggCCAIIAggCHAIDAmwCHgAEAAECAgImAgQCBQIGAgcCCAIJAhwCCwIMAg0CCAIIAggCCAIIAggCCAIIAggCCAIIAggCCAIIAggCCAIIAhwCAwI7Ah4ABAABAgICIAIEAgUCBgIHAggCCQIrAgsCDAINAggCCAIIAggCCAIIAggCCAIIAggCCAIIAggCCAIIAggCCAIcAgMCPwIeAAQAAQICAjcCBAIFAgYCBwIIAgkCCgILAgwCDQIIAggCCAIIAggCCAIIAggCCAIIAggCCAIIAggCCAIIAggCHAIDAjgCHgAEAAECAgIxAgQCBQIGAgcCCAIJAhwCCwIMAg0CCAIIAggCCAIIAggCCAIIAggCCAIIAggCCAIIAggCCAIIAhwCAwIyAh4ABAABAgICAwIEAgUCBgIHAggCCQIcAgsCDAINAggCCAIIAggCCAIIAggCCAIIAggCCAIIAggCCAIIAggCCAIcAgMCaQIeAAQAAQICAiICBAIFAgYCBwIIAgkCKwILAgwCDQIIAggCCAIIAggCCAIIAggCCAIIAggCCAIIAggCCAIIAggCHAIDAkQCHgAEAAECAgJHAgQCBQIGAgcCCAIJAgoCCwIMAg0CCAIIAggCCAIIAggCCAIIAggCCAIIAggCCAIIAggCCAIIAhwCAwJTAh4ABAABAgICSgIEAgUCBgIHAggCCQIKAgsCDAINAggCCAIIAggCCAIIAggCCAIIAggCCAIIAggCCAIIAggCCAIcAgMCSwIeAAQAAQICAigCBAIFAgYCBwIIAgkCKwILAgwCDQIIAggCCAIIAggCCAIIAggCCAIIAggCCAIIAggCCAIIAggCHAIDAm8CHgAEAAECAgIkAgQCBQIGAgcCCAIJAisCCwIMAg0CCAIIAggCCAIIAggCCAIIAggCCAIIAggCCAIIAggCCAIIAhwCAwJJAh4ABAABAgICOQIEAgUCBgIHAggCCQIrAgsCDAINAggCCAIIAggCCAIIAggCCAIIAggCCAIIAggCCAIIAggCCAIcAgMCawIeAAQAAQICAigCBAIFAgYCBwIIAgkCHAILAgwCDQIIAggCCAIIAggCCAIIAggCCAIIAggCCAIIAggCCAIIAggCHAIDAikCHgAEAAECAgItAgQCBQIGAgcCCAIJAisCCwIMAg0CCAJ6AAAEAAgCCAIIAggCCAIIAggCCAIIAggCCAIIAggCCAIIAggCHAIDAi4CHgAEAAECAgIeAgQCBQIGAgcCCAIJAhwCCwIMAg0CCAIIAggCCAIIAggCCAIIAggCCAIIAggCCAIIAggCCAIIAhwCAwJGAh4ABAABAgICPQIEAgUCBgIHAggCCQIcAgsCDAINAggCCAIIAggCCAIIAggCCAIIAggCCAIIAggCCAIIAggCCAIcAgMCRQIeAAQAAQICAk4CBAIFAgYCBwIIAgkCCgILAgwCDQIIAggCCAIIAggCCAIIAggCCAIIAggCCAIIAggCCAIIAggCHAIDAmgCHgAEAAECAgImAgQCBQIGAgcCCAIJAisCCwIMAg0CCAIIAggCCAIIAggCCAIIAggCCAIIAggCCAIIAggCCAIIAhwCAwJZAh4ABAABAgICVAIEAgUCBgIHAggCCQIKAgsCDAINAggCCAIIAggCCAIIAggCCAIIAggCCAIIAggCCAIIAggCCAIcAgMCegIeAAQAAQICAlYCBAIFAgYCBwIIAgkCCgILAgwCDQIIAggCCAIIAggCCAIIAggCCAIIAggCCAIIAggCCAIIAggCHAIDAlMCHgAEAAECAgIxAgQCBQIGAgcCCAIJAisCCwIMAg0CCAIIAggCCAIIAggCCAIIAggCCAIIAggCCAIIAggCCAIIAhwCAwJ1Ah4ABAABAgICMwIEAgUCBgIHAggCCQIrAgsCDAINAggCCAIIAggCCAIIAggCCAIIAggCCAIIAggCCAIIAggCCAIcAgMCeAIeAAQAAQICAi8CBAIFAgYCBwIIAgkCKwILAgwCDQIIAggCCAIIAggCCAIIAggCCAIIAggCCAIIAggCCAIIAggCHAIDAlICHgAEAAECAgJAAgQCBQIGAgcCCAIJAisCCwIMAg0CCAIIAggCCAIIAggCCAIIAggCCAIIAggCCAIIAggCCAIIAhwCAwJ2Ah4ABAABAgICfwIEAgUCBgIHAggCCQIcAgsCDAINAggCCAIIAggCCAIIAggCCAIIAggCCAIIAggCCAIIAggCCAIcAgMC5AIeAAQAAQICAiACBAIFAgYCBwIIAgkCHAILAgwCDQIIAggCCAIIAggCCAIIAggCCAIIAggCCAIIAggCCAIIAggCHAIDAiECHgAEAAECAgI3AgQCBQIGAgcCCAIJAhwCCwIMAg0CCAIIAggCCAIIAggCCAIIAggCCAIIAggCCAIIAggCCAIIAhwCAwJyAh4ABAABAgICQgIEAgUCBgIHAggCCQIrAgsCDAINAggCCAIIAggCCAIIAggCCAIIAggCCAIIAggCCAIIAggCCAIcAgMCewIeAAQAAQJ6AAAEAAICLwIEAgUCBgIHAggCCQIKAgsCDAINAggCCAIIAggCCAIIAggCCAIIAggCCAIIAggCCAIIAggCCAIcAgMCMAIeAAQAAQICAiYCBAIFAgYCBwIIAgkCCgILAgwCDQIIAggCCAIIAggCCAIIAggCCAIIAggCCAIIAggCCAIIAggCHAIDAicCHgAEAAECAgI1AgQCBQIGAgcCCAIJAhwCCwIMAg0CCAIIAggCCAIIAggCCAIIAggCCAIIAggCCAIIAggCCAIIAhwCAwJzAh4ABAABAgICAwIEAgUCBgIHAggCCQIKAgsCDAINAggCCAIIAggCCAIIAggCCAIIAggCCAIIAggCCAIIAggCCAIcAgMCDgIeAAQAAQICAh4CBAIFAgYCBwIIAgkCKwILAgwCDQIIAggCCAIIAggCCAIIAggCCAIIAggCCAIIAggCCAIIAggCHAIDAl8CHgAEAAECAgKDAgQCBQIGAgcCCAIJAisCCwIMAg0CCAIIAggCCAIIAggCCAIIAggCCAIIAggCCAIIAggCCAIIAhwCAwKEAh4ABAABAgICPQIEAgUCBgIHAggCCQIrAgsCDAINAggCCAIIAggCCAIIAggCCAIIAggCCAIIAggCCAIIAggCCAIcAgMCXAIeAAQAAQICAkwCBAIFAgYCBwIIAgkCKwILAgwCDQIIAggCCAIIAggCCAIIAggCCAIIAggCCAIIAggCCAIIAggCHAIDAk0CHgAEAAECAgJUAgQCBQIGAgcCCAIJAisCCwIMAg0CCAIIAggCCAIIAggCCAIIAggCCAIIAggCCAIIAggCCAIIAhwCAwJVAh4ABAABAgICgwIEAgUCBgIHAggCCQIcAgsCDAINAggCCAIIAggCCAIIAggCCAIIAggCCAIIAggCCAIIAggCCAIcAgMC5gIeAAQAAQICAjkCBAIFAgYCBwIIAgkCHAILAgwCDQIIAggCCAIIAggCCAIIAggCCAIIAggCCAIIAggCCAIIAggCHAIDAjoCHgAEAAECAgItAgQCBQIGAgcCCAIJAgoCCwIMAg0CCAIIAggCCAIIAggCCAIIAggCCAIIAggCCAIIAggCCAIIAhwCAwJjAh4ABAABAgICQAIEAgUCBgIHAggCCQIcAgsCDAINAggCCAIIAggCCAIIAggCCAIIAggCCAIIAggCCAIIAggCCAIcAgMCQQIeAAQAAQICAkICBAIFAgYCBwIIAgkCHAILAgwCDQIIAggCCAIIAggCCAIIAggCCAIIAggCCAIIAggCCAIIAggCHAIDAkMCHgAEAAECAgJWAgQCBQIGAgcCCAIJAhwCCwIMAg0CCAIIAggCCAIIAggCCAIIAggCCAJ6AAAEAAgCCAIIAggCCAIIAggCHAIDAmcCHgAEAAECAgIzAgQCBQIGAgcCCAIJAhwCCwIMAg0CCAIIAggCCAIIAggCCAIIAggCCAIIAggCCAIIAggCCAIIAhwCAwI0Ah4ABAABAgICKgIEAgUCBgIHAggCCQIKAgsCDAINAggCCAIIAggCCAIIAggCCAIIAggCCAIIAggCCAIIAggCCAIcAgMCZgIeAAQAAQICAn8CBAIFAgYCBwIIAgkCCgILAgwCDQIIAggCCAIIAggCCAIIAggCCAIIAggCCAIIAggCCAIIAggCHAIDAlMCHgAEAAECAgIgAgQCBQIGAgcCCAIJAgoCCwIMAg0CCAIIAggCCAIIAggCCAIIAggCCAIIAggCCAIIAggCCAIIAhwCAwJtAh4ABAABAgICRwIEAgUCBgIHAggCCQIrAgsCDAINAggCCAIIAggCCAIIAggCCAIIAggCCAIIAggCCAIIAggCCAIcAgMCSAIeAAQAAQICAlQCBAIFAgYCBwIIAgkCHAILAgwCDQIIAggCCAIIAggCCAIIAggCCAIIAggCCAIIAggCCAIIAggCHAIDAmQCHgAEAAECAgIbAgQCBQIGAgcCCAIJAgoCCwIMAg0CCAIIAggCCAIIAggCCAIIAggCCAIIAggCCAIIAggCCAIIAhwCAwJuAh4ABAABAgICTgIEAgUCBgIHAggCCQIrAgsCDAINAggCCAIIAggCCAIIAggCCAIIAggCCAIIAggCCAIIAggCCAIcAgMCTwIeAAQAAQICAjUCBAIFAgYCBwIIAgkCCgILAgwCDQIIAggCCAIIAggCCAIIAggCCAIIAggCCAIIAggCCAIIAggCHAIDAlACHgAEAAECAgJMAgQCBQIGAgcCCAIJAhwCCwIMAg0CCAIIAggCCAIIAggCCAIIAggCCAIIAggCCAIIAggCCAIIAhwCAwJiAh4ABAABAgICOQIEAgUCBgIHAggCCQIKAgsCDAINAggCCAIIAggCCAIIAggCCAIIAggCCAIIAggCCAIIAggCCAIcAgMCWAIeAAQAAQICAigCBAIFAgYCBwIIAgkCCgILAgwCDQIIAggCCAIIAggCCAIIAggCCAIIAggCCAIIAggCCAIIAggCHAIDAlcCHgAEAAECAgJKAgQCBQIGAgcCCAIJAhwCCwIMAg0CCAIIAggCCAIIAggCCAIIAggCCAIIAggCCAIIAggCCAIIAhwCAwJdAh4ABAABAgICJAIEAgUCBgIHAggCCQIKAgsCDAINAggCCAIIAggCCAIIAggCCAIIAggCCAIIAggCCAIIAggCCAIcAgMCUwIeAAQAAQICAlYCBAIFAgYCBwIIAgkCKwJ6AAAEAAsCDAINAggCCAIIAggCCAIIAggCCAIIAggCCAIIAggCCAIIAggCCAIcAgMCdwIeAAQAAQICAiICBAIFAgYCBwIIAgkCCgILAgwCDQIIAggCCAIIAggCCAIIAggCCAIIAggCCAIIAggCCAIIAggCHAIDAnkCHgAEAAECAgIDAgQCBQIGAgcCCAIJAisCCwIMAg0CCAIIAggCCAIIAggCCAIIAggCCAIIAggCCAIIAggCCAIIAhwCAwJeAh4ABAABAgICGwIEAgUCBgIHAggCCQIcAgsCDAINAggCCAIIAggCCAIIAggCCAIIAggCCAIIAggCCAIIAggCCAIcAgMCHQIeAAQAAQICAkwCBAIFAgYCBwIIAgkCCgILAgwCDQIIAggCCAIIAggCCAIIAggCCAIIAggCCAIIAggCCAIIAggCHAIDAnACHgAEAAECAgIzAgQCBQIGAgcCCAIJAgoCCwIMAg0CCAIIAggCCAIIAggCCAIIAggCCAIIAggCCAIIAggCCAIIAhwCAwJTAh4ABAABAgICQAIEAgUCBgIHAggCCQIKAgsCDAINAggCCAIIAggCCAIIAggCCAIIAggCCAIIAggCCAIIAggCCAIcAgMCYAIeAAQAAQICAkICBAIFAgYCBwIIAgkCCgILAgwCDQIIAggCCAIIAggCCAIIAggCCAIIAggCCAIIAggCCAIIAggCHAIDAloCHgAEAAECAgIqAgQCBQIGAgcCCAIJAhwCCwIMAg0CCAIIAggCCAIIAggCCAIIAggCCAIIAggCCAIIAggCCAIIAhwCAwJ0Ah4ABAABAgICMQIEAgUCBgIHAggCCQIKAgsCDAINAggCCAIIAggCCAIIAggCCAIIAggCCAIIAggCCAIIAggCCAIcAgMCUQIeAAQAAQICAi0CBAIFAgYCBwIIAgkCHAILAgwCDQIIAggCCAIIAggCCAIIAggCCAIIAggCCAIIAggCCAIIAggCHAIDAnECHgAEAAECAgIkAgQCBQIGAgcCCAIJAhwCCwIMAg0CCAIIAggCCAIIAggCCAIIAggCCAIIAggCCAIIAggCCAIIAhwCAwIlAh4ABAABAgICRwIEAgUCBgIHAggCCQIcAgsCDAINAggCCAIIAggCCAIIAggCCAIIAggCCAIIAggCCAIIAggCCAIcAgMCYQIeAAQAAQICAk4CBAIFAgYCBwIIAgkCHAILAgwCDQIIAggCCAIIAggCCAIIAggCCAIIAggCCAIIAggCCAIIAggCHAIDAlsCHgAEAAECAgIqAgQCBQIGAgcCCAIJAisCCwIMAg0CCAIIAggCCAIIAggCCAIIAggCCAIIAggCCAIIAggCCAIIAhwCAwJ6AAAEACwCHgAEAAECAgI9AgQCBQIGAgcCCAIJAgoCCwIMAg0CCAIIAggCCAIIAggCCAIIAggCCAIIAggCCAIIAggCCAIIAhwCAwI+Ah4ABAABAgICgwIEAgUCBgIHAggCCQIKAgsCDAINAggCCAIIAggCCAIIAggCCAIIAggCCAIIAggCCAIIAggCCAIcAgMCUwIeAAQAAQICAiICBAIFAgYCBwIIAgkCHAILAgwCDQIIAggCCAIIAggCCAIIAggCCAIIAggCCAIIAggCCAIIAggCHAIDAiMCHgAEAAECAgJ/AgQCBQIGAgcCCAIJAisCCwIMAg0CCAIIAggCCAIIAggCCAIIAggCCAIIAggCCAIIAggCCAIIAhwCAwKAAh4ABAABAgICHgIEAgUCBgIHAggCCQIKAgsCDAINAggCCAIIAggCCAIIAggCCAIIAggCCAIIAggCCAIIAggCCAIcAgMCHwIeAAQAAQICAjUCBAIFAgYCBwIIAgkCKwILAgwCDQIIAggCCAIIAggCCAIIAggCCAIIAggCCAIIAggCCAIIAggCHAIDAjYCHgAEAAECAgJKAgQCBQIGAgcCCAIJAisCCwIMAg0CCAIIAggCCAIIAggCCAIIAggCCAIIAggCCAIIAggCCAIIAhwCAwJqAh4ABAABAgICNwIEAgUCBgIHAggCCQIrAgsCDAINAggCCAIIAggCCAIIAggCCAIIAggCCAIIAggCCAIIAggCCAIcAgMCZQIeAAQBAQAJNDA4OTUwMTM2AgICQgIEAgUCBgIHAggCCQIcAgsCDAINAggCCAIIAggCCAIIAggCCAIIAggCCAIIAggCCAIIAggCCAIeAgMCQwIeAAQBAQICAkoCBAIFAgYCBwIIAgkCKwILAgwCDQIIAggCCAIIAggCCAIIAggCCAIIAggCCAIIAggCCAIIAggCHgIDAmoCHgAEAQECAgIkAgQCBQIGAgcCCAIJAgoCCwIMAg0CCAIIAggCCAIIAggCCAIIAggCCAIIAggCCAIIAggCCAIIAh4CAwJTAh4ABAEBAgICGwIEAgUCBgIHAggCCQIKAgsCDAINAggCCAIIAggCCAIIAggCCAIIAggCCAIIAggCCAIIAggCCAIeAgMCbgIeAAQBAQICAiICBAIFAgYCBwIIAgkCCgILAgwCDQIIAggCCAIIAggCCAIIAggCCAIIAggCCAIIAggCCAIIAggCHgIDAnkCHgAEAQECAgJOAgQCBQIGAgcCCAIJAisCCwIMAg0CCAIIAggCCAIIAggCCAIIAggCCAIIAggCCAIIAggCCAIIAh4CAwJPAh4ABAEBAgICKAIEAgUCBgIHAggCCQIKAgsCDAINAgh6AAAEAAIIAggCCAIIAggCCAIIAggCCAIIAggCCAIIAggCCAIIAh4CAwJXAh4ABAEBAgICVgIEAgUCBgIHAggCCQIrAgsCDAINAggCCAIIAggCCAIIAggCCAIIAggCCAIIAggCCAIIAggCCAIeAgMCdwIeAAQBAQICAlQCBAIFAgYCBwIIAgkCHAILAgwCDQIIAggCCAIIAggCCAIIAggCCAIIAggCCAIIAggCCAIIAggCHgIDAmQCHgAEAQECAgJMAgQCBQIGAgcCCAIJAhwCCwIMAg0CCAIIAggCCAIIAggCCAIIAggCCAIIAggCCAIIAggCCAIIAh4CAwJiAh4ABAEBAgICKgIEAgUCBgIHAggCCQIcAgsCDAINAggCCAIIAggCCAIIAggCCAIIAggCCAIIAggCCAIIAggCCAIeAgMCdAIeAAQBAQICAjMCBAIFAgYCBwIIAgkCCgILAgwCDQIIAggCCAIIAggCCAIIAggCCAIIAggCCAIIAggCCAIIAggCHgIDAlMCHgAEAQECAgI5AgQCBQIGAgcCCAIJAgoCCwIMAg0CCAIIAggCCAIIAggCCAIIAggCCAIIAggCCAIIAggCCAIIAh4CAwJYAh4ABAEBAgICMQIEAgUCBgIHAggCCQIKAgsCDAINAggCCAIIAggCCAIIAggCCAIIAggCCAIIAggCCAIIAggCCAIeAgMCUQIeAAQBAQICAi8CBAIFAgYCBwIIAgkCCgILAgwCDQIIAggCCAIIAggCCAIIAggCCAIIAggCCAIIAggCCAIIAggCHgIDAjACHgAEAQECAgImAgQCBQIGAgcCCAIJAgoCCwIMAg0CCAIIAggCCAIIAggCCAIIAggCCAIIAggCCAIIAggCCAIIAh4CAwInAh4ABAEBAgICNQIEAgUCBgIHAggCCQIcAgsCDAINAggCCAIIAggCCAIIAggCCAIIAggCCAIIAggCCAIIAggCCAIeAgMCcwIeAAQBAQICAkACBAIFAgYCBwIIAgkCKwILAgwCDQIIAggCCAIIAggCCAIIAggCCAIIAggCCAIIAggCCAIIAggCHgIDAnYCHgAEAQECAgJKAgQCBQIGAgcCCAIJAhwCCwIMAg0CCAIIAggCCAIIAggCCAIIAggCCAIIAggCCAIIAggCCAIIAh4CAwJdAh4ABAEBAgICGwIEAgUCBgIHAggCCQIcAgsCDAINAggCCAIIAggCCAIIAggCCAIIAggCCAIIAggCCAIIAggCCAIeAgMCHQIeAAQBAQICAkICBAIFAgYCBwIIAgkCCgILAgwCDQIIAggCCAIIAggCCAIIAggCCAIIAggCCAIIAggCCAIIAggCHgIDAloCHgAEAQF6AAAEAAICAk4CBAIFAgYCBwIIAgkCHAILAgwCDQIIAggCCAIIAggCCAIIAggCCAIIAggCCAIIAggCCAIIAggCHgIDAlsCHgAEAQECAgI9AgQCBQIGAgcCCAIJAgoCCwIMAg0CCAIIAggCCAIIAggCCAIIAggCCAIIAggCCAIIAggCCAIIAh4CAwI+Ah4ABAEBAgICAwIEAgUCBgIHAggCCQIrAgsCDAINAggCCAIIAggCCAIIAggCCAIIAggCCAIIAggCCAIIAggCCAIeAgMCXgIeAAQBAQICAkACBAIFAgYCBwIIAgkCCgILAgwCDQIIAggCCAIIAggCCAIIAggCCAIIAggCCAIIAggCCAIIAggCHgIDAmACHgAEAQECAgJHAgQCBQIGAgcCCAIJAhwCCwIMAg0CCAIIAggCCAIIAggCCAIIAggCCAIIAggCCAIIAggCCAIIAh4CAwJhAh4ABAEBAgICQgIEAgUCBgIHAggCCQIrAgsCDAINAggCCAIIAggCCAIIAggCCAIIAggCCAIIAggCCAIIAggCCAIeAgMCewIeAAQBAQICAh4CBAIFAgYCBwIIAgkCCgILAgwCDQIIAggCCAIIAggCCAIIAggCCAIIAggCCAIIAggCCAIIAggCHgIDAh8CHgAEAQECAgIqAgQCBQIGAgcCCAIJAisCCwIMAg0CCAIIAggCCAIIAggCCAIIAggCCAIIAggCCAIIAggCCAIIAh4CAwIsAh4ABAEBAgICJAIEAgUCBgIHAggCCQIcAgsCDAINAggCCAIIAggCCAIIAggCCAIIAggCCAIIAggCCAIIAggCCAIeAgMCJQIeAAQBAQICAiICBAIFAgYCBwIIAgkCHAILAgwCDQIIAggCCAIIAggCCAIIAggCCAIIAggCCAIIAggCCAIIAggCHgIDAiMCHgAEAQECAgI1AgQCBQIGAgcCCAIJAisCCwIMAg0CCAIIAggCCAIIAggCCAIIAggCCAIIAggCCAIIAggCCAIIAh4CAwI2Ah4ABAEBAgICLQIEAgUCBgIHAggCCQIcAgsCDAINAggCCAIIAggCCAIIAggCCAIIAggCCAIIAggCCAIIAggCCAIeAgMCcQIeAAQBAQICAn8CBAIFAgYCBwIIAgkCKwILAgwCDQIIAggCCAIIAggCCAIIAggCCAIIAggCCAIIAggCCAIIAggCHgIDAoACHgAEAQECAgI3AgQCBQIGAgcCCAIJAisCCwIMAg0CCAIIAggCCAIIAggCCAIIAggCCAIIAggCCAIIAggCCAIIAh4CAwJlAh4ABAEBAgICJgIEAgUCBgIHAggCCQIcAgsCDAINAggCCAIIAggCCAIIAggCCAIIAgh6AAAEAAIIAggCCAIIAggCCAIIAh4CAwI7Ah4ABAEBAgICIAIEAgUCBgIHAggCCQIKAgsCDAINAggCCAIIAggCCAIIAggCCAIIAggCCAIIAggCCAIIAggCCAIeAgMCbQIeAAQBAQICAi8CBAIFAgYCBwIIAgkCHAILAgwCDQIIAggCCAIIAggCCAIIAggCCAIIAggCCAIIAggCCAIIAggCHgIDAmwCHgAEAQECAgIDAgQCBQIGAgcCCAIJAhwCCwIMAg0CCAIIAggCCAIIAggCCAIIAggCCAIIAggCCAIIAggCCAIIAh4CAwJpAh4ABAEBAgICTgIEAgUCBgIHAggCCQIKAgsCDAINAggCCAIIAggCCAIIAggCCAIIAggCCAIIAggCCAIIAggCCAIeAgMCaAIeAAQBAQICAiICBAIFAgYCBwIIAgkCKwILAgwCDQIIAggCCAIIAggCCAIIAggCCAIIAggCCAIIAggCCAIIAggCHgIDAkQCHgAEAQECAgIkAgQCBQIGAgcCCAIJAisCCwIMAg0CCAIIAggCCAIIAggCCAIIAggCCAIIAggCCAIIAggCCAIIAh4CAwJJAh4ABAEBAgICSgIEAgUCBgIHAggCCQIKAgsCDAINAggCCAIIAggCCAIIAggCCAIIAggCCAIIAggCCAIIAggCCAIeAgMCSwIeAAQBAQICAigCBAIFAgYCBwIIAgkCKwILAgwCDQIIAggCCAIIAggCCAIIAggCCAIIAggCCAIIAggCCAIIAggCHgIDAm8CHgAEAQECAgIeAgQCBQIGAgcCCAIJAhwCCwIMAg0CCAIIAggCCAIIAggCCAIIAggCCAIIAggCCAIIAggCCAIIAh4CAwJGAh4ABAEBAgICPQIEAgUCBgIHAggCCQIcAgsCDAINAggCCAIIAggCCAIIAggCCAIIAggCCAIIAggCCAIIAggCCAIeAgMCRQIeAAQBAQICAjkCBAIFAgYCBwIIAgkCKwILAgwCDQIIAggCCAIIAggCCAIIAggCCAIIAggCCAIIAggCCAIIAggCHgIDAmsCHgAEAQECAgJHAgQCBQIGAgcCCAIJAgoCCwIMAg0CCAIIAggCCAIIAggCCAIIAggCCAIIAggCCAIIAggCCAIIAh4CAwJTAh4ABAEBAgICVgIEAgUCBgIHAggCCQIKAgsCDAINAggCCAIIAggCCAIIAggCCAIIAggCCAIIAggCCAIIAggCCAIeAgMCUwIeAAQBAQICAkwCBAIFAgYCBwIIAgkCCgILAgwCDQIIAggCCAIIAggCCAIIAggCCAIIAggCCAIIAggCCAIIAggCHgIDAnACHgAEAQECAgIvAgQCBQIGAgcCCAIJAit6AAAEAAILAgwCDQIIAggCCAIIAggCCAIIAggCCAIIAggCCAIIAggCCAIIAggCHgIDAlICHgAEAQECAgIzAgQCBQIGAgcCCAIJAisCCwIMAg0CCAIIAggCCAIIAggCCAIIAggCCAIIAggCCAIIAggCCAIIAh4CAwJ4Ah4ABAEBAgICLQIEAgUCBgIHAggCCQIrAgsCDAINAggCCAIIAggCCAIIAggCCAIIAggCCAIIAggCCAIIAggCCAIeAgMCLgIeAAQBAQICAiYCBAIFAgYCBwIIAgkCKwILAgwCDQIIAggCCAIIAggCCAIIAggCCAIIAggCCAIIAggCCAIIAggCHgIDAlkCHgAEAQECAgJ/AgQCBQIGAgcCCAIJAhwCCwIMAg0CCAIIAggCCAIIAggCCAIIAggCCAIIAggCCAIIAggCCAIIAh4CAwLkAh4ABAEBAgICVAIEAgUCBgIHAggCCQIKAgsCDAINAggCCAIIAggCCAIIAggCCAIIAggCCAIIAggCCAIIAggCCAIeAgMCegIeAAQBAQICAjcCBAIFAgYCBwIIAgkCHAILAgwCDQIIAggCCAIIAggCCAIIAggCCAIIAggCCAIIAggCCAIIAggCHgIDAnICHgAEAQECAgIxAgQCBQIGAgcCCAIJAisCCwIMAg0CCAIIAggCCAIIAggCCAIIAggCCAIIAggCCAIIAggCCAIIAh4CAwJ1Ah4ABAEBAgICIAIEAgUCBgIHAggCCQIcAgsCDAINAggCCAIIAggCCAIIAggCCAIIAggCCAIIAggCCAIIAggCCAIeAgMCIQIeAAQBAQICAj0CBAIFAgYCBwIIAgkCKwILAgwCDQIIAggCCAIIAggCCAIIAggCCAIIAggCCAIIAggCCAIIAggCHgIDAlwCHgAEAQECAgIDAgQCBQIGAgcCCAIJAgoCCwIMAg0CCAIIAggCCAIIAggCCAIIAggCCAIIAggCCAIIAggCCAIIAh4CAwIOAh4ABAEBAgICHgIEAgUCBgIHAggCCQIrAgsCDAINAggCCAIIAggCCAIIAggCCAIIAggCCAIIAggCCAIIAggCCAIeAgMCXwIeAAQBAQICAjkCBAIFAgYCBwIIAgkCHAILAgwCDQIIAggCCAIIAggCCAIIAggCCAIIAggCCAIIAggCCAIIAggCHgIDAjoCHgAEAQECAgIoAgQCBQIGAgcCCAIJAhwCCwIMAg0CCAIIAggCCAIIAggCCAIIAggCCAIIAggCCAIIAggCCAIIAh4CAwIpAh4ABAEBAgICLQIEAgUCBgIHAggCCQIKAgsCDAINAggCCAIIAggCCAIIAggCCAIIAggCCAIIAggCCAIIAggCCAIeAgN6AAAEAAJjAh4ABAEBAgICMwIEAgUCBgIHAggCCQIcAgsCDAINAggCCAIIAggCCAIIAggCCAIIAggCCAIIAggCCAIIAggCCAIeAgMCNAIeAAQBAQICAlQCBAIFAgYCBwIIAgkCKwILAgwCDQIIAggCCAIIAggCCAIIAggCCAIIAggCCAIIAggCCAIIAggCHgIDAlUCHgAEAQECAgIqAgQCBQIGAgcCCAIJAgoCCwIMAg0CCAIIAggCCAIIAggCCAIIAggCCAIIAggCCAIIAggCCAIIAh4CAwJmAh4ABAEBAgICTAIEAgUCBgIHAggCCQIrAgsCDAINAggCCAIIAggCCAIIAggCCAIIAggCCAIIAggCCAIIAggCCAIeAgMCTQIeAAQBAQICAjUCBAIFAgYCBwIIAgkCCgILAgwCDQIIAggCCAIIAggCCAIIAggCCAIIAggCCAIIAggCCAIIAggCHgIDAlACHgAEAQECAgIgAgQCBQIGAgcCCAIJAisCCwIMAg0CCAIIAggCCAIIAggCCAIIAggCCAIIAggCCAIIAggCCAIIAh4CAwI/Ah4ABAEBAgICVgIEAgUCBgIHAggCCQIcAgsCDAINAggCCAIIAggCCAIIAggCCAIIAggCCAIIAggCCAIIAggCCAIeAgMCZwIeAAQBAQICAhsCBAIFAgYCBwIIAgkCKwILAgwCDQIIAggCCAIIAggCCAIIAggCCAIIAggCCAIIAggCCAIIAggCHgIDAjwCHgAEAQECAgJ/AgQCBQIGAgcCCAIJAgoCCwIMAg0CCAIIAggCCAIIAggCCAIIAggCCAIIAggCCAIIAggCCAIIAh4CAwJTAh4ABAEBAgICNwIEAgUCBgIHAggCCQIKAgsCDAINAggCCAIIAggCCAIIAggCCAIIAggCCAIIAggCCAIIAggCCAIeAgMCOAIeAAQBAQICAkcCBAIFAgYCBwIIAgkCKwILAgwCDQIIAggCCAIIAggCCAIIAggCCAIIAggCCAIIAggCCAIIAggCHgIDAkgCHgAEAQECAgIxAgQCBQIGAgcCCAIJAhwCCwIMAg0CCAIIAggCCAIIAggCCAIIAggCCAIIAggCCAIIAggCCAIIAh4CAwIyAh4ABAEBAgICQAIEAgUCBgIHAggCCQIcAgsCDAINAggCCAIIAggCCAIIAggCCAIIAggCCAIIAggCCAIIAggCCAIeAgMCQQIeAAQCAQAJNTM4ODA5MzM2AgICJgIEAgUCBgIHAggCCQIrAgsChwINAggCCAIIAggCCAIIAggCCAIIAggCCAIIAggCCAIIAggCCAIFAgMCrAIeAAQCAQICAjcCBAIFAgYCBwIIAgkCKwILAocCDQJ6AAAEAAgCCAIIAggCCAIIAggCCAIIAggCCAIIAggCCAIIAggCCAIFAgMC0wIeAAQCAQICAkwCBAIFAgYCBwIIAgkCKwILAocCDQIIAggCCAIIAggCCAIIAggCCAIIAggCCAIIAggCCAIIAggCBQIDAq0CHgAEAgECAgIzAgQCBQIGAgcCCAIJAisCCwKHAg0CCAIIAggCCAIIAggCCAIIAggCCAIIAggCCAIIAggCCAIIAgUCAwKbAh4ABAIBAgICAwIEAgUCBgIHAggCCQIrAgsChwINAggCCAIIAggCCAIIAggCCAIIAggCCAIIAggCCAIIAggCCAIFAgMCswIeAAQCAQICAi0CBAIFAgYCBwIIAgkCKwILAocCDQIIAggCCAIIAggCCAIIAggCCAIIAggCCAIIAggCCAIIAggCBQIDAokCHgAEAgECAgIoAgQCBQIGAgcCCAIJAisCCwKHAg0CCAIIAggCCAIIAggCCAIIAggCCAIIAggCCAIIAggCCAIIAgUCAwKUAh4ABAIBAgICRwIEAgUCBgIHAggCCQIrAgsChwINAggCCAIIAggCCAIIAggCCAIIAggCCAIIAggCCAIIAggCCAIFAgMCqQIeAAQCAQICAoMCBAIFAgYCBwIIAgkCKwILAocCDQIIAggCCAIIAggCCAIIAggCCAIIAggCCAIIAggCCAIIAggCBQIDAswCHgAEAgECAgKBAgQCBQIGAgcCCAIJAisCCwKHAg0CCAIIAggCCAIIAggCCAIIAggCCAIIAggCCAIIAggCCAIIAgUCAwLDAh4ABAIBAgICJAIEAgUCBgIHAggCCQIrAgsChwINAggCCAIIAggCCAIIAggCCAIIAggCCAIIAggCCAIIAggCCAIFAgMCwAIeAAQCAQICAh4CBAIFAgYCBwIIAgkCKwILAocCDQIIAggCCAIIAggCCAIIAggCCAIIAggCCAIIAggCCAIIAggCBQIDAqICHgAEAgECAgJOAgQCBQIGAgcCCAIJAisCCwKHAg0CCAIIAggCCAIIAggCCAIIAggCCAIIAggCCAIIAggCCAIIAgUCAwLYAh4ABAIBAgICQgIEAgUCBgIHAggCCQIrAgsChwINAggCCAIIAggCCAIIAggCCAIIAggCCAIIAggCCAIIAggCCAIFAgMCzgIeAAQCAQICAiACBAIFAgYCBwIIAgkCKwILAocCDQIIAggCCAIIAggCCAIIAggCCAIIAggCCAIIAggCCAIIAggCBQIDAsICHgAEAgECAgJWAgQCBQIGAgcCCAIJAisCCwKHAg0CCAIIAggCCAIIAggCCAIIAggCCAIIAggCCAIIAggCCAIIAgUCAwLIAh4ABAJ6AAAEAAECAgJ/AgQCBQIGAgcCCAIJAisCCwKHAg0CCAIIAggCCAIIAggCCAIIAggCCAIIAggCCAIIAggCCAIIAgUCAwKlAh4ABAIBAgICfQIEAgUCBgIHAggCCQIrAgsChwINAggCCAIIAggCCAIIAggCCAIIAggCCAIIAggCCAIIAggCCAIFAgMC3AIeAAQDAQAJNTI2MDU4MjE2AgICQgIEAgUCBgIHAggCCQIKAgsCDAINAggCCAIIAggCCAIIAggCCAIIAggCCAIIAggCCAIIAggCCAISAgMCWgIeAAQDAQICAoMCBAIFAgYCBwIIAgkCKwILAgwCDQIIAggCCAIIAggCCAIIAggCCAIIAggCCAIIAggCCAIIAggCEgIDAoQCHgAEAwECAgIDAgQCBQIGAgcCCAIJAisCCwIMAg0CCAIIAggCCAIIAggCCAIIAggCCAIIAggCCAIIAggCCAIIAhICAwJeAh4ABAMBAgICRwIEAgUCBgIHAggCCQIcAgsCDAINAggCCAIIAggCCAIIAggCCAIIAggCCAIIAggCCAIIAggCCAISAgMCYQIeAAQDAQICArYCBAIFAgYCBwIIAgkCKwILAgwCDQIIAggCCAIIAggCCAIIAggCCAIIAggCCAIIAggCCAIIAggCEgIDAvECHgAEAwECAgI9AgQCBQIGAgcCCAIJAisCCwIMAg0CCAIIAggCCAIIAggCCAIIAggCCAIIAggCCAIIAggCCAIIAhICAwJcAh4ABAMBAgICgwIEAgUCBgIHAggCCQIcAgsCDAINAggCCAIIAggCCAIIAggCCAIIAggCCAIIAggCCAIIAggCCAISAgMC5gIeAAQDAQICAjcCBAIFAgYCBwIIAgkCKwILAgwCDQIIAggCCAIIAggCCAIIAggCCAIIAggCCAIIAggCCAIIAggCEgIDAmUCHgAEAwECAgIqAgQCBQIGAgcCCAIJAgoCCwIMAg0CCAIIAggCCAIIAggCCAIIAggCCAIIAggCCAIIAggCCAIIAhICAwJmAh4ABAMBAgICgQIEAgUCBgIHAggCCQIrAgsCDAINAggCCAIIAggCCAIIAggCCAIIAggCCAIIAggCCAIIAggCCAISAgMCggIeAAQDAQICAiQCBAIFAgYCBwIIAgkCKwILAgwCDQIIAggCCAIIAggCCAIIAggCCAIIAggCCAIIAggCCAIIAggCEgIDAkkCHgAEAwECAgJKAgQCBQIGAgcCCAIJAisCCwIMAg0CCAIIAggCCAIIAggCCAIIAggCCAIIAggCCAIIAggCCAIIAhICAwJqAh4ABAMBAgICRwIEAgUCBgIHAggCCQIrAgsCDAINAggCCAIIAgh6AAAEAAIIAggCCAIIAggCCAIIAggCCAIIAggCCAIIAhICAwJIAh4ABAMBAgICNQIEAgUCBgIHAggCCQIKAgsCDAINAggCCAIIAggCCAIIAggCCAIIAggCCAIIAggCCAIIAggCCAISAgMCUAIeAAQDAQICAkwCBAIFAgYCBwIIAgkCHAILAgwCDQIIAggCCAIIAggCCAIIAggCCAIIAggCCAIIAggCCAIIAggCEgIDAmICHgAEAwECAgKBAgQCBQIGAgcCCAIJAgoCCwIMAg0CCAIIAggCCAIIAggCCAIIAggCCAIIAggCCAIIAggCCAIIAhICAwJTAh4ABAMBAgICPQIEAgUCBgIHAggCCQIcAgsCDAINAggCCAIIAggCCAIIAggCCAIIAggCCAIIAggCCAIIAggCCAISAgMCRQIeAAQDAQICArYCBAIFAgYCBwIIAgkCHAILAgwCDQIIAggCCAIIAggCCAIIAggCCAIIAggCCAIIAggCCAIIAggCEgIDAu4CHgAEAwECAgIxAgQCBQIGAgcCCAIJAgoCCwIMAg0CCAIIAggCCAIIAggCCAIIAggCCAIIAggCCAIIAggCCAIIAhICAwJRAh4ABAMBAgICOQIEAgUCBgIHAggCCQIKAgsCDAINAggCCAIIAggCCAIIAggCCAIIAggCCAIIAggCCAIIAggCCAISAgMCWAIeAAQDAQICAiYCBAIFAgYCBwIIAgkCKwILAgwCDQIIAggCCAIIAggCCAIIAggCCAIIAggCCAIIAggCCAIIAggCEgIDAlkCHgAEAwECAgKdAgQCBQIGAgcCCAIJAisCCwIMAg0CCAIIAggCCAIIAggCCAIIAggCCAIIAggCCAIIAggCCAIIAhICAwLzAh4ABAMBAgICVgIEAgUCBgIHAggCCQIKAgsCDAINAggCCAIIAggCCAIIAggCCAIIAggCCAIIAggCCAIIAggCCAISAgMCUwIeAAQDAQICAiACBAIFAgYCBwIIAgkCHAILAgwCDQIIAggCCAIIAggCCAIIAggCCAIIAggCCAIIAggCCAIIAggCEgIDAiECHgAEAwECAgIbAgQCBQIGAgcCCAIJAhwCCwIMAg0CCAIIAggCCAIIAggCCAIIAggCCAIIAggCCAIIAggCCAIIAhICAwIdAh4ABAMBAgICQAIEAgUCBgIHAggCCQIrAgsCDAINAggCCAIIAggCCAIIAggCCAIIAggCCAIIAggCCAIIAggCCAISAgMCdgIeAAQDAQICAqACBAIFAgYCBwIIAgkCKwILAgwCDQIIAggCCAIIAggCCAIIAggCCAIIAggCCAIIAggCCAIIAggCEgIDAvECHgAEAwECAgIvAgR6AAAEAAIFAgYCBwIIAgkCCgILAgwCDQIIAggCCAIIAggCCAIIAggCCAIIAggCCAIIAggCCAIIAggCEgIDAjACHgAEAwECAgKDAgQCBQIGAgcCCAIJAgoCCwIMAg0CCAIIAggCCAIIAggCCAIIAggCCAIIAggCCAIIAggCCAIIAhICAwJTAh4ABAMBAgICIgIEAgUCBgIHAggCCQIcAgsCDAINAggCCAIIAggCCAIIAggCCAIIAggCCAIIAggCCAIIAggCCAISAgMCIwIeAAQDAQICAioCBAIFAgYCBwIIAgkCKwILAgwCDQIIAggCCAIIAggCCAIIAggCCAIIAggCCAIIAggCCAIIAggCEgIDAiwCHgAEAwECAgIqAgQCBQIGAgcCCAIJAhwCCwIMAg0CCAIIAggCCAIIAggCCAIIAggCCAIIAggCCAIIAggCCAIIAhICAwJ0Ah4ABAMBAgICkAIEAgUCBgIHAggCCQIKAgsCDAINAggCCAIIAggCCAIIAggCCAIIAggCCAIIAggCCAIIAggCCAISAgMCUwIeAAQDAQICAlQCBAIFAgYCBwIIAgkCKwILAgwCDQIIAggCCAIIAggCCAIIAggCCAIIAggCCAIIAggCCAIIAggCEgIDAlUCHgAEAwECAgKdAgQCBQIGAgcCCAIJAhwCCwIMAg0CCAIIAggCCAIIAggCCAIIAggCCAIIAggCCAIIAggCCAIIAhICAwLyAh4ABAMBAgICPQIEAgUCBgIHAggCCQIKAgsCDAINAggCCAIIAggCCAIIAggCCAIIAggCCAIIAggCCAIIAggCCAISAgMCPgIeAAQDAQICAjcCBAIFAgYCBwIIAgkCCgILAgwCDQIIAggCCAIIAggCCAIIAggCCAIIAggCCAIIAggCCAIIAggCEgIDAjgCHgAEAwECAgImAgQCBQIGAgcCCAIJAhwCCwIMAg0CCAIIAggCCAIIAggCCAIIAggCCAIIAggCCAIIAggCCAIIAhICAwI7Ah4ABAMBAgICQAIEAgUCBgIHAggCCQIcAgsCDAINAggCCAIIAggCCAIIAggCCAIIAggCCAIIAggCCAIIAggCCAISAgMCQQIeAAQDAQICAjUCBAIFAgYCBwIIAgkCKwILAgwCDQIIAggCCAIIAggCCAIIAggCCAIIAggCCAIIAggCCAIIAggCEgIDAjYCHgAEAwECAgIzAgQCBQIGAgcCCAIJAhwCCwIMAg0CCAIIAggCCAIIAggCCAIIAggCCAIIAggCCAIIAggCCAIIAhICAwI0Ah4ABAMBAgICtgIEAgUCBgIHAggCCQIKAgsCDAINAggCCAIIAggCCAIIAggCCAIIAggCCAIIAgh6AAAEAAIIAggCCAIIAhICAwJTAh4ABAMBAgICIAIEAgUCBgIHAggCCQIKAgsCDAINAggCCAIIAggCCAIIAggCCAIIAggCCAIIAggCCAIIAggCCAISAgMCbQIeAAQDAQICAqACBAIFAgYCBwIIAgkCHAILAgwCDQIIAggCCAIIAggCCAIIAggCCAIIAggCCAIIAggCCAIIAggCEgIDAu4CHgAEAwECAgIgAgQCBQIGAgcCCAIJAisCCwIMAg0CCAIIAggCCAIIAggCCAIIAggCCAIIAggCCAIIAggCCAIIAhICAwI/Ah4ABAMBAgICKAIEAgUCBgIHAggCCQIrAgsCDAINAggCCAIIAggCCAIIAggCCAIIAggCCAIIAggCCAIIAggCCAISAgMCbwIeAAQDAQICAiQCBAIFAgYCBwIIAgkCCgILAgwCDQIIAggCCAIIAggCCAIIAggCCAIIAggCCAIIAggCCAIIAggCEgIDAlMCHgAEAwECAgJOAgQCBQIGAgcCCAIJAgoCCwIMAg0CCAIIAggCCAIIAggCCAIIAggCCAIIAggCCAIIAggCCAIIAhICAwJoAh4ABAMBAgICAwIEAgUCBgIHAggCCQIcAgsCDAINAggCCAIIAggCCAIIAggCCAIIAggCCAIIAggCCAIIAggCCAISAgMCaQIeAAQDAQICAigCBAIFAgYCBwIIAgkCHAILAgwCDQIIAggCCAIIAggCCAIIAggCCAIIAggCCAIIAggCCAIIAggCEgIDAikCHgAEAwECAgIzAgQCBQIGAgcCCAIJAisCCwIMAg0CCAIIAggCCAIIAggCCAIIAggCCAIIAggCCAIIAggCCAIIAhICAwJ4Ah4ABAMBAgICVAIEAgUCBgIHAggCCQIKAgsCDAINAggCCAIIAggCCAIIAggCCAIIAggCCAIIAggCCAIIAggCCAISAgMCegIeAAQDAQICAn8CBAIFAgYCBwIIAgkCHAILAgwCDQIIAggCCAIIAggCCAIIAggCCAIIAggCCAIIAggCCAIIAggCEgIDAuQCHgAEAwECAgI1AgQCBQIGAgcCCAIJAhwCCwIMAg0CCAIIAggCCAIIAggCCAIIAggCCAIIAggCCAIIAggCCAIIAhICAwJzAh4ABAMBAgICfQIEAgUCBgIHAggCCQIKAgsCDAINAggCCAIIAggCCAIIAggCCAIIAggCCAIIAggCCAIIAggCCAISAgMCUwIeAAQDAQICApACBAIFAgYCBwIIAgkCKwILAgwCDQIIAggCCAIIAggCCAIIAggCCAIIAggCCAIIAggCCAIIAggCEgIDAvECHgAEAwECAgIeAgQCBQIGAgcCCAIJAisCCwIMAg16AAAEAAIIAggCCAIIAggCCAIIAggCCAIIAggCCAIIAggCCAIIAggCEgIDAl8CHgAEAwECAgJAAgQCBQIGAgcCCAIJAgoCCwIMAg0CCAIIAggCCAIIAggCCAIIAggCCAIIAggCCAIIAggCCAIIAhICAwJgAh4ABAMBAgICTgIEAgUCBgIHAggCCQIcAgsCDAINAggCCAIIAggCCAIIAggCCAIIAggCCAIIAggCCAIIAggCCAISAgMCWwIeAAQDAQICAkwCBAIFAgYCBwIIAgkCCgILAgwCDQIIAggCCAIIAggCCAIIAggCCAIIAggCCAIIAggCCAIIAggCEgIDAnACHgAEAwECAgJ9AgQCBQIGAgcCCAIJAisCCwIMAg0CCAIIAggCCAIIAggCCAIIAggCCAIIAggCCAIIAggCCAIIAhICAwJ+Ah4ABAMBAgICfwIEAgUCBgIHAggCCQIrAgsCDAINAggCCAIIAggCCAIIAggCCAIIAggCCAIIAggCCAIIAggCCAISAgMCgAIeAAQDAQICAi0CBAIFAgYCBwIIAgkCCgILAgwCDQIIAggCCAIIAggCCAIIAggCCAIIAggCCAIIAggCCAIIAggCEgIDAmMCHgAEAwECAgJWAgQCBQIGAgcCCAIJAhwCCwIMAg0CCAIIAggCCAIIAggCCAIIAggCCAIIAggCCAIIAggCCAIIAhICAwJnAh4ABAMBAgICigIEAgUCBgIHAggCCQIKAgsCDAINAggCCAIIAggCCAIIAggCCAIIAggCCAIIAggCCAIIAggCCAISAgMCUwIeAAQDAQICAiICBAIFAgYCBwIIAgkCKwILAgwCDQIIAggCCAIIAggCCAIIAggCCAIIAggCCAIIAggCCAIIAggCEgIDAkQCHgAEAwECAgJ9AgQCBQIGAgcCCAIJAhwCCwIMAg0CCAIIAggCCAIIAggCCAIIAggCCAIIAggCCAIIAggCCAIIAhICAwLlAh4ABAMBAgICSgIEAgUCBgIHAggCCQIKAgsCDAINAggCCAIIAggCCAIIAggCCAIIAggCCAIIAggCCAIIAggCCAISAgMCSwIeAAQDAQICAk4CBAIFAgYCBwIIAgkCKwILAgwCDQIIAggCCAIIAggCCAIIAggCCAIIAggCCAIIAggCCAIIAggCEgIDAk8CHgAEAwECAgJUAgQCBQIGAgcCCAIJAhwCCwIMAg0CCAIIAggCCAIIAggCCAIIAggCCAIIAggCCAIIAggCCAIIAhICAwJkAh4ABAMBAgICHgIEAgUCBgIHAggCCQIcAgsCDAINAggCCAIIAggCCAIIAggCCAIIAggCCAIIAggCCAIIAggCCAISAgMCRgIeAAR6AAAEAAMBAgICKAIEAgUCBgIHAggCCQIKAgsCDAINAggCCAIIAggCCAIIAggCCAIIAggCCAIIAggCCAIIAggCCAISAgMCVwIeAAQDAQICAi0CBAIFAgYCBwIIAgkCKwILAgwCDQIIAggCCAIIAggCCAIIAggCCAIIAggCCAIIAggCCAIIAggCEgIDAi4CHgAEAwECAgIzAgQCBQIGAgcCCAIJAgoCCwIMAg0CCAIIAggCCAIIAggCCAIIAggCCAIIAggCCAIIAggCCAIIAhICAwJTAh4ABAMBAgICLwIEAgUCBgIHAggCCQIrAgsCDAINAggCCAIIAggCCAIIAggCCAIIAggCCAIIAggCCAIIAggCCAISAgMCUgIeAAQDAQICAqACBAIFAgYCBwIIAgkCCgILAgwCDQIIAggCCAIIAggCCAIIAggCCAIIAggCCAIIAggCCAIIAggCEgIDAlMCHgAEAwECAgKKAgQCBQIGAgcCCAIJAhwCCwIMAg0CCAIIAggCCAIIAggCCAIIAggCCAIIAggCCAIIAggCCAIIAhICAwLwAh4ABAMBAgICAwIEAgUCBgIHAggCCQIKAgsCDAINAggCCAIIAggCCAIIAggCCAIIAggCCAIIAggCCAIIAggCCAISAgMCDgIeAAQDAQICAkICBAIFAgYCBwIIAgkCKwILAgwCDQIIAggCCAIIAggCCAIIAggCCAIIAggCCAIIAggCCAIIAggCEgIDAnsCHgAEAwECAgIkAgQCBQIGAgcCCAIJAhwCCwIMAg0CCAIIAggCCAIIAggCCAIIAggCCAIIAggCCAIIAggCCAIIAhICAwIlAh4ABAMBAgICHgIEAgUCBgIHAggCCQIKAgsCDAINAggCCAIIAggCCAIIAggCCAIIAggCCAIIAggCCAIIAggCCAISAgMCHwIeAAQDAQICAkwCBAIFAgYCBwIIAgkCKwILAgwCDQIIAggCCAIIAggCCAIIAggCCAIIAggCCAIIAggCCAIIAggCEgIDAk0CHgAEAwECAgI5AgQCBQIGAgcCCAIJAhwCCwIMAg0CCAIIAggCCAIIAggCCAIIAggCCAIIAggCCAIIAggCCAIIAhICAwI6Ah4ABAMBAgICLQIEAgUCBgIHAggCCQIcAgsCDAINAggCCAIIAggCCAIIAggCCAIIAggCCAIIAggCCAIIAggCCAISAgMCcQIeAAQDAQICAhsCBAIFAgYCBwIIAgkCKwILAgwCDQIIAggCCAIIAggCCAIIAggCCAIIAggCCAIIAggCCAIIAggCEgIDAjwCHgAEAwECAgJCAgQCBQIGAgcCCAIJAhwCCwIMAg0CCAIIAggCCAIIAggCCAIIAgh6AAAEAAIIAggCCAIIAggCCAIIAggCEgIDAkMCHgAEAwECAgIxAgQCBQIGAgcCCAIJAhwCCwIMAg0CCAIIAggCCAIIAggCCAIIAggCCAIIAggCCAIIAggCCAIIAhICAwIyAh4ABAMBAgICLwIEAgUCBgIHAggCCQIcAgsCDAINAggCCAIIAggCCAIIAggCCAIIAggCCAIIAggCCAIIAggCCAISAgMCbAIeAAQDAQICAn8CBAIFAgYCBwIIAgkCCgILAgwCDQIIAggCCAIIAggCCAIIAggCCAIIAggCCAIIAggCCAIIAggCEgIDAlMCHgAEAwECAgKQAgQCBQIGAgcCCAIJAhwCCwIMAg0CCAIIAggCCAIIAggCCAIIAggCCAIIAggCCAIIAggCCAIIAhICAwLuAh4ABAMBAgICIgIEAgUCBgIHAggCCQIKAgsCDAINAggCCAIIAggCCAIIAggCCAIIAggCCAIIAggCCAIIAggCCAISAgMCeQIeAAQDAQICAhsCBAIFAgYCBwIIAgkCCgILAgwCDQIIAggCCAIIAggCCAIIAggCCAIIAggCCAIIAggCCAIIAggCEgIDAm4CHgAEAwECAgI5AgQCBQIGAgcCCAIJAisCCwIMAg0CCAIIAggCCAIIAggCCAIIAggCCAIIAggCCAIIAggCCAIIAhICAwJrAh4ABAMBAgICigIEAgUCBgIHAggCCQIrAgsCDAINAggCCAIIAggCCAIIAggCCAIIAggCCAIIAggCCAIIAggCCAISAgMC7wIeAAQDAQICAkcCBAIFAgYCBwIIAgkCCgILAgwCDQIIAggCCAIIAggCCAIIAggCCAIIAggCCAIIAggCCAIIAggCEgIDAlMCHgAEAwECAgKdAgQCBQIGAgcCCAIJAgoCCwIMAg0CCAIIAggCCAIIAggCCAIIAggCCAIIAggCCAIIAggCCAIIAhICAwJTAh4ABAMBAgICMQIEAgUCBgIHAggCCQIrAgsCDAINAggCCAIIAggCCAIIAggCCAIIAggCCAIIAggCCAIIAggCCAISAgMCdQIeAAQDAQICAlYCBAIFAgYCBwIIAgkCKwILAgwCDQIIAggCCAIIAggCCAIIAggCCAIIAggCCAIIAggCCAIIAggCEgIDAncCHgAEAwECAgKBAgQCBQIGAgcCCAIJAhwCCwIMAg0CCAIIAggCCAIIAggCCAIIAggCCAIIAggCCAIIAggCCAIIAhICAwL0Ah4ABAMBAgICNwIEAgUCBgIHAggCCQIcAgsCDAINAggCCAIIAggCCAIIAggCCAIIAggCCAIIAggCCAIIAggCCAISAgMCcgIeAAQDAQICAkoCBAIFAgYCBwIIAgl3dgIcAgsCDAINAggCCAIIAggCCAIIAggCCAIIAggCCAIIAggCCAIIAggCCAISAgMCXQIeAAQDAQICAiYCBAIFAgYCBwIIAgkCCgILAgwCDQIIAggCCAIIAggCCAIIAggCCAIIAggCCAIIAggCCAIIAggCEgIDAic=]]></xxe4awand>
</file>

<file path=customXml/item22.xml><?xml version="1.0" encoding="utf-8"?>
<xxe4awand xmlns="http://www.excel4apps.com"><![CDATA[rO0ABXfZCMCtii8CJAKo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HdcAh4AAoUACTE2MjM5MTcyMAICAhsCBAIFAgYCBwIIAgkChgAGMTkxMDE1AgsChwACSUQCDQIIAggCCAIIAggCCAIIAggCCAIIAggCCAIIAggCCAIIAggCEwIDAohzcQB+AAAAAAACc3EAfgAE///////////////+/////v////91cQB+AAcAAAADEpLKeHh3RQIeAAKFAgICQQIEAgUCBgIHAggCCQIhAgsChwINAggCCAIIAggCCAIIAggCCAIIAggCCAIIAggCCAIIAggCCAITAgMCiXNxAH4AAAAAAAJzcQB+AAT///////////////7////+/////3VxAH4ABwAAAAQkNG30eHh3igIeAAKFAgICKQIEAgUCBgIHAggCCQKGAgsChwINAggCCAIIAggCCAIIAggCCAIIAggCCAIIAggCCAIIAggCCAITAgMCLgIeAAKFAgICMgIEAgUCBgIHAggCCQKGAgsChwINAggCCAIIAggCCAIIAggCCAIIAggCCAIIAggCCAIIAggCCAITAgMCinNxAH4AAAAAAAJzcQB+AAT///////////////7////+/////3VxAH4ABwAAAAMSdyV4eHdFAh4AAoUCAgIDAgQCBQIGAgcCCAIJAiECCwKHAg0CCAIIAggCCAIIAggCCAIIAggCCAIIAggCCAIIAggCCAIIAhMCAwKLc3EAfgAAAAAAAnNxAH4ABP///////////////v////7/////dXEAfgAHAAAABCPGeP14eHdFAh4AAoUCAgIDAgQCBQIGAgcCCAIJAoYCCwKHAg0CCAIIAggCCAIIAggCCAIIAggCCAIIAggCCAIIAggCCAIIAhMCAwKMc3EAfgAAAAAAAnNxAH4ABP///////////////v////7/////dXEAfgAHAAAAAxJflHh4d0UCHgAChQICAkYCBAIFAgYCBwIIAgkCIQILAocCDQIIAggCCAIIAggCCAIIAggCCAIIAggCCAIIAggCCAIIAggCEwIDAo1zcQB+AAAAAAACc3EAfgAE///////////////+/////v////91cQB+AAcAAAAEC9ESdHh4d4oCHgAChQICAkECBAIFAgYCBwIIAgkChgILAocCDQIIAggCCAIIAggCCAIIAggCCAIIAggCCAIIAggCCAIIAggCEwIDAi4CHgAChQICAhsCBAIFAgYCBwIIAgkCIQILAocCDQIIAggCCAIIAggCCAIIAggCCAIIAggCCAIIAggCCAIIAggCEwIDAo5zcQB+AAAAAAACc3EAfgAE///////////////+/////v////91cQB+AAcAAAAEKiZPC3h4d0UCHgAChQICAlwCBAIFAgYCBwIIAgkCCgILAocCDQIIAggCCAIIAggCCAIIAggCCAIIAggCCAIIAggCCAIIAggCEwIDAo9zcQB+AAAAAAACc3EAfgAE///////////////+/////v////91cQB+AAcAAAADTrgKeHh3RQIeAAKFAgICTgIEAgUCBgIHAggCCQIKAgsChwINAggCCAIIAggCCAIIAggCCAIIAggCCAIIAggCCAIIAggCCAITAgMCkHNxAH4AAAAAAAJzcQB+AAT///////////////7////+/////3VxAH4ABwAAAAQBZMryeHh3RQIeAAKFAgICMAIEAgUCBgIHAggCCQKGAgsChwINAggCCAIIAggCCAIIAggCCAIIAggCCAIIAggCCAIIAggCCAITAgMCkXNxAH4AAAAAAAJzcQB+AAT///////////////7////+/////3VxAH4ABwAAAAMSY394eHdFAh4AAoUCAgJXAgQCBQIGAgcCCAIJAoYCCwKHAg0CCAIIAggCCAIIAggCCAIIAggCCAIIAggCCAIIAggCCAIIAhMCAwKSc3EAfgAAAAAAAnNxAH4ABP///////////////v////7/////dXEAfgAHAAAAAxKWwHh4d0UCHgAChQICAkgCBAIFAgYCBwIIAgkChgILAocCDQIIAggCCAIIAggCCAIIAggCCAIIAggCCAIIAggCCAIIAggCEwIDApNzcQB+AAAAAAACc3EAfgAE///////////////+/////v////91cQB+AAcAAAADEqaieHh3RQIeAAKFAgICTgIEAgUCBgIHAggCCQIhAgsChwINAggCCAIIAggCCAIIAggCCAIIAggCCAIIAggCCAIIAggCCAITAgMClHNxAH4AAAAAAAJzcQB+AAT///////////////7////+/////3VxAH4ABwAAAAQrEAtReHh3RQIeAAKFAgICVQIEAgUCBgIHAggCCQIhAgsChwINAggCCAIIAggCCAIIAggCCAIIAggCCAIIAggCCAIIAggCCAITAgMClXNxAH4AAAAAAAJzcQB+AAT///////////////7////+/////3VxAH4ABwAAAAQVrLWfeHh3RQIeAAKFAgICMAIEAgUCBgIHAggCCQIhAgsChwINAggCCAIIAggCCAIIAggCCAIIAggCCAIIAggCCAIIAggCCAITAgMClnNxAH4AAAAAAAJzcQB+AAT///////////////7////+/////3VxAH4ABwAAAAQmLzLCeHh3RQIeAAKFAgICVwIEAgUCBgIHAggCCQIhAgsChwINAggCCAIIAggCCAIIAggCCAIIAggCCAIIAggCCAIIAggCCAITAgMCl3NxAH4AAAAAAAJzcQB+AAT///////////////7////+/////3VxAH4ABwAAAAQqC0YheHh3RQIeAAKFAgICUgIEAgUCBgIHAggCCQIKAgsChwINAggCCAIIAggCCAIIAggCCAIIAggCCAIIAggCCAIIAggCCAITAgMCmHNxAH4AAAAAAAJzcQB+AAT///////////////7////+/////3VxAH4ABwAAAAQBBpRgeHh3RQIeAAKFAgICUAIEAgUCBgIHAggCCQIKAgsChwINAggCCAIIAggCCAIIAggCCAIIAggCCAIIAggCCAIIAggCCAITAgMCmXNxAH4AAAAAAAJzcQB+AAT///////////////7////+AAAAAXVxAH4ABwAAAAP/iV54eHdFAh4AAoUCAgIgAgQCBQIGAgcCCAIJAiECCwKHAg0CCAIIAggCCAIIAggCCAIIAggCCAIIAggCCAIIAggCCAIIAhMCAwKac3EAfgAAAAAAAnNxAH4ABP///////////////v////7/////dXEAfgAHAAAABC70FP94eHdFAh4AAoUCAgJEAgQCBQIGAgcCCAIJAiECCwKHAg0CCAIIAggCCAIIAggCCAIIAggCCAIIAggCCAIIAggCCAIIAhMCAwKbc3EAfgAAAAAAAnNxAH4ABP///////////////v////7/////dXEAfgAHAAAABCZ4H3F4eHdFAh4AAoUCAgJSAgQCBQIGAgcCCAIJAiECCwKHAg0CCAIIAggCCAIIAggCCAIIAggCCAIIAggCCAIIAggCCAIIAhMCAwKcc3EAfgAAAAAAAnNxAH4ABP///////////////v////7/////dXEAfgAHAAAABC794JJ4eHdFAh4AAoUCAgIjAgQCBQIGAgcCCAIJAiECCwKHAg0CCAIIAggCCAIIAggCCAIIAggCCAIIAggCCAIIAggCCAIIAhMCAwKdc3EAfgAAAAAAAnNxAH4ABP///////////////v////7/////dXEAfgAHAAAABBuzHlx4eHdFAh4AAoUCAgIjAgQCBQIGAgcCCAIJAoYCCwKHAg0CCAIIAggCCAIIAggCCAIIAggCCAIIAggCCAIIAggCCAIIAhMCAwKec3EAfgAAAAAAAnNxAH4ABP///////////////v////7/////dXEAfgAHAAAAAxJXv3h4d0UCHgAChQICAkECBAIFAgYCBwIIAgkCCgILAocCDQIIAggCCAIIAggCCAIIAggCCAIIAggCCAIIAggCCAIIAggCEwIDAp9zcQB+AAAAAAACc3EAfgAE///////////////+/////v////91cQB+AAcAAAAEFreoonh4d0UCHgAChQICAkYCBAIFAgYCBwIIAgkCCgILAocCDQIIAggCCAIIAggCCAIIAggCCAIIAggCCAIIAggCCAIIAggCEwIDAqBzcQB+AAAAAAACc3EAfgAE///////////////+/////v////91cQB+AAcAAAAEJZDR+3h4d0UCHgAChQICAj0CBAIFAgYCBwIIAgkCCgILAocCDQIIAggCCAIIAggCCAIIAggCCAIIAggCCAIIAggCCAIIAggCEwIDAqFzcQB+AAAAAAACc3EAfgAE///////////////+/////v////91cQB+AAcAAAADnrKqeHh3RQIeAAKFAgICQwIEAgUCBgIHAggCCQIKAgsChwINAggCCAIIAggCCAIIAggCCAIIAggCCAIIAggCCAIIAggCCAITAgMConNxAH4AAAAAAAJzcQB+AAT///////////////7////+/////3VxAH4ABwAAAAQKK9PneHh3RQIeAAKFAgICVQIEAgUCBgIHAggCCQKGAgsChwINAggCCAIIAggCCAIIAggCCAIIAggCCAIIAggCCAIIAggCCAITAgMCo3NxAH4AAAAAAAJzcQB+AAT///////////////7////+/////3VxAH4ABwAAAAMSfwZ4eHdFAh4AAoUCAgIlAgQCBQIGAgcCCAIJAgoCCwKHAg0CCAIIAggCCAIIAggCCAIIAggCCAIIAggCCAIIAggCCAIIAhMCAwKkc3EAfgAAAAAAAnNxAH4ABP///////////////v////7/////dXEAfgAHAAAABBQ694N4eHdFAh4AAoUCAgI/AgQCBQIGAgcCCAIJAgoCCwKHAg0CCAIIAggCCAIIAggCCAIIAggCCAIIAggCCAIIAggCCAIIAhMCAwKlc3EAfgAAAAAAAnNxAH4ABP///////////////v////4AAAABdXEAfgAHAAAABAJaEtJ4eHdFAh4AAoUCAgJEAgQCBQIGAgcCCAIJAoYCCwKHAg0CCAIIAggCCAIIAggCCAIIAggCCAIIAggCCAIIAggCCAIIAhMCAwKmc3EAfgAAAAAAAnNxAH4ABP///////////////v////7/////dXEAfgAHAAAAAxKK33h4d4oCHgAChQICAiACBAIFAgYCBwIIAgkChgILAocCDQIIAggCCAIIAggCCAIIAggCCAIIAggCCAIIAggCCAIIAggCEwIDAi4CHgAChQICAlcCBAIFAgYCBwIIAgkCCgILAocCDQIIAggCCAIIAggCCAIIAggCCAIIAggCCAIIAggCCAIIAggCEwIDAqdzcQB+AAAAAAACc3EAfgAE///////////////+/////v////91cQB+AAcAAAAEAW1K0nh4d0UCHgAChQICAjACBAIFAgYCBwIIAgkCCgILAocCDQIIAggCCAIIAggCCAIIAggCCAIIAggCCAIIAggCCAIIAggCEwIDAqhzcQB+AAAAAAACc3EAfgAE///////////////+/////v////91cQB+AAcAAAAEAc1Kd3h4d0UCHgAChQICAikCBAIFAgYCBwIIAgkCIQILAocCDQIIAggCCAIIAggCCAIIAggCCAIIAggCCAIIAggCCAIIAggCEwIDAqlzcQB+AAAAAAACc3EAfgAE///////////////+/////v////91cQB+AAcAAAAEHCN8kHh4d0UCHgAChQICAlACBAIFAgYCBwIIAgkChgILAocCDQIIAggCCAIIAggCCAIIAggCCAIIAggCCAIIAggCCAIIAggCEwIDAqpzcQB+AAAAAAACc3EAfgAE///////////////+/////v////91cQB+AAcAAAADEp6veHh3RQIeAAKFAgICUgIEAgUCBgIHAggCCQKGAgsChwINAggCCAIIAggCCAIIAggCCAIIAggCCAIIAggCCAIIAggCCAITAgMCq3NxAH4AAAAAAAJzcQB+AAT///////////////7////+/////3VxAH4ABwAAAAMSa1h4eHdFAh4AAoUCAgIyAgQCBQIGAgcCCAIJAiECCwKHAg0CCAIIAggCCAIIAggCCAIIAggCCAIIAggCCAIIAggCCAIIAhMCAwKsc3EAfgAAAAAAAnNxAH4ABP///////////////v////7/////dXEAfgAHAAAABDSYRyN4eHdFAh4AAoUCAgJQAgQCBQIGAgcCCAIJAiECCwKHAg0CCAIIAggCCAIIAggCCAIIAggCCAIIAggCCAIIAggCCAIIAhMCAwKtc3EAfgAAAAAAAnNxAH4ABP///////////////v////7/////dXEAfgAHAAAABDQ5VOh4eHdFAh4AAoUCAgItAgQCBQIGAgcCCAIJAiECCwKHAg0CCAIIAggCCAIIAggCCAIIAggCCAIIAggCCAIIAggCCAIIAhMCAwKuc3EAfgAAAAAAAnNxAH4ABP///////////////v////7/////dXEAfgAHAAAABCkgj4V4eHeKAh4AAoUCAgItAgQCBQIGAgcCCAIJAoYCCwKHAg0CCAIIAggCCAIIAggCCAIIAggCCAIIAggCCAIIAggCCAIIAhMCAwIuAh4AAoUCAgIdAgQCBQIGAgcCCAIJAiECCwKHAg0CCAIIAggCCAIIAggCCAIIAggCCAIIAggCCAIIAggCCAIIAhMCAwKvc3EAfgAAAAAAAnNxAH4ABP///////////////v////7/////dXEAfgAHAAAABDO8lpJ4eHdFAh4AAoUCAgIlAgQCBQIGAgcCCAIJAiECCwKHAg0CCAIIAggCCAIIAggCCAIIAggCCAIIAggCCAIIAggCCAIIAhMCAwKwc3EAfgAAAAAAAnNxAH4ABP///////////////v////7/////dXEAfgAHAAAABB2x+kx4eHdFAh4AAoUCAgIgAgQCBQIGAgcCCAIJAgoCCwKHAg0CCAIIAggCCAIIAggCCAIIAggCCAIIAggCCAIIAggCCAIIAhMCAwKxc3EAfgAAAAAAAnNxAH4ABP///////////////v////7/////dXEAfgAHAAAABAEya894eHdFAh4AAoUCAgI9AgQCBQIGAgcCCAIJAoYCCwKHAg0CCAIIAggCCAIIAggCCAIIAggCCAIIAggCCAIIAggCCAIIAhMCAwKyc3EAfgAAAAAAAnNxAH4ABP///////////////v////7/////dXEAfgAHAAAAAxJvRnh4d0UCHgAChQICAh0CBAIFAgYCBwIIAgkChgILAocCDQIIAggCCAIIAggCCAIIAggCCAIIAggCCAIIAggCCAIIAggCEwIDArNzcQB+AAAAAAACc3EAfgAE///////////////+/////v////91cQB+AAcAAAADEnM1eHh3RQIeAAKFAgICJQIEAgUCBgIHAggCCQKGAgsChwINAggCCAIIAggCCAIIAggCCAIIAggCCAIIAggCCAIIAggCCAITAgMCtHNxAH4AAAAAAAJzcQB+AAT///////////////7////+/////3VxAH4ABwAAAAMSgvh4eHdFAh4AAoUCAgI/AgQCBQIGAgcCCAIJAoYCCwKHAg0CCAIIAggCCAIIAggCCAIIAggCCAIIAggCCAIIAggCCAIIAhMCAwK1c3EAfgAAAAAAAnNxAH4ABP///////////////v////7/////dXEAfgAHAAAAAxKiqHh4d0UCHgAChQICAkgCBAIFAgYCBwIIAgkCCgILAocCDQIIAggCCAIIAggCCAIIAggCCAIIAggCCAIIAggCCAIIAggCEwIDArZzcQB+AAAAAAACc3EAfgAE///////////////+/////gAAAAF1cQB+AAcAAAAEBhtaanh4d0UCHgAChQICAkMCBAIFAgYCBwIIAgkCIQILAocCDQIIAggCCAIIAggCCAIIAggCCAIIAggCCAIIAggCCAIIAggCEwIDArdzcQB+AAAAAAACc3EAfgAE///////////////+/////v////91cQB+AAcAAAAEKUaEtnh4d0UCHgAChQICAiMCBAIFAgYCBwIIAgkCCgILAocCDQIIAggCCAIIAggCCAIIAggCCAIIAggCCAIIAggCCAIIAggCEwIDArhzcQB+AAAAAAACc3EAfgAE///////////////+/////v////91cQB+AAcAAAAEBFuSEHh4d0UCHgAChQICAkQCBAIFAgYCBwIIAgkCCgILAocCDQIIAggCCAIIAggCCAIIAggCCAIIAggCCAIIAggCCAIIAggCEwIDArlzcQB+AAAAAAACc3EAfgAE///////////////+/////v////91cQB+AAcAAAAECL1IIXh4d4oCHgAChQICAkMCBAIFAgYCBwIIAgkChgILAocCDQIIAggCCAIIAggCCAIIAggCCAIIAggCCAIIAggCCAIIAggCEwIDAi4CHgAChQICAjYCBAIFAgYCBwIIAgkCIQILAocCDQIIAggCCAIIAggCCAIIAggCCAIIAggCCAIIAggCCAIIAggCEwIDArpzcQB+AAAAAAACc3EAfgAE///////////////+/////v////91cQB+AAcAAAAEIgqsMXh4d0UCHgAChQICAjQCBAIFAgYCBwIIAgkCIQILAocCDQIIAggCCAIIAggCCAIIAggCCAIIAggCCAIIAggCCAIIAggCEwIDArtzcQB+AAAAAAACc3EAfgAE///////////////+/////v////91cQB+AAcAAAAEKsKx+Hh4d0UCHgAChQICAjsCBAIFAgYCBwIIAgkCCgILAocCDQIIAggCCAIIAggCCAIIAggCCAIIAggCCAIIAggCCAIIAggCEwIDArxzcQB+AAAAAAACc3EAfgAE///////////////+/////gAAAAF1cQB+AAcAAAADNqW2eHh3RQIeAAKFAgICNgIEAgUCBgIHAggCCQKGAgsChwINAggCCAIIAggCCAIIAggCCAIIAggCCAIIAggCCAIIAggCCAITAgMCvXNxAH4AAAAAAAJzcQB+AAT///////////////7////+/////3VxAH4ABwAAAAMShut4eHdFAh4AAoUCAgIyAgQCBQIGAgcCCAIJAgoCCwKHAg0CCAIIAggCCAIIAggCCAIIAggCCAIIAggCCAIIAggCCAIIAhMCAwK+c3EAfgAAAAAAAnNxAH4ABP///////////////v////4AAAABdXEAfgAHAAAAA7lyfHh4d0UCHgAChQICAicCBAIFAgYCBwIIAgkCCgILAocCDQIIAggCCAIIAggCCAIIAggCCAIIAggCCAIIAggCCAIIAggCEwIDAr9zcQB+AAAAAAACc3EAfgAE///////////////+/////v////91cQB+AAcAAAAEAvtLi3h4d0UCHgAChQICAisCBAIFAgYCBwIIAgkCCgILAocCDQIIAggCCAIIAggCCAIIAggCCAIIAggCCAIIAggCCAIIAggCEwIDAsBzcQB+AAAAAAACc3EAfgAE///////////////+/////v////91cQB+AAcAAAAEBQSjQXh4d0UCHgAChQICAikCBAIFAgYCBwIIAgkCCgILAocCDQIIAggCCAIIAggCCAIIAggCCAIIAggCCAIIAggCCAIIAggCEwIDAsFzcQB+AAAAAAACc3EAfgAE///////////////+/////v////91cQB+AAcAAAAEHsB0bHh4d4oCHgAChQICAjQCBAIFAgYCBwIIAgkChgILAocCDQIIAggCCAIIAggCCAIIAggCCAIIAggCCAIIAggCCAIIAggCEwIDAi4CHgAChQICAgMCBAIFAgYCBwIIAgkCCgILAocCDQIIAggCCAIIAggCCAIIAggCCAIIAggCCAIIAggCCAIIAggCEwIDAsJzcQB+AAAAAAACc3EAfgAE///////////////+/////v////91cQB+AAcAAAAEAlAe6Xh4d0UCHgAChQICAhsCBAIFAgYCBwIIAgkCCgILAocCDQIIAggCCAIIAggCCAIIAggCCAIIAggCCAIIAggCCAIIAggCEwIDAsNzcQB+AAAAAAACc3EAfgAE///////////////+/////v////91cQB+AAcAAAAEAtdnVHh4d0UCHgAChQICAlwCBAIFAgYCBwIIAgkChgILAocCDQIIAggCCAIIAggCCAIIAggCCAIIAggCCAIIAggCCAIIAggCEwIDAsRzcQB+AAAAAAACc3EAfgAE///////////////+/////v////91cQB+AAcAAAADEpq3eHh3RQIeAAKFAgICLQIEAgUCBgIHAggCCQIKAgsChwINAggCCAIIAggCCAIIAggCCAIIAggCCAIIAggCCAIIAggCCAITAgMCxXNxAH4AAAAAAAJzcQB+AAT///////////////7////+/////3VxAH4ABwAAAAQQposkeHh3RQIeAAKFAgICTgIEAgUCBgIHAggCCQKGAgsChwINAggCCAIIAggCCAIIAggCCAIIAggCCAIIAggCCAIIAggCCAITAgMCxnNxAH4AAAAAAAJzcQB+AAT///////////////7////+/////3VxAH4ABwAAAAMSZ2t4eHdFAh4AAoUCAgJcAgQCBQIGAgcCCAIJAiECCwKHAg0CCAIIAggCCAIIAggCCAIIAggCCAIIAggCCAIIAggCCAIIAhMCAwLHc3EAfgAAAAAAAnNxAH4ABP///////////////v////7/////dXEAfgAHAAAABC6RhSt4eHdFAh4AAoUCAgJIAgQCBQIGAgcCCAIJAiECCwKHAg0CCAIIAggCCAIIAggCCAIIAggCCAIIAggCCAIIAggCCAIIAhMCAwLIc3EAfgAAAAAAAnNxAH4ABP///////////////v////7/////dXEAfgAHAAAABENETeB4eHdFAh4AAoUCAgI/AgQCBQIGAgcCCAIJAiECCwKHAg0CCAIIAggCCAIIAggCCAIIAggCCAIIAggCCAIIAggCCAIIAhMCAwLJc3EAfgAAAAAAAnNxAH4ABP///////////////v////7/////dXEAfgAHAAAABDlFLv54eHdFAh4AAoUCAgInAgQCBQIGAgcCCAIJAoYCCwKHAg0CCAIIAggCCAIIAggCCAIIAggCCAIIAggCCAIIAggCCAIIAhMCAwLKc3EAfgAAAAAAAnNxAH4ABP///////////////v////7/////dXEAfgAHAAAAAxJbqXh4d0UCHgAChQICAisCBAIFAgYCBwIIAgkChgILAocCDQIIAggCCAIIAggCCAIIAggCCAIIAggCCAIIAggCCAIIAggCEwIDAstzcQB+AAAAAAACc3EAfgAE///////////////+/////v////91cQB+AAcAAAADEo7UeHh3RQIeAAKFAgICJwIEAgUCBgIHAggCCQIhAgsChwINAggCCAIIAggCCAIIAggCCAIIAggCCAIIAggCCAIIAggCCAITAgMCzHNxAH4AAAAAAAJzcQB+AAT///////////////7////+/////3VxAH4ABwAAAAQerglPeHh3RQIeAAKFAgICPQIEAgUCBgIHAggCCQIhAgsChwINAggCCAIIAggCCAIIAggCCAIIAggCCAIIAggCCAIIAggCCAITAgMCzXNxAH4AAAAAAAJzcQB+AAT///////////////7////+/////3VxAH4ABwAAAAQx77UZeHh3RQIeAAKFAgICNAIEAgUCBgIHAggCCQIKAgsChwINAggCCAIIAggCCAIIAggCCAIIAggCCAIIAggCCAIIAggCCAITAgMCznNxAH4AAAAAAAJzcQB+AAT///////////////7////+/////3VxAH4ABwAAAAQE4d6ZeHh3RQIeAAKFAgICNgIEAgUCBgIHAggCCQIKAgsChwINAggCCAIIAggCCAIIAggCCAIIAggCCAIIAggCCAIIAggCCAITAgMCz3NxAH4AAAAAAAJzcQB+AAT///////////////7////+/////3VxAH4ABwAAAAQOCxxKeHh3RQIeAAKFAgICRgIEAgUCBgIHAggCCQKGAgsChwINAggCCAIIAggCCAIIAggCCAIIAggCCAIIAggCCAIIAggCCAITAgMC0HNxAH4AAAAAAAJzcQB+AAT///////////////7////+/////3VxAH4ABwAAAAMSexV4eHdFAh4AAoUCAgJVAgQCBQIGAgcCCAIJAgoCCwKHAg0CCAIIAggCCAIIAggCCAIIAggCCAIIAggCCAIIAggCCAIIAhMCAwLRc3EAfgAAAAAAAnNxAH4ABP///////////////v////7/////dXEAfgAHAAAABB0QqXR4eHdFAh4AAoUCAgIdAgQCBQIGAgcCCAIJAgoCCwKHAg0CCAIIAggCCAIIAggCCAIIAggCCAIIAggCCAIIAggCCAIIAhMCAwLSc3EAfgAAAAAAAnNxAH4ABP///////////////v////7/////dXEAfgAHAAAAAzL3EXh4d0UCHgAChQICAisCBAIFAgYCBwIIAgkCIQILAocCDQIIAggCCAIIAggCCAIIAggCCAIIAggCCAIIAggCCAIIAggCEwIDAtNzcQB+AAAAAAACc3EAfgAE///////////////+/////v////91cQB+AAcAAAAEKeDlE3h4d0UCHgAChQICAjsCBAIFAgYCBwIIAgkCIQILAocCDQIIAggCCAIIAggCCAIIAggCCAIIAggCCAIIAggCCAIIAggCEwIDAtRzcQB+AAAAAAACc3EAfgAE///////////////+/////v////91cQB+AAcAAAAEL/7GXHh4d0UCHgAChQICAjsCBAIFAgYCBwIIAgkChgILAocCDQIIAggCCAIIAggCCAIIAggCCAIIAggCCAIIAggCCAIIAggCEwIDAi4=]]></xxe4awand>
</file>

<file path=customXml/item23.xml><?xml version="1.0" encoding="utf-8"?>
<xxe4awand xmlns="http://www.excel4apps.com"><![CDATA[rO0ABXfZCMCtii8ABDMHAh4AAERjb20uZXhjZWw0YXBwcy53YW5kLm9yYWNsZS5n
bHdhbmQuY2FsY3VsYXRpb25zLmdldGJhbGFuY2UuR2V0QmFsYW5jZQIBAAk2Nzg1
NDg5NTICAgABMAIDAAYyMDEzMTICBAADWVREAgUAA1VTRAIGAAVUb3RhbAIHAAFB
AggAAAIJAAMwMDECCgAGMTkxMDI1AgsAAkdEAgwAAldBAg0AAkRMAggCCAIIAggC
CAIIAggCCAIIAggCCAIIAggCCAIIAggCCAIq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FOXkeHh3ZAIeAAIbAAk1ODkyMDA4ODACAgIcAAYyMDE2MDgCBAIFAgYCBwII
AgkCHQAGMTkxMDEwAgsCHgACSUQCDQIIAggCCAIIAggCCAIIAggCCAIIAggCCAII
AggCCAIIAggCFQIDAh9zcQB+AAAAAAACc3EAfgAE///////////////+/////v//
//91cQB+AAcAAAAEMe+1GXh4d1UCHgACGwICAiAABjIwMTgwOQIEAgUCBgIHAggC
CQIhAAYxOTEwMTUCCwIeAg0CCAIIAggCCAIIAggCCAIIAggCCAIIAggCCAIIAggC
CAIIAhUCAwIic3EAfgAAAAAAAnNxAH4ABP///////////////v////4AAAAAdXEA
fgAHAAAAAHh4d00CHgACGwICAiMABjIwMTYwNwIEAgUCBgIHAggCCQIhAgsCHgIN
AggCCAIIAggCCAIIAggCCAIIAggCCAIIAggCCAIIAggCCAIVAgMCJHNxAH4AAAAA
AAJzcQB+AAT///////////////7////+/////3VxAH4ABwAAAAMSa1h4eHdNAh4A
AhsCAgIlAAYyMDE4MDECBAIFAgYCBwIIAgkCHQILAh4CDQIIAggCCAIIAggCCAII
AggCCAIIAggCCAIIAggCCAIIAggCFQIDAiZzcQB+AAAAAAACc3EAfgAE////////
///////+/////v////91cQB+AAcAAAAEKSCPhXh4d00CHgACGwICAicABjIwMTcw
OAIEAgUCBgIHAggCCQIdAgsCHgINAggCCAIIAggCCAIIAggCCAIIAggCCAIIAggC
CAIIAggCCAIVAgMCKHNxAH4AAAAAAAJzcQB+AAT///////////////7////+////
/3VxAH4ABwAAAAQ0OVToeHh3TQIeAAIbAgICJQIEAgUCBgIHAggCCQIpAAYxOTEw
MDACCwIeAg0CCAIIAggCCAIIAggCCAIIAggCCAIIAggCCAIIAggCCAIIAhUCAwIq
c3EAfgAAAAAAAnNxAH4ABP///////////////v////7/////dXEAfgAHAAAABBCm
iyR4eHdNAh4AAhsCAgIrAAYyMDE4MDgCBAIFAgYCBwIIAgkCHQILAh4CDQIIAggC
CAIIAggCCAIIAggCCAIIAggCCAIIAggCCAIIAggCFQIDAixzcQB+AAAAAAACc3EA
fgAE///////////////+/////v////91cQB+AAcAAAAEO/PRJHh4d0UCHgACGwIC
AhwCBAIFAgYCBwIIAgkCKQILAh4CDQIIAggCCAIIAggCCAIIAggCCAIIAggCCAII
AggCCAIIAggCFQIDAi1zcQB+AAAAAAACc3EAfgAE///////////////+/////v//
//91cQB+AAcAAAADnrKqeHh3TQIeAAIbAgICLgAGMjAxNzAxAgQCBQIGAgcCCAIJ
AikCCwIeAg0CCAIIAggCCAIIAggCCAIIAggCCAIIAggCCAIIAggCCAIIAhUCAwIv
c3EAfgAAAAAAAnNxAH4ABP///////////////v////7/////dXEAfgAHAAAABBQ6
94N4eHdNAh4AAhsCAgIwAAYyMDE2MDYCBAIFAgYCBwIIAgkCHQILAh4CDQIIAggC
CAIIAggCCAIIAggCCAIIAggCCAIIAggCCAIIAggCFQIDAjFzcQB+AAAAAAACc3EA
fgAE///////////////+/////v////91cQB+AAcAAAAEKxALUXh4d00CHgACGwIC
AjIABjIwMTcwNwIEAgUCBgIHAggCCQIhAgsCHgINAggCCAIIAggCCAIIAggCCAII
AggCCAIIAggCCAIIAggCCAIVAgMCM3NxAH4AAAAAAAJzcQB+AAT/////////////
//7////+/////3VxAH4ABwAAAAMSmrd4eHdNAh4AAhsCAgI0AAYyMDE2MDUCBAIF
AgYCBwIIAgkCIQILAh4CDQIIAggCCAIIAggCCAIIAggCCAIIAggCCAIIAggCCAII
AggCFQIDAjVzcQB+AAAAAAACc3EAfgAE///////////////+/////v////91cQB+
AAcAAAADEmN/eHh3mgIeAAIbAgICNgAGMjAxODA3AgQCBQIGAgcCCAIJAiECCwIe
Ag0CCAIIAggCCAIIAggCCAIIAggCCAIIAggCCAIIAggCCAIIAhUCAwIiAh4AAhsC
AgI3AAYyMDE4MDUCBAIFAgYCBwIIAgkCKQILAh4CDQIIAggCCAIIAggCCAIIAggC
CAIIAggCCAIIAggCCAIIAggCFQIDAjhzcQB+AAAAAAACc3EAfgAE////////////
///+/////gAAAAF1cQB+AAcAAAADNqW2eHh3TQIeAAIbAgICOQAGMjAxODExAgQC
BQIGAgcCCAIJAikCCwIeAg0CCAIIAggCCAIIAggCCAIIAggCCAIIAggCCAIIAggC
CAIIAhUCAwI6c3EAfgAAAAAAAnNxAH4ABP///////////////v////4AAAABdXEA
fgAHAAAABAjbpRZ4eHdNAh4AAhsCAgI7AAYyMDE3MDYCBAIFAgYCBwIIAgkCHQIL
Ah4CDQIIAggCCAIIAggCCAIIAggCCAIIAggCCAIIAggCCAIIAggCFQIDAjxzcQB+
AAAAAAACc3EAfgAE///////////////+/////v////91cQB+AAcAAAAEKgtGIXh4
d00CHgACGwICAj0ABjIwMTYwMwIEAgUCBgIHAggCCQIpAgsCHgINAggCCAIIAggC
CAIIAggCCAIIAggCCAIIAggCCAIIAggCCAIVAgMCPnNxAH4AAAAAAAJzcQB+AAT///////////////7////+/////3VxAH4ABwAAAAQC+0uLeHh3RQIeAAIbAgICKwIEAgUCBgIHAggCCQIpAgsCHgINAggCCAIIAggCCAIIAggCCAIIAggCCAIIAggCCAIIAggCCAIVAgMCP3NxAH4AAAAAAAJzcQB+AAT///////////////7////+AAAAAXVxAH4ABwAAAAQD7jMGeHh3TQIeAAIbAgICQAAGMjAxODAzAgQCBQIGAgcCCAIJAikCCwIeAg0CCAIIAggCCAIIAggCCAIIAggCCAIIAggCCAIIAggCCAIIAhUCAwJBc3EAfgAAAAAAAnNxAH4ABP///////////////v////7/////dXEAfgAHAAAABATh3pl4eHdNAh4AAhsCAgJCAAYyMDE2MTECBAIFAgYCBwIIAgkCIQILAh4CDQIIAggCCAIIAggCCAIIAggCCAIIAggCCAIIAggCCAIIAggCFQIDAkNzcQB+AAAAAAACc3EAfgAE///////////////+/////v////91cQB+AAcAAAADEnsVeHh3kgIeAAIbAgICRAAGMjAxODAyAgQCBQIGAgcCCAIJAiECCwIeAg0CCAIIAggCCAIIAggCCAIIAggCCAIIAggCCAIIAggCCAIIAhUCAwIiAh4AAhsCAgIwAgQCBQIGAgcCCAIJAikCCwIeAg0CCAIIAggCCAIIAggCCAIIAggCCAIIAggCCAIIAggCCAIIAhUCAwJFc3EAfgAAAAAAAnNxAH4ABP///////////////v////7/////dXEAfgAHAAAABAFkyvJ4eHdNAh4AAhsCAgJGAAYyMDE3MDkCBAIFAgYCBwIIAgkCIQILAh4CDQIIAggCCAIIAggCCAIIAggCCAIIAggCCAIIAggCCAIIAggCFQIDAkdzcQB+AAAAAAACc3EAfgAE///////////////+/////v////91cQB+AAcAAAADEqKoeHh3RQIeAAIbAgICLgIEAgUCBgIHAggCCQIdAgsCHgINAggCCAIIAggCCAIIAggCCAIIAggCCAIIAggCCAIIAggCCAIVAgMCSHNxAH4AAAAAAAJzcQB+AAT///////////////7////+/////3VxAH4ABwAAAAQdsfpMeHh3TQIeAAIbAgICSQAGMjAxNzEyAgQCBQIGAgcCCAIJAh0CCwIeAg0CCAIIAggCCAIIAggCCAIIAggCCAIIAggCCAIIAggCCAIIAhUCAwJKc3EAfgAAAAAAAnNxAH4ABP///////////////v////7/////dXEAfgAHAAAABCQ0bfR4eHdFAh4AAhsCAgI2AgQCBQIGAgcCCAIJAikCCwIeAg0CCAIIAggCCAIIAggCCAIIAggCCAIIAggCCAIIAggCCAIIAhUCAwJLc3EAfgAAAAAAAnNxAH4ABP///////////////v////4AAAABdXEAfgAHAAAABALUOOx4eHdFAh4AAhsCAgI0AgQCBQIGAgcCCAIJAikCCwIeAg0CCAIIAggCCAIIAggCCAIIAggCCAIIAggCCAIIAggCCAIIAhUCAwJMc3EAfgAAAAAAAnNxAH4ABP///////////////v////7/////dXEAfgAHAAAABAHNSnd4eHdNAh4AAhsCAgJNAAYyMDE2MTACBAIFAgYCBwIIAgkCHQILAh4CDQIIAggCCAIIAggCCAIIAggCCAIIAggCCAIIAggCCAIIAggCFQIDAk5zcQB+AAAAAAACc3EAfgAE///////////////+/////v////91cQB+AAcAAAAENJhHI3h4d0UCHgACGwICAjcCBAIFAgYCBwIIAgkCHQILAh4CDQIIAggCCAIIAggCCAIIAggCCAIIAggCCAIIAggCCAIIAggCFQIDAk9zcQB+AAAAAAACc3EAfgAE///////////////+/////v////91cQB+AAcAAAAEL/7GXHh4d0UCHgACGwICAj0CBAIFAgYCBwIIAgkCHQILAh4CDQIIAggCCAIIAggCCAIIAggCCAIIAggCCAIIAggCCAIIAggCFQIDAlBzcQB+AAAAAAACc3EAfgAE///////////////+/////v////91cQB+AAcAAAAEHq4JT3h4d5oCHgACGwICAlEABjIwMTcxMQIEAgUCBgIHAggCCQIhAgsCHgINAggCCAIIAggCCAIIAggCCAIIAggCCAIIAggCCAIIAggCCAIVAgMCIgIeAAIbAgICUgAGMjAxNzA0AgQCBQIGAgcCCAIJAiECCwIeAg0CCAIIAggCCAIIAggCCAIIAggCCAIIAggCCAIIAggCCAIIAhUCAwJTc3EAfgAAAAAAAnNxAH4ABP///////////////v////7/////dXEAfgAHAAAAAxKO1Hh4d5oCHgACGwICAlQABjIwMTgxMAIEAgUCBgIHAggCCQIhAgsCHgINAggCCAIIAggCCAIIAggCCAIIAggCCAIIAggCCAIIAggCCAIVAgMCIgIeAAIbAgICVQAGMjAxNjA0AgQCBQIGAgcCCAIJAikCCwIeAg0CCAIIAggCCAIIAggCCAIIAggCCAIIAggCCAIIAggCCAIIAhUCAwJWc3EAfgAAAAAAAnNxAH4ABP///////////////v////7/////dXEAfgAHAAAABAJQHul4eHdNAh4AAhsCAgJXAAYyMDE4MDYCBAIFAgYCBwIIAgkCKQILAh4CDQIIAggCCAIIAggCCAIIAggCCAIIAggCCAIIAggCCAIIAggCFQIDAlhzcQB+AAAAAAACc3EAfgAE///////////////+/////gAAAAF1cQB+AAcAAAAEAaNwu3h4d0UCHgACGwICAkICBAIFAgYCBwIIAgkCKQILAh4CDQIIAggCCAIIAggCCAIIAggCCAIIAggCCAIIAggCCAIIAggCFQIDAllzcQB+AAAAAAACc3EAfgAE///////////////+/////v////91cQB+AAcAAAAEJZDR+3h4d00CHgACGwICAloABjIwMTYwMgIEAgUCBgIHAggCCQIhAgsCHgINAggCCAIIAggCCAIIAggCCAIIAggCCAIIAggCCAIIAggCCAIVAgMCW3NxAH4AAAAAAAJzcQB+AAT///////////////7////+/////3VxAH4ABwAAAAMSV794eHdFAh4AAhsCAgI5AgQCBQIGAgcCCAIJAh0CCwIeAg0CCAIIAggCCAIIAggCCAIIAggCCAIIAggCCAIIAggCCAIIAhUCAwJcc3EAfgAAAAAAAnNxAH4ABP///////////////v////7/////dXEAfgAHAAAABEol5wV4eHeaAh4AAhsCAgJdAAYyMDE4MDQCBAIFAgYCBwIIAgkCIQILAh4CDQIIAggCCAIIAggCCAIIAggCCAIIAggCCAIIAggCCAIIAggCFQIDAiICHgACGwICAl4ABjIwMTcwMwIEAgUCBgIHAggCCQIdAgsCHgINAggCCAIIAggCCAIIAggCCAIIAggCCAIIAggCCAIIAggCCAIVAgMCX3NxAH4AAAAAAAJzcQB+AAT///////////////7////+/////3VxAH4ABwAAAAQmeB9xeHh3TQIeAAIbAgICYAAGMjAxNzEwAgQCBQIGAgcCCAIJAiECCwIeAg0CCAIIAggCCAIIAggCCAIIAggCCAIIAggCCAIIAggCCAIIAhUCAwJhc3EAfgAAAAAAAnNxAH4ABP///////////////v////7/////dXEAfgAHAAAAAxKmonh4d00CHgACGwICAmIABjIwMTcwMgIEAgUCBgIHAggCCQIdAgsCHgINAggCCAIIAggCCAIIAggCCAIIAggCCAIIAggCCAIIAggCCAIVAgMCY3NxAH4AAAAAAAJzcQB+AAT///////////////7////+/////3VxAH4ABwAAAAQiCqwxeHh3RQIeAAIbAgICJwIEAgUCBgIHAggCCQIpAgsCHgINAggCCAIIAggCCAIIAggCCAIIAggCCAIIAggCCAIIAggCCAIVAgMCZHNxAH4AAAAAAAJzcQB+AAT///////////////7////+AAAAAXVxAH4ABwAAAAP/iV54eHdNAh4AAhsCAgJlAAYyMDE2MTICBAIFAgYCBwIIAgkCIQILAh4CDQIIAggCCAIIAggCCAIIAggCCAIIAggCCAIIAggCCAIIAggCFQIDAmZzcQB+AAAAAAACc3EAfgAE///////////////+/////v////91cQB+AAcAAAADEn8GeHh3igIeAAIbAgICQAIEAgUCBgIHAggCCQIhAgsCHgINAggCCAIIAggCCAIIAggCCAIIAggCCAIIAggCCAIIAggCCAIVAgMCIgIeAAIbAgICTQIEAgUCBgIHAggCCQIpAgsCHgINAggCCAIIAggCCAIIAggCCAIIAggCCAIIAggCCAIIAggCCAIVAgMCZ3NxAH4AAAAAAAJzcQB+AAT///////////////7////+AAAAAXVxAH4ABwAAAAO5cnx4eHdNAh4AAhsCAgJoAAYyMDE2MDkCBAIFAgYCBwIIAgkCHQILAh4CDQIIAggCCAIIAggCCAIIAggCCAIIAggCCAIIAggCCAIIAggCFQIDAmlzcQB+AAAAAAACc3EAfgAE///////////////+/////v////91cQB+AAcAAAAEM7yWknh4d0UCHgACGwICAl4CBAIFAgYCBwIIAgkCKQILAh4CDQIIAggCCAIIAggCCAIIAggCCAIIAggCCAIIAggCCAIIAggCFQIDAmpzcQB+AAAAAAACc3EAfgAE///////////////+/////v////91cQB+AAcAAAAECL1IIXh4d0UCHgACGwICAlcCBAIFAgYCBwIIAgkCHQILAh4CDQIIAggCCAIIAggCCAIIAggCCAIIAggCCAIIAggCCAIIAggCFQIDAmtzcQB+AAAAAAACc3EAfgAE///////////////+/////v////91cQB+AAcAAAAEMPCBKHh4d0UCHgACGwICAlUCBAIFAgYCBwIIAgkCHQILAh4CDQIIAggCCAIIAggCCAIIAggCCAIIAggCCAIIAggCCAIIAggCFQIDAmxzcQB+AAAAAAACc3EAfgAE///////////////+/////v////91cQB+AAcAAAAEI8Z4/Xh4d00CHgACGwICAm0ABjIwMTcwNQIEAgUCBgIHAggCCQIhAgsCHgINAggCCAIIAggCCAIIAggCCAIIAggCCAIIAggCCAIIAggCCAIVAgMCbnNxAH4AAAAAAAJzcQB+AAT///////////////7////+/////3VxAH4ABwAAAAMSksp4eHdFAh4AAhsCAgJEAgQCBQIGAgcCCAIJAikCCwIeAg0CCAIIAggCCAIIAggCCAIIAggCCAIIAggCCAIIAggCCAIIAhUCAwJvc3EAfgAAAAAAAnNxAH4ABP///////////////v////7/////dXEAfgAHAAAABAor0+d4eHdFAh4AAhsCAgJiAgQCBQIGAgcCCAIJAikCCwIeAg0CCAIIAggCCAIIAggCCAIIAggCCAIIAggCCAIIAggCCAIIAhUCAwJwc3EAfgAAAAAAAnNxAH4ABP///////////////v////7/////dXEAfgAHAAAABA4LHEp4eHdFAh4AAhsCAgJoAgQCBQIGAgcCCAIJAikCCwIeAg0CCAIIAggCCAIIAggCCAIIAggCCAIIAggCCAIIAggCCAIIAhUCAwJxc3EAfgAAAAAAAnNxAH4ABP///////////////v////7/////dXEAfgAHAAAAAzL3EXh4d0UCHgACGwICAiMCBAIFAgYCBwIIAgkCHQILAh4CDQIIAggCCAIIAggCCAIIAggCCAIIAggCCAIIAggCCAIIAggCFQIDAnJzcQB+AAAAAAACc3EAfgAE///////////////+/////v////91cQB+AAcAAAAELv3gknh4d0UCHgACGwICAicCBAIFAgYCBwIIAgkCIQILAh4CDQIIAggCCAIIAggCCAIIAggCCAIIAggCCAIIAggCCAIIAggCFQIDAnNzcQB+AAAAAAACc3EAfgAE///////////////+/////v////91cQB+AAcAAAADEp6veHh3RQIeAAIbAgICMAIEAgUCBgIHAggCCQIhAgsCHgINAggCCAIIAggCCAIIAggCCAIIAggCCAIIAggCCAIIAggCCAIVAgMCdHNxAH4AAAAAAAJzcQB+AAT///////////////7////+/////3VxAH4ABwAAAAMSZ2t4eHeKAh4AAhsCAgIrAgQCBQIGAgcCCAIJAiECCwIeAg0CCAIIAggCCAIIAggCCAIIAggCCAIIAggCCAIIAggCCAIIAhUCAwIiAh4AAhsCAgJGAgQCBQIGAgcCCAIJAikCCwIeAg0CCAIIAggCCAIIAggCCAIIAggCCAIIAggCCAIIAggCCAIIAhUCAwJ1c3EAfgAAAAAAAnNxAH4ABP///////////////v////4AAAABdXEAfgAHAAAABAJaEtJ4eHdFAh4AAhsCAgIyAgQCBQIGAgcCCAIJAh0CCwIeAg0CCAIIAggCCAIIAggCCAIIAggCCAIIAggCCAIIAggCCAIIAhUCAwJ2c3EAfgAAAAAAAnNxAH4ABP///////////////v////7/////dXEAfgAHAAAABC6RhSt4eHdFAh4AAhsCAgJgAgQCBQIGAgcCCAIJAikCCwIeAg0CCAIIAggCCAIIAggCCAIIAggCCAIIAggCCAIIAggCCAIIAhUCAwJ3c3EAfgAAAAAAAnNxAH4ABP///////////////v////4AAAABdXEAfgAHAAAABAYbWmp4eHdFAh4AAhsCAgJSAgQCBQIGAgcCCAIJAikCCwIeAg0CCAIIAggCCAIIAggCCAIIAggCCAIIAggCCAIIAggCCAIIAhUCAwJ4c3EAfgAAAAAAAnNxAH4ABP///////////////v////7/////dXEAfgAHAAAABAUEo0F4eHdFAh4AAhsCAgI0AgQCBQIGAgcCCAIJAh0CCwIeAg0CCAIIAggCCAIIAggCCAIIAggCCAIIAggCCAIIAggCCAIIAhUCAwJ5c3EAfgAAAAAAAnNxAH4ABP///////////////v////7/////dXEAfgAHAAAABCYvMsJ4eHeKAh4AAhsCAgJUAgQCBQIGAgcCCAIJAh0CCwIeAg0CCAIIAggCCAIIAggCCAIIAggCCAIIAggCCAIIAggCCAIIAhUCAwJcAh4AAhsCAgI2AgQCBQIGAgcCCAIJAh0CCwIeAg0CCAIIAggCCAIIAggCCAIIAggCCAIIAggCCAIIAggCCAIIAhUCAwJ6c3EAfgAAAAAAAnNxAH4ABP///////////////v////7/////dXEAfgAHAAAABDWm++V4eHdFAh4AAhsCAgI7AgQCBQIGAgcCCAIJAiECCwIeAg0CCAIIAggCCAIIAggCCAIIAggCCAIIAggCCAIIAggCCAIIAhUCAwJ7c3EAfgAAAAAAAnNxAH4ABP///////////////v////7/////dXEAfgAHAAAAAxKWwHh4d0UCHgACGwICAkICBAIFAgYCBwIIAgkCHQILAh4CDQIIAggCCAIIAggCCAIIAggCCAIIAggCCAIIAggCCAIIAggCFQIDAnxzcQB+AAAAAAACc3EAfgAE///////////////+/////v////91cQB+AAcAAAAEC9ESdHh4d0UCHgACGwICAjICBAIFAgYCBwIIAgkCKQILAh4CDQIIAggCCAIIAggCCAIIAggCCAIIAggCCAIIAggCCAIIAggCFQIDAn1zcQB+AAAAAAACc3EAfgAE///////////////+/////v////91cQB+AAcAAAADTrgKeHh3RQIeAAIbAgICRAIEAgUCBgIHAggCCQIdAgsCHgINAggCCAIIAggCCAIIAggCCAIIAggCCAIIAggCCAIIAggCCAIVAgMCfnNxAH4AAAAAAAJzcQB+AAT///////////////7////+/////3VxAH4ABwAAAAQpRoS2eHh3RQIeAAIbAgICHAIEAgUCBgIHAggCCQIhAgsCHgINAggCCAIIAggCCAIIAggCCAIIAggCCAIIAggCCAIIAggCCAIVAgMCf3NxAH4AAAAAAAJzcQB+AAT///////////////7////+/////3VxAH4ABwAAAAMSb0Z4eHdFAh4AAhsCAgJGAgQCBQIGAgcCCAIJAh0CCwIeAg0CCAIIAggCCAIIAggCCAIIAggCCAIIAggCCAIIAggCCAIIAhUCAwKAc3EAfgAAAAAAAnNxAH4ABP///////////////v////7/////dXEAfgAHAAAABDlFLv54eHeKAh4AAhsCAgJJAgQCBQIGAgcCCAIJAiECCwIeAg0CCAIIAggCCAIIAggCCAIIAggCCAIIAggCCAIIAggCCAIIAhUCAwIiAh4AAhsCAgIuAgQCBQIGAgcCCAIJAiECCwIeAg0CCAIIAggCCAIIAggCCAIIAggCCAIIAggCCAIIAggCCAIIAhUCAwKBc3EAfgAAAAAAAnNxAH4ABP///////////////v////7/////dXEAfgAHAAAAAxKC+Hh4d0UCHgACGwICAjsCBAIFAgYCBwIIAgkCKQILAh4CDQIIAggCCAIIAggCCAIIAggCCAIIAggCCAIIAggCCAIIAggCFQIDAoJzcQB+AAAAAAACc3EAfgAE///////////////+/////v////91cQB+AAcAAAAEAW1K0nh4d4oCHgACGwICAjkCBAIFAgYCBwIIAgkCIQILAh4CDQIIAggCCAIIAggCCAIIAggCCAIIAggCCAIIAggCCAIIAggCFQIDAiICHgACGwICAj0CBAIFAgYCBwIIAgkCIQILAh4CDQIIAggCCAIIAggCCAIIAggCCAIIAggCCAIIAggCCAIIAggCFQIDAoNzcQB+AAAAAAACc3EAfgAE///////////////+/////v////91cQB+AAcAAAADElupeHh3igIeAAIbAgICNwIEAgUCBgIHAggCCQIhAgsCHgINAggCCAIIAggCCAIIAggCCAIIAggCCAIIAggCCAIIAggCCAIVAgMCIgIeAAIbAgICUQIEAgUCBgIHAggCCQIdAgsCHgINAggCCAIIAggCCAIIAggCCAIIAggCCAIIAggCCAIIAggCCAIVAgMChHNxAH4AAAAAAAJzcQB+AAT///////////////7////+/////3VxAH4ABwAAAAQcI3yQeHh3RQIeAAIbAgICUgIEAgUCBgIHAggCCQIdAgsCHgINAggCCAIIAggCCAIIAggCCAIIAggCCAIIAggCCAIIAggCCAIVAgMChXNxAH4AAAAAAAJzcQB+AAT///////////////7////+/////3VxAH4ABwAAAAQp4OUTeHh3RQIeAAIbAgICZQIEAgUCBgIHAggCCQIpAgsCHgINAggCCAIIAggCCAIIAggCCAIIAggCCAIIAggCCAIIAggCCAIVAgMChnNxAH4AAAAAAAJzcQB+AAT///////////////7////+/////3VxAH4ABwAAAAQdEKl0eHh3RQIeAAIbAgICXQIEAgUCBgIHAggCCQIdAgsCHgINAggCCAIIAggCCAIIAggCCAIIAggCCAIIAggCCAIIAggCCAIVAgMCh3NxAH4AAAAAAAJzcQB+AAT///////////////7////+/////3VxAH4ABwAAAAQu9BT/eHh3RQIeAAIbAgICbQIEAgUCBgIHAggCCQIpAgsCHgINAggCCAIIAggCCAIIAggCCAIIAggCCAIIAggCCAIIAggCCAIVAgMCiHNxAH4AAAAAAAJzcQB+AAT///////////////7////+/////3VxAH4ABwAAAAQC12dUeHh3RQIeAAIbAgICWgIEAgUCBgIHAggCCQIdAgsCHgINAggCCAIIAggCCAIIAggCCAIIAggCCAIIAggCCAIIAggCCAIVAgMCiXNxAH4AAAAAAAJzcQB+AAT///////////////7////+/////3VxAH4ABwAAAAQbsx5ceHh3RQIeAAIbAgICTQIEAgUCBgIHAggCCQIhAgsCHgINAggCCAIIAggCCAIIAggCCAIIAggCCAIIAggCCAIIAggCCAIVAgMCinNxAH4AAAAAAAJzcQB+AAT///////////////7////+/////3VxAH4ABwAAAAMSdyV4eHdFAh4AAhsCAgJJAgQCBQIGAgcCCAIJAikCCwIeAg0CCAIIAggCCAIIAggCCAIIAggCCAIIAggCCAIIAggCCAIIAhUCAwKLc3EAfgAAAAAAAnNxAH4ABP///////////////v////7/////dXEAfgAHAAAABBa3qKJ4eHdFAh4AAhsCAgJgAgQCBQIGAgcCCAIJAh0CCwIeAg0CCAIIAggCCAIIAggCCAIIAggCCAIIAggCCAIIAggCCAIIAhUCAwKMc3EAfgAAAAAAAnNxAH4ABP///////////////v////7/////dXEAfgAHAAAABENETeB4eHdFAh4AAhsCAgJeAgQCBQIGAgcCCAIJAiECCwIeAg0CCAIIAggCCAIIAggCCAIIAggCCAIIAggCCAIIAggCCAIIAhUCAwKNc3EAfgAAAAAAAnNxAH4ABP///////////////v////7/////dXEAfgAHAAAAAxKK33h4d0UCHgACGwICAkACBAIFAgYCBwIIAgkCHQILAh4CDQIIAggCCAIIAggCCAIIAggCCAIIAggCCAIIAggCCAIIAggCFQIDAo5zcQB+AAAAAAACc3EAfgAE///////////////+/////v////91cQB+AAcAAAAEKsKx+Hh4d0UCHgACGwICAmUCBAIFAgYCBwIIAgkCHQILAh4CDQIIAggCCAIIAggCCAIIAggCCAIIAggCCAIIAggCCAIIAggCFQIDAo9zcQB+AAAAAAACc3EAfgAE///////////////+/////v////91cQB+AAcAAAAEFay1n3h4d0UCHgACGwICAiACBAIFAgYCBwIIAgkCKQILAh4CDQIIAggCCAIIAggCCAIIAggCCAIIAggCCAIIAggCCAIIAggCFQIDApBzcQB+AAAAAAACc3EAfgAE///////////////+/////gAAAAF1cQB+AAcAAAAEBXlFQnh4d0UCHgACGwICAmgCBAIFAgYCBwIIAgkCIQILAh4CDQIIAggCCAIIAggCCAIIAggCCAIIAggCCAIIAggCCAIIAggCFQIDApFzcQB+AAAAAAACc3EAfgAE///////////////+/////v////91cQB+AAcAAAADEnM1eHh3RQIeAAIbAgICUQIEAgUCBgIHAggCCQIpAgsCHgINAggCCAIIAggCCAIIAggCCAIIAggCCAIIAggCCAIIAggCCAIVAgMCknNxAH4AAAAAAAJzcQB+AAT///////////////7////+/////3VxAH4ABwAAAAQewHRseHh3RQIeAAIbAgICIwIEAgUCBgIHAggCCQIpAgsCHgINAggCCAIIAggCCAIIAggCCAIIAggCCAIIAggCCAIIAggCCAIVAgMCk3NxAH4AAAAAAAJzcQB+AAT///////////////7////+/////3VxAH4ABwAAAAQBBpRgeHh3RQIeAAIbAgICYgIEAgUCBgIHAggCCQIhAgsCHgINAggCCAIIAggCCAIIAggCCAIIAggCCAIIAggCCAIIAggCCAIVAgMClHNxAH4AAAAAAAJzcQB+AAT///////////////7////+/////3VxAH4ABwAAAAMShut4eHeKAh4AAhsCAgJUAgQCBQIGAgcCCAIJAikCCwIeAg0CCAIIAggCCAIIAggCCAIIAggCCAIIAggCCAIIAggCCAIIAhUCAwI6Ah4AAhsCAgJVAgQCBQIGAgcCCAIJAiECCwIeAg0CCAIIAggCCAIIAggCCAIIAggCCAIIAggCCAIIAggCCAIIAhUCAwKVc3EAfgAAAAAAAnNxAH4ABP///////////////v////7/////dXEAfgAHAAAAAxJflHh4d88CHgACGwICAiUCBAIFAgYCBwIIAgkCIQILAh4CDQIIAggCCAIIAggCCAIIAggCCAIIAggCCAIIAggCCAIIAggCFQIDAiICHgACGwICAlcCBAIFAgYCBwIIAgkCIQILAh4CDQIIAggCCAIIAggCCAIIAggCCAIIAggCCAIIAggCCAIIAggCFQIDAiICHgACGwICAiACBAIFAgYCBwIIAgkCHQILAh4CDQIIAggCCAIIAggCCAIIAggCCAIIAggCCAIIAggCCAIIAggCFQIDApZzcQB+AAAAAAACc3EAfgAE///////////////+/////v////91cQB+AAcAAAAEPiM+uHh4d0UCHgACGwICAl0CBAIFAgYCBwIIAgkCKQILAh4CDQIIAggCCAIIAggCCAIIAggCCAIIAggCCAIIAggCCAIIAggCFQIDApdzcQB+AAAAAAACc3EAfgAE///////////////+/////v////91cQB+AAcAAAAEATJrz3h4d0UCHgACGwICAloCBAIFAgYCBwIIAgkCKQILAh4CDQIIAggCCAIIAggCCAIIAggCCAIIAggCCAIIAggCCAIIAggCFQIDAphzcQB+AAAAAAACc3EAfgAE///////////////+/////v////91cQB+AAcAAAAEBFuSEHh4d0UCHgACGwICAm0CBAIFAgYCBwIIAgkCHQILAh4CDQIIAggCCAIIAggCCAIIAggCCAIIAggCCAIIAggCCAIIAggCFQIDAplzcQB+AAAAAAACc3EAfgAE///////////////+/////v////91cQB+AAcAAAAEKiZPC3h4egAABAACHgACmgAJNjc4NjM2ODk2AgICMgIEAgUCBgIHAggCCQIpAgsCHgINAggCCAIIAggCCAIIAggCCAIIAggCCAIIAggCCAIIAggCCAIFAgMCfQIeAAKaAgICbQIEAgUCBgIHAggCCQIpAgsCHgINAggCCAIIAggCCAIIAggCCAIIAggCCAIIAggCCAIIAggCCAIFAgMCiAIeAAKaAgICXQIEAgUCBgIHAggCCQIpAgsCHgINAggCCAIIAggCCAIIAggCCAIIAggCCAIIAggCCAIIAggCCAIFAgMClwIeAAKaAgICVwIEAgUCBgIHAggCCQIpAgsCHgINAggCCAIIAggCCAIIAggCCAIIAggCCAIIAggCCAIIAggCCAIFAgMCWAIeAAKaAgICJQIEAgUCBgIHAggCCQIpAgsCHgINAggCCAIIAggCCAIIAggCCAIIAggCCAIIAggCCAIIAggCCAIFAgMCKgIeAAKaAgICSQIEAgUCBgIHAggCCQIpAgsCHgINAggCCAIIAggCCAIIAggCCAIIAggCCAIIAggCCAIIAggCCAIFAgMCiwIeAAKaAgICXgIEAgUCBgIHAggCCQIpAgsCHgINAggCCAIIAggCCAIIAggCCAIIAggCCAIIAggCCAIIAggCCAIFAgMCagIeAAKaAgICRgIEAgUCBgIHAggCCQIpAgsCHgINAggCCAIIAggCCAIIAggCCAIIAggCCAIIAggCCAIIAggCCAIFAgMCdQIeAAKaAgICLgIEAgUCBgIHAggCCQIpAgsCHgINAggCCAIIAggCCAIIAggCCAIIAggCCAIIAggCCAIIAggCCAIFAgMCLwIeAAKaAgICYAIEAgUCBgIHAggCCQIpAgsCHgINAggCCAIIAggCCAIIAggCCAIIAggCCAIIAggCCAIIAggCCAIFAgMCdwIeAAKaAgICUgIEAgUCBgIHAggCCQIpAgsCHgINAggCCAIIAggCCAIIAggCCAIIAggCCAIIAggCCAIIAggCCAIFAgMCeAIeAAKaAgICOwIEAgUCBgIHAggCCQIpAgsCHgINAggCCAIIAggCCAIIAggCCAIIAggCCAIIAggCCAIIAggCCAIFAgMCggIeAAKaAgICQAIEAgUCBgIHAggCCQIpAgsCHgINAggCCAIIAggCCAIIAggCCAIIAggCCAIIAggCCAIIAggCCAIFAgMCQQIeAAKaAgICRAIEAgUCBgIHAggCCQIpAgsCHgINAggCCAIIAggCCAIIAggCCAIIAggCCAIIAggCCAIIAggCCAIFAgMCbwIeAAKaAgICNwIEAgUCBgIHAggCCQIpAgsCHgINAggCCAIIAggCCAIIAggCCAIIegAAAXoCCAIIAggCCAIIAggCCAIIAgUCAwI4Ah4AApoCAgJRAgQCBQIGAgcCCAIJAikCCwIeAg0CCAIIAggCCAIIAggCCAIIAggCCAIIAggCCAIIAggCCAIIAgUCAwKSAh4AApoCAgInAgQCBQIGAgcCCAIJAikCCwIeAg0CCAIIAggCCAIIAggCCAIIAggCCAIIAggCCAIIAggCCAIIAgUCAwJkAh4AApoCAgJiAgQCBQIGAgcCCAIJAikCCwIeAg0CCAIIAggCCAIIAggCCAIIAggCCAIIAggCCAIIAggCCAIIAgUCAwJwAh4AApsACTY3ODUzMzE4NAICAlECBAIFAgYCBwIIAgkCCgILAgwCDQIIAggCCAIIAggCCAIIAggCCAIIAggCCAIIAggCCAIIAggCIAIDAiICHgACmwICAk0CBAIFAgYCBwIIAgkCCgILAgwCDQIIAggCCAIIAggCCAIIAggCCAIIAggCCAIIAggCCAIIAggCIAIDApxzcQB+AAAAAAACc3EAfgAE///////////////+/////v////91cQB+AAcAAAADBT+veHh3RQIeAAKbAgICMgIEAgUCBgIHAggCCQIdAgsCDAINAggCCAIIAggCCAIIAggCCAIIAggCCAIIAggCCAIIAggCCAIgAgMCnXNxAH4AAAAAAAJzcQB+AAT///////////////7////+/////3VxAH4ABwAAAARe1GL4eHh3RQIeAAKbAgICRgIEAgUCBgIHAggCCQIpAgsCDAINAggCCAIIAggCCAIIAggCCAIIAggCCAIIAggCCAIIAggCCAIgAgMCnnNxAH4AAAAAAAJzcQB+AAT///////////////7////+AAAAAXVxAH4ABwAAAAQCjrCgeHh3RQIeAAKbAgICHAIEAgUCBgIHAggCCQIpAgsCDAINAggCCAIIAggCCAIIAggCCAIIAggCCAIIAggCCAIIAggCCAIgAgMCn3NxAH4AAAAAAAJzcQB+AAT///////////////7////+/////3VxAH4ABwAAAAQCvT+keHh3RQIeAAKbAgICbQIEAgUCBgIHAggCCQIKAgsCDAINAggCCAIIAggCCAIIAggCCAIIAggCCAIIAggCCAIIAggCCAIgAgMCoHNxAH4AAAAAAAJzcQB+AAT///////////////7////+/////3VxAH4ABwAAAAMEVit4eHdFAh4AApsCAgIlAgQCBQIGAgcCCAIJAikCCwIMAg0CCAIIAggCCAIIAggCCAIIAggCCAIIAggCCAIIAggCCAIIAiACAwKhc3EAfgAAAAAAAnNxAH4ABP///////////////v////7/////dXEAfgAHAAAABCZxo1d4eHdFAh4AApsCAgJVAgQCBQIGAgcCCAIJAgoCCwIMAg0CCAIIAggCCAIIAggCCAIIAggCCAIIAggCCAIIAggCCAIIAiACAwKic3EAfgAAAAAAAnNxAH4ABP///////////////v////7/////dXEAfgAHAAAAAwzG/nh4d0UCHgACmwICAicCBAIFAgYCBwIIAgkCKQILAgwCDQIIAggCCAIIAggCCAIIAggCCAIIAggCCAIIAggCCAIIAggCIAIDAqNzcQB+AAAAAAACc3EAfgAE///////////////+/////v////91cQB+AAcAAAADMpTWeHh3RQIeAAKbAgICYAIEAgUCBgIHAggCCQIKAgsCDAINAggCCAIIAggCCAIIAggCCAIIAggCCAIIAggCCAIIAggCCAIgAgMCpHNxAH4AAAAAAAJzcQB+AAT///////////////7////+/////3VxAH4ABwAAAAMD3Kt4eHdFAh4AApsCAgIwAgQCBQIGAgcCCAIJAh0CCwIMAg0CCAIIAggCCAIIAggCCAIIAggCCAIIAggCCAIIAggCCAIIAiACAwKlc3EAfgAAAAAAAnNxAH4ABP///////////////v////7/////dXEAfgAHAAAABFSIS5t4eHdFAh4AApsCAgIjAgQCBQIGAgcCCAIJAh0CCwIMAg0CCAIIAggCCAIIAggCCAIIAggCCAIIAggCCAIIAggCCAIIAiACAwKmc3EAfgAAAAAAAnNxAH4ABP///////////////v////7/////dXEAfgAHAAAABFovta14eHdFAh4AApsCAgInAgQCBQIGAgcCCAIJAh0CCwIMAg0CCAIIAggCCAIIAggCCAIIAggCCAIIAggCCAIIAggCCAIIAiACAwKnc3EAfgAAAAAAAnNxAH4ABP///////////////v////7/////dXEAfgAHAAAABGUxQat4eHdFAh4AApsCAgJaAgQCBQIGAgcCCAIJAgoCCwIMAg0CCAIIAggCCAIIAggCCAIIAggCCAIIAggCCAIIAggCCAIIAiACAwKoc3EAfgAAAAAAAnNxAH4ABP///////////////v////7/////dXEAfgAHAAAAAxIVy3h4d0UCHgACmwICAmgCBAIFAgYCBwIIAgkCKQILAgwCDQIIAggCCAIIAggCCAIIAggCCAIIAggCCAIIAggCCAIIAggCIAIDAqlzcQB+AAAAAAACc3EAfgAE///////////////+/////v////91cQB+AAcAAAAEAhunbnh4d0UCHgACmwICAi4CBAIFAgYCBwIIAgkCKQILAgwCDQIIAggCCAIIAggCCAIIAggCCAIIAggCCAIIAggCCAIIAggCIAIDAqpzcQB+AAAAAAACc3EAfgAE///////////////+/////v////91cQB+AAcAAAAEKOmGtnh4d0UCHgACmwICAjQCBAIFAgYCBwIIAgkCCgILAgwCDQIIAggCCAIIAggCCAIIAggCCAIIAggCCAIIAggCCAIIAggCIAIDAqtzcQB+AAAAAAACc3EAfgAE///////////////+/////v////91cQB+AAcAAAADC4KteHh3RQIeAAKbAgICOwIEAgUCBgIHAggCCQIKAgsCDAINAggCCAIIAggCCAIIAggCCAIIAggCCAIIAggCCAIIAggCCAIgAgMCrHNxAH4AAAAAAAJzcQB+AAT///////////////7////+/////3VxAH4ABwAAAAMEQ3p4eHdFAh4AApsCAgJEAgQCBQIGAgcCCAIJAikCCwIMAg0CCAIIAggCCAIIAggCCAIIAggCCAIIAggCCAIIAggCCAIIAiACAwKtc3EAfgAAAAAAAnNxAH4ABP///////////////v////7/////dXEAfgAHAAAABBli52V4eHdFAh4AApsCAgJRAgQCBQIGAgcCCAIJAh0CCwIMAg0CCAIIAggCCAIIAggCCAIIAggCCAIIAggCCAIIAggCCAIIAiACAwKuc3EAfgAAAAAAAnNxAH4ABP///////////////v////7/////dXEAfgAHAAAABDDQqrN4eHdFAh4AApsCAgIlAgQCBQIGAgcCCAIJAh0CCwIMAg0CCAIIAggCCAIIAggCCAIIAggCCAIIAggCCAIIAggCCAIIAiACAwKvc3EAfgAAAAAAAnNxAH4ABP///////////////v////7/////dXEAfgAHAAAABE7u6Np4eHdFAh4AApsCAgIwAgQCBQIGAgcCCAIJAgoCCwIMAg0CCAIIAggCCAIIAggCCAIIAggCCAIIAggCCAIIAggCCAIIAiACAwKwc3EAfgAAAAAAAnNxAH4ABP///////////////v////7/////dXEAfgAHAAAAAwqAVHh4d0UCHgACmwICAjQCBAIFAgYCBwIIAgkCKQILAgwCDQIIAggCCAIIAggCCAIIAggCCAIIAggCCAIIAggCCAIIAggCIAIDArFzcQB+AAAAAAACc3EAfgAE///////////////+/////v////91cQB+AAcAAAAEBDaJ43h4d0UCHgACmwICAjsCBAIFAgYCBwIIAgkCKQILAgwCDQIIAggCCAIIAggCCAIIAggCCAIIAggCCAIIAggCCAIIAggCIAIDArJzcQB+AAAAAAACc3EAfgAE///////////////+/////v////91cQB+AAcAAAAEA91NIHh4d0UCHgACmwICAm0CBAIFAgYCBwIIAgkCHQILAgwCDQIIAggCCAIIAggCCAIIAggCCAIIAggCCAIIAggCCAIIAggCIAIDArNzcQB+AAAAAAACc3EAfgAE///////////////+/////v////91cQB+AAcAAAAEWf3l8nh4d0UCHgACmwICAjICBAIFAgYCBwIIAgkCCgILAgwCDQIIAggCCAIIAggCCAIIAggCCAIIAggCCAIIAggCCAIIAggCIAIDArRzcQB+AAAAAAACc3EAfgAE///////////////+/////v////91cQB+AAcAAAADBDQ4eHh3RQIeAAKbAgICVQIEAgUCBgIHAggCCQIdAgsCDAINAggCCAIIAggCCAIIAggCCAIIAggCCAIIAggCCAIIAggCCAIgAgMCtXNxAH4AAAAAAAJzcQB+AAT///////////////7////+/////3VxAH4ABwAAAARIcHiveHh3RQIeAAKbAgICLgIEAgUCBgIHAggCCQIKAgsCDAINAggCCAIIAggCCAIIAggCCAIIAggCCAIIAggCCAIIAggCCAIgAgMCtnNxAH4AAAAAAAJzcQB+AAT///////////////7////+/////3VxAH4ABwAAAAMFZP94eHeKAh4AApsCAgJJAgQCBQIGAgcCCAIJAgoCCwIMAg0CCAIIAggCCAIIAggCCAIIAggCCAIIAggCCAIIAggCCAIIAiACAwIiAh4AApsCAgJeAgQCBQIGAgcCCAIJAikCCwIMAg0CCAIIAggCCAIIAggCCAIIAggCCAIIAggCCAIIAggCCAIIAiACAwK3c3EAfgAAAAAAAnNxAH4ABP///////////////v////7/////dXEAfgAHAAAABBD98iN4eHdFAh4AApsCAgJCAgQCBQIGAgcCCAIJAgoCCwIMAg0CCAIIAggCCAIIAggCCAIIAggCCAIIAggCCAIIAggCCAIIAiACAwK4c3EAfgAAAAAAAnNxAH4ABP///////////////v////7/////dXEAfgAHAAAAAwZoK3h4d0UCHgACmwICAloCBAIFAgYCBwIIAgkCKQILAgwCDQIIAggCCAIIAggCCAIIAggCCAIIAggCCAIIAggCCAIIAggCIAIDArlzcQB+AAAAAAACc3EAfgAE///////////////+/////v////91cQB+AAcAAAAECCX/sXh4d0UCHgACmwICAiMCBAIFAgYCBwIIAgkCKQILAgwCDQIIAggCCAIIAggCCAIIAggCCAIIAggCCAIIAggCCAIIAggCIAIDArpzcQB+AAAAAAACc3EAfgAE///////////////+/////v////91cQB+AAcAAAAEAzaSmXh4d0UCHgACmwICAj0CBAIFAgYCBwIIAgkCCgILAgwCDQIIAggCCAIIAggCCAIIAggCCAIIAggCCAIIAggCCAIIAggCIAIDArtzcQB+AAAAAAACc3EAfgAE///////////////+/////v////91cQB+AAcAAAADDoPdeHh3RQIeAAKbAgICTQIEAgUCBgIHAggCCQIpAgsCDAINAggCCAIIAggCCAIIAggCCAIIAggCCAIIAggCCAIIAggCCAIgAgMCvHNxAH4AAAAAAAJzcQB+AAT///////////////7////+/////3VxAH4ABwAAAAO8XLJ4eHdFAh4AApsCAgJoAgQCBQIGAgcCCAIJAh0CCwIMAg0CCAIIAggCCAIIAggCCAIIAggCCAIIAggCCAIIAggCCAIIAiACAwK9c3EAfgAAAAAAAnNxAH4ABP///////////////v////7/////dXEAfgAHAAAABGExCBR4eHdFAh4AApsCAgJSAgQCBQIGAgcCCAIJAgoCCwIMAg0CCAIIAggCCAIIAggCCAIIAggCCAIIAggCCAIIAggCCAIIAiACAwK+c3EAfgAAAAAAAnNxAH4ABP///////////////v////7/////dXEAfgAHAAAAAwR0jXh4d0UCHgACmwICAmUCBAIFAgYCBwIIAgkCHQILAgwCDQIIAggCCAIIAggCCAIIAggCCAIIAggCCAIIAggCCAIIAggCIAIDAr9zcQB+AAAAAAACc3EAfgAE///////////////+/////v////91cQB+AAcAAAAEKKPaWXh4d0UCHgACmwICAkYCBAIFAgYCBwIIAgkCCgILAgwCDQIIAggCCAIIAggCCAIIAggCCAIIAggCCAIIAggCCAIIAggCIAIDAsBzcQB+AAAAAAACc3EAfgAE///////////////+/////v////91cQB+AAcAAAADBA6ueHh3RQIeAAKbAgICHAIEAgUCBgIHAggCCQIKAgsCDAINAggCCAIIAggCCAIIAggCCAIIAggCCAIIAggCCAIIAggCCAIgAgMCwXNxAH4AAAAAAAJzcQB+AAT///////////////7////+/////3VxAH4ABwAAAAMItpx4eHdFAh4AApsCAgI9AgQCBQIGAgcCCAIJAikCCwIMAg0CCAIIAggCCAIIAggCCAIIAggCCAIIAggCCAIIAggCCAIIAiACAwLCc3EAfgAAAAAAAnNxAH4ABP///////////////v////7/////dXEAfgAHAAAABAXojm54eHdFAh4AApsCAgJSAgQCBQIGAgcCCAIJAikCCwIMAg0CCAIIAggCCAIIAggCCAIIAggCCAIIAggCCAIIAggCCAIIAiACAwLDc3EAfgAAAAAAAnNxAH4ABP///////////////v////7/////dXEAfgAHAAAABAnwakZ4eHeKAh4AApsCAgIlAgQCBQIGAgcCCAIJAgoCCwIMAg0CCAIIAggCCAIIAggCCAIIAggCCAIIAggCCAIIAggCCAIIAiACAwIiAh4AApsCAgJiAgQCBQIGAgcCCAIJAh0CCwIMAg0CCAIIAggCCAIIAggCCAIIAggCCAIIAggCCAIIAggCCAIIAiACAwLEc3EAfgAAAAAAAnNxAH4ABP///////////////v////7/////dXEAfgAHAAAABEmLU8l4eHdFAh4AApsCAgJRAgQCBQIGAgcCCAIJAikCCwIMAg0CCAIIAggCCAIIAggCCAIIAggCCAIIAggCCAIIAggCCAIIAiACAwLFc3EAfgAAAAAAAnNxAH4ABP///////////////v////7/////dXEAfgAHAAAABES6V7x4eHdFAh4AApsCAgJaAgQCBQIGAgcCCAIJAh0CCwIMAg0CCAIIAggCCAIIAggCCAIIAggCCAIIAggCCAIIAggCCAIIAiACAwLGc3EAfgAAAAAAAnNxAH4ABP///////////////v////7/////dXEAfgAHAAAABDc49U94eHeKAh4AApsCAgJEAgQCBQIGAgcCCAIJAgoCCwIMAg0CCAIIAggCCAIIAggCCAIIAggCCAIIAggCCAIIAggCCAIIAiACAwIiAh4AApsCAgJoAgQCBQIGAgcCCAIJAgoCCwIMAg0CCAIIAggCCAIIAggCCAIIAggCCAIIAggCCAIIAggCCAIIAiACAwLHc3EAfgAAAAAAAnNxAH4ABP///////////////v////7/////dXEAfgAHAAAAAweN1Hh4d0UCHgACmwICAmACBAIFAgYCBwIIAgkCHQILAgwCDQIIAggCCAIIAggCCAIIAggCCAIIAggCCAIIAggCCAIIAggCIAIDAshzcQB+AAAAAAACc3EAfgAE///////////////+/////v////91cQB+AAcAAAAEgtyI8Xh4d0UCHgACmwICAkICBAIFAgYCBwIIAgkCKQILAgwCDQIIAggCCAIIAggCCAIIAggCCAIIAggCCAIIAggCCAIIAggCIAIDAslzcQB+AAAAAAACc3EAfgAE///////////////+/////v////91cQB+AAcAAAAETEMOFXh4d0UCHgACmwICAkkCBAIFAgYCBwIIAgkCKQILAgwCDQIIAggCCAIIAggCCAIIAggCCAIIAggCCAIIAggCCAIIAggCIAIDAspzcQB+AAAAAAACc3EAfgAE///////////////+/////v////91cQB+AAcAAAAENEm+I3h4d0UCHgACmwICAm0CBAIFAgYCBwIIAgkCKQILAgwCDQIIAggCCAIIAggCCAIIAggCCAIIAggCCAIIAggCCAIIAggCIAIDAstzcQB+AAAAAAACc3EAfgAE///////////////+/////v////91cQB+AAcAAAAEBiEYhXh4d0UCHgACmwICAlUCBAIFAgYCBwIIAgkCKQILAgwCDQIIAggCCAIIAggCCAIIAggCCAIIAggCCAIIAggCCAIIAggCIAIDAsxzcQB+AAAAAAACc3EAfgAE///////////////+/////v////91cQB+AAcAAAAEBOQwD3h4d0UCHgACmwICAl4CBAIFAgYCBwIIAgkCHQILAgwCDQIIAggCCAIIAggCCAIIAggCCAIIAggCCAIIAggCCAIIAggCIAIDAs1zcQB+AAAAAAACc3EAfgAE///////////////+/////v////91cQB+AAcAAAAEU2ObJnh4d0UCHgACmwICAj0CBAIFAgYCBwIIAgkCHQILAgwCDQIIAggCCAIIAggCCAIIAggCCAIIAggCCAIIAggCCAIIAggCIAIDAs5zcQB+AAAAAAACc3EAfgAE///////////////+/////v////91cQB+AAcAAAAEPftW4nh4d0UCHgACmwICAlICBAIFAgYCBwIIAgkCHQILAgwCDQIIAggCCAIIAggCCAIIAggCCAIIAggCCAIIAggCCAIIAggCIAIDAs9zcQB+AAAAAAACc3EAfgAE///////////////+/////v////91cQB+AAcAAAAEWnDZd3h4d0UCHgACmwICAmICBAIFAgYCBwIIAgkCCgILAgwCDQIIAggCCAIIAggCCAIIAggCCAIIAggCCAIIAggCCAIIAggCIAIDAtBzcQB+AAAAAAACc3EAfgAE///////////////+/////v////91cQB+AAcAAAADBPtoeHh3RQIeAAKbAgICTQIEAgUCBgIHAggCCQIdAgsCDAINAggCCAIIAggCCAIIAggCCAIIAggCCAIIAggCCAIIAggCCAIgAgMC0XNxAH4AAAAAAAJzcQB+AAT///////////////7////+/////3VxAH4ABwAAAARijcsWeHh3RQIeAAKbAgICZQIEAgUCBgIHAggCCQIpAgsCDAINAggCCAIIAggCCAIIAggCCAIIAggCCAIIAggCCAIIAggCCAIgAgMC0nNxAH4AAAAAAAJzcQB+AAT///////////////7////+/////3VxAH4ABwAAAAQ7i4i9eHh3RQIeAAKbAgICRgIEAgUCBgIHAggCCQIdAgsCDAINAggCCAIIAggCCAIIAggCCAIIAggCCAIIAggCCAIIAggCCAIgAgMC03NxAH4AAAAAAAJzcQB+AAT///////////////7////+/////3VxAH4ABwAAAARxBllJeHh3RQIeAAKbAgICZQIEAgUCBgIHAggCCQIKAgsCDAINAggCCAIIAggCCAIIAggCCAIIAggCCAIIAggCCAIIAggCCAIgAgMC1HNxAH4AAAAAAAJzcQB+AAT///////////////7////+/////3VxAH4ABwAAAAMG3JN4eHdFAh4AApsCAgJiAgQCBQIGAgcCCAIJAikCCwIMAg0CCAIIAggCCAIIAggCCAIIAggCCAIIAggCCAIIAggCCAIIAiACAwLVc3EAfgAAAAAAAnNxAH4ABP///////////////v////7/////dXEAfgAHAAAABBtHMdN4eHdFAh4AApsCAgIwAgQCBQIGAgcCCAIJAikCCwIMAg0CCAIIAggCCAIIAggCCAIIAggCCAIIAggCCAIIAggCCAIIAiACAwLWc3EAfgAAAAAAAnNxAH4ABP///////////////v////7/////dXEAfgAHAAAABAOri614eHdFAh4AApsCAgJeAgQCBQIGAgcCCAIJAgoCCwIMAg0CCAIIAggCCAIIAggCCAIIAggCCAIIAggCCAIIAggCCAIIAiACAwLXc3EAfgAAAAAAAnNxAH4ABP///////////////v////7/////dXEAfgAHAAAAAwSrl3h4d0UCHgACmwICAhwCBAIFAgYCBwIIAgkCHQILAgwCDQIIAggCCAIIAggCCAIIAggCCAIIAggCCAIIAggCCAIIAggCIAIDAthzcQB+AAAAAAACc3EAfgAE///////////////+/////v////91cQB+AAcAAAAEXVdQyXh4d0UCHgACmwICAkICBAIFAgYCBwIIAgkCHQILAgwCDQIIAggCCAIIAggCCAIIAggCCAIIAggCCAIIAggCCAIIAggCIAIDAtlzcQB+AAAAAAACc3EAfgAE///////////////+/////v////91cQB+AAcAAAAEElQVqnh4d0UCHgACmwICAkQCBAIFAgYCBwIIAgkCHQILAgwCDQIIAggCCAIIAggCCAIIAggCCAIIAggCCAIIAggCCAIIAggCIAIDAtpzcQB+AAAAAAACc3EAfgAE///////////////+/////v////91cQB+AAcAAAAETypx+Xh4d0UCHgACmwICAi4CBAIFAgYCBwIIAgkCHQILAgwCDQIIAggCCAIIAggCCAIIAggCCAIIAggCCAIIAggCCAIIAggCIAIDAttzcQB+AAAAAAACc3EAfgAE///////////////+/////v////91cQB+AAcAAAAEPRU7dnh4d0UCHgACmwICAiMCBAIFAgYCBwIIAgkCCgILAgwCDQIIAggCCAIIAggCCAIIAggCCAIIAggCCAIIAggCCAIIAggCIAIDAtxzcQB+AAAAAAACc3EAfgAE///////////////+/////v////91cQB+AAcAAAADCZ5/eHh3RQIeAAKbAgICSQIEAgUCBgIHAggCCQIdAgsCDAINAggCCAIIAggCCAIIAggCCAIIAggCCAIIAggCCAIIAggCCAIgAgMC3XNxAH4AAAAAAAJzcQB+AAT///////////////7////+/////3VxAH4ABwAAAARCNLx8eHh3RQIeAAKbAgICOwIEAgUCBgIHAggCCQIdAgsCDAINAggCCAIIAggCCAIIAggCCAIIAggCCAIIAggCCAIIAggCCAIgAgMC3nNxAH4AAAAAAAJzcQB+AAT///////////////7////+/////3VxAH4ABwAAAARYCwcseHh3RQIeAAKbAgICYAIEAgUCBgIHAggCCQIpAgsCDAINAggCCAIIAggCCAIIAggCCAIIAggCCAIIAggCCAIIAggCCAIgAgMC33NxAH4AAAAAAAJzcQB+AAT///////////////7////+AAAAAXVxAH4ABwAAAAQJDRX9eHh3RQIeAAKbAgICMgIEAgUCBgIHAggCCQIpAgsCDAINAggCCAIIAggCCAIIAggCCAIIAggCCAIIAggCCAIIAggCCAIgAgMC4HNxAH4AAAAAAAJzcQB+AAT///////////////7////+/////3VxAH4ABwAAAAQCCvb0eHh3RQIeAAKbAgICNAIEAgUCBgIHAggCCQIdAgsCDAINAggCCAIIAggCCAIIAggCCAIIAggCCAIIAggCCAIIAggCCAIgAgMC4XNxAH4AAAAAAAJzcQB+AAT///////////////7////+/////3VxAH4ABwAAAARMKwuAeHh3RQIeAAKbAgICJwIEAgUCBgIHAggCCQIKAgsCDAINAggCCAIIAggCCAIIAggCCAIIAggCCAIIAggCCAIIAggCCAIgAgMC4nNxAH4AAAAAAAJzcQB+AAT///////////////7////+/////3VxAH4ABwAAAAMEJQl4eHoAAAQAAh4AAuMACTY3ODYzNDU3NgICAkACBAIFAgYCBwIIAgkCHQILAh4CDQIIAggCCAIIAggCCAIIAggCCAIIAggCCAIIAggCCAIIAggCAwIDAo4CHgAC4wICAmICBAIFAgYCBwIIAgkCHQILAh4CDQIIAggCCAIIAggCCAIIAggCCAIIAggCCAIIAggCCAIIAggCAwIDAmMCHgAC4wICAjcCBAIFAgYCBwIIAgkCHQILAh4CDQIIAggCCAIIAggCCAIIAggCCAIIAggCCAIIAggCCAIIAggCAwIDAk8CHgAC4wICAiUCBAIFAgYCBwIIAgkCHQILAh4CDQIIAggCCAIIAggCCAIIAggCCAIIAggCCAIIAggCCAIIAggCAwIDAiYCHgAC4wICAjsCBAIFAgYCBwIIAgkCHQILAh4CDQIIAggCCAIIAggCCAIIAggCCAIIAggCCAIIAggCCAIIAggCAwIDAjwCHgAC4wICAlECBAIFAgYCBwIIAgkCHQILAh4CDQIIAggCCAIIAggCCAIIAggCCAIIAggCCAIIAggCCAIIAggCAwIDAoQCHgAC4wICAicCBAIFAgYCBwIIAgkCHQILAh4CDQIIAggCCAIIAggCCAIIAggCCAIIAggCCAIIAggCCAIIAggCAwIDAigCHgAC4wICAlICBAIFAgYCBwIIAgkCHQILAh4CDQIIAggCCAIIAggCCAIIAggCCAIIAggCCAIIAggCCAIIAggCAwIDAoUCHgAC4wICAl4CBAIFAgYCBwIIAgkCHQILAh4CDQIIAggCCAIIAggCCAIIAggCCAIIAggCCAIIAggCCAIIAggCAwIDAl8CHgAC4wICAl0CBAIFAgYCBwIIAgkCHQILAh4CDQIIAggCCAIIAggCCAIIAggCCAIIAggCCAIIAggCCAIIAggCAwIDAocCHgAC4wICAkQCBAIFAgYCBwIIAgkCHQILAh4CDQIIAggCCAIIAggCCAIIAggCCAIIAggCCAIIAggCCAIIAggCAwIDAn4CHgAC4wICAlcCBAIFAgYCBwIIAgkCHQILAh4CDQIIAggCCAIIAggCCAIIAggCCAIIAggCCAIIAggCCAIIAggCAwIDAmsCHgAC4wICAjICBAIFAgYCBwIIAgkCHQILAh4CDQIIAggCCAIIAggCCAIIAggCCAIIAggCCAIIAggCCAIIAggCAwIDAnYCHgAC4wICAkYCBAIFAgYCBwIIAgkCHQILAh4CDQIIAggCCAIIAggCCAIIAggCCAIIAggCCAIIAggCCAIIAggCAwIDAoACHgAC4wICAm0CBAIFAgYCBwIIAgkCHQILAh4CDQIIAggCCAIIAggCCAIIAggCCHoAAAQAAggCCAIIAggCCAIIAggCCAIDAgMCmQIeAALjAgICLgIEAgUCBgIHAggCCQIdAgsCHgINAggCCAIIAggCCAIIAggCCAIIAggCCAIIAggCCAIIAggCCAIDAgMCSAIeAALjAgICSQIEAgUCBgIHAggCCQIdAgsCHgINAggCCAIIAggCCAIIAggCCAIIAggCCAIIAggCCAIIAggCCAIDAgMCSgIeAALjAgICYAIEAgUCBgIHAggCCQIdAgsCHgINAggCCAIIAggCCAIIAggCCAIIAggCCAIIAggCCAIIAggCCAIDAgMCjAIeAALkAAk1ODkyMDMyNzICAgIuAgQCBQIGAgcCCAIJAh0CCwIeAg0CCAIIAggCCAIIAggCCAIIAggCCAIIAggCCAIIAggCCAIIAhcCAwJIAh4AAuQCAgJeAgQCBQIGAgcCCAIJAikCCwIeAg0CCAIIAggCCAIIAggCCAIIAggCCAIIAggCCAIIAggCCAIIAhcCAwJqAh4AAuQCAgJoAgQCBQIGAgcCCAIJAiECCwIeAg0CCAIIAggCCAIIAggCCAIIAggCCAIIAggCCAIIAggCCAIIAhcCAwKRAh4AAuQCAgI5AgQCBQIGAgcCCAIJAikCCwIeAg0CCAIIAggCCAIIAggCCAIIAggCCAIIAggCCAIIAggCCAIIAhcCAwI6Ah4AAuQCAgIgAgQCBQIGAgcCCAIJAiECCwIeAg0CCAIIAggCCAIIAggCCAIIAggCCAIIAggCCAIIAggCCAIIAhcCAwIiAh4AAuQCAgIlAgQCBQIGAgcCCAIJAh0CCwIeAg0CCAIIAggCCAIIAggCCAIIAggCCAIIAggCCAIIAggCCAIIAhcCAwImAh4AAuQCAgJEAgQCBQIGAgcCCAIJAiECCwIeAg0CCAIIAggCCAIIAggCCAIIAggCCAIIAggCCAIIAggCCAIIAhcCAwIiAh4AAuQCAgJAAgQCBQIGAgcCCAIJAikCCwIeAg0CCAIIAggCCAIIAggCCAIIAggCCAIIAggCCAIIAggCCAIIAhcCAwJBAh4AAuQCAgJGAgQCBQIGAgcCCAIJAiECCwIeAg0CCAIIAggCCAIIAggCCAIIAggCCAIIAggCCAIIAggCCAIIAhcCAwJHAh4AAuQCAgIcAgQCBQIGAgcCCAIJAh0CCwIeAg0CCAIIAggCCAIIAggCCAIIAggCCAIIAggCCAIIAggCCAIIAhcCAwIfAh4AAuQCAgJUAgQCBQIGAgcCCAIJAiECCwIeAg0CCAIIAggCCAIIAggCCAIIAggCCAIIAggCCAIIAggCCAIIAhcCAwIiAh4AAuQCAgJeAgQCBQIGAgcCCAIJAh0CC3oAAAQAAh4CDQIIAggCCAIIAggCCAIIAggCCAIIAggCCAIIAggCCAIIAggCFwIDAl8CHgAC5AICAicCBAIFAgYCBwIIAgkCHQILAh4CDQIIAggCCAIIAggCCAIIAggCCAIIAggCCAIIAggCCAIIAggCFwIDAigCHgAC5AICAl0CBAIFAgYCBwIIAgkCIQILAh4CDQIIAggCCAIIAggCCAIIAggCCAIIAggCCAIIAggCCAIIAggCFwIDAiICHgAC5AICAi4CBAIFAgYCBwIIAgkCKQILAh4CDQIIAggCCAIIAggCCAIIAggCCAIIAggCCAIIAggCCAIIAggCFwIDAi8CHgAC5AICAiMCBAIFAgYCBwIIAgkCIQILAh4CDQIIAggCCAIIAggCCAIIAggCCAIIAggCCAIIAggCCAIIAggCFwIDAiQCHgAC5AICAj0CBAIFAgYCBwIIAgkCKQILAh4CDQIIAggCCAIIAggCCAIIAggCCAIIAggCCAIIAggCCAIIAggCFwIDAj4CHgAC5AICAjYCBAIFAgYCBwIIAgkCIQILAh4CDQIIAggCCAIIAggCCAIIAggCCAIIAggCCAIIAggCCAIIAggCFwIDAiICHgAC5AICAkICBAIFAgYCBwIIAgkCKQILAh4CDQIIAggCCAIIAggCCAIIAggCCAIIAggCCAIIAggCCAIIAggCFwIDAlkCHgAC5AICAhwCBAIFAgYCBwIIAgkCKQILAh4CDQIIAggCCAIIAggCCAIIAggCCAIIAggCCAIIAggCCAIIAggCFwIDAi0CHgAC5AICAjcCBAIFAgYCBwIIAgkCKQILAh4CDQIIAggCCAIIAggCCAIIAggCCAIIAggCCAIIAggCCAIIAggCFwIDAjgCHgAC5AICAloCBAIFAgYCBwIIAgkCIQILAh4CDQIIAggCCAIIAggCCAIIAggCCAIIAggCCAIIAggCCAIIAggCFwIDAlsCHgAC5AICAjACBAIFAgYCBwIIAgkCKQILAh4CDQIIAggCCAIIAggCCAIIAggCCAIIAggCCAIIAggCCAIIAggCFwIDAkUCHgAC5AICAlcCBAIFAgYCBwIIAgkCIQILAh4CDQIIAggCCAIIAggCCAIIAggCCAIIAggCCAIIAggCCAIIAggCFwIDAiICHgAC5AICAjQCBAIFAgYCBwIIAgkCHQILAh4CDQIIAggCCAIIAggCCAIIAggCCAIIAggCCAIIAggCCAIIAggCFwIDAnkCHgAC5AICAiMCBAIFAgYCBwIIAgkCKQILAh4CDQIIAggCCAIIAggCCAIIAggCCAIIAggCCAIIAggCCAIIAggCFwIDApMCHgAC5AICAmUCBAIFAnoAAAQABgIHAggCCQIpAgsCHgINAggCCAIIAggCCAIIAggCCAIIAggCCAIIAggCCAIIAggCCAIXAgMChgIeAALkAgICPQIEAgUCBgIHAggCCQIhAgsCHgINAggCCAIIAggCCAIIAggCCAIIAggCCAIIAggCCAIIAggCCAIXAgMCgwIeAALkAgICKwIEAgUCBgIHAggCCQIpAgsCHgINAggCCAIIAggCCAIIAggCCAIIAggCCAIIAggCCAIIAggCCAIXAgMCPwIeAALkAgICTQIEAgUCBgIHAggCCQIhAgsCHgINAggCCAIIAggCCAIIAggCCAIIAggCCAIIAggCCAIIAggCCAIXAgMCigIeAALkAgICZQIEAgUCBgIHAggCCQIdAgsCHgINAggCCAIIAggCCAIIAggCCAIIAggCCAIIAggCCAIIAggCCAIXAgMCjwIeAALkAgICOwIEAgUCBgIHAggCCQIpAgsCHgINAggCCAIIAggCCAIIAggCCAIIAggCCAIIAggCCAIIAggCCAIXAgMCggIeAALkAgICUQIEAgUCBgIHAggCCQIdAgsCHgINAggCCAIIAggCCAIIAggCCAIIAggCCAIIAggCCAIIAggCCAIXAgMChAIeAALkAgICUgIEAgUCBgIHAggCCQIdAgsCHgINAggCCAIIAggCCAIIAggCCAIIAggCCAIIAggCCAIIAggCCAIXAgMChQIeAALkAgICNwIEAgUCBgIHAggCCQIhAgsCHgINAggCCAIIAggCCAIIAggCCAIIAggCCAIIAggCCAIIAggCCAIXAgMCIgIeAALkAgICSQIEAgUCBgIHAggCCQIhAgsCHgINAggCCAIIAggCCAIIAggCCAIIAggCCAIIAggCCAIIAggCCAIXAgMCIgIeAALkAgICbQIEAgUCBgIHAggCCQIdAgsCHgINAggCCAIIAggCCAIIAggCCAIIAggCCAIIAggCCAIIAggCCAIXAgMCmQIeAALkAgICVQIEAgUCBgIHAggCCQIhAgsCHgINAggCCAIIAggCCAIIAggCCAIIAggCCAIIAggCCAIIAggCCAIXAgMClQIeAALkAgICQgIEAgUCBgIHAggCCQIdAgsCHgINAggCCAIIAggCCAIIAggCCAIIAggCCAIIAggCCAIIAggCCAIXAgMCfAIeAALkAgICbQIEAgUCBgIHAggCCQIpAgsCHgINAggCCAIIAggCCAIIAggCCAIIAggCCAIIAggCCAIIAggCCAIXAgMCiAIeAALkAgICMgIEAgUCBgIHAggCCQIhAgsCHgINAggCCAIIAggCCAIIAggCCAIIAggCCAIIAggCCAIIAggCCAIXAgMCMwIeAHoAAAQAAuQCAgJRAgQCBQIGAgcCCAIJAikCCwIeAg0CCAIIAggCCAIIAggCCAIIAggCCAIIAggCCAIIAggCCAIIAhcCAwKSAh4AAuQCAgJiAgQCBQIGAgcCCAIJAiECCwIeAg0CCAIIAggCCAIIAggCCAIIAggCCAIIAggCCAIIAggCCAIIAhcCAwKUAh4AAuQCAgJAAgQCBQIGAgcCCAIJAh0CCwIeAg0CCAIIAggCCAIIAggCCAIIAggCCAIIAggCCAIIAggCCAIIAhcCAwKOAh4AAuQCAgIrAgQCBQIGAgcCCAIJAh0CCwIeAg0CCAIIAggCCAIIAggCCAIIAggCCAIIAggCCAIIAggCCAIIAhcCAwIsAh4AAuQCAgI5AgQCBQIGAgcCCAIJAiECCwIeAg0CCAIIAggCCAIIAggCCAIIAggCCAIIAggCCAIIAggCCAIIAhcCAwIiAh4AAuQCAgJgAgQCBQIGAgcCCAIJAh0CCwIeAg0CCAIIAggCCAIIAggCCAIIAggCCAIIAggCCAIIAggCCAIIAhcCAwKMAh4AAuQCAgIgAgQCBQIGAgcCCAIJAikCCwIeAg0CCAIIAggCCAIIAggCCAIIAggCCAIIAggCCAIIAggCCAIIAhcCAwKQAh4AAuQCAgIwAgQCBQIGAgcCCAIJAh0CCwIeAg0CCAIIAggCCAIIAggCCAIIAggCCAIIAggCCAIIAggCCAIIAhcCAwIxAh4AAuQCAgJoAgQCBQIGAgcCCAIJAh0CCwIeAg0CCAIIAggCCAIIAggCCAIIAggCCAIIAggCCAIIAggCCAIIAhcCAwJpAh4AAuQCAgJUAgQCBQIGAgcCCAIJAikCCwIeAg0CCAIIAggCCAIIAggCCAIIAggCCAIIAggCCAIIAggCCAIIAhcCAwI6Ah4AAuQCAgJaAgQCBQIGAgcCCAIJAikCCwIeAg0CCAIIAggCCAIIAggCCAIIAggCCAIIAggCCAIIAggCCAIIAhcCAwKYAh4AAuQCAgJEAgQCBQIGAgcCCAIJAh0CCwIeAg0CCAIIAggCCAIIAggCCAIIAggCCAIIAggCCAIIAggCCAIIAhcCAwJ+Ah4AAuQCAgIlAgQCBQIGAgcCCAIJAiECCwIeAg0CCAIIAggCCAIIAggCCAIIAggCCAIIAggCCAIIAggCCAIIAhcCAwIiAh4AAuQCAgJdAgQCBQIGAgcCCAIJAikCCwIeAg0CCAIIAggCCAIIAggCCAIIAggCCAIIAggCCAIIAggCCAIIAhcCAwKXAh4AAuQCAgJGAgQCBQIGAgcCCAIJAh0CCwIeAg0CCAIIAggCCAIIAggCCAIIAggCCAIIAggCCAIIAggCCHoAAAQAAggCFwIDAoACHgAC5AICAmACBAIFAgYCBwIIAgkCKQILAh4CDQIIAggCCAIIAggCCAIIAggCCAIIAggCCAIIAggCCAIIAggCFwIDAncCHgAC5AICAmICBAIFAgYCBwIIAgkCKQILAh4CDQIIAggCCAIIAggCCAIIAggCCAIIAggCCAIIAggCCAIIAggCFwIDAnACHgAC5AICAi4CBAIFAgYCBwIIAgkCIQILAh4CDQIIAggCCAIIAggCCAIIAggCCAIIAggCCAIIAggCCAIIAggCFwIDAoECHgAC5AICAhwCBAIFAgYCBwIIAgkCIQILAh4CDQIIAggCCAIIAggCCAIIAggCCAIIAggCCAIIAggCCAIIAggCFwIDAn8CHgAC5AICAiACBAIFAgYCBwIIAgkCHQILAh4CDQIIAggCCAIIAggCCAIIAggCCAIIAggCCAIIAggCCAIIAggCFwIDApYCHgAC5AICAl0CBAIFAgYCBwIIAgkCHQILAh4CDQIIAggCCAIIAggCCAIIAggCCAIIAggCCAIIAggCCAIIAggCFwIDAocCHgAC5AICAkkCBAIFAgYCBwIIAgkCKQILAh4CDQIIAggCCAIIAggCCAIIAggCCAIIAggCCAIIAggCCAIIAggCFwIDAosCHgAC5AICAkQCBAIFAgYCBwIIAgkCKQILAh4CDQIIAggCCAIIAggCCAIIAggCCAIIAggCCAIIAggCCAIIAggCFwIDAm8CHgAC5AICAkYCBAIFAgYCBwIIAgkCKQILAh4CDQIIAggCCAIIAggCCAIIAggCCAIIAggCCAIIAggCCAIIAggCFwIDAnUCHgAC5AICAiMCBAIFAgYCBwIIAgkCHQILAh4CDQIIAggCCAIIAggCCAIIAggCCAIIAggCCAIIAggCCAIIAggCFwIDAnICHgAC5AICAicCBAIFAgYCBwIIAgkCIQILAh4CDQIIAggCCAIIAggCCAIIAggCCAIIAggCCAIIAggCCAIIAggCFwIDAnMCHgAC5AICAjsCBAIFAgYCBwIIAgkCIQILAh4CDQIIAggCCAIIAggCCAIIAggCCAIIAggCCAIIAggCCAIIAggCFwIDAnsCHgAC5AICAlICBAIFAgYCBwIIAgkCKQILAh4CDQIIAggCCAIIAggCCAIIAggCCAIIAggCCAIIAggCCAIIAggCFwIDAngCHgAC5AICAjYCBAIFAgYCBwIIAgkCHQILAh4CDQIIAggCCAIIAggCCAIIAggCCAIIAggCCAIIAggCCAIIAggCFwIDAnoCHgAC5AICAlQCBAIFAgYCBwIIAgkCHQILAh4CDQIIAggCCAIIAggCCAIIAggCCAIIAnoAAAQACAIIAggCCAIIAggCCAIXAgMCXAIeAALkAgICXgIEAgUCBgIHAggCCQIhAgsCHgINAggCCAIIAggCCAIIAggCCAIIAggCCAIIAggCCAIIAggCCAIXAgMCjQIeAALkAgICWgIEAgUCBgIHAggCCQIdAgsCHgINAggCCAIIAggCCAIIAggCCAIIAggCCAIIAggCCAIIAggCCAIXAgMCiQIeAALkAgICbQIEAgUCBgIHAggCCQIhAgsCHgINAggCCAIIAggCCAIIAggCCAIIAggCCAIIAggCCAIIAggCCAIXAgMCbgIeAALkAgICSQIEAgUCBgIHAggCCQIdAgsCHgINAggCCAIIAggCCAIIAggCCAIIAggCCAIIAggCCAIIAggCCAIXAgMCSgIeAALkAgICMgIEAgUCBgIHAggCCQIpAgsCHgINAggCCAIIAggCCAIIAggCCAIIAggCCAIIAggCCAIIAggCCAIXAgMCfQIeAALkAgICVwIEAgUCBgIHAggCCQIdAgsCHgINAggCCAIIAggCCAIIAggCCAIIAggCCAIIAggCCAIIAggCCAIXAgMCawIeAALkAgICOwIEAgUCBgIHAggCCQIdAgsCHgINAggCCAIIAggCCAIIAggCCAIIAggCCAIIAggCCAIIAggCCAIXAgMCPAIeAALkAgICUgIEAgUCBgIHAggCCQIhAgsCHgINAggCCAIIAggCCAIIAggCCAIIAggCCAIIAggCCAIIAggCCAIXAgMCUwIeAALkAgICUQIEAgUCBgIHAggCCQIhAgsCHgINAggCCAIIAggCCAIIAggCCAIIAggCCAIIAggCCAIIAggCCAIXAgMCIgIeAALkAgICTQIEAgUCBgIHAggCCQIdAgsCHgINAggCCAIIAggCCAIIAggCCAIIAggCCAIIAggCCAIIAggCCAIXAgMCTgIeAALkAgICNAIEAgUCBgIHAggCCQIhAgsCHgINAggCCAIIAggCCAIIAggCCAIIAggCCAIIAggCCAIIAggCCAIXAgMCNQIeAALkAgICNgIEAgUCBgIHAggCCQIpAgsCHgINAggCCAIIAggCCAIIAggCCAIIAggCCAIIAggCCAIIAggCCAIXAgMCSwIeAALkAgICNAIEAgUCBgIHAggCCQIpAgsCHgINAggCCAIIAggCCAIIAggCCAIIAggCCAIIAggCCAIIAggCCAIXAgMCTAIeAALkAgICNwIEAgUCBgIHAggCCQIdAgsCHgINAggCCAIIAggCCAIIAggCCAIIAggCCAIIAggCCAIIAggCCAIXAgMCTwIeAALkAgICQgIEAgUCBgIHAggCCQIhAgsCHgINAggCCAIIAggCCHoAAAQAAggCCAIIAggCCAIIAggCCAIIAggCCAIIAhcCAwJDAh4AAuQCAgJVAgQCBQIGAgcCCAIJAh0CCwIeAg0CCAIIAggCCAIIAggCCAIIAggCCAIIAggCCAIIAggCCAIIAhcCAwJsAh4AAuQCAgJVAgQCBQIGAgcCCAIJAikCCwIeAg0CCAIIAggCCAIIAggCCAIIAggCCAIIAggCCAIIAggCCAIIAhcCAwJWAh4AAuQCAgJXAgQCBQIGAgcCCAIJAikCCwIeAg0CCAIIAggCCAIIAggCCAIIAggCCAIIAggCCAIIAggCCAIIAhcCAwJYAh4AAuQCAgI5AgQCBQIGAgcCCAIJAh0CCwIeAg0CCAIIAggCCAIIAggCCAIIAggCCAIIAggCCAIIAggCCAIIAhcCAwJcAh4AAuQCAgJAAgQCBQIGAgcCCAIJAiECCwIeAg0CCAIIAggCCAIIAggCCAIIAggCCAIIAggCCAIIAggCCAIIAhcCAwIiAh4AAuQCAgIrAgQCBQIGAgcCCAIJAiECCwIeAg0CCAIIAggCCAIIAggCCAIIAggCCAIIAggCCAIIAggCCAIIAhcCAwIiAh4AAuQCAgJlAgQCBQIGAgcCCAIJAiECCwIeAg0CCAIIAggCCAIIAggCCAIIAggCCAIIAggCCAIIAggCCAIIAhcCAwJmAh4AAuQCAgJNAgQCBQIGAgcCCAIJAikCCwIeAg0CCAIIAggCCAIIAggCCAIIAggCCAIIAggCCAIIAggCCAIIAhcCAwJnAh4AAuQCAgJoAgQCBQIGAgcCCAIJAikCCwIeAg0CCAIIAggCCAIIAggCCAIIAggCCAIIAggCCAIIAggCCAIIAhcCAwJxAh4AAuQCAgI9AgQCBQIGAgcCCAIJAh0CCwIeAg0CCAIIAggCCAIIAggCCAIIAggCCAIIAggCCAIIAggCCAIIAhcCAwJQAh4AAuQCAgJiAgQCBQIGAgcCCAIJAh0CCwIeAg0CCAIIAggCCAIIAggCCAIIAggCCAIIAggCCAIIAggCCAIIAhcCAwJjAh4AAuQCAgJgAgQCBQIGAgcCCAIJAiECCwIeAg0CCAIIAggCCAIIAggCCAIIAggCCAIIAggCCAIIAggCCAIIAhcCAwJhAh4AAuQCAgInAgQCBQIGAgcCCAIJAikCCwIeAg0CCAIIAggCCAIIAggCCAIIAggCCAIIAggCCAIIAggCCAIIAhcCAwJkAh4AAuQCAgIyAgQCBQIGAgcCCAIJAh0CCwIeAg0CCAIIAggCCAIIAggCCAIIAggCCAIIAggCCAIIAggCCAIIAhcCAwJ2Ah4AAuQCAgIlAgQCBQIGAgcCCAIJAikCCwIeAnoAAANwDQIIAggCCAIIAggCCAIIAggCCAIIAggCCAIIAggCCAIIAggCFwIDAioCHgAC5AICAjACBAIFAgYCBwIIAgkCIQILAh4CDQIIAggCCAIIAggCCAIIAggCCAIIAggCCAIIAggCCAIIAggCFwIDAnQCHgAC5QAJNTg5MjAyMDQwAgICVwIEAgUCBgIHAggCCQIKAgsCDAINAggCCAIIAggCCAIIAggCCAIIAggCCAIIAggCCAIIAggCCAIWAgMCIgIeAALlAgICaAIEAgUCBgIHAggCCQIpAgsCDAINAggCCAIIAggCCAIIAggCCAIIAggCCAIIAggCCAIIAggCCAIWAgMCqQIeAALlAgICRgIEAgUCBgIHAggCCQIpAgsCDAINAggCCAIIAggCCAIIAggCCAIIAggCCAIIAggCCAIIAggCCAIWAgMCngIeAALlAgICTQIEAgUCBgIHAggCCQIKAgsCDAINAggCCAIIAggCCAIIAggCCAIIAggCCAIIAggCCAIIAggCCAIWAgMCnAIeAALlAgICIwIEAgUCBgIHAggCCQIdAgsCDAINAggCCAIIAggCCAIIAggCCAIIAggCCAIIAggCCAIIAggCCAIWAgMCpgIeAALlAgICOwIEAgUCBgIHAggCCQIKAgsCDAINAggCCAIIAggCCAIIAggCCAIIAggCCAIIAggCCAIIAggCCAIWAgMCrAIeAALlAgICRAIEAgUCBgIHAggCCQIpAgsCDAINAggCCAIIAggCCAIIAggCCAIIAggCCAIIAggCCAIIAggCCAIWAgMCrQIeAALlAgICRgIEAgUCBgIHAggCCQIdAgsCDAINAggCCAIIAggCCAIIAggCCAIIAggCCAIIAggCCAIIAggCCAIWAgMC0wIeAALlAgICKwIEAgUCBgIHAggCCQIKAgsCDAINAggCCAIIAggCCAIIAggCCAIIAggCCAIIAggCCAIIAggCCAIWAgMCIgIeAALlAgICMAIEAgUCBgIHAggCCQIKAgsCDAINAggCCAIIAggCCAIIAggCCAIIAggCCAIIAggCCAIIAggCCAIWAgMCsAIeAALlAgICIAIEAgUCBgIHAggCCQIdAgsCDAINAggCCAIIAggCCAIIAggCCAIIAggCCAIIAggCCAIIAggCCAIWAgMC5nNxAH4AAAAAAAJzcQB+AAT///////////////7////+/////3VxAH4ABwAAAARx0ZiUeHh3igIeAALlAgICYgIEAgUCBgIHAggCCQIpAgsCDAINAggCCAIIAggCCAIIAggCCAIIAggCCAIIAggCCAIIAggCCAIWAgMC1QIeAALlAgICVAIEAgUCBgIHAggCCQIpAgsCDAINAggCCAIIAggCCAIIAggCCAIIAggCCAIIAggCCAIIAggCCAIWAgMC53NxAH4AAAAAAAJzcQB+AAT///////////////7////+AAAAAXVxAH4ABwAAAAQK/GdUeHh6AAACKAIeAALlAgICYAIEAgUCBgIHAggCCQIKAgsCDAINAggCCAIIAggCCAIIAggCCAIIAggCCAIIAggCCAIIAggCCAIWAgMCpAIeAALlAgICaAIEAgUCBgIHAggCCQIdAgsCDAINAggCCAIIAggCCAIIAggCCAIIAggCCAIIAggCCAIIAggCCAIWAgMCvQIeAALlAgICWgIEAgUCBgIHAggCCQIKAgsCDAINAggCCAIIAggCCAIIAggCCAIIAggCCAIIAggCCAIIAggCCAIWAgMCqAIeAALlAgICbQIEAgUCBgIHAggCCQIdAgsCDAINAggCCAIIAggCCAIIAggCCAIIAggCCAIIAggCCAIIAggCCAIWAgMCswIeAALlAgICWgIEAgUCBgIHAggCCQIpAgsCDAINAggCCAIIAggCCAIIAggCCAIIAggCCAIIAggCCAIIAggCCAIWAgMCuQIeAALlAgICVAIEAgUCBgIHAggCCQIKAgsCDAINAggCCAIIAggCCAIIAggCCAIIAggCCAIIAggCCAIIAggCCAIWAgMCIgIeAALlAgICUgIEAgUCBgIHAggCCQIKAgsCDAINAggCCAIIAggCCAIIAggCCAIIAggCCAIIAggCCAIIAggCCAIWAgMCvgIeAALlAgICXQIEAgUCBgIHAggCCQIpAgsCDAINAggCCAIIAggCCAIIAggCCAIIAggCCAIIAggCCAIIAggCCAIWAgMC6HNxAH4AAAAAAAJzcQB+AAT///////////////7////+/////3VxAH4ABwAAAAQHGT+ZeHh6AAABWQIeAALlAgICHAIEAgUCBgIHAggCCQIKAgsCDAINAggCCAIIAggCCAIIAggCCAIIAggCCAIIAggCCAIIAggCCAIWAgMCwQIeAALlAgICMgIEAgUCBgIHAggCCQIdAgsCDAINAggCCAIIAggCCAIIAggCCAIIAggCCAIIAggCCAIIAggCCAIWAgMCnQIeAALlAgICIwIEAgUCBgIHAggCCQIpAgsCDAINAggCCAIIAggCCAIIAggCCAIIAggCCAIIAggCCAIIAggCCAIWAgMCugIeAALlAgICYgIEAgUCBgIHAggCCQIdAgsCDAINAggCCAIIAggCCAIIAggCCAIIAggCCAIIAggCCAIIAggCCAIWAgMCxAIeAALlAgICIAIEAgUCBgIHAggCCQIpAgsCDAINAggCCAIIAggCCAIIAggCCAIIAggCCAIIAggCCAIIAggCCAIWAgMC6XNxAH4AAAAAAAJzcQB+AAT///////////////7////+AAAAAXVxAH4ABwAAAAQEqedkeHh6AAABFAIeAALlAgICSQIEAgUCBgIHAggCCQIKAgsCDAINAggCCAIIAggCCAIIAggCCAIIAggCCAIIAggCCAIIAggCCAIWAgMCIgIeAALlAgICWgIEAgUCBgIHAggCCQIdAgsCDAINAggCCAIIAggCCAIIAggCCAIIAggCCAIIAggCCAIIAggCCAIWAgMCxgIeAALlAgICaAIEAgUCBgIHAggCCQIKAgsCDAINAggCCAIIAggCCAIIAggCCAIIAggCCAIIAggCCAIIAggCCAIWAgMCxwIeAALlAgICXQIEAgUCBgIHAggCCQIdAgsCDAINAggCCAIIAggCCAIIAggCCAIIAggCCAIIAggCCAIIAggCCAIWAgMC6nNxAH4AAAAAAAJzcQB+AAT///////////////7////+/////3VxAH4ABwAAAARaqchfeHh6AAABWQIeAALlAgICRAIEAgUCBgIHAggCCQIKAgsCDAINAggCCAIIAggCCAIIAggCCAIIAggCCAIIAggCCAIIAggCCAIWAgMCIgIeAALlAgICVQIEAgUCBgIHAggCCQIpAgsCDAINAggCCAIIAggCCAIIAggCCAIIAggCCAIIAggCCAIIAggCCAIWAgMCzAIeAALlAgICSQIEAgUCBgIHAggCCQIpAgsCDAINAggCCAIIAggCCAIIAggCCAIIAggCCAIIAggCCAIIAggCCAIWAgMCygIeAALlAgICJQIEAgUCBgIHAggCCQIKAgsCDAINAggCCAIIAggCCAIIAggCCAIIAggCCAIIAggCCAIIAggCCAIWAgMCIgIeAALlAgICOQIEAgUCBgIHAggCCQIdAgsCDAINAggCCAIIAggCCAIIAggCCAIIAggCCAIIAggCCAIIAggCCAIWAgMC63NxAH4AAAAAAAJzcQB+AAT///////////////7////+/////3VxAH4ABwAAAASIbHKOeHh3igIeAALlAgICPQIEAgUCBgIHAggCCQIdAgsCDAINAggCCAIIAggCCAIIAggCCAIIAggCCAIIAggCCAIIAggCCAIWAgMCzgIeAALlAgICVwIEAgUCBgIHAggCCQIpAgsCDAINAggCCAIIAggCCAIIAggCCAIIAggCCAIIAggCCAIIAggCCAIWAgMC7HNxAH4AAAAAAAJzcQB+AAT///////////////7////+/////3VxAH4ABwAAAAQB7nrWeHh3igIeAALlAgICOwIEAgUCBgIHAggCCQIpAgsCDAINAggCCAIIAggCCAIIAggCCAIIAggCCAIIAggCCAIIAggCCAIWAgMCsgIeAALlAgICNwIEAgUCBgIHAggCCQIdAgsCDAINAggCCAIIAggCCAIIAggCCAIIAggCCAIIAggCCAIIAggCCAIWAgMC7XNxAH4AAAAAAAJzcQB+AAT///////////////7////+/////3VxAH4ABwAAAARc5cCweHh6AAADgQIeAALlAgICUQIEAgUCBgIHAggCCQIdAgsCDAINAggCCAIIAggCCAIIAggCCAIIAggCCAIIAggCCAIIAggCCAIWAgMCrgIeAALlAgICXgIEAgUCBgIHAggCCQIKAgsCDAINAggCCAIIAggCCAIIAggCCAIIAggCCAIIAggCCAIIAggCCAIWAgMC1wIeAALlAgICMgIEAgUCBgIHAggCCQIpAgsCDAINAggCCAIIAggCCAIIAggCCAIIAggCCAIIAggCCAIIAggCCAIWAgMC4AIeAALlAgICSQIEAgUCBgIHAggCCQIdAgsCDAINAggCCAIIAggCCAIIAggCCAIIAggCCAIIAggCCAIIAggCCAIWAgMC3QIeAALlAgICLgIEAgUCBgIHAggCCQIdAgsCDAINAggCCAIIAggCCAIIAggCCAIIAggCCAIIAggCCAIIAggCCAIWAgMC2wIeAALlAgICOwIEAgUCBgIHAggCCQIdAgsCDAINAggCCAIIAggCCAIIAggCCAIIAggCCAIIAggCCAIIAggCCAIWAgMC3gIeAALlAgICJwIEAgUCBgIHAggCCQIKAgsCDAINAggCCAIIAggCCAIIAggCCAIIAggCCAIIAggCCAIIAggCCAIWAgMC4gIeAALlAgICYgIEAgUCBgIHAggCCQIKAgsCDAINAggCCAIIAggCCAIIAggCCAIIAggCCAIIAggCCAIIAggCCAIWAgMC0AIeAALlAgICOQIEAgUCBgIHAggCCQIpAgsCDAINAggCCAIIAggCCAIIAggCCAIIAggCCAIIAggCCAIIAggCCAIWAgMC5wIeAALlAgICPQIEAgUCBgIHAggCCQIpAgsCDAINAggCCAIIAggCCAIIAggCCAIIAggCCAIIAggCCAIIAggCCAIWAgMCwgIeAALlAgICVAIEAgUCBgIHAggCCQIdAgsCDAINAggCCAIIAggCCAIIAggCCAIIAggCCAIIAggCCAIIAggCCAIWAgMC6wIeAALlAgICVQIEAgUCBgIHAggCCQIKAgsCDAINAggCCAIIAggCCAIIAggCCAIIAggCCAIIAggCCAIIAggCCAIWAgMCogIeAALlAgICNwIEAgUCBgIHAggCCQIpAgsCDAINAggCCAIIAggCCAIIAggCCAIIAggCCAIIAggCCAIIAggCCAIWAgMC7nNxAH4AAAAAAAJzcQB+AAT///////////////7////+/////3VxAH4ABwAAAAQESkGVeHh6AAAB4wIeAALlAgICQgIEAgUCBgIHAggCCQIKAgsCDAINAggCCAIIAggCCAIIAggCCAIIAggCCAIIAggCCAIIAggCCAIWAgMCuAIeAALlAgICJwIEAgUCBgIHAggCCQIdAgsCDAINAggCCAIIAggCCAIIAggCCAIIAggCCAIIAggCCAIIAggCCAIWAgMCpwIeAALlAgICHAIEAgUCBgIHAggCCQIpAgsCDAINAggCCAIIAggCCAIIAggCCAIIAggCCAIIAggCCAIIAggCCAIWAgMCnwIeAALlAgICNAIEAgUCBgIHAggCCQIKAgsCDAINAggCCAIIAggCCAIIAggCCAIIAggCCAIIAggCCAIIAggCCAIWAgMCqwIeAALlAgICNgIEAgUCBgIHAggCCQIKAgsCDAINAggCCAIIAggCCAIIAggCCAIIAggCCAIIAggCCAIIAggCCAIWAgMCIgIeAALlAgICLgIEAgUCBgIHAggCCQIpAgsCDAINAggCCAIIAggCCAIIAggCCAIIAggCCAIIAggCCAIIAggCCAIWAgMCqgIeAALlAgICKwIEAgUCBgIHAggCCQIdAgsCDAINAggCCAIIAggCCAIIAggCCAIIAggCCAIIAggCCAIIAggCCAIWAgMC73NxAH4AAAAAAAJzcQB+AAT///////////////7////+/////3VxAH4ABwAAAARvUxbyeHh6AAABFAIeAALlAgICUQIEAgUCBgIHAggCCQIKAgsCDAINAggCCAIIAggCCAIIAggCCAIIAggCCAIIAggCCAIIAggCCAIWAgMCIgIeAALlAgICPQIEAgUCBgIHAggCCQIKAgsCDAINAggCCAIIAggCCAIIAggCCAIIAggCCAIIAggCCAIIAggCCAIWAgMCuwIeAALlAgICHAIEAgUCBgIHAggCCQIdAgsCDAINAggCCAIIAggCCAIIAggCCAIIAggCCAIIAggCCAIIAggCCAIWAgMC2AIeAALlAgICQAIEAgUCBgIHAggCCQIpAgsCDAINAggCCAIIAggCCAIIAggCCAIIAggCCAIIAggCCAIIAggCCAIWAgMC8HNxAH4AAAAAAAJzcQB+AAT///////////////7////+/////3VxAH4ABwAAAAQOU8mMeHh6AAABWQIeAALlAgICMgIEAgUCBgIHAggCCQIKAgsCDAINAggCCAIIAggCCAIIAggCCAIIAggCCAIIAggCCAIIAggCCAIWAgMCtAIeAALlAgICOQIEAgUCBgIHAggCCQIKAgsCDAINAggCCAIIAggCCAIIAggCCAIIAggCCAIIAggCCAIIAggCCAIWAgMCIgIeAALlAgICJQIEAgUCBgIHAggCCQIdAgsCDAINAggCCAIIAggCCAIIAggCCAIIAggCCAIIAggCCAIIAggCCAIWAgMCrwIeAALlAgICXgIEAgUCBgIHAggCCQIpAgsCDAINAggCCAIIAggCCAIIAggCCAIIAggCCAIIAggCCAIIAggCCAIWAgMCtwIeAALlAgICVwIEAgUCBgIHAggCCQIdAgsCDAINAggCCAIIAggCCAIIAggCCAIIAggCCAIIAggCCAIIAggCCAIWAgMC8XNxAH4AAAAAAAJzcQB+AAT///////////////7////+/////3VxAH4ABwAAAARdGgPTeHh3zwIeAALlAgICZQIEAgUCBgIHAggCCQIdAgsCDAINAggCCAIIAggCCAIIAggCCAIIAggCCAIIAggCCAIIAggCCAIWAgMCvwIeAALlAgICNwIEAgUCBgIHAggCCQIKAgsCDAINAggCCAIIAggCCAIIAggCCAIIAggCCAIIAggCCAIIAggCCAIWAgMCIgIeAALlAgICQAIEAgUCBgIHAggCCQIdAgsCDAINAggCCAIIAggCCAIIAggCCAIIAggCCAIIAggCCAIIAggCCAIWAgMC8nNxAH4AAAAAAAJzcQB+AAT///////////////7////+/////3VxAH4ABwAAAARSfqMaeHh6AAAEAAIeAALlAgICUQIEAgUCBgIHAggCCQIpAgsCDAINAggCCAIIAggCCAIIAggCCAIIAggCCAIIAggCCAIIAggCCAIWAgMCxQIeAALlAgICMAIEAgUCBgIHAggCCQIdAgsCDAINAggCCAIIAggCCAIIAggCCAIIAggCCAIIAggCCAIIAggCCAIWAgMCpQIeAALlAgICJwIEAgUCBgIHAggCCQIpAgsCDAINAggCCAIIAggCCAIIAggCCAIIAggCCAIIAggCCAIIAggCCAIWAgMCowIeAALlAgICRgIEAgUCBgIHAggCCQIKAgsCDAINAggCCAIIAggCCAIIAggCCAIIAggCCAIIAggCCAIIAggCCAIWAgMCwAIeAALlAgICLgIEAgUCBgIHAggCCQIKAgsCDAINAggCCAIIAggCCAIIAggCCAIIAggCCAIIAggCCAIIAggCCAIWAgMCtgIeAALlAgICJQIEAgUCBgIHAggCCQIpAgsCDAINAggCCAIIAggCCAIIAggCCAIIAggCCAIIAggCCAIIAggCCAIWAgMCoQIeAALlAgICbQIEAgUCBgIHAggCCQIpAgsCDAINAggCCAIIAggCCAIIAggCCAIIAggCCAIIAggCCAIIAggCCAIWAgMCywIeAALlAgICTQIEAgUCBgIHAggCCQIpAgsCDAINAggCCAIIAggCCAIIAggCCAIIAggCCAIIAggCCAIIAggCCAIWAgMCvAIeAALlAgICXgIEAgUCBgIHAggCCQIdAgsCDAINAggCCAIIAggCCAIIAggCCAIIAggCCAIIAggCCAIIAggCCAIWAgMCzQIeAALlAgICYAIEAgUCBgIHAggCCQIdAgsCDAINAggCCAIIAggCCAIIAggCCAIIAggCCAIIAggCCAIIAggCCAIWAgMCyAIeAALlAgICQAIEAgUCBgIHAggCCQIKAgsCDAINAggCCAIIAggCCAIIAggCCAIIAggCCAIIAggCCAIIAggCCAIWAgMCIgIeAALlAgICYAIEAgUCBgIHAggCCQIpAgsCDAINAggCCAIIAggCCAIIAggCCAIIAggCCAIIAggCCAIIAggCCAIWAgMC3wIeAALlAgICUgIEAgUCBgIHAggCCQIdAgsCDAINAggCCAIIAggCCAIIAggCCAIIAggCCAIIAggCCAIIAggCCAIWAgMCzwIeAALlAgICZQIEAgUCBgIHAggCCQIpAgsCDAINAggCCAIIAggCCAIIAggCCAIIAggCCAIIAggCCAIIAggCCAIWAgMC0gIeAALlAgICNAIEAgUCBgIHAggCCQIpAgsCDAINAggCCAIIAggCCAIIAggCCAIIAggCCAIIAggCCAJ3lQgCCAIIAhYCAwKxAh4AAuUCAgJVAgQCBQIGAgcCCAIJAh0CCwIMAg0CCAIIAggCCAIIAggCCAIIAggCCAIIAggCCAIIAggCCAIIAhYCAwK1Ah4AAuUCAgI2AgQCBQIGAgcCCAIJAikCCwIMAg0CCAIIAggCCAIIAggCCAIIAggCCAIIAggCCAIIAggCCAIIAhYCAwLzc3EAfgAAAAAAAnNxAH4ABP///////////////v////4AAAABdXEAfgAHAAAAAwlJUHh4egAAAm0CHgAC5QICAl0CBAIFAgYCBwIIAgkCCgILAgwCDQIIAggCCAIIAggCCAIIAggCCAIIAggCCAIIAggCCAIIAggCFgIDAiICHgAC5QICAkICBAIFAgYCBwIIAgkCHQILAgwCDQIIAggCCAIIAggCCAIIAggCCAIIAggCCAIIAggCCAIIAggCFgIDAtkCHgAC5QICAkQCBAIFAgYCBwIIAgkCHQILAgwCDQIIAggCCAIIAggCCAIIAggCCAIIAggCCAIIAggCCAIIAggCFgIDAtoCHgAC5QICAjACBAIFAgYCBwIIAgkCKQILAgwCDQIIAggCCAIIAggCCAIIAggCCAIIAggCCAIIAggCCAIIAggCFgIDAtYCHgAC5QICAjQCBAIFAgYCBwIIAgkCHQILAgwCDQIIAggCCAIIAggCCAIIAggCCAIIAggCCAIIAggCCAIIAggCFgIDAuECHgAC5QICAiACBAIFAgYCBwIIAgkCCgILAgwCDQIIAggCCAIIAggCCAIIAggCCAIIAggCCAIIAggCCAIIAggCFgIDAiICHgAC5QICAiMCBAIFAgYCBwIIAgkCCgILAgwCDQIIAggCCAIIAggCCAIIAggCCAIIAggCCAIIAggCCAIIAggCFgIDAtwCHgAC5QICAk0CBAIFAgYCBwIIAgkCHQILAgwCDQIIAggCCAIIAggCCAIIAggCCAIIAggCCAIIAggCCAIIAggCFgIDAtECHgAC5QICAisCBAIFAgYCBwIIAgkCKQILAgwCDQIIAggCCAIIAggCCAIIAggCCAIIAggCCAIIAggCCAIIAggCFgIDAvRzcQB+AAAAAAACc3EAfgAE///////////////+/////gAAAAF1cQB+AAcAAAAEAgg8vXh4egAAARQCHgAC5QICAmUCBAIFAgYCBwIIAgkCCgILAgwCDQIIAggCCAIIAggCCAIIAggCCAIIAggCCAIIAggCCAIIAggCFgIDAtQCHgAC5QICAlICBAIFAgYCBwIIAgkCKQILAgwCDQIIAggCCAIIAggCCAIIAggCCAIIAggCCAIIAggCCAIIAggCFgIDAsMCHgAC5QICAkICBAIFAgYCBwIIAgkCKQILAgwCDQIIAggCCAIIAggCCAIIAggCCAIIAggCCAIIAggCCAIIAggCFgIDAskCHgAC5QICAjYCBAIFAgYCBwIIAgkCHQILAgwCDQIIAggCCAIIAggCCAIIAggCCAIIAggCCAIIAggCCAIIAggCFgIDAvVzcQB+AAAAAAACc3EAfgAE///////////////+/////v////91cQB+AAcAAAAEY8+aCXh4egAABAACHgAC5QICAm0CBAIFAgYCBwIIAgkCCgILAgwCDQIIAggCCAIIAggCCAIIAggCCAIIAggCCAIIAggCCAIIAggCFgIDAqACHgAC9gAJNTg5MjA1NTkyAgICRgIEAgUCBgIHAggCCQIdAgsCHgINAggCCAIIAggCCAIIAggCCAIIAggCCAIIAggCCAIIAggCCAIZAgMCgAIeAAL2AgICHAIEAgUCBgIHAggCCQIdAgsCHgINAggCCAIIAggCCAIIAggCCAIIAggCCAIIAggCCAIIAggCCAIZAgMCHwIeAAL2AgICJQIEAgUCBgIHAggCCQIdAgsCHgINAggCCAIIAggCCAIIAggCCAIIAggCCAIIAggCCAIIAggCCAIZAgMCJgIeAAL2AgICYgIEAgUCBgIHAggCCQIpAgsCHgINAggCCAIIAggCCAIIAggCCAIIAggCCAIIAggCCAIIAggCCAIZAgMCcAIeAAL2AgICLgIEAgUCBgIHAggCCQIpAgsCHgINAggCCAIIAggCCAIIAggCCAIIAggCCAIIAggCCAIIAggCCAIZAgMCLwIeAAL2AgICQAIEAgUCBgIHAggCCQIpAgsCHgINAggCCAIIAggCCAIIAggCCAIIAggCCAIIAggCCAIIAggCCAIZAgMCQQIeAAL2AgICHAIEAgUCBgIHAggCCQIhAgsCHgINAggCCAIIAggCCAIIAggCCAIIAggCCAIIAggCCAIIAggCCAIZAgMCfwIeAAL2AgICRgIEAgUCBgIHAggCCQIhAgsCHgINAggCCAIIAggCCAIIAggCCAIIAggCCAIIAggCCAIIAggCCAIZAgMCRwIeAAL2AgICJQIEAgUCBgIHAggCCQIhAgsCHgINAggCCAIIAggCCAIIAggCCAIIAggCCAIIAggCCAIIAggCCAIZAgMCIgIeAAL2AgICRAIEAgUCBgIHAggCCQIpAgsCHgINAggCCAIIAggCCAIIAggCCAIIAggCCAIIAggCCAIIAggCCAIZAgMCbwIeAAL2AgICaAIEAgUCBgIHAggCCQIpAgsCHgINAggCCAIIAggCCAIIAggCCAIIAggCCAIIAggCCAIIAggCCAIZAgMCcQIeAAL2AgICIwIEAgUCBgIHAggCCQIhAgsCHgINAggCCAIIAggCCAIIAggCCAIIAggCCAIIAggCCAIIAggCCAIZAgMCJAIeAAL2AgICIwIEAgUCBgIHAggCCQIdAgsCHgINAggCCAIIAggCCAIIAggCCAIIAggCCAIIAggCCAIIAggCCAIZAgMCcgIeAAL2AgICJwIEAgUCBgIHAggCCQIdAgsCHgINAggCCAIIAggCCAIIAggCCAIIegAABAACCAIIAggCCAIIAggCCAIIAhkCAwIoAh4AAvYCAgInAgQCBQIGAgcCCAIJAiECCwIeAg0CCAIIAggCCAIIAggCCAIIAggCCAIIAggCCAIIAggCCAIIAhkCAwJzAh4AAvYCAgJAAgQCBQIGAgcCCAIJAh0CCwIeAg0CCAIIAggCCAIIAggCCAIIAggCCAIIAggCCAIIAggCCAIIAhkCAwKOAh4AAvYCAgJiAgQCBQIGAgcCCAIJAh0CCwIeAg0CCAIIAggCCAIIAggCCAIIAggCCAIIAggCCAIIAggCCAIIAhkCAwJjAh4AAvYCAgJlAgQCBQIGAgcCCAIJAh0CCwIeAg0CCAIIAggCCAIIAggCCAIIAggCCAIIAggCCAIIAggCCAIIAhkCAwKPAh4AAvYCAgInAgQCBQIGAgcCCAIJAikCCwIeAg0CCAIIAggCCAIIAggCCAIIAggCCAIIAggCCAIIAggCCAIIAhkCAwJkAh4AAvYCAgIlAgQCBQIGAgcCCAIJAikCCwIeAg0CCAIIAggCCAIIAggCCAIIAggCCAIIAggCCAIIAggCCAIIAhkCAwIqAh4AAvYCAgJaAgQCBQIGAgcCCAIJAikCCwIeAg0CCAIIAggCCAIIAggCCAIIAggCCAIIAggCCAIIAggCCAIIAhkCAwKYAh4AAvYCAgIyAgQCBQIGAgcCCAIJAh0CCwIeAg0CCAIIAggCCAIIAggCCAIIAggCCAIIAggCCAIIAggCCAIIAhkCAwJ2Ah4AAvYCAgIwAgQCBQIGAgcCCAIJAh0CCwIeAg0CCAIIAggCCAIIAggCCAIIAggCCAIIAggCCAIIAggCCAIIAhkCAwIxAh4AAvYCAgJtAgQCBQIGAgcCCAIJAiECCwIeAg0CCAIIAggCCAIIAggCCAIIAggCCAIIAggCCAIIAggCCAIIAhkCAwJuAh4AAvYCAgIyAgQCBQIGAgcCCAIJAiECCwIeAg0CCAIIAggCCAIIAggCCAIIAggCCAIIAggCCAIIAggCCAIIAhkCAwIzAh4AAvYCAgJoAgQCBQIGAgcCCAIJAh0CCwIeAg0CCAIIAggCCAIIAggCCAIIAggCCAIIAggCCAIIAggCCAIIAhkCAwJpAh4AAvYCAgJXAgQCBQIGAgcCCAIJAiECCwIeAg0CCAIIAggCCAIIAggCCAIIAggCCAIIAggCCAIIAggCCAIIAhkCAwIiAh4AAvYCAgIwAgQCBQIGAgcCCAIJAiECCwIeAg0CCAIIAggCCAIIAggCCAIIAggCCAIIAggCCAIIAggCCAIIAhkCAwJ0Ah4AAvYCAgJeAgQCBQIGAgcCCAIJAikCCwIeAg0CCAIIAggCegAABAAIAggCCAIIAggCCAIIAggCCAIIAggCCAIIAggCGQIDAmoCHgAC9gICAl0CBAIFAgYCBwIIAgkCKQILAh4CDQIIAggCCAIIAggCCAIIAggCCAIIAggCCAIIAggCCAIIAggCGQIDApcCHgAC9gICAlcCBAIFAgYCBwIIAgkCHQILAh4CDQIIAggCCAIIAggCCAIIAggCCAIIAggCCAIIAggCCAIIAggCGQIDAmsCHgAC9gICAmICBAIFAgYCBwIIAgkCIQILAh4CDQIIAggCCAIIAggCCAIIAggCCAIIAggCCAIIAggCCAIIAggCGQIDApQCHgAC9gICAkACBAIFAgYCBwIIAgkCIQILAh4CDQIIAggCCAIIAggCCAIIAggCCAIIAggCCAIIAggCCAIIAggCGQIDAiICHgAC9gICAlECBAIFAgYCBwIIAgkCKQILAh4CDQIIAggCCAIIAggCCAIIAggCCAIIAggCCAIIAggCCAIIAggCGQIDApICHgAC9gICAk0CBAIFAgYCBwIIAgkCKQILAh4CDQIIAggCCAIIAggCCAIIAggCCAIIAggCCAIIAggCCAIIAggCGQIDAmcCHgAC9gICAiMCBAIFAgYCBwIIAgkCKQILAh4CDQIIAggCCAIIAggCCAIIAggCCAIIAggCCAIIAggCCAIIAggCGQIDApMCHgAC9gICAmUCBAIFAgYCBwIIAgkCIQILAh4CDQIIAggCCAIIAggCCAIIAggCCAIIAggCCAIIAggCCAIIAggCGQIDAmYCHgAC9gICAmgCBAIFAgYCBwIIAgkCIQILAh4CDQIIAggCCAIIAggCCAIIAggCCAIIAggCCAIIAggCCAIIAggCGQIDApECHgAC9gICAk0CBAIFAgYCBwIIAgkCHQILAh4CDQIIAggCCAIIAggCCAIIAggCCAIIAggCCAIIAggCCAIIAggCGQIDAk4CHgAC9gICAjQCBAIFAgYCBwIIAgkCKQILAh4CDQIIAggCCAIIAggCCAIIAggCCAIIAggCCAIIAggCCAIIAggCGQIDAkwCHgAC9gICAj0CBAIFAgYCBwIIAgkCIQILAh4CDQIIAggCCAIIAggCCAIIAggCCAIIAggCCAIIAggCCAIIAggCGQIDAoMCHgAC9gICAjcCBAIFAgYCBwIIAgkCHQILAh4CDQIIAggCCAIIAggCCAIIAggCCAIIAggCCAIIAggCCAIIAggCGQIDAk8CHgAC9gICAjcCBAIFAgYCBwIIAgkCIQILAh4CDQIIAggCCAIIAggCCAIIAggCCAIIAggCCAIIAggCCAIIAggCGQIDAiICHgAC9gICAjsCBAIFAgYCBwIIAgkCKQILegAABAACHgINAggCCAIIAggCCAIIAggCCAIIAggCCAIIAggCCAIIAggCCAIZAgMCggIeAAL2AgICbQIEAgUCBgIHAggCCQIdAgsCHgINAggCCAIIAggCCAIIAggCCAIIAggCCAIIAggCCAIIAggCCAIZAgMCmQIeAAL2AgICQgIEAgUCBgIHAggCCQIpAgsCHgINAggCCAIIAggCCAIIAggCCAIIAggCCAIIAggCCAIIAggCCAIZAgMCWQIeAAL2AgICVQIEAgUCBgIHAggCCQIdAgsCHgINAggCCAIIAggCCAIIAggCCAIIAggCCAIIAggCCAIIAggCCAIZAgMCbAIeAAL2AgICSQIEAgUCBgIHAggCCQIpAgsCHgINAggCCAIIAggCCAIIAggCCAIIAggCCAIIAggCCAIIAggCCAIZAgMCiwIeAAL2AgICXQIEAgUCBgIHAggCCQIhAgsCHgINAggCCAIIAggCCAIIAggCCAIIAggCCAIIAggCCAIIAggCCAIZAgMCIgIeAAL2AgICWgIEAgUCBgIHAggCCQIhAgsCHgINAggCCAIIAggCCAIIAggCCAIIAggCCAIIAggCCAIIAggCCAIZAgMCWwIeAAL2AgICMAIEAgUCBgIHAggCCQIpAgsCHgINAggCCAIIAggCCAIIAggCCAIIAggCCAIIAggCCAIIAggCCAIZAgMCRQIeAAL2AgICYAIEAgUCBgIHAggCCQIdAgsCHgINAggCCAIIAggCCAIIAggCCAIIAggCCAIIAggCCAIIAggCCAIZAgMCjAIeAAL2AgICXgIEAgUCBgIHAggCCQIhAgsCHgINAggCCAIIAggCCAIIAggCCAIIAggCCAIIAggCCAIIAggCCAIZAgMCjQIeAAL2AgICYAIEAgUCBgIHAggCCQIhAgsCHgINAggCCAIIAggCCAIIAggCCAIIAggCCAIIAggCCAIIAggCCAIZAgMCYQIeAAL2AgICQgIEAgUCBgIHAggCCQIdAgsCHgINAggCCAIIAggCCAIIAggCCAIIAggCCAIIAggCCAIIAggCCAIZAgMCfAIeAAL2AgICVQIEAgUCBgIHAggCCQIpAgsCHgINAggCCAIIAggCCAIIAggCCAIIAggCCAIIAggCCAIIAggCCAIZAgMCVgIeAAL2AgICVwIEAgUCBgIHAggCCQIpAgsCHgINAggCCAIIAggCCAIIAggCCAIIAggCCAIIAggCCAIIAggCCAIZAgMCWAIeAAL2AgICbQIEAgUCBgIHAggCCQIpAgsCHgINAggCCAIIAggCCAIIAggCCAIIAggCCAIIAggCCAIIAggCCAIZAgMCiAIeAAL2AgICVQIEAgUCegAABAAGAgcCCAIJAiECCwIeAg0CCAIIAggCCAIIAggCCAIIAggCCAIIAggCCAIIAggCCAIIAhkCAwKVAh4AAvYCAgJdAgQCBQIGAgcCCAIJAh0CCwIeAg0CCAIIAggCCAIIAggCCAIIAggCCAIIAggCCAIIAggCCAIIAhkCAwKHAh4AAvYCAgJNAgQCBQIGAgcCCAIJAiECCwIeAg0CCAIIAggCCAIIAggCCAIIAggCCAIIAggCCAIIAggCCAIIAhkCAwKKAh4AAvYCAgJSAgQCBQIGAgcCCAIJAiECCwIeAg0CCAIIAggCCAIIAggCCAIIAggCCAIIAggCCAIIAggCCAIIAhkCAwJTAh4AAvYCAgJRAgQCBQIGAgcCCAIJAh0CCwIeAg0CCAIIAggCCAIIAggCCAIIAggCCAIIAggCCAIIAggCCAIIAhkCAwKEAh4AAvYCAgI9AgQCBQIGAgcCCAIJAh0CCwIeAg0CCAIIAggCCAIIAggCCAIIAggCCAIIAggCCAIIAggCCAIIAhkCAwJQAh4AAvYCAgJlAgQCBQIGAgcCCAIJAikCCwIeAg0CCAIIAggCCAIIAggCCAIIAggCCAIIAggCCAIIAggCCAIIAhkCAwKGAh4AAvYCAgJSAgQCBQIGAgcCCAIJAh0CCwIeAg0CCAIIAggCCAIIAggCCAIIAggCCAIIAggCCAIIAggCCAIIAhkCAwKFAh4AAvYCAgJRAgQCBQIGAgcCCAIJAiECCwIeAg0CCAIIAggCCAIIAggCCAIIAggCCAIIAggCCAIIAggCCAIIAhkCAwIiAh4AAvYCAgI9AgQCBQIGAgcCCAIJAikCCwIeAg0CCAIIAggCCAIIAggCCAIIAggCCAIIAggCCAIIAggCCAIIAhkCAwI+Ah4AAvYCAgI3AgQCBQIGAgcCCAIJAikCCwIeAg0CCAIIAggCCAIIAggCCAIIAggCCAIIAggCCAIIAggCCAIIAhkCAwI4Ah4AAvYCAgI0AgQCBQIGAgcCCAIJAiECCwIeAg0CCAIIAggCCAIIAggCCAIIAggCCAIIAggCCAIIAggCCAIIAhkCAwI1Ah4AAvYCAgJgAgQCBQIGAgcCCAIJAikCCwIeAg0CCAIIAggCCAIIAggCCAIIAggCCAIIAggCCAIIAggCCAIIAhkCAwJ3Ah4AAvYCAgJSAgQCBQIGAgcCCAIJAikCCwIeAg0CCAIIAggCCAIIAggCCAIIAggCCAIIAggCCAIIAggCCAIIAhkCAwJ4Ah4AAvYCAgIcAgQCBQIGAgcCCAIJAikCCwIeAg0CCAIIAggCCAIIAggCCAIIAggCCAIIAggCCAIIAggCCAIIAhkCAwItAh4AegAABAAC9gICAkICBAIFAgYCBwIIAgkCIQILAh4CDQIIAggCCAIIAggCCAIIAggCCAIIAggCCAIIAggCCAIIAggCGQIDAkMCHgAC9gICAkYCBAIFAgYCBwIIAgkCKQILAh4CDQIIAggCCAIIAggCCAIIAggCCAIIAggCCAIIAggCCAIIAggCGQIDAnUCHgAC9gICAkQCBAIFAgYCBwIIAgkCIQILAh4CDQIIAggCCAIIAggCCAIIAggCCAIIAggCCAIIAggCCAIIAggCGQIDAiICHgAC9gICAl4CBAIFAgYCBwIIAgkCHQILAh4CDQIIAggCCAIIAggCCAIIAggCCAIIAggCCAIIAggCCAIIAggCGQIDAl8CHgAC9gICAloCBAIFAgYCBwIIAgkCHQILAh4CDQIIAggCCAIIAggCCAIIAggCCAIIAggCCAIIAggCCAIIAggCGQIDAokCHgAC9gICAi4CBAIFAgYCBwIIAgkCIQILAh4CDQIIAggCCAIIAggCCAIIAggCCAIIAggCCAIIAggCCAIIAggCGQIDAoECHgAC9gICAkkCBAIFAgYCBwIIAgkCIQILAh4CDQIIAggCCAIIAggCCAIIAggCCAIIAggCCAIIAggCCAIIAggCGQIDAiICHgAC9gICAkkCBAIFAgYCBwIIAgkCHQILAh4CDQIIAggCCAIIAggCCAIIAggCCAIIAggCCAIIAggCCAIIAggCGQIDAkoCHgAC9gICAi4CBAIFAgYCBwIIAgkCHQILAh4CDQIIAggCCAIIAggCCAIIAggCCAIIAggCCAIIAggCCAIIAggCGQIDAkgCHgAC9gICAjICBAIFAgYCBwIIAgkCKQILAh4CDQIIAggCCAIIAggCCAIIAggCCAIIAggCCAIIAggCCAIIAggCGQIDAn0CHgAC9gICAkQCBAIFAgYCBwIIAgkCHQILAh4CDQIIAggCCAIIAggCCAIIAggCCAIIAggCCAIIAggCCAIIAggCGQIDAn4CHgAC9gICAjQCBAIFAgYCBwIIAgkCHQILAh4CDQIIAggCCAIIAggCCAIIAggCCAIIAggCCAIIAggCCAIIAggCGQIDAnkCHgAC9gICAjsCBAIFAgYCBwIIAgkCHQILAh4CDQIIAggCCAIIAggCCAIIAggCCAIIAggCCAIIAggCCAIIAggCGQIDAjwCHgAC9gICAjsCBAIFAgYCBwIIAgkCIQILAh4CDQIIAggCCAIIAggCCAIIAggCCAIIAggCCAIIAggCCAIIAggCGQIDAnsCHgAC9wAJNTg5MjA2NzUyAgICVQIEAgUCBgIHAggCCQIdAgsCDAINAggCCAIIAggCCAIIAggCCAIIAggCegAABAAIAggCCAIIAggCCAIIAhoCAwK1Ah4AAvcCAgJNAgQCBQIGAgcCCAIJAh0CCwIMAg0CCAIIAggCCAIIAggCCAIIAggCCAIIAggCCAIIAggCCAIIAhoCAwLRAh4AAvcCAgJtAgQCBQIGAgcCCAIJAh0CCwIMAg0CCAIIAggCCAIIAggCCAIIAggCCAIIAggCCAIIAggCCAIIAhoCAwKzAh4AAvcCAgJAAgQCBQIGAgcCCAIJAgoCCwIMAg0CCAIIAggCCAIIAggCCAIIAggCCAIIAggCCAIIAggCCAIIAhoCAwIiAh4AAvcCAgIwAgQCBQIGAgcCCAIJAikCCwIMAg0CCAIIAggCCAIIAggCCAIIAggCCAIIAggCCAIIAggCCAIIAhoCAwLWAh4AAvcCAgJlAgQCBQIGAgcCCAIJAikCCwIMAg0CCAIIAggCCAIIAggCCAIIAggCCAIIAggCCAIIAggCCAIIAhoCAwLSAh4AAvcCAgJRAgQCBQIGAgcCCAIJAh0CCwIMAg0CCAIIAggCCAIIAggCCAIIAggCCAIIAggCCAIIAggCCAIIAhoCAwKuAh4AAvcCAgI0AgQCBQIGAgcCCAIJAikCCwIMAg0CCAIIAggCCAIIAggCCAIIAggCCAIIAggCCAIIAggCCAIIAhoCAwKxAh4AAvcCAgI7AgQCBQIGAgcCCAIJAikCCwIMAg0CCAIIAggCCAIIAggCCAIIAggCCAIIAggCCAIIAggCCAIIAhoCAwKyAh4AAvcCAgJeAgQCBQIGAgcCCAIJAgoCCwIMAg0CCAIIAggCCAIIAggCCAIIAggCCAIIAggCCAIIAggCCAIIAhoCAwLXAh4AAvcCAgJdAgQCBQIGAgcCCAIJAgoCCwIMAg0CCAIIAggCCAIIAggCCAIIAggCCAIIAggCCAIIAggCCAIIAhoCAwIiAh4AAvcCAgJaAgQCBQIGAgcCCAIJAgoCCwIMAg0CCAIIAggCCAIIAggCCAIIAggCCAIIAggCCAIIAggCCAIIAhoCAwKoAh4AAvcCAgJCAgQCBQIGAgcCCAIJAh0CCwIMAg0CCAIIAggCCAIIAggCCAIIAggCCAIIAggCCAIIAggCCAIIAhoCAwLZAh4AAvcCAgI3AgQCBQIGAgcCCAIJAh0CCwIMAg0CCAIIAggCCAIIAggCCAIIAggCCAIIAggCCAIIAggCCAIIAhoCAwLtAh4AAvcCAgJgAgQCBQIGAgcCCAIJAgoCCwIMAg0CCAIIAggCCAIIAggCCAIIAggCCAIIAggCCAIIAggCCAIIAhoCAwKkAh4AAvcCAgI0AgQCBQIGAgcCCAIJAh0CCwIMAg0CCAIIAggCCAIIegAABAACCAIIAggCCAIIAggCCAIIAggCCAIIAggCGgIDAuECHgAC9wICAiMCBAIFAgYCBwIIAgkCKQILAgwCDQIIAggCCAIIAggCCAIIAggCCAIIAggCCAIIAggCCAIIAggCGgIDAroCHgAC9wICAjsCBAIFAgYCBwIIAgkCHQILAgwCDQIIAggCCAIIAggCCAIIAggCCAIIAggCCAIIAggCCAIIAggCGgIDAt4CHgAC9wICAkkCBAIFAgYCBwIIAgkCHQILAgwCDQIIAggCCAIIAggCCAIIAggCCAIIAggCCAIIAggCCAIIAggCGgIDAt0CHgAC9wICAmUCBAIFAgYCBwIIAgkCHQILAgwCDQIIAggCCAIIAggCCAIIAggCCAIIAggCCAIIAggCCAIIAggCGgIDAr8CHgAC9wICAjcCBAIFAgYCBwIIAgkCCgILAgwCDQIIAggCCAIIAggCCAIIAggCCAIIAggCCAIIAggCCAIIAggCGgIDAiICHgAC9wICAj0CBAIFAgYCBwIIAgkCCgILAgwCDQIIAggCCAIIAggCCAIIAggCCAIIAggCCAIIAggCCAIIAggCGgIDArsCHgAC9wICAlICBAIFAgYCBwIIAgkCCgILAgwCDQIIAggCCAIIAggCCAIIAggCCAIIAggCCAIIAggCCAIIAggCGgIDAr4CHgAC9wICAjICBAIFAgYCBwIIAgkCKQILAgwCDQIIAggCCAIIAggCCAIIAggCCAIIAggCCAIIAggCCAIIAggCGgIDAuACHgAC9wICAlECBAIFAgYCBwIIAgkCCgILAgwCDQIIAggCCAIIAggCCAIIAggCCAIIAggCCAIIAggCCAIIAggCGgIDAiICHgAC9wICAjICBAIFAgYCBwIIAgkCHQILAgwCDQIIAggCCAIIAggCCAIIAggCCAIIAggCCAIIAggCCAIIAggCGgIDAp0CHgAC9wICAk0CBAIFAgYCBwIIAgkCCgILAgwCDQIIAggCCAIIAggCCAIIAggCCAIIAggCCAIIAggCCAIIAggCGgIDApwCHgAC9wICAjACBAIFAgYCBwIIAgkCHQILAgwCDQIIAggCCAIIAggCCAIIAggCCAIIAggCCAIIAggCCAIIAggCGgIDAqUCHgAC9wICAmICBAIFAgYCBwIIAgkCHQILAgwCDQIIAggCCAIIAggCCAIIAggCCAIIAggCCAIIAggCCAIIAggCGgIDAsQCHgAC9wICAk0CBAIFAgYCBwIIAgkCKQILAgwCDQIIAggCCAIIAggCCAIIAggCCAIIAggCCAIIAggCCAIIAggCGgIDArwCHgAC9wICAkACBAIFAgYCBwIIAgkCHQILAgwCegAABAANAggCCAIIAggCCAIIAggCCAIIAggCCAIIAggCCAIIAggCCAIaAgMC8gIeAAL3AgICSQIEAgUCBgIHAggCCQIKAgsCDAINAggCCAIIAggCCAIIAggCCAIIAggCCAIIAggCCAIIAggCCAIaAgMCIgIeAAL3AgICUQIEAgUCBgIHAggCCQIpAgsCDAINAggCCAIIAggCCAIIAggCCAIIAggCCAIIAggCCAIIAggCCAIaAgMCxQIeAAL3AgICQgIEAgUCBgIHAggCCQIKAgsCDAINAggCCAIIAggCCAIIAggCCAIIAggCCAIIAggCCAIIAggCCAIaAgMCuAIeAAL3AgICJwIEAgUCBgIHAggCCQIpAgsCDAINAggCCAIIAggCCAIIAggCCAIIAggCCAIIAggCCAIIAggCCAIaAgMCowIeAAL3AgICRgIEAgUCBgIHAggCCQIKAgsCDAINAggCCAIIAggCCAIIAggCCAIIAggCCAIIAggCCAIIAggCCAIaAgMCwAIeAAL3AgICLgIEAgUCBgIHAggCCQIKAgsCDAINAggCCAIIAggCCAIIAggCCAIIAggCCAIIAggCCAIIAggCCAIaAgMCtgIeAAL3AgICJQIEAgUCBgIHAggCCQIpAgsCDAINAggCCAIIAggCCAIIAggCCAIIAggCCAIIAggCCAIIAggCCAIaAgMCoQIeAAL3AgICHAIEAgUCBgIHAggCCQIKAgsCDAINAggCCAIIAggCCAIIAggCCAIIAggCCAIIAggCCAIIAggCCAIaAgMCwQIeAAL3AgICaAIEAgUCBgIHAggCCQIpAgsCDAINAggCCAIIAggCCAIIAggCCAIIAggCCAIIAggCCAIIAggCCAIaAgMCqQIeAAL3AgICRAIEAgUCBgIHAggCCQIKAgsCDAINAggCCAIIAggCCAIIAggCCAIIAggCCAIIAggCCAIIAggCCAIaAgMCIgIeAAL3AgICVQIEAgUCBgIHAggCCQIpAgsCDAINAggCCAIIAggCCAIIAggCCAIIAggCCAIIAggCCAIIAggCCAIaAgMCzAIeAAL3AgICUgIEAgUCBgIHAggCCQIdAgsCDAINAggCCAIIAggCCAIIAggCCAIIAggCCAIIAggCCAIIAggCCAIaAgMCzwIeAAL3AgICYAIEAgUCBgIHAggCCQIdAgsCDAINAggCCAIIAggCCAIIAggCCAIIAggCCAIIAggCCAIIAggCCAIaAgMCyAIeAAL3AgICbQIEAgUCBgIHAggCCQIpAgsCDAINAggCCAIIAggCCAIIAggCCAIIAggCCAIIAggCCAIIAggCCAIaAgMCywIeAAL3AgICPQIEAgUCBgIHegAABAACCAIJAh0CCwIMAg0CCAIIAggCCAIIAggCCAIIAggCCAIIAggCCAIIAggCCAIIAhoCAwLOAh4AAvcCAgI0AgQCBQIGAgcCCAIJAgoCCwIMAg0CCAIIAggCCAIIAggCCAIIAggCCAIIAggCCAIIAggCCAIIAhoCAwKrAh4AAvcCAgI7AgQCBQIGAgcCCAIJAgoCCwIMAg0CCAIIAggCCAIIAggCCAIIAggCCAIIAggCCAIIAggCCAIIAhoCAwKsAh4AAvcCAgJiAgQCBQIGAgcCCAIJAikCCwIMAg0CCAIIAggCCAIIAggCCAIIAggCCAIIAggCCAIIAggCCAIIAhoCAwLVAh4AAvcCAgJAAgQCBQIGAgcCCAIJAikCCwIMAg0CCAIIAggCCAIIAggCCAIIAggCCAIIAggCCAIIAggCCAIIAhoCAwLwAh4AAvcCAgIyAgQCBQIGAgcCCAIJAgoCCwIMAg0CCAIIAggCCAIIAggCCAIIAggCCAIIAggCCAIIAggCCAIIAhoCAwK0Ah4AAvcCAgIwAgQCBQIGAgcCCAIJAgoCCwIMAg0CCAIIAggCCAIIAggCCAIIAggCCAIIAggCCAIIAggCCAIIAhoCAwKwAh4AAvcCAgIlAgQCBQIGAgcCCAIJAh0CCwIMAg0CCAIIAggCCAIIAggCCAIIAggCCAIIAggCCAIIAggCCAIIAhoCAwKvAh4AAvcCAgJGAgQCBQIGAgcCCAIJAh0CCwIMAg0CCAIIAggCCAIIAggCCAIIAggCCAIIAggCCAIIAggCCAIIAhoCAwLTAh4AAvcCAgIcAgQCBQIGAgcCCAIJAh0CCwIMAg0CCAIIAggCCAIIAggCCAIIAggCCAIIAggCCAIIAggCCAIIAhoCAwLYAh4AAvcCAgIjAgQCBQIGAgcCCAIJAgoCCwIMAg0CCAIIAggCCAIIAggCCAIIAggCCAIIAggCCAIIAggCCAIIAhoCAwLcAh4AAvcCAgInAgQCBQIGAgcCCAIJAgoCCwIMAg0CCAIIAggCCAIIAggCCAIIAggCCAIIAggCCAIIAggCCAIIAhoCAwLiAh4AAvcCAgJdAgQCBQIGAgcCCAIJAikCCwIMAg0CCAIIAggCCAIIAggCCAIIAggCCAIIAggCCAIIAggCCAIIAhoCAwLoAh4AAvcCAgJeAgQCBQIGAgcCCAIJAikCCwIMAg0CCAIIAggCCAIIAggCCAIIAggCCAIIAggCCAIIAggCCAIIAhoCAwK3Ah4AAvcCAgIuAgQCBQIGAgcCCAIJAh0CCwIMAg0CCAIIAggCCAIIAggCCAIIAggCCAIIAggCCAIIAggCCAIIAhoCAwLbAh4AAvcCegAABAACAloCBAIFAgYCBwIIAgkCKQILAgwCDQIIAggCCAIIAggCCAIIAggCCAIIAggCCAIIAggCCAIIAggCGgIDArkCHgAC9wICAmACBAIFAgYCBwIIAgkCKQILAgwCDQIIAggCCAIIAggCCAIIAggCCAIIAggCCAIIAggCCAIIAggCGgIDAt8CHgAC9wICAmgCBAIFAgYCBwIIAgkCHQILAgwCDQIIAggCCAIIAggCCAIIAggCCAIIAggCCAIIAggCCAIIAggCGgIDAr0CHgAC9wICAkQCBAIFAgYCBwIIAgkCHQILAgwCDQIIAggCCAIIAggCCAIIAggCCAIIAggCCAIIAggCCAIIAggCGgIDAtoCHgAC9wICAiUCBAIFAgYCBwIIAgkCCgILAgwCDQIIAggCCAIIAggCCAIIAggCCAIIAggCCAIIAggCCAIIAggCGgIDAiICHgAC9wICAkYCBAIFAgYCBwIIAgkCKQILAgwCDQIIAggCCAIIAggCCAIIAggCCAIIAggCCAIIAggCCAIIAggCGgIDAp4CHgAC9wICAj0CBAIFAgYCBwIIAgkCKQILAgwCDQIIAggCCAIIAggCCAIIAggCCAIIAggCCAIIAggCCAIIAggCGgIDAsICHgAC9wICAhwCBAIFAgYCBwIIAgkCKQILAgwCDQIIAggCCAIIAggCCAIIAggCCAIIAggCCAIIAggCCAIIAggCGgIDAp8CHgAC9wICAloCBAIFAgYCBwIIAgkCHQILAgwCDQIIAggCCAIIAggCCAIIAggCCAIIAggCCAIIAggCCAIIAggCGgIDAsYCHgAC9wICAlICBAIFAgYCBwIIAgkCKQILAgwCDQIIAggCCAIIAggCCAIIAggCCAIIAggCCAIIAggCCAIIAggCGgIDAsMCHgAC9wICAm0CBAIFAgYCBwIIAgkCCgILAgwCDQIIAggCCAIIAggCCAIIAggCCAIIAggCCAIIAggCCAIIAggCGgIDAqACHgAC9wICAjcCBAIFAgYCBwIIAgkCKQILAgwCDQIIAggCCAIIAggCCAIIAggCCAIIAggCCAIIAggCCAIIAggCGgIDAu4CHgAC9wICAlUCBAIFAgYCBwIIAgkCCgILAgwCDQIIAggCCAIIAggCCAIIAggCCAIIAggCCAIIAggCCAIIAggCGgIDAqICHgAC9wICAi4CBAIFAgYCBwIIAgkCKQILAgwCDQIIAggCCAIIAggCCAIIAggCCAIIAggCCAIIAggCCAIIAggCGgIDAqoCHgAC9wICAkkCBAIFAgYCBwIIAgkCKQILAgwCDQIIAggCCAIIAggCCAIIAggCCAIIAggCCAIIAggCCAIIAggCegAABAAaAgMCygIeAAL3AgICIwIEAgUCBgIHAggCCQIdAgsCDAINAggCCAIIAggCCAIIAggCCAIIAggCCAIIAggCCAIIAggCCAIaAgMCpgIeAAL3AgICJwIEAgUCBgIHAggCCQIdAgsCDAINAggCCAIIAggCCAIIAggCCAIIAggCCAIIAggCCAIIAggCCAIaAgMCpwIeAAL3AgICQgIEAgUCBgIHAggCCQIpAgsCDAINAggCCAIIAggCCAIIAggCCAIIAggCCAIIAggCCAIIAggCCAIaAgMCyQIeAAL3AgICXgIEAgUCBgIHAggCCQIdAgsCDAINAggCCAIIAggCCAIIAggCCAIIAggCCAIIAggCCAIIAggCCAIaAgMCzQIeAAL3AgICXQIEAgUCBgIHAggCCQIdAgsCDAINAggCCAIIAggCCAIIAggCCAIIAggCCAIIAggCCAIIAggCCAIaAgMC6gIeAAL3AgICZQIEAgUCBgIHAggCCQIKAgsCDAINAggCCAIIAggCCAIIAggCCAIIAggCCAIIAggCCAIIAggCCAIaAgMC1AIeAAL3AgICaAIEAgUCBgIHAggCCQIKAgsCDAINAggCCAIIAggCCAIIAggCCAIIAggCCAIIAggCCAIIAggCCAIaAgMCxwIeAAL3AgICYgIEAgUCBgIHAggCCQIKAgsCDAINAggCCAIIAggCCAIIAggCCAIIAggCCAIIAggCCAIIAggCCAIaAgMC0AIeAAL3AgICRAIEAgUCBgIHAggCCQIpAgsCDAINAggCCAIIAggCCAIIAggCCAIIAggCCAIIAggCCAIIAggCCAIaAgMCrQIeAAL4AAk2Nzg1MzU1MDQCAgJgAgQCBQIGAgcCCAIJAikCCwIMAg0CCAIIAggCCAIIAggCCAIIAggCCAIIAggCCAIIAggCCAIIAiICAwLfAh4AAvgCAgJeAgQCBQIGAgcCCAIJAikCCwIMAg0CCAIIAggCCAIIAggCCAIIAggCCAIIAggCCAIIAggCCAIIAiICAwK3Ah4AAvgCAgIjAgQCBQIGAgcCCAIJAgoCCwIMAg0CCAIIAggCCAIIAggCCAIIAggCCAIIAggCCAIIAggCCAIIAiICAwLcAh4AAvgCAgJaAgQCBQIGAgcCCAIJAikCCwIMAg0CCAIIAggCCAIIAggCCAIIAggCCAIIAggCCAIIAggCCAIIAiICAwK5Ah4AAvgCAgIuAgQCBQIGAgcCCAIJAh0CCwIMAg0CCAIIAggCCAIIAggCCAIIAggCCAIIAggCCAIIAggCCAIIAiICAwLbAh4AAvgCAgJGAgQCBQIGAgcCCAIJAgoCCwIMAg0CCAIIAggCCAIIAggCegAABAAIAggCCAIIAggCCAIIAggCCAIIAggCIgIDAsACHgAC+AICAiUCBAIFAgYCBwIIAgkCCgILAgwCDQIIAggCCAIIAggCCAIIAggCCAIIAggCCAIIAggCCAIIAggCIgIDAiICHgAC+AICAk0CBAIFAgYCBwIIAgkCKQILAgwCDQIIAggCCAIIAggCCAIIAggCCAIIAggCCAIIAggCCAIIAggCIgIDArwCHgAC+AICAj0CBAIFAgYCBwIIAgkCKQILAgwCDQIIAggCCAIIAggCCAIIAggCCAIIAggCCAIIAggCCAIIAggCIgIDAsICHgAC+AICAlICBAIFAgYCBwIIAgkCKQILAgwCDQIIAggCCAIIAggCCAIIAggCCAIIAggCCAIIAggCCAIIAggCIgIDAsMCHgAC+AICAhwCBAIFAgYCBwIIAgkCCgILAgwCDQIIAggCCAIIAggCCAIIAggCCAIIAggCCAIIAggCCAIIAggCIgIDAsECHgAC+AICAlECBAIFAgYCBwIIAgkCKQILAgwCDQIIAggCCAIIAggCCAIIAggCCAIIAggCCAIIAggCCAIIAggCIgIDAsUCHgAC+AICAmgCBAIFAgYCBwIIAgkCHQILAgwCDQIIAggCCAIIAggCCAIIAggCCAIIAggCCAIIAggCCAIIAggCIgIDAr0CHgAC+AICAmICBAIFAgYCBwIIAgkCHQILAgwCDQIIAggCCAIIAggCCAIIAggCCAIIAggCCAIIAggCCAIIAggCIgIDAsQCHgAC+AICAicCBAIFAgYCBwIIAgkCCgILAgwCDQIIAggCCAIIAggCCAIIAggCCAIIAggCCAIIAggCCAIIAggCIgIDAuICHgAC+AICAmgCBAIFAgYCBwIIAgkCKQILAgwCDQIIAggCCAIIAggCCAIIAggCCAIIAggCCAIIAggCCAIIAggCIgIDAqkCHgAC+AICAjQCBAIFAgYCBwIIAgkCCgILAgwCDQIIAggCCAIIAggCCAIIAggCCAIIAggCCAIIAggCCAIIAggCIgIDAqsCHgAC+AICAmACBAIFAgYCBwIIAgkCHQILAgwCDQIIAggCCAIIAggCCAIIAggCCAIIAggCCAIIAggCCAIIAggCIgIDAsgCHgAC+AICAlICBAIFAgYCBwIIAgkCHQILAgwCDQIIAggCCAIIAggCCAIIAggCCAIIAggCCAIIAggCCAIIAggCIgIDAs8CHgAC+AICAkICBAIFAgYCBwIIAgkCCgILAgwCDQIIAggCCAIIAggCCAIIAggCCAIIAggCCAIIAggCCAIIAggCIgIDArgCHgAC+AICAlUCBAIFAgYCBwIIAgkCKQILAgwCDQIIegAABAACCAIIAggCCAIIAggCCAIIAggCCAIIAggCCAIIAggCCAIiAgMCzAIeAAL4AgICRgIEAgUCBgIHAggCCQIdAgsCDAINAggCCAIIAggCCAIIAggCCAIIAggCCAIIAggCCAIIAggCCAIiAgMC0wIeAAL4AgICLgIEAgUCBgIHAggCCQIKAgsCDAINAggCCAIIAggCCAIIAggCCAIIAggCCAIIAggCCAIIAggCCAIiAgMCtgIeAAL4AgICSQIEAgUCBgIHAggCCQIKAgsCDAINAggCCAIIAggCCAIIAggCCAIIAggCCAIIAggCCAIIAggCCAIiAgMCIgIeAAL4AgICJQIEAgUCBgIHAggCCQIpAgsCDAINAggCCAIIAggCCAIIAggCCAIIAggCCAIIAggCCAIIAggCCAIiAgMCoQIeAAL4AgICHAIEAgUCBgIHAggCCQIdAgsCDAINAggCCAIIAggCCAIIAggCCAIIAggCCAIIAggCCAIIAggCCAIiAgMC2AIeAAL4AgICYgIEAgUCBgIHAggCCQIpAgsCDAINAggCCAIIAggCCAIIAggCCAIIAggCCAIIAggCCAIIAggCCAIiAgMC1QIeAAL4AgICZQIEAgUCBgIHAggCCQIpAgsCDAINAggCCAIIAggCCAIIAggCCAIIAggCCAIIAggCCAIIAggCCAIiAgMC0gIeAAL4AgICMgIEAgUCBgIHAggCCQIdAgsCDAINAggCCAIIAggCCAIIAggCCAIIAggCCAIIAggCCAIIAggCCAIiAgMCnQIeAAL4AgICbQIEAgUCBgIHAggCCQIpAgsCDAINAggCCAIIAggCCAIIAggCCAIIAggCCAIIAggCCAIIAggCCAIiAgMCywIeAAL4AgICPQIEAgUCBgIHAggCCQIdAgsCDAINAggCCAIIAggCCAIIAggCCAIIAggCCAIIAggCCAIIAggCCAIiAgMCzgIeAAL4AgICOwIEAgUCBgIHAggCCQIKAgsCDAINAggCCAIIAggCCAIIAggCCAIIAggCCAIIAggCCAIIAggCCAIiAgMCrAIeAAL4AgICNAIEAgUCBgIHAggCCQIdAgsCDAINAggCCAIIAggCCAIIAggCCAIIAggCCAIIAggCCAIIAggCCAIiAgMC4QIeAAL4AgICOwIEAgUCBgIHAggCCQIdAgsCDAINAggCCAIIAggCCAIIAggCCAIIAggCCAIIAggCCAIIAggCCAIiAgMC3gIeAAL4AgICYAIEAgUCBgIHAggCCQIKAgsCDAINAggCCAIIAggCCAIIAggCCAIIAggCCAIIAggCCAIIAggCCAIiAgMCpAIeAAL4AgICIwIEAgUCBgIHAggCegAABAAJAikCCwIMAg0CCAIIAggCCAIIAggCCAIIAggCCAIIAggCCAIIAggCCAIIAiICAwK6Ah4AAvgCAgInAgQCBQIGAgcCCAIJAikCCwIMAg0CCAIIAggCCAIIAggCCAIIAggCCAIIAggCCAIIAggCCAIIAiICAwKjAh4AAvgCAgJeAgQCBQIGAgcCCAIJAgoCCwIMAg0CCAIIAggCCAIIAggCCAIIAggCCAIIAggCCAIIAggCCAIIAiICAwLXAh4AAvgCAgJaAgQCBQIGAgcCCAIJAgoCCwIMAg0CCAIIAggCCAIIAggCCAIIAggCCAIIAggCCAIIAggCCAIIAiICAwKoAh4AAvgCAgJJAgQCBQIGAgcCCAIJAh0CCwIMAg0CCAIIAggCCAIIAggCCAIIAggCCAIIAggCCAIIAggCCAIIAiICAwLdAh4AAvgCAgJVAgQCBQIGAgcCCAIJAh0CCwIMAg0CCAIIAggCCAIIAggCCAIIAggCCAIIAggCCAIIAggCCAIIAiICAwK1Ah4AAvgCAgIwAgQCBQIGAgcCCAIJAh0CCwIMAg0CCAIIAggCCAIIAggCCAIIAggCCAIIAggCCAIIAggCCAIIAiICAwKlAh4AAvgCAgJCAgQCBQIGAgcCCAIJAh0CCwIMAg0CCAIIAggCCAIIAggCCAIIAggCCAIIAggCCAIIAggCCAIIAiICAwLZAh4AAvgCAgJtAgQCBQIGAgcCCAIJAh0CCwIMAg0CCAIIAggCCAIIAggCCAIIAggCCAIIAggCCAIIAggCCAIIAiICAwKzAh4AAvgCAgIyAgQCBQIGAgcCCAIJAikCCwIMAg0CCAIIAggCCAIIAggCCAIIAggCCAIIAggCCAIIAggCCAIIAiICAwLgAh4AAvgCAgJVAgQCBQIGAgcCCAIJAgoCCwIMAg0CCAIIAggCCAIIAggCCAIIAggCCAIIAggCCAIIAggCCAIIAiICAwKiAh4AAvgCAgJNAgQCBQIGAgcCCAIJAgoCCwIMAg0CCAIIAggCCAIIAggCCAIIAggCCAIIAggCCAIIAggCCAIIAiICAwKcAh4AAvgCAgIwAgQCBQIGAgcCCAIJAikCCwIMAg0CCAIIAggCCAIIAggCCAIIAggCCAIIAggCCAIIAggCCAIIAiICAwLWAh4AAvgCAgI9AgQCBQIGAgcCCAIJAgoCCwIMAg0CCAIIAggCCAIIAggCCAIIAggCCAIIAggCCAIIAggCCAIIAiICAwK7Ah4AAvgCAgJRAgQCBQIGAgcCCAIJAgoCCwIMAg0CCAIIAggCCAIIAggCCAIIAggCCAIIAggCCAIIAggCCAIIAiICAwIiAh4AAvgCAgJSegAABAACBAIFAgYCBwIIAgkCCgILAgwCDQIIAggCCAIIAggCCAIIAggCCAIIAggCCAIIAggCCAIIAggCIgIDAr4CHgAC+AICAmUCBAIFAgYCBwIIAgkCHQILAgwCDQIIAggCCAIIAggCCAIIAggCCAIIAggCCAIIAggCCAIIAggCIgIDAr8CHgAC+AICAkICBAIFAgYCBwIIAgkCKQILAgwCDQIIAggCCAIIAggCCAIIAggCCAIIAggCCAIIAggCCAIIAggCIgIDAskCHgAC+AICAkkCBAIFAgYCBwIIAgkCKQILAgwCDQIIAggCCAIIAggCCAIIAggCCAIIAggCCAIIAggCCAIIAggCIgIDAsoCHgAC+AICAi4CBAIFAgYCBwIIAgkCKQILAgwCDQIIAggCCAIIAggCCAIIAggCCAIIAggCCAIIAggCCAIIAggCIgIDAqoCHgAC+AICAicCBAIFAgYCBwIIAgkCHQILAgwCDQIIAggCCAIIAggCCAIIAggCCAIIAggCCAIIAggCCAIIAggCIgIDAqcCHgAC+AICAjsCBAIFAgYCBwIIAgkCKQILAgwCDQIIAggCCAIIAggCCAIIAggCCAIIAggCCAIIAggCCAIIAggCIgIDArICHgAC+AICAl4CBAIFAgYCBwIIAgkCHQILAgwCDQIIAggCCAIIAggCCAIIAggCCAIIAggCCAIIAggCCAIIAggCIgIDAs0CHgAC+AICAm0CBAIFAgYCBwIIAgkCCgILAgwCDQIIAggCCAIIAggCCAIIAggCCAIIAggCCAIIAggCCAIIAggCIgIDAqACHgAC+AICAloCBAIFAgYCBwIIAgkCHQILAgwCDQIIAggCCAIIAggCCAIIAggCCAIIAggCCAIIAggCCAIIAggCIgIDAsYCHgAC+AICAjICBAIFAgYCBwIIAgkCCgILAgwCDQIIAggCCAIIAggCCAIIAggCCAIIAggCCAIIAggCCAIIAggCIgIDArQCHgAC+AICAkYCBAIFAgYCBwIIAgkCKQILAgwCDQIIAggCCAIIAggCCAIIAggCCAIIAggCCAIIAggCCAIIAggCIgIDAp4CHgAC+AICAhwCBAIFAgYCBwIIAgkCKQILAgwCDQIIAggCCAIIAggCCAIIAggCCAIIAggCCAIIAggCCAIIAggCIgIDAp8CHgAC+AICAjACBAIFAgYCBwIIAgkCCgILAgwCDQIIAggCCAIIAggCCAIIAggCCAIIAggCCAIIAggCCAIIAggCIgIDArACHgAC+AICAlECBAIFAgYCBwIIAgkCHQILAgwCDQIIAggCCAIIAggCCAIIAggCCAIIAggCCAIIAggCCAIIAggCIgIDegAABAACrgIeAAL4AgICJQIEAgUCBgIHAggCCQIdAgsCDAINAggCCAIIAggCCAIIAggCCAIIAggCCAIIAggCCAIIAggCCAIiAgMCrwIeAAL4AgICaAIEAgUCBgIHAggCCQIKAgsCDAINAggCCAIIAggCCAIIAggCCAIIAggCCAIIAggCCAIIAggCCAIiAgMCxwIeAAL4AgICNAIEAgUCBgIHAggCCQIpAgsCDAINAggCCAIIAggCCAIIAggCCAIIAggCCAIIAggCCAIIAggCCAIiAgMCsQIeAAL4AgICZQIEAgUCBgIHAggCCQIKAgsCDAINAggCCAIIAggCCAIIAggCCAIIAggCCAIIAggCCAIIAggCCAIiAgMC1AIeAAL4AgICIwIEAgUCBgIHAggCCQIdAgsCDAINAggCCAIIAggCCAIIAggCCAIIAggCCAIIAggCCAIIAggCCAIiAgMCpgIeAAL4AgICYgIEAgUCBgIHAggCCQIKAgsCDAINAggCCAIIAggCCAIIAggCCAIIAggCCAIIAggCCAIIAggCCAIiAgMC0AIeAAL4AgICTQIEAgUCBgIHAggCCQIdAgsCDAINAggCCAIIAggCCAIIAggCCAIIAggCCAIIAggCCAIIAggCCAIiAgMC0QIeAAL5AAk1ODkyMTAyMzICAgIwAgQCBQIGAgcCCAIJAiECCwIeAg0CCAIIAggCCAIIAggCCAIIAggCCAIIAggCCAIIAggCCAIIAh0CAwJ0Ah4AAvkCAgIyAgQCBQIGAgcCCAIJAiECCwIeAg0CCAIIAggCCAIIAggCCAIIAggCCAIIAggCCAIIAggCCAIIAh0CAwIzAh4AAvkCAgIyAgQCBQIGAgcCCAIJAh0CCwIeAg0CCAIIAggCCAIIAggCCAIIAggCCAIIAggCCAIIAggCCAIIAh0CAwJ2Ah4AAvkCAgInAgQCBQIGAgcCCAIJAh0CCwIeAg0CCAIIAggCCAIIAggCCAIIAggCCAIIAggCCAIIAggCCAIIAh0CAwIoAh4AAvkCAgIcAgQCBQIGAgcCCAIJAikCCwIeAg0CCAIIAggCCAIIAggCCAIIAggCCAIIAggCCAIIAggCCAIIAh0CAwItAh4AAvkCAgIwAgQCBQIGAgcCCAIJAh0CCwIeAg0CCAIIAggCCAIIAggCCAIIAggCCAIIAggCCAIIAggCCAIIAh0CAwIxAh4AAvkCAgIlAgQCBQIGAgcCCAIJAikCCwIeAg0CCAIIAggCCAIIAggCCAIIAggCCAIIAggCCAIIAggCCAIIAh0CAwIqAh4AAvkCAgJlAgQCBQIGAgcCCAIJAh0CCwIeAg0CCAIIAggCCAIIAggCCAIIegAABAACCAIIAggCCAIIAggCCAIIAggCHQIDAo8CHgAC+QICAicCBAIFAgYCBwIIAgkCKQILAh4CDQIIAggCCAIIAggCCAIIAggCCAIIAggCCAIIAggCCAIIAggCHQIDAmQCHgAC+QICAkkCBAIFAgYCBwIIAgkCIQILAh4CDQIIAggCCAIIAggCCAIIAggCCAIIAggCCAIIAggCCAIIAggCHQIDAiICHgAC+QICAjsCBAIFAgYCBwIIAgkCIQILAh4CDQIIAggCCAIIAggCCAIIAggCCAIIAggCCAIIAggCCAIIAggCHQIDAnsCHgAC+QICAkYCBAIFAgYCBwIIAgkCHQILAh4CDQIIAggCCAIIAggCCAIIAggCCAIIAggCCAIIAggCCAIIAggCHQIDAoACHgAC+QICAiMCBAIFAgYCBwIIAgkCKQILAh4CDQIIAggCCAIIAggCCAIIAggCCAIIAggCCAIIAggCCAIIAggCHQIDApMCHgAC+QICAjsCBAIFAgYCBwIIAgkCHQILAh4CDQIIAggCCAIIAggCCAIIAggCCAIIAggCCAIIAggCCAIIAggCHQIDAjwCHgAC+QICAjQCBAIFAgYCBwIIAgkCHQILAh4CDQIIAggCCAIIAggCCAIIAggCCAIIAggCCAIIAggCCAIIAggCHQIDAnkCHgAC+QICAjQCBAIFAgYCBwIIAgkCIQILAh4CDQIIAggCCAIIAggCCAIIAggCCAIIAggCCAIIAggCCAIIAggCHQIDAjUCHgAC+QICAmUCBAIFAgYCBwIIAgkCIQILAh4CDQIIAggCCAIIAggCCAIIAggCCAIIAggCCAIIAggCCAIIAggCHQIDAmYCHgAC+QICAiUCBAIFAgYCBwIIAgkCIQILAh4CDQIIAggCCAIIAggCCAIIAggCCAIIAggCCAIIAggCCAIIAggCHQIDAiICHgAC+QICAlECBAIFAgYCBwIIAgkCIQILAh4CDQIIAggCCAIIAggCCAIIAggCCAIIAggCCAIIAggCCAIIAggCHQIDAiICHgAC+QICAm0CBAIFAgYCBwIIAgkCIQILAh4CDQIIAggCCAIIAggCCAIIAggCCAIIAggCCAIIAggCCAIIAggCHQIDAm4CHgAC+QICAm0CBAIFAgYCBwIIAgkCHQILAh4CDQIIAggCCAIIAggCCAIIAggCCAIIAggCCAIIAggCCAIIAggCHQIDApkCHgAC+QICAloCBAIFAgYCBwIIAgkCKQILAh4CDQIIAggCCAIIAggCCAIIAggCCAIIAggCCAIIAggCCAIIAggCHQIDApgCHgAC+QICAiUCBAIFAgYCBwIIAgkCHQILAh4CDQIIAggCegAABAAIAggCCAIIAggCCAIIAggCCAIIAggCCAIIAggCCAIdAgMCJgIeAAL5AgICVQIEAgUCBgIHAggCCQIdAgsCHgINAggCCAIIAggCCAIIAggCCAIIAggCCAIIAggCCAIIAggCCAIdAgMCbAIeAAL5AgICVQIEAgUCBgIHAggCCQIhAgsCHgINAggCCAIIAggCCAIIAggCCAIIAggCCAIIAggCCAIIAggCCAIdAgMClQIeAAL5AgICJwIEAgUCBgIHAggCCQIhAgsCHgINAggCCAIIAggCCAIIAggCCAIIAggCCAIIAggCCAIIAggCCAIdAgMCcwIeAAL5AgICOwIEAgUCBgIHAggCCQIpAgsCHgINAggCCAIIAggCCAIIAggCCAIIAggCCAIIAggCCAIIAggCCAIdAgMCggIeAAL5AgICUQIEAgUCBgIHAggCCQIdAgsCHgINAggCCAIIAggCCAIIAggCCAIIAggCCAIIAggCCAIIAggCCAIdAgMChAIeAAL5AgICQgIEAgUCBgIHAggCCQIpAgsCHgINAggCCAIIAggCCAIIAggCCAIIAggCCAIIAggCCAIIAggCCAIdAgMCWQIeAAL5AgICNAIEAgUCBgIHAggCCQIpAgsCHgINAggCCAIIAggCCAIIAggCCAIIAggCCAIIAggCCAIIAggCCAIdAgMCTAIeAAL5AgICXQIEAgUCBgIHAggCCQIhAgsCHgINAggCCAIIAggCCAIIAggCCAIIAggCCAIIAggCCAIIAggCCAIdAgMCIgIeAAL5AgICIwIEAgUCBgIHAggCCQIdAgsCHgINAggCCAIIAggCCAIIAggCCAIIAggCCAIIAggCCAIIAggCCAIdAgMCcgIeAAL5AgICTQIEAgUCBgIHAggCCQIdAgsCHgINAggCCAIIAggCCAIIAggCCAIIAggCCAIIAggCCAIIAggCCAIdAgMCTgIeAAL5AgICRgIEAgUCBgIHAggCCQIpAgsCHgINAggCCAIIAggCCAIIAggCCAIIAggCCAIIAggCCAIIAggCCAIdAgMCdQIeAAL5AgICLgIEAgUCBgIHAggCCQIpAgsCHgINAggCCAIIAggCCAIIAggCCAIIAggCCAIIAggCCAIIAggCCAIdAgMCLwIeAAL5AgICSQIEAgUCBgIHAggCCQIpAgsCHgINAggCCAIIAggCCAIIAggCCAIIAggCCAIIAggCCAIIAggCCAIdAgMCiwIeAAL5AgICRAIEAgUCBgIHAggCCQIpAgsCHgINAggCCAIIAggCCAIIAggCCAIIAggCCAIIAggCCAIIAggCCAIdAgMCbwIeAAL5AgICTQIEAgUCBgIHAggCCQIhegAABAACCwIeAg0CCAIIAggCCAIIAggCCAIIAggCCAIIAggCCAIIAggCCAIIAh0CAwKKAh4AAvkCAgIjAgQCBQIGAgcCCAIJAiECCwIeAg0CCAIIAggCCAIIAggCCAIIAggCCAIIAggCCAIIAggCCAIIAh0CAwIkAh4AAvkCAgJaAgQCBQIGAgcCCAIJAh0CCwIeAg0CCAIIAggCCAIIAggCCAIIAggCCAIIAggCCAIIAggCCAIIAh0CAwKJAh4AAvkCAgJRAgQCBQIGAgcCCAIJAikCCwIeAg0CCAIIAggCCAIIAggCCAIIAggCCAIIAggCCAIIAggCCAIIAh0CAwKSAh4AAvkCAgJdAgQCBQIGAgcCCAIJAh0CCwIeAg0CCAIIAggCCAIIAggCCAIIAggCCAIIAggCCAIIAggCCAIIAh0CAwKHAh4AAvkCAgJtAgQCBQIGAgcCCAIJAikCCwIeAg0CCAIIAggCCAIIAggCCAIIAggCCAIIAggCCAIIAggCCAIIAh0CAwKIAh4AAvkCAgJNAgQCBQIGAgcCCAIJAikCCwIeAg0CCAIIAggCCAIIAggCCAIIAggCCAIIAggCCAIIAggCCAIIAh0CAwJnAh4AAvkCAgJiAgQCBQIGAgcCCAIJAiECCwIeAg0CCAIIAggCCAIIAggCCAIIAggCCAIIAggCCAIIAggCCAIIAh0CAwKUAh4AAvkCAgJAAgQCBQIGAgcCCAIJAiECCwIeAg0CCAIIAggCCAIIAggCCAIIAggCCAIIAggCCAIIAggCCAIIAh0CAwIiAh4AAvkCAgJeAgQCBQIGAgcCCAIJAh0CCwIeAg0CCAIIAggCCAIIAggCCAIIAggCCAIIAggCCAIIAggCCAIIAh0CAwJfAh4AAvkCAgJVAgQCBQIGAgcCCAIJAikCCwIeAg0CCAIIAggCCAIIAggCCAIIAggCCAIIAggCCAIIAggCCAIIAh0CAwJWAh4AAvkCAgJgAgQCBQIGAgcCCAIJAh0CCwIeAg0CCAIIAggCCAIIAggCCAIIAggCCAIIAggCCAIIAggCCAIIAh0CAwKMAh4AAvkCAgJaAgQCBQIGAgcCCAIJAiECCwIeAg0CCAIIAggCCAIIAggCCAIIAggCCAIIAggCCAIIAggCCAIIAh0CAwJbAh4AAvkCAgJeAgQCBQIGAgcCCAIJAiECCwIeAg0CCAIIAggCCAIIAggCCAIIAggCCAIIAggCCAIIAggCCAIIAh0CAwKNAh4AAvkCAgJSAgQCBQIGAgcCCAIJAikCCwIeAg0CCAIIAggCCAIIAggCCAIIAggCCAIIAggCCAIIAggCCAIIAh0CAwJ4Ah4AAvkCAgJAAgQCegAABAAFAgYCBwIIAgkCHQILAh4CDQIIAggCCAIIAggCCAIIAggCCAIIAggCCAIIAggCCAIIAggCHQIDAo4CHgAC+QICAmACBAIFAgYCBwIIAgkCKQILAh4CDQIIAggCCAIIAggCCAIIAggCCAIIAggCCAIIAggCCAIIAggCHQIDAncCHgAC+QICAi4CBAIFAgYCBwIIAgkCIQILAh4CDQIIAggCCAIIAggCCAIIAggCCAIIAggCCAIIAggCCAIIAggCHQIDAoECHgAC+QICAkQCBAIFAgYCBwIIAgkCIQILAh4CDQIIAggCCAIIAggCCAIIAggCCAIIAggCCAIIAggCCAIIAggCHQIDAiICHgAC+QICAj0CBAIFAgYCBwIIAgkCKQILAh4CDQIIAggCCAIIAggCCAIIAggCCAIIAggCCAIIAggCCAIIAggCHQIDAj4CHgAC+QICAmICBAIFAgYCBwIIAgkCHQILAh4CDQIIAggCCAIIAggCCAIIAggCCAIIAggCCAIIAggCCAIIAggCHQIDAmMCHgAC+QICAl0CBAIFAgYCBwIIAgkCKQILAh4CDQIIAggCCAIIAggCCAIIAggCCAIIAggCCAIIAggCCAIIAggCHQIDApcCHgAC+QICAl4CBAIFAgYCBwIIAgkCKQILAh4CDQIIAggCCAIIAggCCAIIAggCCAIIAggCCAIIAggCCAIIAggCHQIDAmoCHgAC+QICAkQCBAIFAgYCBwIIAgkCHQILAh4CDQIIAggCCAIIAggCCAIIAggCCAIIAggCCAIIAggCCAIIAggCHQIDAn4CHgAC+QICAmgCBAIFAgYCBwIIAgkCIQILAh4CDQIIAggCCAIIAggCCAIIAggCCAIIAggCCAIIAggCCAIIAggCHQIDApECHgAC+QICAmgCBAIFAgYCBwIIAgkCHQILAh4CDQIIAggCCAIIAggCCAIIAggCCAIIAggCCAIIAggCCAIIAggCHQIDAmkCHgAC+QICAjICBAIFAgYCBwIIAgkCKQILAh4CDQIIAggCCAIIAggCCAIIAggCCAIIAggCCAIIAggCCAIIAggCHQIDAn0CHgAC+QICAkkCBAIFAgYCBwIIAgkCHQILAh4CDQIIAggCCAIIAggCCAIIAggCCAIIAggCCAIIAggCCAIIAggCHQIDAkoCHgAC+QICAkYCBAIFAgYCBwIIAgkCIQILAh4CDQIIAggCCAIIAggCCAIIAggCCAIIAggCCAIIAggCCAIIAggCHQIDAkcCHgAC+QICAi4CBAIFAgYCBwIIAgkCHQILAh4CDQIIAggCCAIIAggCCAIIAggCCAIIAggCCAIIAggCCAIIAggCHQIDAkgCegAABAAeAAL5AgICMAIEAgUCBgIHAggCCQIpAgsCHgINAggCCAIIAggCCAIIAggCCAIIAggCCAIIAggCCAIIAggCCAIdAgMCRQIeAAL5AgICYgIEAgUCBgIHAggCCQIpAgsCHgINAggCCAIIAggCCAIIAggCCAIIAggCCAIIAggCCAIIAggCCAIdAgMCcAIeAAL5AgICQgIEAgUCBgIHAggCCQIdAgsCHgINAggCCAIIAggCCAIIAggCCAIIAggCCAIIAggCCAIIAggCCAIdAgMCfAIeAAL5AgICHAIEAgUCBgIHAggCCQIdAgsCHgINAggCCAIIAggCCAIIAggCCAIIAggCCAIIAggCCAIIAggCCAIdAgMCHwIeAAL5AgICHAIEAgUCBgIHAggCCQIhAgsCHgINAggCCAIIAggCCAIIAggCCAIIAggCCAIIAggCCAIIAggCCAIdAgMCfwIeAAL5AgICQgIEAgUCBgIHAggCCQIhAgsCHgINAggCCAIIAggCCAIIAggCCAIIAggCCAIIAggCCAIIAggCCAIdAgMCQwIeAAL5AgICQAIEAgUCBgIHAggCCQIpAgsCHgINAggCCAIIAggCCAIIAggCCAIIAggCCAIIAggCCAIIAggCCAIdAgMCQQIeAAL5AgICYAIEAgUCBgIHAggCCQIhAgsCHgINAggCCAIIAggCCAIIAggCCAIIAggCCAIIAggCCAIIAggCCAIdAgMCYQIeAAL5AgICPQIEAgUCBgIHAggCCQIdAgsCHgINAggCCAIIAggCCAIIAggCCAIIAggCCAIIAggCCAIIAggCCAIdAgMCUAIeAAL5AgICUgIEAgUCBgIHAggCCQIdAgsCHgINAggCCAIIAggCCAIIAggCCAIIAggCCAIIAggCCAIIAggCCAIdAgMChQIeAAL5AgICaAIEAgUCBgIHAggCCQIpAgsCHgINAggCCAIIAggCCAIIAggCCAIIAggCCAIIAggCCAIIAggCCAIdAgMCcQIeAAL5AgICZQIEAgUCBgIHAggCCQIpAgsCHgINAggCCAIIAggCCAIIAggCCAIIAggCCAIIAggCCAIIAggCCAIdAgMChgIeAAL5AgICUgIEAgUCBgIHAggCCQIhAgsCHgINAggCCAIIAggCCAIIAggCCAIIAggCCAIIAggCCAIIAggCCAIdAgMCUwIeAAL5AgICPQIEAgUCBgIHAggCCQIhAgsCHgINAggCCAIIAggCCAIIAggCCAIIAggCCAIIAggCCAIIAggCCAIdAgMCgwIeAAL6AAk1ODkxOTg1NjACAgI2AgQCBQIGAgcCCAIJAh0CCwIeAg0CCAIIAggCCAIIAggCCAIIAggCegAABAAIAggCCAIIAggCCAIIAggAAgMCegIeAAL6AgICIwIEAgUCBgIHAggCCQIpAgsCHgINAggCCAIIAggCCAIIAggCCAIIAggCCAIIAggCCAIIAggCCAACAwKTAh4AAvoCAgI0AgQCBQIGAgcCCAIJAh0CCwIeAg0CCAIIAggCCAIIAggCCAIIAggCCAIIAggCCAIIAggCCAIIAAIDAnkCHgAC+gICAmUCBAIFAgYCBwIIAgkCIQILAh4CDQIIAggCCAIIAggCCAIIAggCCAIIAggCCAIIAggCCAIIAggAAgMCZgIeAAL6AgICOwIEAgUCBgIHAggCCQIhAgsCHgINAggCCAIIAggCCAIIAggCCAIIAggCCAIIAggCCAIIAggCCAACAwJ7Ah4AAvoCAgJCAgQCBQIGAgcCCAIJAh0CCwIeAg0CCAIIAggCCAIIAggCCAIIAggCCAIIAggCCAIIAggCCAIIAAIDAnwCHgAC+gICAlUCBAIFAgYCBwIIAgkCIQILAh4CDQIIAggCCAIIAggCCAIIAggCCAIIAggCCAIIAggCCAIIAggAAgMClQIeAAL6AgICVwIEAgUCBgIHAggCCQIhAgsCHgINAggCCAIIAggCCAIIAggCCAIIAggCCAIIAggCCAIIAggCCAACAwIiAh4AAvoCAgIgAgQCBQIGAgcCCAIJAh0CCwIeAg0CCAIIAggCCAIIAggCCAIIAggCCAIIAggCCAIIAggCCAIIAAIDApYCHgAC+gICAjICBAIFAgYCBwIIAgkCKQILAh4CDQIIAggCCAIIAggCCAIIAggCCAIIAggCCAIIAggCCAIIAggAAgMCfQIeAAL6AgICSQIEAgUCBgIHAggCCQIhAgsCHgINAggCCAIIAggCCAIIAggCCAIIAggCCAIIAggCCAIIAggCCAACAwIiAh4AAvoCAgJtAgQCBQIGAgcCCAIJAh0CCwIeAg0CCAIIAggCCAIIAggCCAIIAggCCAIIAggCCAIIAggCCAIIAAIDApkCHgAC+gICAjcCBAIFAgYCBwIIAgkCHQILAh4CDQIIAggCCAIIAggCCAIIAggCCAIIAggCCAIIAggCCAIIAggAAgMCTwIeAAL6AgICYgIEAgUCBgIHAggCCQIpAgsCHgINAggCCAIIAggCCAIIAggCCAIIAggCCAIIAggCCAIIAggCCAACAwJwAh4AAvoCAgI9AgQCBQIGAgcCCAIJAh0CCwIeAg0CCAIIAggCCAIIAggCCAIIAggCCAIIAggCCAIIAggCCAIIAAIDAlACHgAC+gICAmgCBAIFAgYCBwIIAgkCKQILAh4CDQIIAggCCAIIAggCCAIIAggCCAIIAggCegAABAAIAggCCAIIAggCCAACAwJxAh4AAvoCAgJSAgQCBQIGAgcCCAIJAiECCwIeAg0CCAIIAggCCAIIAggCCAIIAggCCAIIAggCCAIIAggCCAIIAAIDAlMCHgAC+gICAm0CBAIFAgYCBwIIAgkCKQILAh4CDQIIAggCCAIIAggCCAIIAggCCAIIAggCCAIIAggCCAIIAggAAgMCiAIeAAL6AgICKwIEAgUCBgIHAggCCQIhAgsCHgINAggCCAIIAggCCAIIAggCCAIIAggCCAIIAggCCAIIAggCCAACAwIiAh4AAvoCAgIwAgQCBQIGAgcCCAIJAiECCwIeAg0CCAIIAggCCAIIAggCCAIIAggCCAIIAggCCAIIAggCCAIIAAIDAnQCHgAC+gICAjkCBAIFAgYCBwIIAgkCHQILAh4CDQIIAggCCAIIAggCCAIIAggCCAIIAggCCAIIAggCCAIIAggAAgMCXAIeAAL6AgICIAIEAgUCBgIHAggCCQIpAgsCHgINAggCCAIIAggCCAIIAggCCAIIAggCCAIIAggCCAIIAggCCAACAwKQAh4AAvoCAgJgAgQCBQIGAgcCCAIJAiECCwIeAg0CCAIIAggCCAIIAggCCAIIAggCCAIIAggCCAIIAggCCAIIAAIDAmECHgAC+gICAjICBAIFAgYCBwIIAgkCHQILAh4CDQIIAggCCAIIAggCCAIIAggCCAIIAggCCAIIAggCCAIIAggAAgMCdgIeAAL6AgICUgIEAgUCBgIHAggCCQIpAgsCHgINAggCCAIIAggCCAIIAggCCAIIAggCCAIIAggCCAIIAggCCAACAwJ4Ah4AAvoCAgJiAgQCBQIGAgcCCAIJAh0CCwIeAg0CCAIIAggCCAIIAggCCAIIAggCCAIIAggCCAIIAggCCAIIAAIDAmMCHgAC+gICAmACBAIFAgYCBwIIAgkCKQILAh4CDQIIAggCCAIIAggCCAIIAggCCAIIAggCCAIIAggCCAIIAggAAgMCdwIeAAL6AgICTQIEAgUCBgIHAggCCQIpAgsCHgINAggCCAIIAggCCAIIAggCCAIIAggCCAIIAggCCAIIAggCCAACAwJnAh4AAvoCAgJAAgQCBQIGAgcCCAIJAiECCwIeAg0CCAIIAggCCAIIAggCCAIIAggCCAIIAggCCAIIAggCCAIIAAIDAiICHgAC+gICAkQCBAIFAgYCBwIIAgkCHQILAh4CDQIIAggCCAIIAggCCAIIAggCCAIIAggCCAIIAggCCAIIAggAAgMCfgIeAAL6AgICaAIEAgUCBgIHAggCCQIdAgsCHgINAggCCAIIAggCCAIIAggCCAIIAggCCAIIAggCegAABAAIAggCCAIIAAIDAmkCHgAC+gICAl4CBAIFAgYCBwIIAgkCKQILAh4CDQIIAggCCAIIAggCCAIIAggCCAIIAggCCAIIAggCCAIIAggAAgMCagIeAAL6AgICHAIEAgUCBgIHAggCCQIhAgsCHgINAggCCAIIAggCCAIIAggCCAIIAggCCAIIAggCCAIIAggCCAACAwJ/Ah4AAvoCAgJAAgQCBQIGAgcCCAIJAikCCwIeAg0CCAIIAggCCAIIAggCCAIIAggCCAIIAggCCAIIAggCCAIIAAIDAkECHgAC+gICAi4CBAIFAgYCBwIIAgkCIQILAh4CDQIIAggCCAIIAggCCAIIAggCCAIIAggCCAIIAggCCAIIAggAAgMCgQIeAAL6AgICRgIEAgUCBgIHAggCCQIdAgsCHgINAggCCAIIAggCCAIIAggCCAIIAggCCAIIAggCCAIIAggCCAACAwKAAh4AAvoCAgI2AgQCBQIGAgcCCAIJAikCCwIeAg0CCAIIAggCCAIIAggCCAIIAggCCAIIAggCCAIIAggCCAIIAAIDAksCHgAC+gICAk0CBAIFAgYCBwIIAgkCHQILAh4CDQIIAggCCAIIAggCCAIIAggCCAIIAggCCAIIAggCCAIIAggAAgMCTgIeAAL6AgICJQIEAgUCBgIHAggCCQIdAgsCHgINAggCCAIIAggCCAIIAggCCAIIAggCCAIIAggCCAIIAggCCAACAwImAh4AAvoCAgJEAgQCBQIGAgcCCAIJAikCCwIeAg0CCAIIAggCCAIIAggCCAIIAggCCAIIAggCCAIIAggCCAIIAAIDAm8CHgAC+gICAiMCBAIFAgYCBwIIAgkCIQILAh4CDQIIAggCCAIIAggCCAIIAggCCAIIAggCCAIIAggCCAIIAggAAgMCJAIeAAL6AgICIAIEAgUCBgIHAggCCQIhAgsCHgINAggCCAIIAggCCAIIAggCCAIIAggCCAIIAggCCAIIAggCCAACAwIiAh4AAvoCAgInAgQCBQIGAgcCCAIJAh0CCwIeAg0CCAIIAggCCAIIAggCCAIIAggCCAIIAggCCAIIAggCCAIIAAIDAigCHgAC+gICAjQCBAIFAgYCBwIIAgkCKQILAh4CDQIIAggCCAIIAggCCAIIAggCCAIIAggCCAIIAggCCAIIAggAAgMCTAIeAAL6AgICUQIEAgUCBgIHAggCCQIhAgsCHgINAggCCAIIAggCCAIIAggCCAIIAggCCAIIAggCCAIIAggCCAACAwIiAh4AAvoCAgJUAgQCBQIGAgcCCAIJAiECCwIeAg0CCAIIAggCCAIIAggCCAIIAggCCAIIAggCCAIIAggCegAABAAIAggAAgMCIgIeAAL6AgICRgIEAgUCBgIHAggCCQIpAgsCHgINAggCCAIIAggCCAIIAggCCAIIAggCCAIIAggCCAIIAggCCAACAwJ1Ah4AAvoCAgJdAgQCBQIGAgcCCAIJAiECCwIeAg0CCAIIAggCCAIIAggCCAIIAggCCAIIAggCCAIIAggCCAIIAAIDAiICHgAC+gICAloCBAIFAgYCBwIIAgkCIQILAh4CDQIIAggCCAIIAggCCAIIAggCCAIIAggCCAIIAggCCAIIAggAAgMCWwIeAAL6AgICXgIEAgUCBgIHAggCCQIdAgsCHgINAggCCAIIAggCCAIIAggCCAIIAggCCAIIAggCCAIIAggCCAACAwJfAh4AAvoCAgJCAgQCBQIGAgcCCAIJAikCCwIeAg0CCAIIAggCCAIIAggCCAIIAggCCAIIAggCCAIIAggCCAIIAAIDAlkCHgAC+gICAjQCBAIFAgYCBwIIAgkCIQILAh4CDQIIAggCCAIIAggCCAIIAggCCAIIAggCCAIIAggCCAIIAggAAgMCNQIeAAL6AgICZQIEAgUCBgIHAggCCQIdAgsCHgINAggCCAIIAggCCAIIAggCCAIIAggCCAIIAggCCAIIAggCCAACAwKPAh4AAvoCAgI2AgQCBQIGAgcCCAIJAiECCwIeAg0CCAIIAggCCAIIAggCCAIIAggCCAIIAggCCAIIAggCCAIIAAIDAiICHgAC+gICAisCBAIFAgYCBwIIAgkCHQILAh4CDQIIAggCCAIIAggCCAIIAggCCAIIAggCCAIIAggCCAIIAggAAgMCLAIeAAL6AgICJwIEAgUCBgIHAggCCQIpAgsCHgINAggCCAIIAggCCAIIAggCCAIIAggCCAIIAggCCAIIAggCCAACAwJkAh4AAvoCAgI7AgQCBQIGAgcCCAIJAh0CCwIeAg0CCAIIAggCCAIIAggCCAIIAggCCAIIAggCCAIIAggCCAIIAAIDAjwCHgAC+gICAkkCBAIFAgYCBwIIAgkCHQILAh4CDQIIAggCCAIIAggCCAIIAggCCAIIAggCCAIIAggCCAIIAggAAgMCSgIeAAL6AgICKwIEAgUCBgIHAggCCQIpAgsCHgINAggCCAIIAggCCAIIAggCCAIIAggCCAIIAggCCAIIAggCCAACAwI/Ah4AAvoCAgJVAgQCBQIGAgcCCAIJAh0CCwIeAg0CCAIIAggCCAIIAggCCAIIAggCCAIIAggCCAIIAggCCAIIAAIDAmwCHgAC+gICAkICBAIFAgYCBwIIAgkCIQILAh4CDQIIAggCCAIIAggCCAIIAggCCAIIAggCCAIIAggCCAIIAggAegAABAACAwJDAh4AAvoCAgJXAgQCBQIGAgcCCAIJAh0CCwIeAg0CCAIIAggCCAIIAggCCAIIAggCCAIIAggCCAIIAggCCAIIAAIDAmsCHgAC+gICAjACBAIFAgYCBwIIAgkCKQILAh4CDQIIAggCCAIIAggCCAIIAggCCAIIAggCCAIIAggCCAIIAggAAgMCRQIeAAL6AgICbQIEAgUCBgIHAggCCQIhAgsCHgINAggCCAIIAggCCAIIAggCCAIIAggCCAIIAggCCAIIAggCCAACAwJuAh4AAvoCAgIcAgQCBQIGAgcCCAIJAh0CCwIeAg0CCAIIAggCCAIIAggCCAIIAggCCAIIAggCCAIIAggCCAIIAAIDAh8CHgAC+gICAjcCBAIFAgYCBwIIAgkCIQILAh4CDQIIAggCCAIIAggCCAIIAggCCAIIAggCCAIIAggCCAIIAggAAgMCIgIeAAL6AgICPQIEAgUCBgIHAggCCQIhAgsCHgINAggCCAIIAggCCAIIAggCCAIIAggCCAIIAggCCAIIAggCCAACAwKDAh4AAvoCAgJlAgQCBQIGAgcCCAIJAikCCwIeAg0CCAIIAggCCAIIAggCCAIIAggCCAIIAggCCAIIAggCCAIIAAIDAoYCHgAC+gICAlICBAIFAgYCBwIIAgkCHQILAh4CDQIIAggCCAIIAggCCAIIAggCCAIIAggCCAIIAggCCAIIAggAAgMChQIeAAL6AgICVwIEAgUCBgIHAggCCQIpAgsCHgINAggCCAIIAggCCAIIAggCCAIIAggCCAIIAggCCAIIAggCCAACAwJYAh4AAvoCAgJVAgQCBQIGAgcCCAIJAikCCwIeAg0CCAIIAggCCAIIAggCCAIIAggCCAIIAggCCAIIAggCCAIIAAIDAlYCHgAC+gICAiUCBAIFAgYCBwIIAgkCKQILAh4CDQIIAggCCAIIAggCCAIIAggCCAIIAggCCAIIAggCCAIIAggAAgMCKgIeAAL6AgICYAIEAgUCBgIHAggCCQIdAgsCHgINAggCCAIIAggCCAIIAggCCAIIAggCCAIIAggCCAIIAggCCAACAwKMAh4AAvoCAgIwAgQCBQIGAgcCCAIJAh0CCwIeAg0CCAIIAggCCAIIAggCCAIIAggCCAIIAggCCAIIAggCCAIIAAIDAjECHgAC+gICAjkCBAIFAgYCBwIIAgkCIQILAh4CDQIIAggCCAIIAggCCAIIAggCCAIIAggCCAIIAggCCAIIAggAAgMCIgIeAAL6AgICMgIEAgUCBgIHAggCCQIhAgsCHgINAggCCAIIAggCCAIIAggCCAIIAggCCAIIAggCCAIIAggCCAACAwIzegAABAACHgAC+gICAkACBAIFAgYCBwIIAgkCHQILAh4CDQIIAggCCAIIAggCCAIIAggCCAIIAggCCAIIAggCCAIIAggAAgMCjgIeAAL6AgICPQIEAgUCBgIHAggCCQIpAgsCHgINAggCCAIIAggCCAIIAggCCAIIAggCCAIIAggCCAIIAggCCAACAwI+Ah4AAvoCAgI3AgQCBQIGAgcCCAIJAikCCwIeAg0CCAIIAggCCAIIAggCCAIIAggCCAIIAggCCAIIAggCCAIIAAIDAjgCHgAC+gICAjkCBAIFAgYCBwIIAgkCKQILAh4CDQIIAggCCAIIAggCCAIIAggCCAIIAggCCAIIAggCCAIIAggAAgMCOgIeAAL6AgICUQIEAgUCBgIHAggCCQIpAgsCHgINAggCCAIIAggCCAIIAggCCAIIAggCCAIIAggCCAIIAggCCAACAwKSAh4AAvoCAgJoAgQCBQIGAgcCCAIJAiECCwIeAg0CCAIIAggCCAIIAggCCAIIAggCCAIIAggCCAIIAggCCAIIAAIDApECHgAC+gICAlQCBAIFAgYCBwIIAgkCHQILAh4CDQIIAggCCAIIAggCCAIIAggCCAIIAggCCAIIAggCCAIIAggAAgMCXAIeAAL6AgICYgIEAgUCBgIHAggCCQIhAgsCHgINAggCCAIIAggCCAIIAggCCAIIAggCCAIIAggCCAIIAggCCAACAwKUAh4AAvoCAgIuAgQCBQIGAgcCCAIJAh0CCwIeAg0CCAIIAggCCAIIAggCCAIIAggCCAIIAggCCAIIAggCCAIIAAIDAkgCHgAC+gICAl0CBAIFAgYCBwIIAgkCKQILAh4CDQIIAggCCAIIAggCCAIIAggCCAIIAggCCAIIAggCCAIIAggAAgMClwIeAAL6AgICVAIEAgUCBgIHAggCCQIpAgsCHgINAggCCAIIAggCCAIIAggCCAIIAggCCAIIAggCCAIIAggCCAACAwI6Ah4AAvoCAgJEAgQCBQIGAgcCCAIJAiECCwIeAg0CCAIIAggCCAIIAggCCAIIAggCCAIIAggCCAIIAggCCAIIAAIDAiICHgAC+gICAloCBAIFAgYCBwIIAgkCKQILAh4CDQIIAggCCAIIAggCCAIIAggCCAIIAggCCAIIAggCCAIIAggAAgMCmAIeAAL6AgICRgIEAgUCBgIHAggCCQIhAgsCHgINAggCCAIIAggCCAIIAggCCAIIAggCCAIIAggCCAIIAggCCAACAwJHAh4AAvoCAgI7AgQCBQIGAgcCCAIJAikCCwIeAg0CCAIIAggCCAIIAggCCAIIAggCCAIIAggCCAIIAggCCAIIAAIDAoICHgACegAABAD6AgICTQIEAgUCBgIHAggCCQIhAgsCHgINAggCCAIIAggCCAIIAggCCAIIAggCCAIIAggCCAIIAggCCAACAwKKAh4AAvoCAgIlAgQCBQIGAgcCCAIJAiECCwIeAg0CCAIIAggCCAIIAggCCAIIAggCCAIIAggCCAIIAggCCAIIAAIDAiICHgAC+gICAlECBAIFAgYCBwIIAgkCHQILAh4CDQIIAggCCAIIAggCCAIIAggCCAIIAggCCAIIAggCCAIIAggAAgMChAIeAAL6AgICJwIEAgUCBgIHAggCCQIhAgsCHgINAggCCAIIAggCCAIIAggCCAIIAggCCAIIAggCCAIIAggCCAACAwJzAh4AAvoCAgIjAgQCBQIGAgcCCAIJAh0CCwIeAg0CCAIIAggCCAIIAggCCAIIAggCCAIIAggCCAIIAggCCAIIAAIDAnICHgAC+gICAl0CBAIFAgYCBwIIAgkCHQILAh4CDQIIAggCCAIIAggCCAIIAggCCAIIAggCCAIIAggCCAIIAggAAgMChwIeAAL6AgICHAIEAgUCBgIHAggCCQIpAgsCHgINAggCCAIIAggCCAIIAggCCAIIAggCCAIIAggCCAIIAggCCAACAwItAh4AAvoCAgIuAgQCBQIGAgcCCAIJAikCCwIeAg0CCAIIAggCCAIIAggCCAIIAggCCAIIAggCCAIIAggCCAIIAAIDAi8CHgAC+gICAkkCBAIFAgYCBwIIAgkCKQILAh4CDQIIAggCCAIIAggCCAIIAggCCAIIAggCCAIIAggCCAIIAggAAgMCiwIeAAL6AgICWgIEAgUCBgIHAggCCQIdAgsCHgINAggCCAIIAggCCAIIAggCCAIIAggCCAIIAggCCAIIAggCCAACAwKJAh4AAvoCAgJeAgQCBQIGAgcCCAIJAiECCwIeAg0CCAIIAggCCAIIAggCCAIIAggCCAIIAggCCAIIAggCCAIIAAIDAo0CHgAC+wAJNTg5MTk2MjQwAgICIAIEAgUCBgIHAggCCQIdAgsCHgINAggCCAIIAggCCAIIAggCCAIIAggCCAIIAggCCAIIAggCCAITAgMClgIeAAL7AgICKwIEAgUCBgIHAggCCQIhAgsCHgINAggCCAIIAggCCAIIAggCCAIIAggCCAIIAggCCAIIAggCCAITAgMCIgIeAAL7AgICMgIEAgUCBgIHAggCCQIdAgsCHgINAggCCAIIAggCCAIIAggCCAIIAggCCAIIAggCCAIIAggCCAITAgMCdgIeAAL7AgICMAIEAgUCBgIHAggCCQIhAgsCHgINAggCCAIIAggCCAIIAggCCAIIAggCCAIIAggCCAIIAggCegAABAAIAhMCAwJ0Ah4AAvsCAgI7AgQCBQIGAgcCCAIJAiECCwIeAg0CCAIIAggCCAIIAggCCAIIAggCCAIIAggCCAIIAggCCAIIAhMCAwJ7Ah4AAvsCAgJGAgQCBQIGAgcCCAIJAh0CCwIeAg0CCAIIAggCCAIIAggCCAIIAggCCAIIAggCCAIIAggCCAIIAhMCAwKAAh4AAvsCAgIjAgQCBQIGAgcCCAIJAikCCwIeAg0CCAIIAggCCAIIAggCCAIIAggCCAIIAggCCAIIAggCCAIIAhMCAwKTAh4AAvsCAgJlAgQCBQIGAgcCCAIJAiECCwIeAg0CCAIIAggCCAIIAggCCAIIAggCCAIIAggCCAIIAggCCAIIAhMCAwJmAh4AAvsCAgJoAgQCBQIGAgcCCAIJAh0CCwIeAg0CCAIIAggCCAIIAggCCAIIAggCCAIIAggCCAIIAggCCAIIAhMCAwJpAh4AAvsCAgI0AgQCBQIGAgcCCAIJAh0CCwIeAg0CCAIIAggCCAIIAggCCAIIAggCCAIIAggCCAIIAggCCAIIAhMCAwJ5Ah4AAvsCAgJVAgQCBQIGAgcCCAIJAiECCwIeAg0CCAIIAggCCAIIAggCCAIIAggCCAIIAggCCAIIAggCCAIIAhMCAwKVAh4AAvsCAgJUAgQCBQIGAgcCCAIJAikCCwIeAg0CCAIIAggCCAIIAggCCAIIAggCCAIIAggCCAIIAggCCAIIAhMCAwI6Ah4AAvsCAgIlAgQCBQIGAgcCCAIJAiECCwIeAg0CCAIIAggCCAIIAggCCAIIAggCCAIIAggCCAIIAggCCAIIAhMCAwIiAh4AAvsCAgJaAgQCBQIGAgcCCAIJAikCCwIeAg0CCAIIAggCCAIIAggCCAIIAggCCAIIAggCCAIIAggCCAIIAhMCAwKYAh4AAvsCAgJXAgQCBQIGAgcCCAIJAiECCwIeAg0CCAIIAggCCAIIAggCCAIIAggCCAIIAggCCAIIAggCCAIIAhMCAwIiAh4AAvsCAgI2AgQCBQIGAgcCCAIJAh0CCwIeAg0CCAIIAggCCAIIAggCCAIIAggCCAIIAggCCAIIAggCCAIIAhMCAwJ6Ah4AAvsCAgJtAgQCBQIGAgcCCAIJAh0CCwIeAg0CCAIIAggCCAIIAggCCAIIAggCCAIIAggCCAIIAggCCAIIAhMCAwKZAh4AAvsCAgI2AgQCBQIGAgcCCAIJAikCCwIeAg0CCAIIAggCCAIIAggCCAIIAggCCAIIAggCCAIIAggCCAIIAhMCAwJLAh4AAvsCAgI0AgQCBQIGAgcCCAIJAikCCwIeAg0CCAIIAggCCAIIAggCCAIIAggCCAIIegAABAACCAIIAggCCAIIAggCEwIDAkwCHgAC+wICAlECBAIFAgYCBwIIAgkCHQILAh4CDQIIAggCCAIIAggCCAIIAggCCAIIAggCCAIIAggCCAIIAggCEwIDAoQCHgAC+wICAkYCBAIFAgYCBwIIAgkCKQILAh4CDQIIAggCCAIIAggCCAIIAggCCAIIAggCCAIIAggCCAIIAggCEwIDAnUCHgAC+wICAkQCBAIFAgYCBwIIAgkCKQILAh4CDQIIAggCCAIIAggCCAIIAggCCAIIAggCCAIIAggCCAIIAggCEwIDAm8CHgAC+wICAicCBAIFAgYCBwIIAgkCIQILAh4CDQIIAggCCAIIAggCCAIIAggCCAIIAggCCAIIAggCCAIIAggCEwIDAnMCHgAC+wICAk0CBAIFAgYCBwIIAgkCIQILAh4CDQIIAggCCAIIAggCCAIIAggCCAIIAggCCAIIAggCCAIIAggCEwIDAooCHgAC+wICAiMCBAIFAgYCBwIIAgkCHQILAh4CDQIIAggCCAIIAggCCAIIAggCCAIIAggCCAIIAggCCAIIAggCEwIDAnICHgAC+wICAm0CBAIFAgYCBwIIAgkCKQILAh4CDQIIAggCCAIIAggCCAIIAggCCAIIAggCCAIIAggCCAIIAggCEwIDAogCHgAC+wICAlQCBAIFAgYCBwIIAgkCIQILAh4CDQIIAggCCAIIAggCCAIIAggCCAIIAggCCAIIAggCCAIIAggCEwIDAiICHgAC+wICAl4CBAIFAgYCBwIIAgkCHQILAh4CDQIIAggCCAIIAggCCAIIAggCCAIIAggCCAIIAggCCAIIAggCEwIDAl8CHgAC+wICAl0CBAIFAgYCBwIIAgkCIQILAh4CDQIIAggCCAIIAggCCAIIAggCCAIIAggCCAIIAggCCAIIAggCEwIDAiICHgAC+wICAlECBAIFAgYCBwIIAgkCKQILAh4CDQIIAggCCAIIAggCCAIIAggCCAIIAggCCAIIAggCCAIIAggCEwIDApICHgAC+wICAkICBAIFAgYCBwIIAgkCKQILAh4CDQIIAggCCAIIAggCCAIIAggCCAIIAggCCAIIAggCCAIIAggCEwIDAlkCHgAC+wICAmACBAIFAgYCBwIIAgkCHQILAh4CDQIIAggCCAIIAggCCAIIAggCCAIIAggCCAIIAggCCAIIAggCEwIDAowCHgAC+wICAloCBAIFAgYCBwIIAgkCIQILAh4CDQIIAggCCAIIAggCCAIIAggCCAIIAggCCAIIAggCCAIIAggCEwIDAlsCHgAC+wICAkACBAIFAgYCBwIIAgkCHQILAh4CDQIIAggCCAIIAggCegAABAAIAggCCAIIAggCCAIIAggCCAIIAggCCAITAgMCjgIeAAL7AgICUgIEAgUCBgIHAggCCQIpAgsCHgINAggCCAIIAggCCAIIAggCCAIIAggCCAIIAggCCAIIAggCCAITAgMCeAIeAAL7AgICYAIEAgUCBgIHAggCCQIpAgsCHgINAggCCAIIAggCCAIIAggCCAIIAggCCAIIAggCCAIIAggCCAITAgMCdwIeAAL7AgICYgIEAgUCBgIHAggCCQIhAgsCHgINAggCCAIIAggCCAIIAggCCAIIAggCCAIIAggCCAIIAggCCAITAgMClAIeAAL7AgICaAIEAgUCBgIHAggCCQIhAgsCHgINAggCCAIIAggCCAIIAggCCAIIAggCCAIIAggCCAIIAggCCAITAgMCkQIeAAL7AgICXQIEAgUCBgIHAggCCQIpAgsCHgINAggCCAIIAggCCAIIAggCCAIIAggCCAIIAggCCAIIAggCCAITAgMClwIeAAL7AgICKwIEAgUCBgIHAggCCQIpAgsCHgINAggCCAIIAggCCAIIAggCCAIIAggCCAIIAggCCAIIAggCCAITAgMCPwIeAAL7AgICQgIEAgUCBgIHAggCCQIdAgsCHgINAggCCAIIAggCCAIIAggCCAIIAggCCAIIAggCCAIIAggCCAITAgMCfAIeAAL7AgICMAIEAgUCBgIHAggCCQIpAgsCHgINAggCCAIIAggCCAIIAggCCAIIAggCCAIIAggCCAIIAggCCAITAgMCRQIeAAL7AgICRAIEAgUCBgIHAggCCQIdAgsCHgINAggCCAIIAggCCAIIAggCCAIIAggCCAIIAggCCAIIAggCCAITAgMCfgIeAAL7AgICSQIEAgUCBgIHAggCCQIhAgsCHgINAggCCAIIAggCCAIIAggCCAIIAggCCAIIAggCCAIIAggCCAITAgMCIgIeAAL7AgICQAIEAgUCBgIHAggCCQIpAgsCHgINAggCCAIIAggCCAIIAggCCAIIAggCCAIIAggCCAIIAggCCAITAgMCQQIeAAL7AgICHAIEAgUCBgIHAggCCQIhAgsCHgINAggCCAIIAggCCAIIAggCCAIIAggCCAIIAggCCAIIAggCCAITAgMCfwIeAAL7AgICIAIEAgUCBgIHAggCCQIpAgsCHgINAggCCAIIAggCCAIIAggCCAIIAggCCAIIAggCCAIIAggCCAITAgMCkAIeAAL7AgICLgIEAgUCBgIHAggCCQIhAgsCHgINAggCCAIIAggCCAIIAggCCAIIAggCCAIIAggCCAIIAggCCAITAgMCgQIeAAL7AgICNwIEAgUCBgIHAggCCQIhAgsCHgINegAABAACCAIIAggCCAIIAggCCAIIAggCCAIIAggCCAIIAggCCAIIAhMCAwIiAh4AAvsCAgI5AgQCBQIGAgcCCAIJAiECCwIeAg0CCAIIAggCCAIIAggCCAIIAggCCAIIAggCCAIIAggCCAIIAhMCAwIiAh4AAvsCAgIrAgQCBQIGAgcCCAIJAh0CCwIeAg0CCAIIAggCCAIIAggCCAIIAggCCAIIAggCCAIIAggCCAIIAhMCAwIsAh4AAvsCAgJlAgQCBQIGAgcCCAIJAikCCwIeAg0CCAIIAggCCAIIAggCCAIIAggCCAIIAggCCAIIAggCCAIIAhMCAwKGAh4AAvsCAgJSAgQCBQIGAgcCCAIJAh0CCwIeAg0CCAIIAggCCAIIAggCCAIIAggCCAIIAggCCAIIAggCCAIIAhMCAwKFAh4AAvsCAgI9AgQCBQIGAgcCCAIJAiECCwIeAg0CCAIIAggCCAIIAggCCAIIAggCCAIIAggCCAIIAggCCAIIAhMCAwKDAh4AAvsCAgIyAgQCBQIGAgcCCAIJAiECCwIeAg0CCAIIAggCCAIIAggCCAIIAggCCAIIAggCCAIIAggCCAIIAhMCAwIzAh4AAvsCAgInAgQCBQIGAgcCCAIJAh0CCwIeAg0CCAIIAggCCAIIAggCCAIIAggCCAIIAggCCAIIAggCCAIIAhMCAwIoAh4AAvsCAgIcAgQCBQIGAgcCCAIJAikCCwIeAg0CCAIIAggCCAIIAggCCAIIAggCCAIIAggCCAIIAggCCAIIAhMCAwItAh4AAvsCAgIlAgQCBQIGAgcCCAIJAikCCwIeAg0CCAIIAggCCAIIAggCCAIIAggCCAIIAggCCAIIAggCCAIIAhMCAwIqAh4AAvsCAgIwAgQCBQIGAgcCCAIJAh0CCwIeAg0CCAIIAggCCAIIAggCCAIIAggCCAIIAggCCAIIAggCCAIIAhMCAwIxAh4AAvsCAgI2AgQCBQIGAgcCCAIJAiECCwIeAg0CCAIIAggCCAIIAggCCAIIAggCCAIIAggCCAIIAggCCAIIAhMCAwIiAh4AAvsCAgI0AgQCBQIGAgcCCAIJAiECCwIeAg0CCAIIAggCCAIIAggCCAIIAggCCAIIAggCCAIIAggCCAIIAhMCAwI1Ah4AAvsCAgInAgQCBQIGAgcCCAIJAikCCwIeAg0CCAIIAggCCAIIAggCCAIIAggCCAIIAggCCAIIAggCCAIIAhMCAwJkAh4AAvsCAgI7AgQCBQIGAgcCCAIJAh0CCwIeAg0CCAIIAggCCAIIAggCCAIIAggCCAIIAggCCAIIAggCCAIIAhMCAwI8Ah4AAvsCAgJlAgQCBQIGAgcCegAABAAIAgkCHQILAh4CDQIIAggCCAIIAggCCAIIAggCCAIIAggCCAIIAggCCAIIAggCEwIDAo8CHgAC+wICAm0CBAIFAgYCBwIIAgkCIQILAh4CDQIIAggCCAIIAggCCAIIAggCCAIIAggCCAIIAggCCAIIAggCEwIDAm4CHgAC+wICAl4CBAIFAgYCBwIIAgkCKQILAh4CDQIIAggCCAIIAggCCAIIAggCCAIIAggCCAIIAggCCAIIAggCEwIDAmoCHgAC+wICAlcCBAIFAgYCBwIIAgkCHQILAh4CDQIIAggCCAIIAggCCAIIAggCCAIIAggCCAIIAggCCAIIAggCEwIDAmsCHgAC+wICAlUCBAIFAgYCBwIIAgkCHQILAh4CDQIIAggCCAIIAggCCAIIAggCCAIIAggCCAIIAggCCAIIAggCEwIDAmwCHgAC+wICAiACBAIFAgYCBwIIAgkCIQILAh4CDQIIAggCCAIIAggCCAIIAggCCAIIAggCCAIIAggCCAIIAggCEwIDAiICHgAC+wICAiUCBAIFAgYCBwIIAgkCHQILAh4CDQIIAggCCAIIAggCCAIIAggCCAIIAggCCAIIAggCCAIIAggCEwIDAiYCHgAC+wICAjsCBAIFAgYCBwIIAgkCKQILAh4CDQIIAggCCAIIAggCCAIIAggCCAIIAggCCAIIAggCCAIIAggCEwIDAoICHgAC+wICAi4CBAIFAgYCBwIIAgkCKQILAh4CDQIIAggCCAIIAggCCAIIAggCCAIIAggCCAIIAggCCAIIAggCEwIDAi8CHgAC+wICAlECBAIFAgYCBwIIAgkCIQILAh4CDQIIAggCCAIIAggCCAIIAggCCAIIAggCCAIIAggCCAIIAggCEwIDAiICHgAC+wICAiMCBAIFAgYCBwIIAgkCIQILAh4CDQIIAggCCAIIAggCCAIIAggCCAIIAggCCAIIAggCCAIIAggCEwIDAiQCHgAC+wICAk0CBAIFAgYCBwIIAgkCHQILAh4CDQIIAggCCAIIAggCCAIIAggCCAIIAggCCAIIAggCCAIIAggCEwIDAk4CHgAC+wICAlUCBAIFAgYCBwIIAgkCKQILAh4CDQIIAggCCAIIAggCCAIIAggCCAIIAggCCAIIAggCCAIIAggCEwIDAlYCHgAC+wICAlcCBAIFAgYCBwIIAgkCKQILAh4CDQIIAggCCAIIAggCCAIIAggCCAIIAggCCAIIAggCCAIIAggCEwIDAlgCHgAC+wICAl0CBAIFAgYCBwIIAgkCHQILAh4CDQIIAggCCAIIAggCCAIIAggCCAIIAggCCAIIAggCCAIIAggCEwIDAocCHgAC+wICegAABAACSQIEAgUCBgIHAggCCQIpAgsCHgINAggCCAIIAggCCAIIAggCCAIIAggCCAIIAggCCAIIAggCCAITAgMCiwIeAAL7AgICOQIEAgUCBgIHAggCCQIdAgsCHgINAggCCAIIAggCCAIIAggCCAIIAggCCAIIAggCCAIIAggCCAITAgMCXAIeAAL7AgICXgIEAgUCBgIHAggCCQIhAgsCHgINAggCCAIIAggCCAIIAggCCAIIAggCCAIIAggCCAIIAggCCAITAgMCjQIeAAL7AgICYAIEAgUCBgIHAggCCQIhAgsCHgINAggCCAIIAggCCAIIAggCCAIIAggCCAIIAggCCAIIAggCCAITAgMCYQIeAAL7AgICWgIEAgUCBgIHAggCCQIdAgsCHgINAggCCAIIAggCCAIIAggCCAIIAggCCAIIAggCCAIIAggCCAITAgMCiQIeAAL7AgICPQIEAgUCBgIHAggCCQIpAgsCHgINAggCCAIIAggCCAIIAggCCAIIAggCCAIIAggCCAIIAggCCAITAgMCPgIeAAL7AgICNwIEAgUCBgIHAggCCQIpAgsCHgINAggCCAIIAggCCAIIAggCCAIIAggCCAIIAggCCAIIAggCCAITAgMCOAIeAAL7AgICYgIEAgUCBgIHAggCCQIdAgsCHgINAggCCAIIAggCCAIIAggCCAIIAggCCAIIAggCCAIIAggCCAITAgMCYwIeAAL7AgICRAIEAgUCBgIHAggCCQIhAgsCHgINAggCCAIIAggCCAIIAggCCAIIAggCCAIIAggCCAIIAggCCAITAgMCIgIeAAL7AgICVAIEAgUCBgIHAggCCQIdAgsCHgINAggCCAIIAggCCAIIAggCCAIIAggCCAIIAggCCAIIAggCCAITAgMCXAIeAAL7AgICQAIEAgUCBgIHAggCCQIhAgsCHgINAggCCAIIAggCCAIIAggCCAIIAggCCAIIAggCCAIIAggCCAITAgMCIgIeAAL7AgICTQIEAgUCBgIHAggCCQIpAgsCHgINAggCCAIIAggCCAIIAggCCAIIAggCCAIIAggCCAIIAggCCAITAgMCZwIeAAL7AgICOQIEAgUCBgIHAggCCQIpAgsCHgINAggCCAIIAggCCAIIAggCCAIIAggCCAIIAggCCAIIAggCCAITAgMCOgIeAAL7AgICLgIEAgUCBgIHAggCCQIdAgsCHgINAggCCAIIAggCCAIIAggCCAIIAggCCAIIAggCCAIIAggCCAITAgMCSAIeAAL7AgICSQIEAgUCBgIHAggCCQIdAgsCHgINAggCCAIIAggCCAIIAggCCAIIAggCCAIIAggCCAIIAggCCAITegAABAACAwJKAh4AAvsCAgIyAgQCBQIGAgcCCAIJAikCCwIeAg0CCAIIAggCCAIIAggCCAIIAggCCAIIAggCCAIIAggCCAIIAhMCAwJ9Ah4AAvsCAgJGAgQCBQIGAgcCCAIJAiECCwIeAg0CCAIIAggCCAIIAggCCAIIAggCCAIIAggCCAIIAggCCAIIAhMCAwJHAh4AAvsCAgJCAgQCBQIGAgcCCAIJAiECCwIeAg0CCAIIAggCCAIIAggCCAIIAggCCAIIAggCCAIIAggCCAIIAhMCAwJDAh4AAvsCAgIcAgQCBQIGAgcCCAIJAh0CCwIeAg0CCAIIAggCCAIIAggCCAIIAggCCAIIAggCCAIIAggCCAIIAhMCAwIfAh4AAvsCAgI3AgQCBQIGAgcCCAIJAh0CCwIeAg0CCAIIAggCCAIIAggCCAIIAggCCAIIAggCCAIIAggCCAIIAhMCAwJPAh4AAvsCAgJiAgQCBQIGAgcCCAIJAikCCwIeAg0CCAIIAggCCAIIAggCCAIIAggCCAIIAggCCAIIAggCCAIIAhMCAwJwAh4AAvsCAgJoAgQCBQIGAgcCCAIJAikCCwIeAg0CCAIIAggCCAIIAggCCAIIAggCCAIIAggCCAIIAggCCAIIAhMCAwJxAh4AAvsCAgJSAgQCBQIGAgcCCAIJAiECCwIeAg0CCAIIAggCCAIIAggCCAIIAggCCAIIAggCCAIIAggCCAIIAhMCAwJTAh4AAvsCAgI9AgQCBQIGAgcCCAIJAh0CCwIeAg0CCAIIAggCCAIIAggCCAIIAggCCAIIAggCCAIIAggCCAIIAhMCAwJQAh4AAvwACTY3ODYzNTczNgICAlICBAIFAgYCBwIIAgkCKQILAgwCDQIIAggCCAIIAggCCAIIAggCCAIIAggCCAIIAggCCAIIAggCBAIDAsMCHgAC/AICAmICBAIFAgYCBwIIAgkCKQILAgwCDQIIAggCCAIIAggCCAIIAggCCAIIAggCCAIIAggCCAIIAggCBAIDAtUCHgAC/AICAjICBAIFAgYCBwIIAgkCKQILAgwCDQIIAggCCAIIAggCCAIIAggCCAIIAggCCAIIAggCCAIIAggCBAIDAuACHgAC/AICAmACBAIFAgYCBwIIAgkCKQILAgwCDQIIAggCCAIIAggCCAIIAggCCAIIAggCCAIIAggCCAIIAggCBAIDAt8CHgAC/AICAkYCBAIFAgYCBwIIAgkCKQILAgwCDQIIAggCCAIIAggCCAIIAggCCAIIAggCCAIIAggCCAIIAggCBAIDAp4CHgAC/AICAm0CBAIFAgYCBwIIAgkCKQILAgwCDQIIAggCCAIIAggCCAIIegAABAACCAIIAggCCAIIAggCCAIIAggCCAIEAgMCywIeAAL8AgICLgIEAgUCBgIHAggCCQIpAgsCDAINAggCCAIIAggCCAIIAggCCAIIAggCCAIIAggCCAIIAggCCAIEAgMCqgIeAAL8AgICVwIEAgUCBgIHAggCCQIpAgsCDAINAggCCAIIAggCCAIIAggCCAIIAggCCAIIAggCCAIIAggCCAIEAgMC7AIeAAL8AgICRAIEAgUCBgIHAggCCQIpAgsCDAINAggCCAIIAggCCAIIAggCCAIIAggCCAIIAggCCAIIAggCCAIEAgMCrQIeAAL8AgICXgIEAgUCBgIHAggCCQIpAgsCDAINAggCCAIIAggCCAIIAggCCAIIAggCCAIIAggCCAIIAggCCAIEAgMCtwIeAAL8AgICXQIEAgUCBgIHAggCCQIpAgsCDAINAggCCAIIAggCCAIIAggCCAIIAggCCAIIAggCCAIIAggCCAIEAgMC6AIeAAL8AgICSQIEAgUCBgIHAggCCQIpAgsCDAINAggCCAIIAggCCAIIAggCCAIIAggCCAIIAggCCAIIAggCCAIEAgMCygIeAAL8AgICJQIEAgUCBgIHAggCCQIpAgsCDAINAggCCAIIAggCCAIIAggCCAIIAggCCAIIAggCCAIIAggCCAIEAgMCoQIeAAL8AgICOwIEAgUCBgIHAggCCQIpAgsCDAINAggCCAIIAggCCAIIAggCCAIIAggCCAIIAggCCAIIAggCCAIEAgMCsgIeAAL8AgICJwIEAgUCBgIHAggCCQIpAgsCDAINAggCCAIIAggCCAIIAggCCAIIAggCCAIIAggCCAIIAggCCAIEAgMCowIeAAL8AgICUQIEAgUCBgIHAggCCQIpAgsCDAINAggCCAIIAggCCAIIAggCCAIIAggCCAIIAggCCAIIAggCCAIEAgMCxQIeAAL8AgICQAIEAgUCBgIHAggCCQIpAgsCDAINAggCCAIIAggCCAIIAggCCAIIAggCCAIIAggCCAIIAggCCAIEAgMC8AIeAAL8AgICNwIEAgUCBgIHAggCCQIpAgsCDAINAggCCAIIAggCCAIIAggCCAIIAggCCAIIAggCCAIIAggCCAIEAgMC7gIeAAL9AAk2Nzg2MzM0MTYCAgInAgQCBQIGAgcCCAIJAh0CCwIMAg0CCAIIAggCCAIIAggCCAIIAggCCAIIAggCCAIIAggCCAIIAgICAwKnAh4AAv0CAgJgAgQCBQIGAgcCCAIJAh0CCwIMAg0CCAIIAggCCAIIAggCCAIIAggCCAIIAggCCAIIAggCCAIIAgICAwLIAh4AAv0CAgIuAgQCBQIGAgcCCAIJegAABAACHQILAgwCDQIIAggCCAIIAggCCAIIAggCCAIIAggCCAIIAggCCAIIAggCAgIDAtsCHgAC/QICAjsCBAIFAgYCBwIIAgkCHQILAgwCDQIIAggCCAIIAggCCAIIAggCCAIIAggCCAIIAggCCAIIAggCAgIDAt4CHgAC/QICAkkCBAIFAgYCBwIIAgkCHQILAgwCDQIIAggCCAIIAggCCAIIAggCCAIIAggCCAIIAggCCAIIAggCAgIDAt0CHgAC/QICAlICBAIFAgYCBwIIAgkCHQILAgwCDQIIAggCCAIIAggCCAIIAggCCAIIAggCCAIIAggCCAIIAggCAgIDAs8CHgAC/QICAjcCBAIFAgYCBwIIAgkCHQILAgwCDQIIAggCCAIIAggCCAIIAggCCAIIAggCCAIIAggCCAIIAggCAgIDAu0CHgAC/QICAkACBAIFAgYCBwIIAgkCHQILAgwCDQIIAggCCAIIAggCCAIIAggCCAIIAggCCAIIAggCCAIIAggCAgIDAvICHgAC/QICAiUCBAIFAgYCBwIIAgkCHQILAgwCDQIIAggCCAIIAggCCAIIAggCCAIIAggCCAIIAggCCAIIAggCAgIDAq8CHgAC/QICAlECBAIFAgYCBwIIAgkCHQILAgwCDQIIAggCCAIIAggCCAIIAggCCAIIAggCCAIIAggCCAIIAggCAgIDAq4CHgAC/QICAjICBAIFAgYCBwIIAgkCHQILAgwCDQIIAggCCAIIAggCCAIIAggCCAIIAggCCAIIAggCCAIIAggCAgIDAp0CHgAC/QICAkYCBAIFAgYCBwIIAgkCHQILAgwCDQIIAggCCAIIAggCCAIIAggCCAIIAggCCAIIAggCCAIIAggCAgIDAtMCHgAC/QICAmICBAIFAgYCBwIIAgkCHQILAgwCDQIIAggCCAIIAggCCAIIAggCCAIIAggCCAIIAggCCAIIAggCAgIDAsQCHgAC/QICAl4CBAIFAgYCBwIIAgkCHQILAgwCDQIIAggCCAIIAggCCAIIAggCCAIIAggCCAIIAggCCAIIAggCAgIDAs0CHgAC/QICAm0CBAIFAgYCBwIIAgkCHQILAgwCDQIIAggCCAIIAggCCAIIAggCCAIIAggCCAIIAggCCAIIAggCAgIDArMCHgAC/QICAlcCBAIFAgYCBwIIAgkCHQILAgwCDQIIAggCCAIIAggCCAIIAggCCAIIAggCCAIIAggCCAIIAggCAgIDAvECHgAC/QICAkQCBAIFAgYCBwIIAgkCHQILAgwCDQIIAggCCAIIAggCCAIIAggCCAIIAggCCAIIAggCCAIIAggCAgIDAtoCHgAC/QICAl0CegAABAAEAgUCBgIHAggCCQIdAgsCDAINAggCCAIIAggCCAIIAggCCAIIAggCCAIIAggCCAIIAggCCAICAgMC6gIeAAL+AAk1ODkyMDkwNzICAgI9AgQCBQIGAgcCCAIJAgoCCwIMAg0CCAIIAggCCAIIAggCCAIIAggCCAIIAggCCAIIAggCCAIIAhwCAwK7Ah4AAv4CAgJNAgQCBQIGAgcCCAIJAgoCCwIMAg0CCAIIAggCCAIIAggCCAIIAggCCAIIAggCCAIIAggCCAIIAhwCAwKcAh4AAv4CAgIyAgQCBQIGAgcCCAIJAh0CCwIMAg0CCAIIAggCCAIIAggCCAIIAggCCAIIAggCCAIIAggCCAIIAhwCAwKdAh4AAv4CAgIjAgQCBQIGAgcCCAIJAikCCwIMAg0CCAIIAggCCAIIAggCCAIIAggCCAIIAggCCAIIAggCCAIIAhwCAwK6Ah4AAv4CAgJGAgQCBQIGAgcCCAIJAikCCwIMAg0CCAIIAggCCAIIAggCCAIIAggCCAIIAggCCAIIAggCCAIIAhwCAwKeAh4AAv4CAgI7AgQCBQIGAgcCCAIJAh0CCwIMAg0CCAIIAggCCAIIAggCCAIIAggCCAIIAggCCAIIAggCCAIIAhwCAwLeAh4AAv4CAgJSAgQCBQIGAgcCCAIJAgoCCwIMAg0CCAIIAggCCAIIAggCCAIIAggCCAIIAggCCAIIAggCCAIIAhwCAwK+Ah4AAv4CAgJRAgQCBQIGAgcCCAIJAgoCCwIMAg0CCAIIAggCCAIIAggCCAIIAggCCAIIAggCCAIIAggCCAIIAhwCAwIiAh4AAv4CAgI0AgQCBQIGAgcCCAIJAh0CCwIMAg0CCAIIAggCCAIIAggCCAIIAggCCAIIAggCCAIIAggCCAIIAhwCAwLhAh4AAv4CAgJlAgQCBQIGAgcCCAIJAh0CCwIMAg0CCAIIAggCCAIIAggCCAIIAggCCAIIAggCCAIIAggCCAIIAhwCAwK/Ah4AAv4CAgJJAgQCBQIGAgcCCAIJAh0CCwIMAg0CCAIIAggCCAIIAggCCAIIAggCCAIIAggCCAIIAggCCAIIAhwCAwLdAh4AAv4CAgJdAgQCBQIGAgcCCAIJAgoCCwIMAg0CCAIIAggCCAIIAggCCAIIAggCCAIIAggCCAIIAggCCAIIAhwCAwIiAh4AAv4CAgJaAgQCBQIGAgcCCAIJAgoCCwIMAg0CCAIIAggCCAIIAggCCAIIAggCCAIIAggCCAIIAggCCAIIAhwCAwKoAh4AAv4CAgInAgQCBQIGAgcCCAIJAh0CCwIMAg0CCAIIAggCCAIIAggCCAIIAggCCAIIAggCCAIIegAABAACCAIIAggCHAIDAqcCHgAC/gICAmgCBAIFAgYCBwIIAgkCKQILAgwCDQIIAggCCAIIAggCCAIIAggCCAIIAggCCAIIAggCCAIIAggCHAIDAqkCHgAC/gICAjICBAIFAgYCBwIIAgkCKQILAgwCDQIIAggCCAIIAggCCAIIAggCCAIIAggCCAIIAggCCAIIAggCHAIDAuACHgAC/gICAjACBAIFAgYCBwIIAgkCKQILAgwCDQIIAggCCAIIAggCCAIIAggCCAIIAggCCAIIAggCCAIIAggCHAIDAtYCHgAC/gICAlUCBAIFAgYCBwIIAgkCHQILAgwCDQIIAggCCAIIAggCCAIIAggCCAIIAggCCAIIAggCCAIIAggCHAIDArUCHgAC/gICAm0CBAIFAgYCBwIIAgkCHQILAgwCDQIIAggCCAIIAggCCAIIAggCCAIIAggCCAIIAggCCAIIAggCHAIDArMCHgAC/gICAmACBAIFAgYCBwIIAgkCCgILAgwCDQIIAggCCAIIAggCCAIIAggCCAIIAggCCAIIAggCCAIIAggCHAIDAqQCHgAC/gICAl4CBAIFAgYCBwIIAgkCCgILAgwCDQIIAggCCAIIAggCCAIIAggCCAIIAggCCAIIAggCCAIIAggCHAIDAtcCHgAC/gICAkICBAIFAgYCBwIIAgkCHQILAgwCDQIIAggCCAIIAggCCAIIAggCCAIIAggCCAIIAggCCAIIAggCHAIDAtkCHgAC/gICAmUCBAIFAgYCBwIIAgkCKQILAgwCDQIIAggCCAIIAggCCAIIAggCCAIIAggCCAIIAggCCAIIAggCHAIDAtICHgAC/gICAmICBAIFAgYCBwIIAgkCKQILAgwCDQIIAggCCAIIAggCCAIIAggCCAIIAggCCAIIAggCCAIIAggCHAIDAtUCHgAC/gICAlICBAIFAgYCBwIIAgkCHQILAgwCDQIIAggCCAIIAggCCAIIAggCCAIIAggCCAIIAggCCAIIAggCHAIDAs8CHgAC/gICAjQCBAIFAgYCBwIIAgkCCgILAgwCDQIIAggCCAIIAggCCAIIAggCCAIIAggCCAIIAggCCAIIAggCHAIDAqsCHgAC/gICAjsCBAIFAgYCBwIIAgkCCgILAgwCDQIIAggCCAIIAggCCAIIAggCCAIIAggCCAIIAggCCAIIAggCHAIDAqwCHgAC/gICAmgCBAIFAgYCBwIIAgkCHQILAgwCDQIIAggCCAIIAggCCAIIAggCCAIIAggCCAIIAggCCAIIAggCHAIDAr0CHgAC/gICAj0CBAIFAgYCBwIIAgkCHQILAgwCDQIIAggCCAIIAggCCAIIAggCegAABAAIAggCCAIIAggCCAIIAggCCAIcAgMCzgIeAAL+AgICSQIEAgUCBgIHAggCCQIKAgsCDAINAggCCAIIAggCCAIIAggCCAIIAggCCAIIAggCCAIIAggCCAIcAgMCIgIeAAL+AgICQgIEAgUCBgIHAggCCQIKAgsCDAINAggCCAIIAggCCAIIAggCCAIIAggCCAIIAggCCAIIAggCCAIcAgMCuAIeAAL+AgICbQIEAgUCBgIHAggCCQIpAgsCDAINAggCCAIIAggCCAIIAggCCAIIAggCCAIIAggCCAIIAggCCAIcAgMCywIeAAL+AgICVQIEAgUCBgIHAggCCQIpAgsCDAINAggCCAIIAggCCAIIAggCCAIIAggCCAIIAggCCAIIAggCCAIcAgMCzAIeAAL+AgICRAIEAgUCBgIHAggCCQIKAgsCDAINAggCCAIIAggCCAIIAggCCAIIAggCCAIIAggCCAIIAggCCAIcAgMCIgIeAAL+AgICYAIEAgUCBgIHAggCCQIdAgsCDAINAggCCAIIAggCCAIIAggCCAIIAggCCAIIAggCCAIIAggCCAIcAgMCyAIeAAL+AgICUQIEAgUCBgIHAggCCQIpAgsCDAINAggCCAIIAggCCAIIAggCCAIIAggCCAIIAggCCAIIAggCCAIcAgMCxQIeAAL+AgICJwIEAgUCBgIHAggCCQIpAgsCDAINAggCCAIIAggCCAIIAggCCAIIAggCCAIIAggCCAIIAggCCAIcAgMCowIeAAL+AgICMAIEAgUCBgIHAggCCQIdAgsCDAINAggCCAIIAggCCAIIAggCCAIIAggCCAIIAggCCAIIAggCCAIcAgMCpQIeAAL+AgICRgIEAgUCBgIHAggCCQIKAgsCDAINAggCCAIIAggCCAIIAggCCAIIAggCCAIIAggCCAIIAggCCAIcAgMCwAIeAAL+AgICLgIEAgUCBgIHAggCCQIKAgsCDAINAggCCAIIAggCCAIIAggCCAIIAggCCAIIAggCCAIIAggCCAIcAgMCtgIeAAL+AgICJQIEAgUCBgIHAggCCQIpAgsCDAINAggCCAIIAggCCAIIAggCCAIIAggCCAIIAggCCAIIAggCCAIcAgMCoQIeAAL+AgICPQIEAgUCBgIHAggCCQIpAgsCDAINAggCCAIIAggCCAIIAggCCAIIAggCCAIIAggCCAIIAggCCAIcAgMCwgIeAAL+AgICUgIEAgUCBgIHAggCCQIpAgsCDAINAggCCAIIAggCCAIIAggCCAIIAggCCAIIAggCCAIIAggCCAIcAgMCwwIeAAL+AgICQAIEAgUCBgIHAggCCQIdAgsCDAINAggCCAIIegAABAACCAIIAggCCAIIAggCCAIIAggCCAIIAggCCAIIAhwCAwLyAh4AAv4CAgJiAgQCBQIGAgcCCAIJAh0CCwIMAg0CCAIIAggCCAIIAggCCAIIAggCCAIIAggCCAIIAggCCAIIAhwCAwLEAh4AAv4CAgIcAgQCBQIGAgcCCAIJAgoCCwIMAg0CCAIIAggCCAIIAggCCAIIAggCCAIIAggCCAIIAggCCAIIAhwCAwLBAh4AAv4CAgJgAgQCBQIGAgcCCAIJAikCCwIMAg0CCAIIAggCCAIIAggCCAIIAggCCAIIAggCCAIIAggCCAIIAhwCAwLfAh4AAv4CAgJNAgQCBQIGAgcCCAIJAikCCwIMAg0CCAIIAggCCAIIAggCCAIIAggCCAIIAggCCAIIAggCCAIIAhwCAwK8Ah4AAv4CAgIlAgQCBQIGAgcCCAIJAgoCCwIMAg0CCAIIAggCCAIIAggCCAIIAggCCAIIAggCCAIIAggCCAIIAhwCAwIiAh4AAv4CAgInAgQCBQIGAgcCCAIJAgoCCwIMAg0CCAIIAggCCAIIAggCCAIIAggCCAIIAggCCAIIAggCCAIIAhwCAwLiAh4AAv4CAgJdAgQCBQIGAgcCCAIJAikCCwIMAg0CCAIIAggCCAIIAggCCAIIAggCCAIIAggCCAIIAggCCAIIAhwCAwLoAh4AAv4CAgJEAgQCBQIGAgcCCAIJAh0CCwIMAg0CCAIIAggCCAIIAggCCAIIAggCCAIIAggCCAIIAggCCAIIAhwCAwLaAh4AAv4CAgIuAgQCBQIGAgcCCAIJAh0CCwIMAg0CCAIIAggCCAIIAggCCAIIAggCCAIIAggCCAIIAggCCAIIAhwCAwLbAh4AAv4CAgIjAgQCBQIGAgcCCAIJAgoCCwIMAg0CCAIIAggCCAIIAggCCAIIAggCCAIIAggCCAIIAggCCAIIAhwCAwLcAh4AAv4CAgJeAgQCBQIGAgcCCAIJAikCCwIMAg0CCAIIAggCCAIIAggCCAIIAggCCAIIAggCCAIIAggCCAIIAhwCAwK3Ah4AAv4CAgJaAgQCBQIGAgcCCAIJAikCCwIMAg0CCAIIAggCCAIIAggCCAIIAggCCAIIAggCCAIIAggCCAIIAhwCAwK5Ah4AAv4CAgIwAgQCBQIGAgcCCAIJAgoCCwIMAg0CCAIIAggCCAIIAggCCAIIAggCCAIIAggCCAIIAggCCAIIAhwCAwKwAh4AAv4CAgJAAgQCBQIGAgcCCAIJAikCCwIMAg0CCAIIAggCCAIIAggCCAIIAggCCAIIAggCCAIIAggCCAIIAhwCAwLwAh4AAv4CAgIyAgQCBQIGAgcCCAIJAgoCegAABAALAgwCDQIIAggCCAIIAggCCAIIAggCCAIIAggCCAIIAggCCAIIAggCHAIDArQCHgAC/gICAkACBAIFAgYCBwIIAgkCCgILAgwCDQIIAggCCAIIAggCCAIIAggCCAIIAggCCAIIAggCCAIIAggCHAIDAiICHgAC/gICAmICBAIFAgYCBwIIAgkCCgILAgwCDQIIAggCCAIIAggCCAIIAggCCAIIAggCCAIIAggCCAIIAggCHAIDAtACHgAC/gICAhwCBAIFAgYCBwIIAgkCHQILAgwCDQIIAggCCAIIAggCCAIIAggCCAIIAggCCAIIAggCCAIIAggCHAIDAtgCHgAC/gICAkYCBAIFAgYCBwIIAgkCHQILAgwCDQIIAggCCAIIAggCCAIIAggCCAIIAggCCAIIAggCCAIIAggCHAIDAtMCHgAC/gICAmUCBAIFAgYCBwIIAgkCCgILAgwCDQIIAggCCAIIAggCCAIIAggCCAIIAggCCAIIAggCCAIIAggCHAIDAtQCHgAC/gICAlECBAIFAgYCBwIIAgkCHQILAgwCDQIIAggCCAIIAggCCAIIAggCCAIIAggCCAIIAggCCAIIAggCHAIDAq4CHgAC/gICAjQCBAIFAgYCBwIIAgkCKQILAgwCDQIIAggCCAIIAggCCAIIAggCCAIIAggCCAIIAggCCAIIAggCHAIDArECHgAC/gICAjsCBAIFAgYCBwIIAgkCKQILAgwCDQIIAggCCAIIAggCCAIIAggCCAIIAggCCAIIAggCCAIIAggCHAIDArICHgAC/gICAiUCBAIFAgYCBwIIAgkCHQILAgwCDQIIAggCCAIIAggCCAIIAggCCAIIAggCCAIIAggCCAIIAggCHAIDAq8CHgAC/gICAkQCBAIFAgYCBwIIAgkCKQILAgwCDQIIAggCCAIIAggCCAIIAggCCAIIAggCCAIIAggCCAIIAggCHAIDAq0CHgAC/gICAi4CBAIFAgYCBwIIAgkCKQILAgwCDQIIAggCCAIIAggCCAIIAggCCAIIAggCCAIIAggCCAIIAggCHAIDAqoCHgAC/gICAkkCBAIFAgYCBwIIAgkCKQILAgwCDQIIAggCCAIIAggCCAIIAggCCAIIAggCCAIIAggCCAIIAggCHAIDAsoCHgAC/gICAiMCBAIFAgYCBwIIAgkCHQILAgwCDQIIAggCCAIIAggCCAIIAggCCAIIAggCCAIIAggCCAIIAggCHAIDAqYCHgAC/gICAk0CBAIFAgYCBwIIAgkCHQILAgwCDQIIAggCCAIIAggCCAIIAggCCAIIAggCCAIIAggCCAIIAggCHAIDAtECHgAC/gICAmgCBAIFegAABAACBgIHAggCCQIKAgsCDAINAggCCAIIAggCCAIIAggCCAIIAggCCAIIAggCCAIIAggCCAIcAgMCxwIeAAL+AgICXgIEAgUCBgIHAggCCQIdAgsCDAINAggCCAIIAggCCAIIAggCCAIIAggCCAIIAggCCAIIAggCCAIcAgMCzQIeAAL+AgICXQIEAgUCBgIHAggCCQIdAgsCDAINAggCCAIIAggCCAIIAggCCAIIAggCCAIIAggCCAIIAggCCAIcAgMC6gIeAAL+AgICHAIEAgUCBgIHAggCCQIpAgsCDAINAggCCAIIAggCCAIIAggCCAIIAggCCAIIAggCCAIIAggCCAIcAgMCnwIeAAL+AgICQgIEAgUCBgIHAggCCQIpAgsCDAINAggCCAIIAggCCAIIAggCCAIIAggCCAIIAggCCAIIAggCCAIcAgMCyQIeAAL+AgICVQIEAgUCBgIHAggCCQIKAgsCDAINAggCCAIIAggCCAIIAggCCAIIAggCCAIIAggCCAIIAggCCAIcAgMCogIeAAL+AgICWgIEAgUCBgIHAggCCQIdAgsCDAINAggCCAIIAggCCAIIAggCCAIIAggCCAIIAggCCAIIAggCCAIcAgMCxgIeAAL+AgICbQIEAgUCBgIHAggCCQIKAgsCDAINAggCCAIIAggCCAIIAggCCAIIAggCCAIIAggCCAIIAggCCAIcAgMCoAIeAAL/AAk1ODkyMDQ0MzICAgI7AgQCBQIGAgcCCAIJAh0CCwIMAg0CCAIIAggCCAIIAggCCAIIAggCCAIIAggCCAIIAggCCAIIAhgCAwLeAh4AAv8CAgJgAgQCBQIGAgcCCAIJAgoCCwIMAg0CCAIIAggCCAIIAggCCAIIAggCCAIIAggCCAIIAggCCAIIAhgCAwKkAh4AAv8CAgJJAgQCBQIGAgcCCAIJAh0CCwIMAg0CCAIIAggCCAIIAggCCAIIAggCCAIIAggCCAIIAggCCAIIAhgCAwLdAh4AAv8CAgJCAgQCBQIGAgcCCAIJAh0CCwIMAg0CCAIIAggCCAIIAggCCAIIAggCCAIIAggCCAIIAggCCAIIAhgCAwLZAh4AAv8CAgI0AgQCBQIGAgcCCAIJAh0CCwIMAg0CCAIIAggCCAIIAggCCAIIAggCCAIIAggCCAIIAggCCAIIAhgCAwLhAh4AAv8CAgJdAgQCBQIGAgcCCAIJAgoCCwIMAg0CCAIIAggCCAIIAggCCAIIAggCCAIIAggCCAIIAggCCAIIAhgCAwIiAh4AAv8CAgI9AgQCBQIGAgcCCAIJAgoCCwIMAg0CCAIIAggCCAIIAggCCAIIAggCCAIIAggCCAIIAggCegAABAAIAggCGAIDArsCHgAC/wICAlICBAIFAgYCBwIIAgkCCgILAgwCDQIIAggCCAIIAggCCAIIAggCCAIIAggCCAIIAggCCAIIAggCGAIDAr4CHgAC/wICAmUCBAIFAgYCBwIIAgkCHQILAgwCDQIIAggCCAIIAggCCAIIAggCCAIIAggCCAIIAggCCAIIAggCGAIDAr8CHgAC/wICAjACBAIFAgYCBwIIAgkCKQILAgwCDQIIAggCCAIIAggCCAIIAggCCAIIAggCCAIIAggCCAIIAggCGAIDAtYCHgAC/wICAjICBAIFAgYCBwIIAgkCKQILAgwCDQIIAggCCAIIAggCCAIIAggCCAIIAggCCAIIAggCCAIIAggCGAIDAuACHgAC/wICAk0CBAIFAgYCBwIIAgkCCgILAgwCDQIIAggCCAIIAggCCAIIAggCCAIIAggCCAIIAggCCAIIAggCGAIDApwCHgAC/wICAlcCBAIFAgYCBwIIAgkCHQILAgwCDQIIAggCCAIIAggCCAIIAggCCAIIAggCCAIIAggCCAIIAggCGAIDAvECHgAC/wICAjICBAIFAgYCBwIIAgkCHQILAgwCDQIIAggCCAIIAggCCAIIAggCCAIIAggCCAIIAggCCAIIAggCGAIDAp0CHgAC/wICAjACBAIFAgYCBwIIAgkCHQILAgwCDQIIAggCCAIIAggCCAIIAggCCAIIAggCCAIIAggCCAIIAggCGAIDAqUCHgAC/wICAlECBAIFAgYCBwIIAgkCCgILAgwCDQIIAggCCAIIAggCCAIIAggCCAIIAggCCAIIAggCCAIIAggCGAIDAiICHgAC/wICAhwCBAIFAgYCBwIIAgkCKQILAgwCDQIIAggCCAIIAggCCAIIAggCCAIIAggCCAIIAggCCAIIAggCGAIDAp8CHgAC/wICAlcCBAIFAgYCBwIIAgkCCgILAgwCDQIIAggCCAIIAggCCAIIAggCCAIIAggCCAIIAggCCAIIAggCGAIDAiICHgAC/wICAjcCBAIFAgYCBwIIAgkCCgILAgwCDQIIAggCCAIIAggCCAIIAggCCAIIAggCCAIIAggCCAIIAggCGAIDAiICHgAC/wICAm0CBAIFAgYCBwIIAgkCCgILAgwCDQIIAggCCAIIAggCCAIIAggCCAIIAggCCAIIAggCCAIIAggCGAIDAqACHgAC/wICAiUCBAIFAgYCBwIIAgkCKQILAgwCDQIIAggCCAIIAggCCAIIAggCCAIIAggCCAIIAggCCAIIAggCGAIDAqECHgAC/wICAiMCBAIFAgYCBwIIAgkCKQILAgwCDQIIAggCCAIIAggCCAIIAggCCAIIegAABAACCAIIAggCCAIIAggCCAIYAgMCugIeAAL/AgICVQIEAgUCBgIHAggCCQIKAgsCDAINAggCCAIIAggCCAIIAggCCAIIAggCCAIIAggCCAIIAggCCAIYAgMCogIeAAL/AgICQgIEAgUCBgIHAggCCQIKAgsCDAINAggCCAIIAggCCAIIAggCCAIIAggCCAIIAggCCAIIAggCCAIYAgMCuAIeAAL/AgICJwIEAgUCBgIHAggCCQIpAgsCDAINAggCCAIIAggCCAIIAggCCAIIAggCCAIIAggCCAIIAggCCAIYAgMCowIeAAL/AgICQgIEAgUCBgIHAggCCQIpAgsCDAINAggCCAIIAggCCAIIAggCCAIIAggCCAIIAggCCAIIAggCCAIYAgMCyQIeAAL/AgICJwIEAgUCBgIHAggCCQIdAgsCDAINAggCCAIIAggCCAIIAggCCAIIAggCCAIIAggCCAIIAggCCAIYAgMCpwIeAAL/AgICRAIEAgUCBgIHAggCCQIpAgsCDAINAggCCAIIAggCCAIIAggCCAIIAggCCAIIAggCCAIIAggCCAIYAgMCrQIeAAL/AgICIwIEAgUCBgIHAggCCQIdAgsCDAINAggCCAIIAggCCAIIAggCCAIIAggCCAIIAggCCAIIAggCCAIYAgMCpgIeAAL/AgICXgIEAgUCBgIHAggCCQIdAgsCDAINAggCCAIIAggCCAIIAggCCAIIAggCCAIIAggCCAIIAggCCAIYAgMCzQIeAAL/AgICSQIEAgUCBgIHAggCCQIpAgsCDAINAggCCAIIAggCCAIIAggCCAIIAggCCAIIAggCCAIIAggCCAIYAgMCygIeAAL/AgICaAIEAgUCBgIHAggCCQIKAgsCDAINAggCCAIIAggCCAIIAggCCAIIAggCCAIIAggCCAIIAggCCAIYAgMCxwIeAAL/AgICRgIEAgUCBgIHAggCCQIpAgsCDAINAggCCAIIAggCCAIIAggCCAIIAggCCAIIAggCCAIIAggCCAIYAgMCngIeAAL/AgICLgIEAgUCBgIHAggCCQIpAgsCDAINAggCCAIIAggCCAIIAggCCAIIAggCCAIIAggCCAIIAggCCAIYAgMCqgIeAAL/AgICZQIEAgUCBgIHAggCCQIKAgsCDAINAggCCAIIAggCCAIIAggCCAIIAggCCAIIAggCCAIIAggCCAIYAgMC1AIeAAL/AgICXQIEAgUCBgIHAggCCQIdAgsCDAINAggCCAIIAggCCAIIAggCCAIIAggCCAIIAggCCAIIAggCCAIYAgMC6gIeAAL/AgICMgIEAgUCBgIHAggCCQIKAgsCDAINAggCCAIIAggCegAABAAIAggCCAIIAggCCAIIAggCCAIIAggCCAIIAhgCAwK0Ah4AAv8CAgJRAgQCBQIGAgcCCAIJAh0CCwIMAg0CCAIIAggCCAIIAggCCAIIAggCCAIIAggCCAIIAggCCAIIAhgCAwKuAh4AAv8CAgJAAgQCBQIGAgcCCAIJAgoCCwIMAg0CCAIIAggCCAIIAggCCAIIAggCCAIIAggCCAIIAggCCAIIAhgCAwIiAh4AAv8CAgJVAgQCBQIGAgcCCAIJAh0CCwIMAg0CCAIIAggCCAIIAggCCAIIAggCCAIIAggCCAIIAggCCAIIAhgCAwK1Ah4AAv8CAgJiAgQCBQIGAgcCCAIJAgoCCwIMAg0CCAIIAggCCAIIAggCCAIIAggCCAIIAggCCAIIAggCCAIIAhgCAwLQAh4AAv8CAgJtAgQCBQIGAgcCCAIJAh0CCwIMAg0CCAIIAggCCAIIAggCCAIIAggCCAIIAggCCAIIAggCCAIIAhgCAwKzAh4AAv8CAgJNAgQCBQIGAgcCCAIJAh0CCwIMAg0CCAIIAggCCAIIAggCCAIIAggCCAIIAggCCAIIAggCCAIIAhgCAwLRAh4AAv8CAgI0AgQCBQIGAgcCCAIJAikCCwIMAg0CCAIIAggCCAIIAggCCAIIAggCCAIIAggCCAIIAggCCAIIAhgCAwKxAh4AAv8CAgIwAgQCBQIGAgcCCAIJAgoCCwIMAg0CCAIIAggCCAIIAggCCAIIAggCCAIIAggCCAIIAggCCAIIAhgCAwKwAh4AAv8CAgI7AgQCBQIGAgcCCAIJAikCCwIMAg0CCAIIAggCCAIIAggCCAIIAggCCAIIAggCCAIIAggCCAIIAhgCAwKyAh4AAv8CAgIlAgQCBQIGAgcCCAIJAh0CCwIMAg0CCAIIAggCCAIIAggCCAIIAggCCAIIAggCCAIIAggCCAIIAhgCAwKvAh4AAv8CAgInAgQCBQIGAgcCCAIJAgoCCwIMAg0CCAIIAggCCAIIAggCCAIIAggCCAIIAggCCAIIAggCCAIIAhgCAwLiAh4AAv8CAgJdAgQCBQIGAgcCCAIJAikCCwIMAg0CCAIIAggCCAIIAggCCAIIAggCCAIIAggCCAIIAggCCAIIAhgCAwLoAh4AAv8CAgJaAgQCBQIGAgcCCAIJAikCCwIMAg0CCAIIAggCCAIIAggCCAIIAggCCAIIAggCCAIIAggCCAIIAhgCAwK5Ah4AAv8CAgIuAgQCBQIGAgcCCAIJAh0CCwIMAg0CCAIIAggCCAIIAggCCAIIAggCCAIIAggCCAIIAggCCAIIAhgCAwLbAh4AAv8CAgJoAgQCBQIGAgcCCAIJAh0CCwIMegAABAACDQIIAggCCAIIAggCCAIIAggCCAIIAggCCAIIAggCCAIIAggCGAIDAr0CHgAC/wICAmACBAIFAgYCBwIIAgkCKQILAgwCDQIIAggCCAIIAggCCAIIAggCCAIIAggCCAIIAggCCAIIAggCGAIDAt8CHgAC/wICAl4CBAIFAgYCBwIIAgkCKQILAgwCDQIIAggCCAIIAggCCAIIAggCCAIIAggCCAIIAggCCAIIAggCGAIDArcCHgAC/wICAiMCBAIFAgYCBwIIAgkCCgILAgwCDQIIAggCCAIIAggCCAIIAggCCAIIAggCCAIIAggCCAIIAggCGAIDAtwCHgAC/wICAkQCBAIFAgYCBwIIAgkCHQILAgwCDQIIAggCCAIIAggCCAIIAggCCAIIAggCCAIIAggCCAIIAggCGAIDAtoCHgAC/wICAiUCBAIFAgYCBwIIAgkCCgILAgwCDQIIAggCCAIIAggCCAIIAggCCAIIAggCCAIIAggCCAIIAggCGAIDAiICHgAC/wICAkYCBAIFAgYCBwIIAgkCCgILAgwCDQIIAggCCAIIAggCCAIIAggCCAIIAggCCAIIAggCCAIIAggCGAIDAsACHgAC/wICAj0CBAIFAgYCBwIIAgkCKQILAgwCDQIIAggCCAIIAggCCAIIAggCCAIIAggCCAIIAggCCAIIAggCGAIDAsICHgAC/wICAjcCBAIFAgYCBwIIAgkCKQILAgwCDQIIAggCCAIIAggCCAIIAggCCAIIAggCCAIIAggCCAIIAggCGAIDAu4CHgAC/wICAk0CBAIFAgYCBwIIAgkCKQILAgwCDQIIAggCCAIIAggCCAIIAggCCAIIAggCCAIIAggCCAIIAggCGAIDArwCHgAC/wICAloCBAIFAgYCBwIIAgkCHQILAgwCDQIIAggCCAIIAggCCAIIAggCCAIIAggCCAIIAggCCAIIAggCGAIDAsYCHgAC/wICAmICBAIFAgYCBwIIAgkCHQILAgwCDQIIAggCCAIIAggCCAIIAggCCAIIAggCCAIIAggCCAIIAggCGAIDAsQCHgAC/wICAlECBAIFAgYCBwIIAgkCKQILAgwCDQIIAggCCAIIAggCCAIIAggCCAIIAggCCAIIAggCCAIIAggCGAIDAsUCHgAC/wICAlICBAIFAgYCBwIIAgkCKQILAgwCDQIIAggCCAIIAggCCAIIAggCCAIIAggCCAIIAggCCAIIAggCGAIDAsMCHgAC/wICAkACBAIFAgYCBwIIAgkCHQILAgwCDQIIAggCCAIIAggCCAIIAggCCAIIAggCCAIIAggCCAIIAggCGAIDAvICHgAC/wICAhwCBAIFAgYCegAABAAHAggCCQIKAgsCDAINAggCCAIIAggCCAIIAggCCAIIAggCCAIIAggCCAIIAggCCAIYAgMCwQIeAAL/AgICYAIEAgUCBgIHAggCCQIdAgsCDAINAggCCAIIAggCCAIIAggCCAIIAggCCAIIAggCCAIIAggCCAIYAgMCyAIeAAL/AgICLgIEAgUCBgIHAggCCQIKAgsCDAINAggCCAIIAggCCAIIAggCCAIIAggCCAIIAggCCAIIAggCCAIYAgMCtgIeAAL/AgICaAIEAgUCBgIHAggCCQIpAgsCDAINAggCCAIIAggCCAIIAggCCAIIAggCCAIIAggCCAIIAggCCAIYAgMCqQIeAAL/AgICSQIEAgUCBgIHAggCCQIKAgsCDAINAggCCAIIAggCCAIIAggCCAIIAggCCAIIAggCCAIIAggCCAIYAgMCIgIeAAL/AgICOwIEAgUCBgIHAggCCQIKAgsCDAINAggCCAIIAggCCAIIAggCCAIIAggCCAIIAggCCAIIAggCCAIYAgMCrAIeAAL/AgICRAIEAgUCBgIHAggCCQIKAgsCDAINAggCCAIIAggCCAIIAggCCAIIAggCCAIIAggCCAIIAggCCAIYAgMCIgIeAAL/AgICPQIEAgUCBgIHAggCCQIdAgsCDAINAggCCAIIAggCCAIIAggCCAIIAggCCAIIAggCCAIIAggCCAIYAgMCzgIeAAL/AgICVQIEAgUCBgIHAggCCQIpAgsCDAINAggCCAIIAggCCAIIAggCCAIIAggCCAIIAggCCAIIAggCCAIYAgMCzAIeAAL/AgICVwIEAgUCBgIHAggCCQIpAgsCDAINAggCCAIIAggCCAIIAggCCAIIAggCCAIIAggCCAIIAggCCAIYAgMC7AIeAAL/AgICNAIEAgUCBgIHAggCCQIKAgsCDAINAggCCAIIAggCCAIIAggCCAIIAggCCAIIAggCCAIIAggCCAIYAgMCqwIeAAL/AgICbQIEAgUCBgIHAggCCQIpAgsCDAINAggCCAIIAggCCAIIAggCCAIIAggCCAIIAggCCAIIAggCCAIYAgMCywIeAAL/AgICZQIEAgUCBgIHAggCCQIpAgsCDAINAggCCAIIAggCCAIIAggCCAIIAggCCAIIAggCCAIIAggCCAIYAgMC0gIeAAL/AgICQAIEAgUCBgIHAggCCQIpAgsCDAINAggCCAIIAggCCAIIAggCCAIIAggCCAIIAggCCAIIAggCCAIYAgMC8AIeAAL/AgICHAIEAgUCBgIHAggCCQIdAgsCDAINAggCCAIIAggCCAIIAggCCAIIAggCCAIIAggCCAIIAggCCAIYAgMC2AIeAAL/egAABAACAgJGAgQCBQIGAgcCCAIJAh0CCwIMAg0CCAIIAggCCAIIAggCCAIIAggCCAIIAggCCAIIAggCCAIIAhgCAwLTAh4AAv8CAgJeAgQCBQIGAgcCCAIJAgoCCwIMAg0CCAIIAggCCAIIAggCCAIIAggCCAIIAggCCAIIAggCCAIIAhgCAwLXAh4AAv8CAgJSAgQCBQIGAgcCCAIJAh0CCwIMAg0CCAIIAggCCAIIAggCCAIIAggCCAIIAggCCAIIAggCCAIIAhgCAwLPAh4AAv8CAgJaAgQCBQIGAgcCCAIJAgoCCwIMAg0CCAIIAggCCAIIAggCCAIIAggCCAIIAggCCAIIAggCCAIIAhgCAwKoAh4AAv8CAgJiAgQCBQIGAgcCCAIJAikCCwIMAg0CCAIIAggCCAIIAggCCAIIAggCCAIIAggCCAIIAggCCAIIAhgCAwLVAh4AAv8CAgI3AgQCBQIGAgcCCAIJAh0CCwIMAg0CCAIIAggCCAIIAggCCAIIAggCCAIIAggCCAIIAggCCAIIAhgCAwLtAh4ABAABAAk2Nzg1MzQzNDQCAgJtAgQCBQIGAgcCCAIJAiECCwIeAg0CCAIIAggCCAIIAggCCAIIAggCCAIIAggCCAIIAggCCAIIAiECAwJuAh4ABAABAgICVQIEAgUCBgIHAggCCQIhAgsCHgINAggCCAIIAggCCAIIAggCCAIIAggCCAIIAggCCAIIAggCCAIhAgMClQIeAAQAAQICAkkCBAIFAgYCBwIIAgkCHQILAh4CDQIIAggCCAIIAggCCAIIAggCCAIIAggCCAIIAggCCAIIAggCIQIDAkoCHgAEAAECAgJCAgQCBQIGAgcCCAIJAh0CCwIeAg0CCAIIAggCCAIIAggCCAIIAggCCAIIAggCCAIIAggCCAIIAiECAwJ8Ah4ABAABAgICTQIEAgUCBgIHAggCCQIhAgsCHgINAggCCAIIAggCCAIIAggCCAIIAggCCAIIAggCCAIIAggCCAIhAgMCigIeAAQAAQICAkICBAIFAgYCBwIIAgkCIQILAh4CDQIIAggCCAIIAggCCAIIAggCCAIIAggCCAIIAggCCAIIAggCIQIDAkMCHgAEAAECAgJtAgQCBQIGAgcCCAIJAh0CCwIeAg0CCAIIAggCCAIIAggCCAIIAggCCAIIAggCCAIIAggCCAIIAiECAwKZAh4ABAABAgICVQIEAgUCBgIHAggCCQIdAgsCHgINAggCCAIIAggCCAIIAggCCAIIAggCCAIIAggCCAIIAggCCAIhAgMCbAIeAAQAAQICAkkCBAIFAgYCBwIIAgkCIQILAh4CDQIIAggCCAIIAggCCAIIegAABAACCAIIAggCCAIIAggCCAIIAggCCAIhAgMCIgIeAAQAAQICAjICBAIFAgYCBwIIAgkCKQILAh4CDQIIAggCCAIIAggCCAIIAggCCAIIAggCCAIIAggCCAIIAggCIQIDAn0CHgAEAAECAgIwAgQCBQIGAgcCCAIJAikCCwIeAg0CCAIIAggCCAIIAggCCAIIAggCCAIIAggCCAIIAggCCAIIAiECAwJFAh4ABAABAgICUQIEAgUCBgIHAggCCQIdAgsCHgINAggCCAIIAggCCAIIAggCCAIIAggCCAIIAggCCAIIAggCCAIhAgMChAIeAAQAAQICAk0CBAIFAgYCBwIIAgkCHQILAh4CDQIIAggCCAIIAggCCAIIAggCCAIIAggCCAIIAggCCAIIAggCIQIDAk4CHgAEAAECAgJSAgQCBQIGAgcCCAIJAiECCwIeAg0CCAIIAggCCAIIAggCCAIIAggCCAIIAggCCAIIAggCCAIIAiECAwJTAh4ABAABAgICOwIEAgUCBgIHAggCCQIpAgsCHgINAggCCAIIAggCCAIIAggCCAIIAggCCAIIAggCCAIIAggCCAIhAgMCggIeAAQAAQICAj0CBAIFAgYCBwIIAgkCIQILAh4CDQIIAggCCAIIAggCCAIIAggCCAIIAggCCAIIAggCCAIIAggCIQIDAoMCHgAEAAECAgI9AgQCBQIGAgcCCAIJAh0CCwIeAg0CCAIIAggCCAIIAggCCAIIAggCCAIIAggCCAIIAggCCAIIAiECAwJQAh4ABAABAgICUQIEAgUCBgIHAggCCQIhAgsCHgINAggCCAIIAggCCAIIAggCCAIIAggCCAIIAggCCAIIAggCCAIhAgMCIgIeAAQAAQICAmUCBAIFAgYCBwIIAgkCKQILAh4CDQIIAggCCAIIAggCCAIIAggCCAIIAggCCAIIAggCCAIIAggCIQIDAoYCHgAEAAECAgI0AgQCBQIGAgcCCAIJAikCCwIeAg0CCAIIAggCCAIIAggCCAIIAggCCAIIAggCCAIIAggCCAIIAiECAwJMAh4ABAABAgICUgIEAgUCBgIHAggCCQIdAgsCHgINAggCCAIIAggCCAIIAggCCAIIAggCCAIIAggCCAIIAggCCAIhAgMChQIeAAQAAQICAm0CBAIFAgYCBwIIAgkCKQILAh4CDQIIAggCCAIIAggCCAIIAggCCAIIAggCCAIIAggCCAIIAggCIQIDAogCHgAEAAECAgIwAgQCBQIGAgcCCAIJAiECCwIeAg0CCAIIAggCCAIIAggCCAIIAggCCAIIAggCCAIIAggCCAIIAiECAwJ0Ah4ABAABAgICJQIEAgUCBgIHegAABAACCAIJAikCCwIeAg0CCAIIAggCCAIIAggCCAIIAggCCAIIAggCCAIIAggCCAIIAiECAwIqAh4ABAABAgICYAIEAgUCBgIHAggCCQIhAgsCHgINAggCCAIIAggCCAIIAggCCAIIAggCCAIIAggCCAIIAggCCAIhAgMCYQIeAAQAAQICAjICBAIFAgYCBwIIAgkCHQILAh4CDQIIAggCCAIIAggCCAIIAggCCAIIAggCCAIIAggCCAIIAggCIQIDAnYCHgAEAAECAgIyAgQCBQIGAgcCCAIJAiECCwIeAg0CCAIIAggCCAIIAggCCAIIAggCCAIIAggCCAIIAggCCAIIAiECAwIzAh4ABAABAgICYAIEAgUCBgIHAggCCQIdAgsCHgINAggCCAIIAggCCAIIAggCCAIIAggCCAIIAggCCAIIAggCCAIhAgMCjAIeAAQAAQICAlUCBAIFAgYCBwIIAgkCKQILAh4CDQIIAggCCAIIAggCCAIIAggCCAIIAggCCAIIAggCCAIIAggCIQIDAlYCHgAEAAECAgIwAgQCBQIGAgcCCAIJAh0CCwIeAg0CCAIIAggCCAIIAggCCAIIAggCCAIIAggCCAIIAggCCAIIAiECAwIxAh4ABAABAgICZQIEAgUCBgIHAggCCQIdAgsCHgINAggCCAIIAggCCAIIAggCCAIIAggCCAIIAggCCAIIAggCCAIhAgMCjwIeAAQAAQICAmUCBAIFAgYCBwIIAgkCIQILAh4CDQIIAggCCAIIAggCCAIIAggCCAIIAggCCAIIAggCCAIIAggCIQIDAmYCHgAEAAECAgJRAgQCBQIGAgcCCAIJAikCCwIeAg0CCAIIAggCCAIIAggCCAIIAggCCAIIAggCCAIIAggCCAIIAiECAwKSAh4ABAABAgICIwIEAgUCBgIHAggCCQIpAgsCHgINAggCCAIIAggCCAIIAggCCAIIAggCCAIIAggCCAIIAggCCAIhAgMCkwIeAAQAAQICAk0CBAIFAgYCBwIIAgkCKQILAh4CDQIIAggCCAIIAggCCAIIAggCCAIIAggCCAIIAggCCAIIAggCIQIDAmcCHgAEAAECAgJiAgQCBQIGAgcCCAIJAiECCwIeAg0CCAIIAggCCAIIAggCCAIIAggCCAIIAggCCAIIAggCCAIIAiECAwKUAh4ABAABAgICJwIEAgUCBgIHAggCCQIpAgsCHgINAggCCAIIAggCCAIIAggCCAIIAggCCAIIAggCCAIIAggCCAIhAgMCZAIeAAQAAQICAmICBAIFAgYCBwIIAgkCHQILAh4CDQIIAggCCAIIAggCCAIIAggCCAIIAggCCAIIAggCCAIIegAABAACCAIhAgMCYwIeAAQAAQICAi4CBAIFAgYCBwIIAgkCHQILAh4CDQIIAggCCAIIAggCCAIIAggCCAIIAggCCAIIAggCCAIIAggCIQIDAkgCHgAEAAECAgJEAgQCBQIGAgcCCAIJAh0CCwIeAg0CCAIIAggCCAIIAggCCAIIAggCCAIIAggCCAIIAggCCAIIAiECAwJ+Ah4ABAABAgICaAIEAgUCBgIHAggCCQIdAgsCHgINAggCCAIIAggCCAIIAggCCAIIAggCCAIIAggCCAIIAggCCAIhAgMCaQIeAAQAAQICAl4CBAIFAgYCBwIIAgkCKQILAh4CDQIIAggCCAIIAggCCAIIAggCCAIIAggCCAIIAggCCAIIAggCIQIDAmoCHgAEAAECAgJoAgQCBQIGAgcCCAIJAiECCwIeAg0CCAIIAggCCAIIAggCCAIIAggCCAIIAggCCAIIAggCCAIIAiECAwKRAh4ABAABAgICRgIEAgUCBgIHAggCCQIhAgsCHgINAggCCAIIAggCCAIIAggCCAIIAggCCAIIAggCCAIIAggCCAIhAgMCRwIeAAQAAQICAi4CBAIFAgYCBwIIAgkCIQILAh4CDQIIAggCCAIIAggCCAIIAggCCAIIAggCCAIIAggCCAIIAggCIQIDAoECHgAEAAECAgIcAgQCBQIGAgcCCAIJAiECCwIeAg0CCAIIAggCCAIIAggCCAIIAggCCAIIAggCCAIIAggCCAIIAiECAwJ/Ah4ABAABAgICRAIEAgUCBgIHAggCCQIhAgsCHgINAggCCAIIAggCCAIIAggCCAIIAggCCAIIAggCCAIIAggCCAIhAgMCIgIeAAQAAQICAmACBAIFAgYCBwIIAgkCKQILAh4CDQIIAggCCAIIAggCCAIIAggCCAIIAggCCAIIAggCCAIIAggCIQIDAncCHgAEAAECAgJaAgQCBQIGAgcCCAIJAikCCwIeAg0CCAIIAggCCAIIAggCCAIIAggCCAIIAggCCAIIAggCCAIIAiECAwKYAh4ABAABAgICRgIEAgUCBgIHAggCCQIdAgsCHgINAggCCAIIAggCCAIIAggCCAIIAggCCAIIAggCCAIIAggCCAIhAgMCgAIeAAQAAQICAhwCBAIFAgYCBwIIAgkCHQILAh4CDQIIAggCCAIIAggCCAIIAggCCAIIAggCCAIIAggCCAIIAggCIQIDAh8CHgAEAAECAgIlAgQCBQIGAgcCCAIJAh0CCwIeAg0CCAIIAggCCAIIAggCCAIIAggCCAIIAggCCAIIAggCCAIIAiECAwImAh4ABAABAgICIwIEAgUCBgIHAggCCQIhAgsCHgINAggCCAIIegAABAACCAIIAggCCAIIAggCCAIIAggCCAIIAggCCAIIAiECAwIkAh4ABAABAgICJwIEAgUCBgIHAggCCQIhAgsCHgINAggCCAIIAggCCAIIAggCCAIIAggCCAIIAggCCAIIAggCCAIhAgMCcwIeAAQAAQICAmICBAIFAgYCBwIIAgkCKQILAh4CDQIIAggCCAIIAggCCAIIAggCCAIIAggCCAIIAggCCAIIAggCIQIDAnACHgAEAAECAgJoAgQCBQIGAgcCCAIJAikCCwIeAg0CCAIIAggCCAIIAggCCAIIAggCCAIIAggCCAIIAggCCAIIAiECAwJxAh4ABAABAgICJQIEAgUCBgIHAggCCQIhAgsCHgINAggCCAIIAggCCAIIAggCCAIIAggCCAIIAggCCAIIAggCCAIhAgMCIgIeAAQAAQICAicCBAIFAgYCBwIIAgkCHQILAh4CDQIIAggCCAIIAggCCAIIAggCCAIIAggCCAIIAggCCAIIAggCIQIDAigCHgAEAAECAgIjAgQCBQIGAgcCCAIJAh0CCwIeAg0CCAIIAggCCAIIAggCCAIIAggCCAIIAggCCAIIAggCCAIIAiECAwJyAh4ABAABAgICWgIEAgUCBgIHAggCCQIdAgsCHgINAggCCAIIAggCCAIIAggCCAIIAggCCAIIAggCCAIIAggCCAIhAgMCiQIeAAQAAQICAloCBAIFAgYCBwIIAgkCIQILAh4CDQIIAggCCAIIAggCCAIIAggCCAIIAggCCAIIAggCCAIIAggCIQIDAlsCHgAEAAECAgJEAgQCBQIGAgcCCAIJAikCCwIeAg0CCAIIAggCCAIIAggCCAIIAggCCAIIAggCCAIIAggCCAIIAiECAwJvAh4ABAABAgICSQIEAgUCBgIHAggCCQIpAgsCHgINAggCCAIIAggCCAIIAggCCAIIAggCCAIIAggCCAIIAggCCAIhAgMCiwIeAAQAAQICAkYCBAIFAgYCBwIIAgkCKQILAh4CDQIIAggCCAIIAggCCAIIAggCCAIIAggCCAIIAggCCAIIAggCIQIDAnUCHgAEAAECAgIuAgQCBQIGAgcCCAIJAikCCwIeAg0CCAIIAggCCAIIAggCCAIIAggCCAIIAggCCAIIAggCCAIIAiECAwIvAh4ABAABAgICXgIEAgUCBgIHAggCCQIdAgsCHgINAggCCAIIAggCCAIIAggCCAIIAggCCAIIAggCCAIIAggCCAIhAgMCXwIeAAQAAQICAl4CBAIFAgYCBwIIAgkCIQILAh4CDQIIAggCCAIIAggCCAIIAggCCAIIAggCCAIIAggCCAIIAggCIQIDAo0CHgAEAAECAgJCegAABAACBAIFAgYCBwIIAgkCKQILAh4CDQIIAggCCAIIAggCCAIIAggCCAIIAggCCAIIAggCCAIIAggCIQIDAlkCHgAEAAECAgIcAgQCBQIGAgcCCAIJAikCCwIeAg0CCAIIAggCCAIIAggCCAIIAggCCAIIAggCCAIIAggCCAIIAiECAwItAh4ABAABAgICPQIEAgUCBgIHAggCCQIpAgsCHgINAggCCAIIAggCCAIIAggCCAIIAggCCAIIAggCCAIIAggCCAIhAgMCPgIeAAQAAQICAjsCBAIFAgYCBwIIAgkCIQILAh4CDQIIAggCCAIIAggCCAIIAggCCAIIAggCCAIIAggCCAIIAggCIQIDAnsCHgAEAAECAgJSAgQCBQIGAgcCCAIJAikCCwIeAg0CCAIIAggCCAIIAggCCAIIAggCCAIIAggCCAIIAggCCAIIAiECAwJ4Ah4ABAABAgICNAIEAgUCBgIHAggCCQIhAgsCHgINAggCCAIIAggCCAIIAggCCAIIAggCCAIIAggCCAIIAggCCAIhAgMCNQIeAAQAAQICAjQCBAIFAgYCBwIIAgkCHQILAh4CDQIIAggCCAIIAggCCAIIAggCCAIIAggCCAIIAggCCAIIAggCIQIDAnkCHgAEAAECAgI7AgQCBQIGAgcCCAIJAh0CCwIeAg0CCAIIAggCCAIIAggCCAIIAggCCAIIAggCCAIIAggCCAIIAiECAwI8Ah4ABAEBAAk1ODkxOTc0MDACAgJCAgQCBQIGAgcCCAIJAikCCwIMAg0CCAIIAggCCAIIAggCCAIIAggCCAIIAggCCAIIAggCCAIIAgECAwLJAh4ABAEBAgICOQIEAgUCBgIHAggCCQIdAgsCDAINAggCCAIIAggCCAIIAggCCAIIAggCCAIIAggCCAIIAggCCAIBAgMC6wIeAAQBAQICAj0CBAIFAgYCBwIIAgkCHQILAgwCDQIIAggCCAIIAggCCAIIAggCCAIIAggCCAIIAggCCAIIAggCAQIDAs4CHgAEAQECAgJEAgQCBQIGAgcCCAIJAgoCCwIMAg0CCAIIAggCCAIIAggCCAIIAggCCAIIAggCCAIIAggCCAIIAgECAwIiAh4ABAEBAgICNAIEAgUCBgIHAggCCQIpAgsCDAINAggCCAIIAggCCAIIAggCCAIIAggCCAIIAggCCAIIAggCCAIBAgMCsQIeAAQBAQICAjYCBAIFAgYCBwIIAgkCKQILAgwCDQIIAggCCAIIAggCCAIIAggCCAIIAggCCAIIAggCCAIIAggCAQIDAvMCHgAEAQECAgJRAgQCBQIGAgcCCAIJAikCCwIMAg0CCAIIAggCCAIIAggCegAABAAIAggCCAIIAggCCAIIAggCCAIIAggCAQIDAsUCHgAEAQECAgI3AgQCBQIGAgcCCAIJAh0CCwIMAg0CCAIIAggCCAIIAggCCAIIAggCCAIIAggCCAIIAggCCAIIAgECAwLtAh4ABAEBAgICRgIEAgUCBgIHAggCCQIKAgsCDAINAggCCAIIAggCCAIIAggCCAIIAggCCAIIAggCCAIIAggCCAIBAgMCwAIeAAQBAQICAjcCBAIFAgYCBwIIAgkCKQILAgwCDQIIAggCCAIIAggCCAIIAggCCAIIAggCCAIIAggCCAIIAggCAQIDAu4CHgAEAQECAgJRAgQCBQIGAgcCCAIJAh0CCwIMAg0CCAIIAggCCAIIAggCCAIIAggCCAIIAggCCAIIAggCCAIIAgECAwKuAh4ABAEBAgICVAIEAgUCBgIHAggCCQIKAgsCDAINAggCCAIIAggCCAIIAggCCAIIAggCCAIIAggCCAIIAggCCAIBAgMCIgIeAAQBAQICAl4CBAIFAgYCBwIIAgkCHQILAgwCDQIIAggCCAIIAggCCAIIAggCCAIIAggCCAIIAggCCAIIAggCAQIDAs0CHgAEAQECAgJiAgQCBQIGAgcCCAIJAgoCCwIMAg0CCAIIAggCCAIIAggCCAIIAggCCAIIAggCCAIIAggCCAIIAgECAwLQAh4ABAEBAgICbQIEAgUCBgIHAggCCQIpAgsCDAINAggCCAIIAggCCAIIAggCCAIIAggCCAIIAggCCAIIAggCCAIBAgMCywIeAAQBAQICAmgCBAIFAgYCBwIIAgkCCgILAgwCDQIIAggCCAIIAggCCAIIAggCCAIIAggCCAIIAggCCAIIAggCAQIDAscCHgAEAQECAgJgAgQCBQIGAgcCCAIJAgoCCwIMAg0CCAIIAggCCAIIAggCCAIIAggCCAIIAggCCAIIAggCCAIIAgECAwKkAh4ABAEBAgICIwIEAgUCBgIHAggCCQIpAgsCDAINAggCCAIIAggCCAIIAggCCAIIAggCCAIIAggCCAIIAggCCAIBAgMCugIeAAQBAQICAiACBAIFAgYCBwIIAgkCKQILAgwCDQIIAggCCAIIAggCCAIIAggCCAIIAggCCAIIAggCCAIIAggCAQIDAukCHgAEAQECAgJAAgQCBQIGAgcCCAIJAh0CCwIMAg0CCAIIAggCCAIIAggCCAIIAggCCAIIAggCCAIIAggCCAIIAgECAwLyAh4ABAEBAgICMgIEAgUCBgIHAggCCQIKAgsCDAINAggCCAIIAggCCAIIAggCCAIIAggCCAIIAggCCAIIAggCCAIBAgMCtAIeAAQBAQICAm0CBAIFAgYCegAABAAHAggCCQIdAgsCDAINAggCCAIIAggCCAIIAggCCAIIAggCCAIIAggCCAIIAggCCAIBAgMCswIeAAQBAQICAlICBAIFAgYCBwIIAgkCCgILAgwCDQIIAggCCAIIAggCCAIIAggCCAIIAggCCAIIAggCCAIIAggCAQIDAr4CHgAEAQECAgJeAgQCBQIGAgcCCAIJAikCCwIMAg0CCAIIAggCCAIIAggCCAIIAggCCAIIAggCCAIIAggCCAIIAgECAwK3Ah4ABAEBAgICJwIEAgUCBgIHAggCCQIdAgsCDAINAggCCAIIAggCCAIIAggCCAIIAggCCAIIAggCCAIIAggCCAIBAgMCpwIeAAQBAQICAjsCBAIFAgYCBwIIAgkCCgILAgwCDQIIAggCCAIIAggCCAIIAggCCAIIAggCCAIIAggCCAIIAggCAQIDAqwCHgAEAQECAgJEAgQCBQIGAgcCCAIJAikCCwIMAg0CCAIIAggCCAIIAggCCAIIAggCCAIIAggCCAIIAggCCAIIAgECAwKtAh4ABAEBAgICbQIEAgUCBgIHAggCCQIKAgsCDAINAggCCAIIAggCCAIIAggCCAIIAggCCAIIAggCCAIIAggCCAIBAgMCoAIeAAQBAQICAkkCBAIFAgYCBwIIAgkCCgILAgwCDQIIAggCCAIIAggCCAIIAggCCAIIAggCCAIIAggCCAIIAggCAQIDAiICHgAEAQECAgIlAgQCBQIGAgcCCAIJAh0CCwIMAg0CCAIIAggCCAIIAggCCAIIAggCCAIIAggCCAIIAggCCAIIAgECAwKvAh4ABAEBAgICKwIEAgUCBgIHAggCCQIdAgsCDAINAggCCAIIAggCCAIIAggCCAIIAggCCAIIAggCCAIIAggCCAIBAgMC7wIeAAQBAQICAjACBAIFAgYCBwIIAgkCHQILAgwCDQIIAggCCAIIAggCCAIIAggCCAIIAggCCAIIAggCCAIIAggCAQIDAqUCHgAEAQECAgJGAgQCBQIGAgcCCAIJAikCCwIMAg0CCAIIAggCCAIIAggCCAIIAggCCAIIAggCCAIIAggCCAIIAgECAwKeAh4ABAEBAgICZQIEAgUCBgIHAggCCQIKAgsCDAINAggCCAIIAggCCAIIAggCCAIIAggCCAIIAggCCAIIAggCCAIBAgMC1AIeAAQBAQICAjQCBAIFAgYCBwIIAgkCHQILAgwCDQIIAggCCAIIAggCCAIIAggCCAIIAggCCAIIAggCCAIIAggCAQIDAuECHgAEAQECAgJCAgQCBQIGAgcCCAIJAh0CCwIMAg0CCAIIAggCCAIIAggCCAIIAggCCAIIAggCCAIIAggCegAABAAIAggCAQIDAtkCHgAEAQECAgJdAgQCBQIGAgcCCAIJAgoCCwIMAg0CCAIIAggCCAIIAggCCAIIAggCCAIIAggCCAIIAggCCAIIAgECAwIiAh4ABAEBAgICIAIEAgUCBgIHAggCCQIKAgsCDAINAggCCAIIAggCCAIIAggCCAIIAggCCAIIAggCCAIIAggCCAIBAgMCIgIeAAQBAQICAlICBAIFAgYCBwIIAgkCKQILAgwCDQIIAggCCAIIAggCCAIIAggCCAIIAggCCAIIAggCCAIIAggCAQIDAsMCHgAEAQECAgI2AgQCBQIGAgcCCAIJAh0CCwIMAg0CCAIIAggCCAIIAggCCAIIAggCCAIIAggCCAIIAggCCAIIAgECAwL1Ah4ABAEBAgICWgIEAgUCBgIHAggCCQIKAgsCDAINAggCCAIIAggCCAIIAggCCAIIAggCCAIIAggCCAIIAggCCAIBAgMCqAIeAAQBAQICAlECBAIFAgYCBwIIAgkCCgILAgwCDQIIAggCCAIIAggCCAIIAggCCAIIAggCCAIIAggCCAIIAggCAQIDAiICHgAEAQECAgJAAgQCBQIGAgcCCAIJAikCCwIMAg0CCAIIAggCCAIIAggCCAIIAggCCAIIAggCCAIIAggCCAIIAgECAwLwAh4ABAEBAgICRgIEAgUCBgIHAggCCQIdAgsCDAINAggCCAIIAggCCAIIAggCCAIIAggCCAIIAggCCAIIAggCCAIBAgMC0wIeAAQBAQICAjACBAIFAgYCBwIIAgkCKQILAgwCDQIIAggCCAIIAggCCAIIAggCCAIIAggCCAIIAggCCAIIAggCAQIDAtYCHgAEAQECAgIrAgQCBQIGAgcCCAIJAikCCwIMAg0CCAIIAggCCAIIAggCCAIIAggCCAIIAggCCAIIAggCCAIIAgECAwL0Ah4ABAEBAgICRAIEAgUCBgIHAggCCQIdAgsCDAINAggCCAIIAggCCAIIAggCCAIIAggCCAIIAggCCAIIAggCCAIBAgMC2gIeAAQBAQICAmACBAIFAgYCBwIIAgkCKQILAgwCDQIIAggCCAIIAggCCAIIAggCCAIIAggCCAIIAggCCAIIAggCAQIDAt8CHgAEAQECAgIjAgQCBQIGAgcCCAIJAgoCCwIMAg0CCAIIAggCCAIIAggCCAIIAggCCAIIAggCCAIIAggCCAIIAgECAwLcAh4ABAEBAgICYAIEAgUCBgIHAggCCQIdAgsCDAINAggCCAIIAggCCAIIAggCCAIIAggCCAIIAggCCAIIAggCCAIBAgMCyAIeAAQBAQICAi4CBAIFAgYCBwIIAgkCCgILAgwCDQIIAggCegAABAAIAggCCAIIAggCCAIIAggCCAIIAggCCAIIAggCCAIBAgMCtgIeAAQBAQICAjsCBAIFAgYCBwIIAgkCKQILAgwCDQIIAggCCAIIAggCCAIIAggCCAIIAggCCAIIAggCCAIIAggCAQIDArICHgAEAQECAgJaAgQCBQIGAgcCCAIJAh0CCwIMAg0CCAIIAggCCAIIAggCCAIIAggCCAIIAggCCAIIAggCCAIIAgECAwLGAh4ABAEBAgICUgIEAgUCBgIHAggCCQIdAgsCDAINAggCCAIIAggCCAIIAggCCAIIAggCCAIIAggCCAIIAggCCAIBAgMCzwIeAAQBAQICAmUCBAIFAgYCBwIIAgkCKQILAgwCDQIIAggCCAIIAggCCAIIAggCCAIIAggCCAIIAggCCAIIAggCAQIDAtICHgAEAQECAgJAAgQCBQIGAgcCCAIJAgoCCwIMAg0CCAIIAggCCAIIAggCCAIIAggCCAIIAggCCAIIAggCCAIIAgECAwIiAh4ABAEBAgICTQIEAgUCBgIHAggCCQIdAgsCDAINAggCCAIIAggCCAIIAggCCAIIAggCCAIIAggCCAIIAggCCAIBAgMC0QIeAAQBAQICAl0CBAIFAgYCBwIIAgkCHQILAgwCDQIIAggCCAIIAggCCAIIAggCCAIIAggCCAIIAggCCAIIAggCAQIDAuoCHgAEAQECAgJVAgQCBQIGAgcCCAIJAikCCwIMAg0CCAIIAggCCAIIAggCCAIIAggCCAIIAggCCAIIAggCCAIIAgECAwLMAh4ABAEBAgICVwIEAgUCBgIHAggCCQIpAgsCDAINAggCCAIIAggCCAIIAggCCAIIAggCCAIIAggCCAIIAggCCAIBAgMC7AIeAAQBAQICAkkCBAIFAgYCBwIIAgkCKQILAgwCDQIIAggCCAIIAggCCAIIAggCCAIIAggCCAIIAggCCAIIAggCAQIDAsoCHgAEAQECAgJaAgQCBQIGAgcCCAIJAikCCwIMAg0CCAIIAggCCAIIAggCCAIIAggCCAIIAggCCAIIAggCCAIIAgECAwK5Ah4ABAEBAgICXQIEAgUCBgIHAggCCQIpAgsCDAINAggCCAIIAggCCAIIAggCCAIIAggCCAIIAggCCAIIAggCCAIBAgMC6AIeAAQBAQICAjkCBAIFAgYCBwIIAgkCCgILAgwCDQIIAggCCAIIAggCCAIIAggCCAIIAggCCAIIAggCCAIIAggCAQIDAiICHgAEAQECAgI3AgQCBQIGAgcCCAIJAgoCCwIMAg0CCAIIAggCCAIIAggCCAIIAggCCAIIAggCCAIIAggCCAIIAgECAwIiAh4ABAEBAgICegAABABUAgQCBQIGAgcCCAIJAikCCwIMAg0CCAIIAggCCAIIAggCCAIIAggCCAIIAggCCAIIAggCCAIIAgECAwLnAh4ABAEBAgICYgIEAgUCBgIHAggCCQIdAgsCDAINAggCCAIIAggCCAIIAggCCAIIAggCCAIIAggCCAIIAggCCAIBAgMCxAIeAAQBAQICAicCBAIFAgYCBwIIAgkCKQILAgwCDQIIAggCCAIIAggCCAIIAggCCAIIAggCCAIIAggCCAIIAggCAQIDAqMCHgAEAQECAgIcAgQCBQIGAgcCCAIJAgoCCwIMAg0CCAIIAggCCAIIAggCCAIIAggCCAIIAggCCAIIAggCCAIIAgECAwLBAh4ABAEBAgICMAIEAgUCBgIHAggCCQIKAgsCDAINAggCCAIIAggCCAIIAggCCAIIAggCCAIIAggCCAIIAggCCAIBAgMCsAIeAAQBAQICAlUCBAIFAgYCBwIIAgkCHQILAgwCDQIIAggCCAIIAggCCAIIAggCCAIIAggCCAIIAggCCAIIAggCAQIDArUCHgAEAQECAgJNAgQCBQIGAgcCCAIJAikCCwIMAg0CCAIIAggCCAIIAggCCAIIAggCCAIIAggCCAIIAggCCAIIAgECAwK8Ah4ABAEBAgICKwIEAgUCBgIHAggCCQIKAgsCDAINAggCCAIIAggCCAIIAggCCAIIAggCCAIIAggCCAIIAggCCAIBAgMCIgIeAAQBAQICAmgCBAIFAgYCBwIIAgkCHQILAgwCDQIIAggCCAIIAggCCAIIAggCCAIIAggCCAIIAggCCAIIAggCAQIDAr0CHgAEAQECAgJlAgQCBQIGAgcCCAIJAh0CCwIMAg0CCAIIAggCCAIIAggCCAIIAggCCAIIAggCCAIIAggCCAIIAgECAwK/Ah4ABAEBAgICVwIEAgUCBgIHAggCCQIdAgsCDAINAggCCAIIAggCCAIIAggCCAIIAggCCAIIAggCCAIIAggCCAIBAgMC8QIeAAQBAQICAj0CBAIFAgYCBwIIAgkCCgILAgwCDQIIAggCCAIIAggCCAIIAggCCAIIAggCCAIIAggCCAIIAggCAQIDArsCHgAEAQECAgJoAgQCBQIGAgcCCAIJAikCCwIMAg0CCAIIAggCCAIIAggCCAIIAggCCAIIAggCCAIIAggCCAIIAgECAwKpAh4ABAEBAgICIwIEAgUCBgIHAggCCQIdAgsCDAINAggCCAIIAggCCAIIAggCCAIIAggCCAIIAggCCAIIAggCCAIBAgMCpgIeAAQBAQICAjYCBAIFAgYCBwIIAgkCCgILAgwCDQIIAggCCAIIAggCCAIIAggCCAIIAggCegAABAAIAggCCAIIAggCCAIBAgMCIgIeAAQBAQICAiUCBAIFAgYCBwIIAgkCKQILAgwCDQIIAggCCAIIAggCCAIIAggCCAIIAggCCAIIAggCCAIIAggCAQIDAqECHgAEAQECAgJCAgQCBQIGAgcCCAIJAgoCCwIMAg0CCAIIAggCCAIIAggCCAIIAggCCAIIAggCCAIIAggCCAIIAgECAwK4Ah4ABAEBAgICIAIEAgUCBgIHAggCCQIdAgsCDAINAggCCAIIAggCCAIIAggCCAIIAggCCAIIAggCCAIIAggCCAIBAgMC5gIeAAQBAQICAlUCBAIFAgYCBwIIAgkCCgILAgwCDQIIAggCCAIIAggCCAIIAggCCAIIAggCCAIIAggCCAIIAggCAQIDAqICHgAEAQECAgIyAgQCBQIGAgcCCAIJAh0CCwIMAg0CCAIIAggCCAIIAggCCAIIAggCCAIIAggCCAIIAggCCAIIAgECAwKdAh4ABAEBAgICHAIEAgUCBgIHAggCCQIpAgsCDAINAggCCAIIAggCCAIIAggCCAIIAggCCAIIAggCCAIIAggCCAIBAgMCnwIeAAQBAQICAlcCBAIFAgYCBwIIAgkCCgILAgwCDQIIAggCCAIIAggCCAIIAggCCAIIAggCCAIIAggCCAIIAggCAQIDAiICHgAEAQECAgI0AgQCBQIGAgcCCAIJAgoCCwIMAg0CCAIIAggCCAIIAggCCAIIAggCCAIIAggCCAIIAggCCAIIAgECAwKrAh4ABAEBAgICLgIEAgUCBgIHAggCCQIpAgsCDAINAggCCAIIAggCCAIIAggCCAIIAggCCAIIAggCCAIIAggCCAIBAgMCqgIeAAQBAQICAjsCBAIFAgYCBwIIAgkCHQILAgwCDQIIAggCCAIIAggCCAIIAggCCAIIAggCCAIIAggCCAIIAggCAQIDAt4CHgAEAQECAgInAgQCBQIGAgcCCAIJAgoCCwIMAg0CCAIIAggCCAIIAggCCAIIAggCCAIIAggCCAIIAggCCAIIAgECAwLiAh4ABAEBAgICLgIEAgUCBgIHAggCCQIdAgsCDAINAggCCAIIAggCCAIIAggCCAIIAggCCAIIAggCCAIIAggCCAIBAgMC2wIeAAQBAQICAkkCBAIFAgYCBwIIAgkCHQILAgwCDQIIAggCCAIIAggCCAIIAggCCAIIAggCCAIIAggCCAIIAggCAQIDAt0CHgAEAQECAgJeAgQCBQIGAgcCCAIJAgoCCwIMAg0CCAIIAggCCAIIAggCCAIIAggCCAIIAggCCAIIAggCCAIIAgECAwLXAh4ABAEBAgICYgIEAgUCBgIHAggCCQIpAgsCegAABAAMAg0CCAIIAggCCAIIAggCCAIIAggCCAIIAggCCAIIAggCCAIIAgECAwLVAh4ABAEBAgICJQIEAgUCBgIHAggCCQIKAgsCDAINAggCCAIIAggCCAIIAggCCAIIAggCCAIIAggCCAIIAggCCAIBAgMCIgIeAAQBAQICAlQCBAIFAgYCBwIIAgkCHQILAgwCDQIIAggCCAIIAggCCAIIAggCCAIIAggCCAIIAggCCAIIAggCAQIDAusCHgAEAQECAgI9AgQCBQIGAgcCCAIJAikCCwIMAg0CCAIIAggCCAIIAggCCAIIAggCCAIIAggCCAIIAggCCAIIAgECAwLCAh4ABAEBAgICHAIEAgUCBgIHAggCCQIdAgsCDAINAggCCAIIAggCCAIIAggCCAIIAggCCAIIAggCCAIIAggCCAIBAgMC2AIeAAQBAQICAjkCBAIFAgYCBwIIAgkCKQILAgwCDQIIAggCCAIIAggCCAIIAggCCAIIAggCCAIIAggCCAIIAggCAQIDAucCHgAEAQECAgIyAgQCBQIGAgcCCAIJAikCCwIMAg0CCAIIAggCCAIIAggCCAIIAggCCAIIAggCCAIIAggCCAIIAgECAwLgAh4ABAEBAgICTQIEAgUCBgIHAggCCQIKAgsCDAINAggCCAIIAggCCAIIAggCCAIIAggCCAIIAggCCAIIAggCCAIBAgMCnAIeAAQCAQAJNTg5MTk5NzIwAgICUQIEAgUCBgIHAggCCQIpAgsCDAINAggCCAIIAggCCAIIAggCCAIIAggCCAIIAggCCAIIAggCCAIUAgMCxQIeAAQCAQICAj0CBAIFAgYCBwIIAgkCKQILAgwCDQIIAggCCAIIAggCCAIIAggCCAIIAggCCAIIAggCCAIIAggCFAIDAsICHgAEAgECAgJeAgQCBQIGAgcCCAIJAh0CCwIMAg0CCAIIAggCCAIIAggCCAIIAggCCAIIAggCCAIIAggCCAIIAhQCAwLNAh4ABAIBAgICaAIEAgUCBgIHAggCCQIKAgsCDAINAggCCAIIAggCCAIIAggCCAIIAggCCAIIAggCCAIIAggCCAIUAgMCxwIeAAQCAQICAm0CBAIFAgYCBwIIAgkCKQILAgwCDQIIAggCCAIIAggCCAIIAggCCAIIAggCCAIIAggCCAIIAggCFAIDAssCHgAEAgECAgI5AgQCBQIGAgcCCAIJAikCCwIMAg0CCAIIAggCCAIIAggCCAIIAggCCAIIAggCCAIIAggCCAIIAhQCAwLnAh4ABAIBAgICIAIEAgUCBgIHAggCCQIKAgsCDAINAggCCAIIAggCCAIIAggCCAIIAggCCAIIAggCCAIIegAABAACCAIIAhQCAwIiAh4ABAIBAgICOQIEAgUCBgIHAggCCQIdAgsCDAINAggCCAIIAggCCAIIAggCCAIIAggCCAIIAggCCAIIAggCCAIUAgMC6wIeAAQCAQICAkQCBAIFAgYCBwIIAgkCCgILAgwCDQIIAggCCAIIAggCCAIIAggCCAIIAggCCAIIAggCCAIIAggCFAIDAiICHgAEAgECAgJCAgQCBQIGAgcCCAIJAikCCwIMAg0CCAIIAggCCAIIAggCCAIIAggCCAIIAggCCAIIAggCCAIIAhQCAwLJAh4ABAIBAgICQAIEAgUCBgIHAggCCQIdAgsCDAINAggCCAIIAggCCAIIAggCCAIIAggCCAIIAggCCAIIAggCCAIUAgMC8gIeAAQCAQICAkYCBAIFAgYCBwIIAgkCCgILAgwCDQIIAggCCAIIAggCCAIIAggCCAIIAggCCAIIAggCCAIIAggCFAIDAsACHgAEAgECAgI3AgQCBQIGAgcCCAIJAikCCwIMAg0CCAIIAggCCAIIAggCCAIIAggCCAIIAggCCAIIAggCCAIIAhQCAwLuAh4ABAIBAgICQAIEAgUCBgIHAggCCQIpAgsCDAINAggCCAIIAggCCAIIAggCCAIIAggCCAIIAggCCAIIAggCCAIUAgMC8AIeAAQCAQICAlQCBAIFAgYCBwIIAgkCCgILAgwCDQIIAggCCAIIAggCCAIIAggCCAIIAggCCAIIAggCCAIIAggCFAIDAiICHgAEAgECAgIyAgQCBQIGAgcCCAIJAikCCwIMAg0CCAIIAggCCAIIAggCCAIIAggCCAIIAggCCAIIAggCCAIIAhQCAwLgAh4ABAIBAgICPQIEAgUCBgIHAggCCQIdAgsCDAINAggCCAIIAggCCAIIAggCCAIIAggCCAIIAggCCAIIAggCCAIUAgMCzgIeAAQCAQICAiMCBAIFAgYCBwIIAgkCCgILAgwCDQIIAggCCAIIAggCCAIIAggCCAIIAggCCAIIAggCCAIIAggCFAIDAtwCHgAEAgECAgI2AgQCBQIGAgcCCAIJAgoCCwIMAg0CCAIIAggCCAIIAggCCAIIAggCCAIIAggCCAIIAggCCAIIAhQCAwIiAh4ABAIBAgICLgIEAgUCBgIHAggCCQIdAgsCDAINAggCCAIIAggCCAIIAggCCAIIAggCCAIIAggCCAIIAggCCAIUAgMC2wIeAAQCAQICAloCBAIFAgYCBwIIAgkCCgILAgwCDQIIAggCCAIIAggCCAIIAggCCAIIAggCCAIIAggCCAIIAggCFAIDAqgCHgAEAgECAgJdAgQCBQIGAgcCCAIJAgoCCwIMAg0CCAIIegAABAACCAIIAggCCAIIAggCCAIIAggCCAIIAggCCAIIAggCFAIDAiICHgAEAgECAgJCAgQCBQIGAgcCCAIJAh0CCwIMAg0CCAIIAggCCAIIAggCCAIIAggCCAIIAggCCAIIAggCCAIIAhQCAwLZAh4ABAIBAgICHAIEAgUCBgIHAggCCQIdAgsCDAINAggCCAIIAggCCAIIAggCCAIIAggCCAIIAggCCAIIAggCCAIUAgMC2AIeAAQCAQICAjcCBAIFAgYCBwIIAgkCHQILAgwCDQIIAggCCAIIAggCCAIIAggCCAIIAggCCAIIAggCCAIIAggCFAIDAu0CHgAEAgECAgJGAgQCBQIGAgcCCAIJAikCCwIMAg0CCAIIAggCCAIIAggCCAIIAggCCAIIAggCCAIIAggCCAIIAhQCAwKeAh4ABAIBAgICMgIEAgUCBgIHAggCCQIdAgsCDAINAggCCAIIAggCCAIIAggCCAIIAggCCAIIAggCCAIIAggCCAIUAgMCnQIeAAQCAQICAlECBAIFAgYCBwIIAgkCCgILAgwCDQIIAggCCAIIAggCCAIIAggCCAIIAggCCAIIAggCCAIIAggCFAIDAiICHgAEAgECAgJSAgQCBQIGAgcCCAIJAgoCCwIMAg0CCAIIAggCCAIIAggCCAIIAggCCAIIAggCCAIIAggCCAIIAhQCAwK+Ah4ABAIBAgICNAIEAgUCBgIHAggCCQIKAgsCDAINAggCCAIIAggCCAIIAggCCAIIAggCCAIIAggCCAIIAggCCAIUAgMCqwIeAAQCAQICAjQCBAIFAgYCBwIIAgkCHQILAgwCDQIIAggCCAIIAggCCAIIAggCCAIIAggCCAIIAggCCAIIAggCFAIDAuECHgAEAgECAgI2AgQCBQIGAgcCCAIJAh0CCwIMAg0CCAIIAggCCAIIAggCCAIIAggCCAIIAggCCAIIAggCCAIIAhQCAwL1Ah4ABAIBAgICQgIEAgUCBgIHAggCCQIKAgsCDAINAggCCAIIAggCCAIIAggCCAIIAggCCAIIAggCCAIIAggCCAIUAgMCuAIeAAQCAQICAm0CBAIFAgYCBwIIAgkCCgILAgwCDQIIAggCCAIIAggCCAIIAggCCAIIAggCCAIIAggCCAIIAggCFAIDAqACHgAEAgECAgIlAgQCBQIGAgcCCAIJAikCCwIMAg0CCAIIAggCCAIIAggCCAIIAggCCAIIAggCCAIIAggCCAIIAhQCAwKhAh4ABAIBAgICJwIEAgUCBgIHAggCCQIpAgsCDAINAggCCAIIAggCCAIIAggCCAIIAggCCAIIAggCCAIIAggCCAIUAgMCowIeAAQCAQICegAABAACMAIEAgUCBgIHAggCCQIKAgsCDAINAggCCAIIAggCCAIIAggCCAIIAggCCAIIAggCCAIIAggCCAIUAgMCsAIeAAQCAQICAisCBAIFAgYCBwIIAgkCCgILAgwCDQIIAggCCAIIAggCCAIIAggCCAIIAggCCAIIAggCCAIIAggCFAIDAiICHgAEAgECAgJVAgQCBQIGAgcCCAIJAh0CCwIMAg0CCAIIAggCCAIIAggCCAIIAggCCAIIAggCCAIIAggCCAIIAhQCAwK1Ah4ABAIBAgICVwIEAgUCBgIHAggCCQIdAgsCDAINAggCCAIIAggCCAIIAggCCAIIAggCCAIIAggCCAIIAggCCAIUAgMC8QIeAAQCAQICAiUCBAIFAgYCBwIIAgkCHQILAgwCDQIIAggCCAIIAggCCAIIAggCCAIIAggCCAIIAggCCAIIAggCFAIDAq8CHgAEAgECAgJAAgQCBQIGAgcCCAIJAgoCCwIMAg0CCAIIAggCCAIIAggCCAIIAggCCAIIAggCCAIIAggCCAIIAhQCAwIiAh4ABAIBAgICaAIEAgUCBgIHAggCCQIdAgsCDAINAggCCAIIAggCCAIIAggCCAIIAggCCAIIAggCCAIIAggCCAIUAgMCvQIeAAQCAQICAmUCBAIFAgYCBwIIAgkCCgILAgwCDQIIAggCCAIIAggCCAIIAggCCAIIAggCCAIIAggCCAIIAggCFAIDAtQCHgAEAgECAgJNAgQCBQIGAgcCCAIJAh0CCwIMAg0CCAIIAggCCAIIAggCCAIIAggCCAIIAggCCAIIAggCCAIIAhQCAwLRAh4ABAIBAgICRAIEAgUCBgIHAggCCQIpAgsCDAINAggCCAIIAggCCAIIAggCCAIIAggCCAIIAggCCAIIAggCCAIUAgMCrQIeAAQCAQICAmACBAIFAgYCBwIIAgkCCgILAgwCDQIIAggCCAIIAggCCAIIAggCCAIIAggCCAIIAggCCAIIAggCFAIDAqQCHgAEAgECAgJeAgQCBQIGAgcCCAIJAikCCwIMAg0CCAIIAggCCAIIAggCCAIIAggCCAIIAggCCAIIAggCCAIIAhQCAwK3Ah4ABAIBAgICNAIEAgUCBgIHAggCCQIpAgsCDAINAggCCAIIAggCCAIIAggCCAIIAggCCAIIAggCCAIIAggCCAIUAgMCsQIeAAQCAQICAicCBAIFAgYCBwIIAgkCHQILAgwCDQIIAggCCAIIAggCCAIIAggCCAIIAggCCAIIAggCCAIIAggCFAIDAqcCHgAEAgECAgI2AgQCBQIGAgcCCAIJAikCCwIMAg0CCAIIAggCCAIIAggCCAIIAggCCAIIegAABAACCAIIAggCCAIIAggCFAIDAvMCHgAEAgECAgIlAgQCBQIGAgcCCAIJAgoCCwIMAg0CCAIIAggCCAIIAggCCAIIAggCCAIIAggCCAIIAggCCAIIAhQCAwIiAh4ABAIBAgICVAIEAgUCBgIHAggCCQIdAgsCDAINAggCCAIIAggCCAIIAggCCAIIAggCCAIIAggCCAIIAggCCAIUAgMC6wIeAAQCAQICAk0CBAIFAgYCBwIIAgkCKQILAgwCDQIIAggCCAIIAggCCAIIAggCCAIIAggCCAIIAggCCAIIAggCFAIDArwCHgAEAgECAgJiAgQCBQIGAgcCCAIJAh0CCwIMAg0CCAIIAggCCAIIAggCCAIIAggCCAIIAggCCAIIAggCCAIIAhQCAwLEAh4ABAIBAgICYAIEAgUCBgIHAggCCQIpAgsCDAINAggCCAIIAggCCAIIAggCCAIIAggCCAIIAggCCAIIAggCCAIUAgMC3wIeAAQCAQICAl0CBAIFAgYCBwIIAgkCHQILAgwCDQIIAggCCAIIAggCCAIIAggCCAIIAggCCAIIAggCCAIIAggCFAIDAuoCHgAEAgECAgJXAgQCBQIGAgcCCAIJAikCCwIMAg0CCAIIAggCCAIIAggCCAIIAggCCAIIAggCCAIIAggCCAIIAhQCAwLsAh4ABAIBAgICSQIEAgUCBgIHAggCCQIpAgsCDAINAggCCAIIAggCCAIIAggCCAIIAggCCAIIAggCCAIIAggCCAIUAgMCygIeAAQCAQICAmACBAIFAgYCBwIIAgkCHQILAgwCDQIIAggCCAIIAggCCAIIAggCCAIIAggCCAIIAggCCAIIAggCFAIDAsgCHgAEAgECAgJVAgQCBQIGAgcCCAIJAikCCwIMAg0CCAIIAggCCAIIAggCCAIIAggCCAIIAggCCAIIAggCCAIIAhQCAwLMAh4ABAIBAgICWgIEAgUCBgIHAggCCQIdAgsCDAINAggCCAIIAggCCAIIAggCCAIIAggCCAIIAggCCAIIAggCCAIUAgMCxgIeAAQCAQICAlICBAIFAgYCBwIIAgkCKQILAgwCDQIIAggCCAIIAggCCAIIAggCCAIIAggCCAIIAggCCAIIAggCFAIDAsMCHgAEAgECAgIcAgQCBQIGAgcCCAIJAgoCCwIMAg0CCAIIAggCCAIIAggCCAIIAggCCAIIAggCCAIIAggCCAIIAhQCAwLBAh4ABAIBAgICLgIEAgUCBgIHAggCCQIKAgsCDAINAggCCAIIAggCCAIIAggCCAIIAggCCAIIAggCCAIIAggCCAIUAgMCtgIeAAQCAQICAmICBAIFAgYCBwIIAgkCKQILegAABAACDAINAggCCAIIAggCCAIIAggCCAIIAggCCAIIAggCCAIIAggCCAIUAgMC1QIeAAQCAQICAmUCBAIFAgYCBwIIAgkCKQILAgwCDQIIAggCCAIIAggCCAIIAggCCAIIAggCCAIIAggCCAIIAggCFAIDAtICHgAEAgECAgIwAgQCBQIGAgcCCAIJAikCCwIMAg0CCAIIAggCCAIIAggCCAIIAggCCAIIAggCCAIIAggCCAIIAhQCAwLWAh4ABAIBAgICRgIEAgUCBgIHAggCCQIdAgsCDAINAggCCAIIAggCCAIIAggCCAIIAggCCAIIAggCCAIIAggCCAIUAgMC0wIeAAQCAQICAkQCBAIFAgYCBwIIAgkCHQILAgwCDQIIAggCCAIIAggCCAIIAggCCAIIAggCCAIIAggCCAIIAggCFAIDAtoCHgAEAgECAgInAgQCBQIGAgcCCAIJAgoCCwIMAg0CCAIIAggCCAIIAggCCAIIAggCCAIIAggCCAIIAggCCAIIAhQCAwLiAh4ABAIBAgICKwIEAgUCBgIHAggCCQIpAgsCDAINAggCCAIIAggCCAIIAggCCAIIAggCCAIIAggCCAIIAggCCAIUAgMC9AIeAAQCAQICAjsCBAIFAgYCBwIIAgkCCgILAgwCDQIIAggCCAIIAggCCAIIAggCCAIIAggCCAIIAggCCAIIAggCFAIDAqwCHgAEAgECAgJJAgQCBQIGAgcCCAIJAh0CCwIMAg0CCAIIAggCCAIIAggCCAIIAggCCAIIAggCCAIIAggCCAIIAhQCAwLdAh4ABAIBAgICaAIEAgUCBgIHAggCCQIpAgsCDAINAggCCAIIAggCCAIIAggCCAIIAggCCAIIAggCCAIIAggCCAIUAgMCqQIeAAQCAQICAlICBAIFAgYCBwIIAgkCHQILAgwCDQIIAggCCAIIAggCCAIIAggCCAIIAggCCAIIAggCCAIIAggCFAIDAs8CHgAEAgECAgJeAgQCBQIGAgcCCAIJAgoCCwIMAg0CCAIIAggCCAIIAggCCAIIAggCCAIIAggCCAIIAggCCAIIAhQCAwLXAh4ABAIBAgICTQIEAgUCBgIHAggCCQIKAgsCDAINAggCCAIIAggCCAIIAggCCAIIAggCCAIIAggCCAIIAggCCAIUAgMCnAIeAAQCAQICAisCBAIFAgYCBwIIAgkCHQILAgwCDQIIAggCCAIIAggCCAIIAggCCAIIAggCCAIIAggCCAIIAggCFAIDAu8CHgAEAgECAgIwAgQCBQIGAgcCCAIJAh0CCwIMAg0CCAIIAggCCAIIAggCCAIIAggCCAIIAggCCAIIAggCCAIIAhQCAwKlegAABAACHgAEAgECAgJXAgQCBQIGAgcCCAIJAgoCCwIMAg0CCAIIAggCCAIIAggCCAIIAggCCAIIAggCCAIIAggCCAIIAhQCAwIiAh4ABAIBAgICHAIEAgUCBgIHAggCCQIpAgsCDAINAggCCAIIAggCCAIIAggCCAIIAggCCAIIAggCCAIIAggCCAIUAgMCnwIeAAQCAQICAmUCBAIFAgYCBwIIAgkCHQILAgwCDQIIAggCCAIIAggCCAIIAggCCAIIAggCCAIIAggCCAIIAggCFAIDAr8CHgAEAgECAgI3AgQCBQIGAgcCCAIJAgoCCwIMAg0CCAIIAggCCAIIAggCCAIIAggCCAIIAggCCAIIAggCCAIIAhQCAwIiAh4ABAIBAgICPQIEAgUCBgIHAggCCQIKAgsCDAINAggCCAIIAggCCAIIAggCCAIIAggCCAIIAggCCAIIAggCCAIUAgMCuwIeAAQCAQICAi4CBAIFAgYCBwIIAgkCKQILAgwCDQIIAggCCAIIAggCCAIIAggCCAIIAggCCAIIAggCCAIIAggCFAIDAqoCHgAEAgECAgIjAgQCBQIGAgcCCAIJAikCCwIMAg0CCAIIAggCCAIIAggCCAIIAggCCAIIAggCCAIIAggCCAIIAhQCAwK6Ah4ABAIBAgICOwIEAgUCBgIHAggCCQIdAgsCDAINAggCCAIIAggCCAIIAggCCAIIAggCCAIIAggCCAIIAggCCAIUAgMC3gIeAAQCAQICAiACBAIFAgYCBwIIAgkCKQILAgwCDQIIAggCCAIIAggCCAIIAggCCAIIAggCCAIIAggCCAIIAggCFAIDAukCHgAEAgECAgJJAgQCBQIGAgcCCAIJAgoCCwIMAg0CCAIIAggCCAIIAggCCAIIAggCCAIIAggCCAIIAggCCAIIAhQCAwIiAh4ABAIBAgICVQIEAgUCBgIHAggCCQIKAgsCDAINAggCCAIIAggCCAIIAggCCAIIAggCCAIIAggCCAIIAggCCAIUAgMCogIeAAQCAQICAjICBAIFAgYCBwIIAgkCCgILAgwCDQIIAggCCAIIAggCCAIIAggCCAIIAggCCAIIAggCCAIIAggCFAIDArQCHgAEAgECAgJRAgQCBQIGAgcCCAIJAh0CCwIMAg0CCAIIAggCCAIIAggCCAIIAggCCAIIAggCCAIIAggCCAIIAhQCAwKuAh4ABAIBAgICbQIEAgUCBgIHAggCCQIdAgsCDAINAggCCAIIAggCCAIIAggCCAIIAggCCAIIAggCCAIIAggCCAIUAgMCswIeAAQCAQICAmICBAIFAgYCBwIIAgkCCgILAgwCDQIIAggCCAIIAggCCAIIegAABAACCAIIAggCCAIIAggCCAIIAggCCAIUAgMC0AIeAAQCAQICAl0CBAIFAgYCBwIIAgkCKQILAgwCDQIIAggCCAIIAggCCAIIAggCCAIIAggCCAIIAggCCAIIAggCFAIDAugCHgAEAgECAgI5AgQCBQIGAgcCCAIJAgoCCwIMAg0CCAIIAggCCAIIAggCCAIIAggCCAIIAggCCAIIAggCCAIIAhQCAwIiAh4ABAIBAgICIAIEAgUCBgIHAggCCQIdAgsCDAINAggCCAIIAggCCAIIAggCCAIIAggCCAIIAggCCAIIAggCCAIUAgMC5gIeAAQCAQICAiMCBAIFAgYCBwIIAgkCHQILAgwCDQIIAggCCAIIAggCCAIIAggCCAIIAggCCAIIAggCCAIIAggCFAIDAqYCHgAEAgECAgJaAgQCBQIGAgcCCAIJAikCCwIMAg0CCAIIAggCCAIIAggCCAIIAggCCAIIAggCCAIIAggCCAIIAhQCAwK5Ah4ABAIBAgICOwIEAgUCBgIHAggCCQIpAgsCDAINAggCCAIIAggCCAIIAggCCAIIAggCCAIIAggCCAIIAggCCAIUAgMCsgIeAAQCAQICAlQCBAIFAgYCBwIIAgkCKQILAgwCDQIIAggCCAIIAggCCAIIAggCCAIIAggCCAIIAggCCAIIAggCFAIDAucCHgAEAwEACTY3ODUzMjAyNAICAmUCBAIFAgYCBwIIAgkCHQILAh4CDQIIAggCCAIIAggCCAIIAggCCAIIAggCCAIIAggCCAIIAggCHwIDAo8CHgAEAwECAgI0AgQCBQIGAgcCCAIJAiECCwIeAg0CCAIIAggCCAIIAggCCAIIAggCCAIIAggCCAIIAggCCAIIAh8CAwI1Ah4ABAMBAgICIwIEAgUCBgIHAggCCQIpAgsCHgINAggCCAIIAggCCAIIAggCCAIIAggCCAIIAggCCAIIAggCCAIfAgMCkwIeAAQDAQICAicCBAIFAgYCBwIIAgkCKQILAh4CDQIIAggCCAIIAggCCAIIAggCCAIIAggCCAIIAggCCAIIAggCHwIDAmQCHgAEAwECAgI7AgQCBQIGAgcCCAIJAh0CCwIeAg0CCAIIAggCCAIIAggCCAIIAggCCAIIAggCCAIIAggCCAIIAh8CAwI8Ah4ABAMBAgICNAIEAgUCBgIHAggCCQIdAgsCHgINAggCCAIIAggCCAIIAggCCAIIAggCCAIIAggCCAIIAggCCAIfAgMCeQIeAAQDAQICAmUCBAIFAgYCBwIIAgkCIQILAh4CDQIIAggCCAIIAggCCAIIAggCCAIIAggCCAIIAggCCAIIAggCHwIDAmYCHgAEAwECegAABAACAjsCBAIFAgYCBwIIAgkCIQILAh4CDQIIAggCCAIIAggCCAIIAggCCAIIAggCCAIIAggCCAIIAggCHwIDAnsCHgAEAwECAgJJAgQCBQIGAgcCCAIJAh0CCwIeAg0CCAIIAggCCAIIAggCCAIIAggCCAIIAggCCAIIAggCCAIIAh8CAwJKAh4ABAMBAgICQgIEAgUCBgIHAggCCQIdAgsCHgINAggCCAIIAggCCAIIAggCCAIIAggCCAIIAggCCAIIAggCCAIfAgMCfAIeAAQDAQICAlUCBAIFAgYCBwIIAgkCIQILAh4CDQIIAggCCAIIAggCCAIIAggCCAIIAggCCAIIAggCCAIIAggCHwIDApUCHgAEAwECAgIyAgQCBQIGAgcCCAIJAikCCwIeAg0CCAIIAggCCAIIAggCCAIIAggCCAIIAggCCAIIAggCCAIIAh8CAwJ9Ah4ABAMBAgICSQIEAgUCBgIHAggCCQIhAgsCHgINAggCCAIIAggCCAIIAggCCAIIAggCCAIIAggCCAIIAggCCAIfAgMCIgIeAAQDAQICAlUCBAIFAgYCBwIIAgkCHQILAh4CDQIIAggCCAIIAggCCAIIAggCCAIIAggCCAIIAggCCAIIAggCHwIDAmwCHgAEAwECAgJCAgQCBQIGAgcCCAIJAiECCwIeAg0CCAIIAggCCAIIAggCCAIIAggCCAIIAggCCAIIAggCCAIIAh8CAwJDAh4ABAMBAgICbQIEAgUCBgIHAggCCQIdAgsCHgINAggCCAIIAggCCAIIAggCCAIIAggCCAIIAggCCAIIAggCCAIfAgMCmQIeAAQDAQICAjACBAIFAgYCBwIIAgkCKQILAh4CDQIIAggCCAIIAggCCAIIAggCCAIIAggCCAIIAggCCAIIAggCHwIDAkUCHgAEAwECAgJtAgQCBQIGAgcCCAIJAiECCwIeAg0CCAIIAggCCAIIAggCCAIIAggCCAIIAggCCAIIAggCCAIIAh8CAwJuAh4ABAMBAgICRgIEAgUCBgIHAggCCQIdAgsCHgINAggCCAIIAggCCAIIAggCCAIIAggCCAIIAggCCAIIAggCCAIfAgMCgAIeAAQDAQICAk0CBAIFAgYCBwIIAgkCHQILAh4CDQIIAggCCAIIAggCCAIIAggCCAIIAggCCAIIAggCCAIIAggCHwIDAk4CHgAEAwECAgIlAgQCBQIGAgcCCAIJAh0CCwIeAg0CCAIIAggCCAIIAggCCAIIAggCCAIIAggCCAIIAggCCAIIAh8CAwImAh4ABAMBAgICOwIEAgUCBgIHAggCCQIpAgsCHgINAggCCAIIAggCCAIIAggCCAIIAggCegAABAAIAggCCAIIAggCCAIIAh8CAwKCAh4ABAMBAgICRAIEAgUCBgIHAggCCQIpAgsCHgINAggCCAIIAggCCAIIAggCCAIIAggCCAIIAggCCAIIAggCCAIfAgMCbwIeAAQDAQICAk0CBAIFAgYCBwIIAgkCIQILAh4CDQIIAggCCAIIAggCCAIIAggCCAIIAggCCAIIAggCCAIIAggCHwIDAooCHgAEAwECAgIlAgQCBQIGAgcCCAIJAiECCwIeAg0CCAIIAggCCAIIAggCCAIIAggCCAIIAggCCAIIAggCCAIIAh8CAwIiAh4ABAMBAgICIwIEAgUCBgIHAggCCQIhAgsCHgINAggCCAIIAggCCAIIAggCCAIIAggCCAIIAggCCAIIAggCCAIfAgMCJAIeAAQDAQICAicCBAIFAgYCBwIIAgkCHQILAh4CDQIIAggCCAIIAggCCAIIAggCCAIIAggCCAIIAggCCAIIAggCHwIDAigCHgAEAwECAgI0AgQCBQIGAgcCCAIJAikCCwIeAg0CCAIIAggCCAIIAggCCAIIAggCCAIIAggCCAIIAggCCAIIAh8CAwJMAh4ABAMBAgICUQIEAgUCBgIHAggCCQIdAgsCHgINAggCCAIIAggCCAIIAggCCAIIAggCCAIIAggCCAIIAggCCAIfAgMChAIeAAQDAQICAlECBAIFAgYCBwIIAgkCIQILAh4CDQIIAggCCAIIAggCCAIIAggCCAIIAggCCAIIAggCCAIIAggCHwIDAiICHgAEAwECAgInAgQCBQIGAgcCCAIJAiECCwIeAg0CCAIIAggCCAIIAggCCAIIAggCCAIIAggCCAIIAggCCAIIAh8CAwJzAh4ABAMBAgICIwIEAgUCBgIHAggCCQIdAgsCHgINAggCCAIIAggCCAIIAggCCAIIAggCCAIIAggCCAIIAggCCAIfAgMCcgIeAAQDAQICAi4CBAIFAgYCBwIIAgkCKQILAh4CDQIIAggCCAIIAggCCAIIAggCCAIIAggCCAIIAggCCAIIAggCHwIDAi8CHgAEAwECAgIcAgQCBQIGAgcCCAIJAikCCwIeAg0CCAIIAggCCAIIAggCCAIIAggCCAIIAggCCAIIAggCCAIIAh8CAwItAh4ABAMBAgICRgIEAgUCBgIHAggCCQIpAgsCHgINAggCCAIIAggCCAIIAggCCAIIAggCCAIIAggCCAIIAggCCAIfAgMCdQIeAAQDAQICAkkCBAIFAgYCBwIIAgkCKQILAh4CDQIIAggCCAIIAggCCAIIAggCCAIIAggCCAIIAggCCAIIAggCHwIDAosCHgAEAwECAgJaAgQCBQIGAgcCCAIJAiECegAABAALAh4CDQIIAggCCAIIAggCCAIIAggCCAIIAggCCAIIAggCCAIIAggCHwIDAlsCHgAEAwECAgJeAgQCBQIGAgcCCAIJAh0CCwIeAg0CCAIIAggCCAIIAggCCAIIAggCCAIIAggCCAIIAggCCAIIAh8CAwJfAh4ABAMBAgICWgIEAgUCBgIHAggCCQIdAgsCHgINAggCCAIIAggCCAIIAggCCAIIAggCCAIIAggCCAIIAggCCAIfAgMCiQIeAAQDAQICAkICBAIFAgYCBwIIAgkCKQILAh4CDQIIAggCCAIIAggCCAIIAggCCAIIAggCCAIIAggCCAIIAggCHwIDAlkCHgAEAwECAgJeAgQCBQIGAgcCCAIJAiECCwIeAg0CCAIIAggCCAIIAggCCAIIAggCCAIIAggCCAIIAggCCAIIAh8CAwKNAh4ABAMBAgICQAIEAgUCBgIHAggCCQIdAgsCHgINAggCCAIIAggCCAIIAggCCAIIAggCCAIIAggCCAIIAggCCAIfAgMCjgIeAAQDAQICAj0CBAIFAgYCBwIIAgkCKQILAh4CDQIIAggCCAIIAggCCAIIAggCCAIIAggCCAIIAggCCAIIAggCHwIDAj4CHgAEAwECAgJiAgQCBQIGAgcCCAIJAh0CCwIeAg0CCAIIAggCCAIIAggCCAIIAggCCAIIAggCCAIIAggCCAIIAh8CAwJjAh4ABAMBAgICYAIEAgUCBgIHAggCCQIpAgsCHgINAggCCAIIAggCCAIIAggCCAIIAggCCAIIAggCCAIIAggCCAIfAgMCdwIeAAQDAQICAlICBAIFAgYCBwIIAgkCKQILAh4CDQIIAggCCAIIAggCCAIIAggCCAIIAggCCAIIAggCCAIIAggCHwIDAngCHgAEAwECAgJNAgQCBQIGAgcCCAIJAikCCwIeAg0CCAIIAggCCAIIAggCCAIIAggCCAIIAggCCAIIAggCCAIIAh8CAwJnAh4ABAMBAgICUQIEAgUCBgIHAggCCQIpAgsCHgINAggCCAIIAggCCAIIAggCCAIIAggCCAIIAggCCAIIAggCCAIfAgMCkgIeAAQDAQICAmgCBAIFAgYCBwIIAgkCIQILAh4CDQIIAggCCAIIAggCCAIIAggCCAIIAggCCAIIAggCCAIIAggCHwIDApECHgAEAwECAgJAAgQCBQIGAgcCCAIJAiECCwIeAg0CCAIIAggCCAIIAggCCAIIAggCCAIIAggCCAIIAggCCAIIAh8CAwIiAh4ABAMBAgICYgIEAgUCBgIHAggCCQIhAgsCHgINAggCCAIIAggCCAIIAggCCAIIAggCCAIIAggCCAIIAggCCAIfAgMCegAABACUAh4ABAMBAgICLgIEAgUCBgIHAggCCQIdAgsCHgINAggCCAIIAggCCAIIAggCCAIIAggCCAIIAggCCAIIAggCCAIfAgMCSAIeAAQDAQICAkQCBAIFAgYCBwIIAgkCHQILAh4CDQIIAggCCAIIAggCCAIIAggCCAIIAggCCAIIAggCCAIIAggCHwIDAn4CHgAEAwECAgJoAgQCBQIGAgcCCAIJAh0CCwIeAg0CCAIIAggCCAIIAggCCAIIAggCCAIIAggCCAIIAggCCAIIAh8CAwJpAh4ABAMBAgICXgIEAgUCBgIHAggCCQIpAgsCHgINAggCCAIIAggCCAIIAggCCAIIAggCCAIIAggCCAIIAggCCAIfAgMCagIeAAQDAQICAkACBAIFAgYCBwIIAgkCKQILAh4CDQIIAggCCAIIAggCCAIIAggCCAIIAggCCAIIAggCCAIIAggCHwIDAkECHgAEAwECAgIcAgQCBQIGAgcCCAIJAiECCwIeAg0CCAIIAggCCAIIAggCCAIIAggCCAIIAggCCAIIAggCCAIIAh8CAwJ/Ah4ABAMBAgICRAIEAgUCBgIHAggCCQIhAgsCHgINAggCCAIIAggCCAIIAggCCAIIAggCCAIIAggCCAIIAggCCAIfAgMCIgIeAAQDAQICAloCBAIFAgYCBwIIAgkCKQILAh4CDQIIAggCCAIIAggCCAIIAggCCAIIAggCCAIIAggCCAIIAggCHwIDApgCHgAEAwECAgJGAgQCBQIGAgcCCAIJAiECCwIeAg0CCAIIAggCCAIIAggCCAIIAggCCAIIAggCCAIIAggCCAIIAh8CAwJHAh4ABAMBAgICLgIEAgUCBgIHAggCCQIhAgsCHgINAggCCAIIAggCCAIIAggCCAIIAggCCAIIAggCCAIIAggCCAIfAgMCgQIeAAQDAQICAhwCBAIFAgYCBwIIAgkCHQILAh4CDQIIAggCCAIIAggCCAIIAggCCAIIAggCCAIIAggCCAIIAggCHwIDAh8CHgAEAwECAgI9AgQCBQIGAgcCCAIJAiECCwIeAg0CCAIIAggCCAIIAggCCAIIAggCCAIIAggCCAIIAggCCAIIAh8CAwKDAh4ABAMBAgICYgIEAgUCBgIHAggCCQIpAgsCHgINAggCCAIIAggCCAIIAggCCAIIAggCCAIIAggCCAIIAggCCAIfAgMCcAIeAAQDAQICAj0CBAIFAgYCBwIIAgkCHQILAh4CDQIIAggCCAIIAggCCAIIAggCCAIIAggCCAIIAggCCAIIAggCHwIDAlACHgAEAwECAgJlAgQCBQIGAgcCCAIJAikCCwIeAg0CCAIIAggCCAIIAggCegAABAAIAggCCAIIAggCCAIIAggCCAIIAggCHwIDAoYCHgAEAwECAgJSAgQCBQIGAgcCCAIJAh0CCwIeAg0CCAIIAggCCAIIAggCCAIIAggCCAIIAggCCAIIAggCCAIIAh8CAwKFAh4ABAMBAgICaAIEAgUCBgIHAggCCQIpAgsCHgINAggCCAIIAggCCAIIAggCCAIIAggCCAIIAggCCAIIAggCCAIfAgMCcQIeAAQDAQICAlICBAIFAgYCBwIIAgkCIQILAh4CDQIIAggCCAIIAggCCAIIAggCCAIIAggCCAIIAggCCAIIAggCHwIDAlMCHgAEAwECAgJVAgQCBQIGAgcCCAIJAikCCwIeAg0CCAIIAggCCAIIAggCCAIIAggCCAIIAggCCAIIAggCCAIIAh8CAwJWAh4ABAMBAgICbQIEAgUCBgIHAggCCQIpAgsCHgINAggCCAIIAggCCAIIAggCCAIIAggCCAIIAggCCAIIAggCCAIfAgMCiAIeAAQDAQICAjACBAIFAgYCBwIIAgkCIQILAh4CDQIIAggCCAIIAggCCAIIAggCCAIIAggCCAIIAggCCAIIAggCHwIDAnQCHgAEAwECAgIlAgQCBQIGAgcCCAIJAikCCwIeAg0CCAIIAggCCAIIAggCCAIIAggCCAIIAggCCAIIAggCCAIIAh8CAwIqAh4ABAMBAgICYAIEAgUCBgIHAggCCQIdAgsCHgINAggCCAIIAggCCAIIAggCCAIIAggCCAIIAggCCAIIAggCCAIfAgMCjAIeAAQDAQICAmACBAIFAgYCBwIIAgkCIQILAh4CDQIIAggCCAIIAggCCAIIAggCCAIIAggCCAIIAggCCAIIAggCHwIDAmECHgAEAwECAgIwAgQCBQIGAgcCCAIJAh0CCwIeAg0CCAIIAggCCAIIAggCCAIIAggCCAIIAggCCAIIAggCCAIIAh8CAwIxAh4ABAMBAgICMgIEAgUCBgIHAggCCQIdAgsCHgINAggCCAIIAggCCAIIAggCCAIIAggCCAIIAggCCAIIAggCCAIfAgMCdgIeAAQDAQICAjICBAIFAgYCBwIIAgkCIQILAh4CDQIIAggCCAIIAggCCAIIAggCCAIIAggCCAIIAggCCAIIAggCHwIDAjMCHgAEBAEACTY3ODUzNjY2NAICAlECBAIFAgYCBwIIAgkCHQILAh4CDQIIAggCCAIIAggCCAIIAggCCAIIAggCCAIIAggCCAIIAggCIwIDAoQCHgAEBAECAgJNAgQCBQIGAgcCCAIJAh0CCwIeAg0CCAIIAggCCAIIAggCCAIIAggCCAIIAggCCAIIAggCCAIIAiMCAwJOAh4ABAQBegAABAACAgJSAgQCBQIGAgcCCAIJAiECCwIeAg0CCAIIAggCCAIIAggCCAIIAggCCAIIAggCCAIIAggCCAIIAiMCAwJTAh4ABAQBAgICPQIEAgUCBgIHAggCCQIhAgsCHgINAggCCAIIAggCCAIIAggCCAIIAggCCAIIAggCCAIIAggCCAIjAgMCgwIeAAQEAQICAmUCBAIFAgYCBwIIAgkCKQILAh4CDQIIAggCCAIIAggCCAIIAggCCAIIAggCCAIIAggCCAIIAggCIwIDAoYCHgAEBAECAgJgAgQCBQIGAgcCCAIJAiECCwIeAg0CCAIIAggCCAIIAggCCAIIAggCCAIIAggCCAIIAggCCAIIAiMCAwJhAh4ABAQBAgICPQIEAgUCBgIHAggCCQIdAgsCHgINAggCCAIIAggCCAIIAggCCAIIAggCCAIIAggCCAIIAggCCAIjAgMCUAIeAAQEAQICAlUCBAIFAgYCBwIIAgkCHQILAh4CDQIIAggCCAIIAggCCAIIAggCCAIIAggCCAIIAggCCAIIAggCIwIDAmwCHgAEBAECAgJRAgQCBQIGAgcCCAIJAiECCwIeAg0CCAIIAggCCAIIAggCCAIIAggCCAIIAggCCAIIAggCCAIIAiMCAwIiAh4ABAQBAgICUgIEAgUCBgIHAggCCQIdAgsCHgINAggCCAIIAggCCAIIAggCCAIIAggCCAIIAggCCAIIAggCCAIjAgMChQIeAAQEAQICAjsCBAIFAgYCBwIIAgkCKQILAh4CDQIIAggCCAIIAggCCAIIAggCCAIIAggCCAIIAggCCAIIAggCIwIDAoICHgAEBAECAgI0AgQCBQIGAgcCCAIJAikCCwIeAg0CCAIIAggCCAIIAggCCAIIAggCCAIIAggCCAIIAggCCAIIAiMCAwJMAh4ABAQBAgICVQIEAgUCBgIHAggCCQIpAgsCHgINAggCCAIIAggCCAIIAggCCAIIAggCCAIIAggCCAIIAggCCAIjAgMCVgIeAAQEAQICAmACBAIFAgYCBwIIAgkCHQILAh4CDQIIAggCCAIIAggCCAIIAggCCAIIAggCCAIIAggCCAIIAggCIwIDAowCHgAEBAECAgJaAgQCBQIGAgcCCAIJAiECCwIeAg0CCAIIAggCCAIIAggCCAIIAggCCAIIAggCCAIIAggCCAIIAiMCAwJbAh4ABAQBAgICXgIEAgUCBgIHAggCCQIhAgsCHgINAggCCAIIAggCCAIIAggCCAIIAggCCAIIAggCCAIIAggCCAIjAgMCjQIeAAQEAQICAloCBAIFAgYCBwIIAgkCHQILAh4CDQIIAggCCAIIAggCCAIIAggCCAIIegAABAACCAIIAggCCAIIAggCCAIjAgMCiQIeAAQEAQICAk0CBAIFAgYCBwIIAgkCIQILAh4CDQIIAggCCAIIAggCCAIIAggCCAIIAggCCAIIAggCCAIIAggCIwIDAooCHgAEBAECAgJeAgQCBQIGAgcCCAIJAh0CCwIeAg0CCAIIAggCCAIIAggCCAIIAggCCAIIAggCCAIIAggCCAIIAiMCAwJfAh4ABAQBAgICQgIEAgUCBgIHAggCCQIpAgsCHgINAggCCAIIAggCCAIIAggCCAIIAggCCAIIAggCCAIIAggCCAIjAgMCWQIeAAQEAQICAm0CBAIFAgYCBwIIAgkCKQILAh4CDQIIAggCCAIIAggCCAIIAggCCAIIAggCCAIIAggCCAIIAggCIwIDAogCHgAEBAECAgJJAgQCBQIGAgcCCAIJAikCCwIeAg0CCAIIAggCCAIIAggCCAIIAggCCAIIAggCCAIIAggCCAIIAiMCAwKLAh4ABAQBAgICPQIEAgUCBgIHAggCCQIpAgsCHgINAggCCAIIAggCCAIIAggCCAIIAggCCAIIAggCCAIIAggCCAIjAgMCPgIeAAQEAQICAlICBAIFAgYCBwIIAgkCKQILAh4CDQIIAggCCAIIAggCCAIIAggCCAIIAggCCAIIAggCCAIIAggCIwIDAngCHgAEBAECAgI0AgQCBQIGAgcCCAIJAiECCwIeAg0CCAIIAggCCAIIAggCCAIIAggCCAIIAggCCAIIAggCCAIIAiMCAwI1Ah4ABAQBAgICOwIEAgUCBgIHAggCCQIhAgsCHgINAggCCAIIAggCCAIIAggCCAIIAggCCAIIAggCCAIIAggCCAIjAgMCewIeAAQEAQICAkICBAIFAgYCBwIIAgkCIQILAh4CDQIIAggCCAIIAggCCAIIAggCCAIIAggCCAIIAggCCAIIAggCIwIDAkMCHgAEBAECAgI7AgQCBQIGAgcCCAIJAh0CCwIeAg0CCAIIAggCCAIIAggCCAIIAggCCAIIAggCCAIIAggCCAIIAiMCAwI8Ah4ABAQBAgICSQIEAgUCBgIHAggCCQIdAgsCHgINAggCCAIIAggCCAIIAggCCAIIAggCCAIIAggCCAIIAggCCAIjAgMCSgIeAAQEAQICAi4CBAIFAgYCBwIIAgkCHQILAh4CDQIIAggCCAIIAggCCAIIAggCCAIIAggCCAIIAggCCAIIAggCIwIDAkgCHgAEBAECAgJCAgQCBQIGAgcCCAIJAh0CCwIeAg0CCAIIAggCCAIIAggCCAIIAggCCAIIAggCCAIIAggCCAIIAiMCAwJ8Ah4ABAQBAgICNAIEAgUCBgIHAggCCQIdegAABAACCwIeAg0CCAIIAggCCAIIAggCCAIIAggCCAIIAggCCAIIAggCCAIIAiMCAwJ5Ah4ABAQBAgICLgIEAgUCBgIHAggCCQIhAgsCHgINAggCCAIIAggCCAIIAggCCAIIAggCCAIIAggCCAIIAggCCAIjAgMCgQIeAAQEAQICAkYCBAIFAgYCBwIIAgkCIQILAh4CDQIIAggCCAIIAggCCAIIAggCCAIIAggCCAIIAggCCAIIAggCIwIDAkcCHgAEBAECAgJJAgQCBQIGAgcCCAIJAiECCwIeAg0CCAIIAggCCAIIAggCCAIIAggCCAIIAggCCAIIAggCCAIIAiMCAwIiAh4ABAQBAgICMAIEAgUCBgIHAggCCQIpAgsCHgINAggCCAIIAggCCAIIAggCCAIIAggCCAIIAggCCAIIAggCCAIjAgMCRQIeAAQEAQICAjICBAIFAgYCBwIIAgkCKQILAh4CDQIIAggCCAIIAggCCAIIAggCCAIIAggCCAIIAggCCAIIAggCIwIDAn0CHgAEBAECAgJgAgQCBQIGAgcCCAIJAikCCwIeAg0CCAIIAggCCAIIAggCCAIIAggCCAIIAggCCAIIAggCCAIIAiMCAwJ3Ah4ABAQBAgICRgIEAgUCBgIHAggCCQIdAgsCHgINAggCCAIIAggCCAIIAggCCAIIAggCCAIIAggCCAIIAggCCAIjAgMCgAIeAAQEAQICAhwCBAIFAgYCBwIIAgkCHQILAh4CDQIIAggCCAIIAggCCAIIAggCCAIIAggCCAIIAggCCAIIAggCIwIDAh8CHgAEBAECAgInAgQCBQIGAgcCCAIJAiECCwIeAg0CCAIIAggCCAIIAggCCAIIAggCCAIIAggCCAIIAggCCAIIAiMCAwJzAh4ABAQBAgICHAIEAgUCBgIHAggCCQIhAgsCHgINAggCCAIIAggCCAIIAggCCAIIAggCCAIIAggCCAIIAggCCAIjAgMCfwIeAAQEAQICAmICBAIFAgYCBwIIAgkCKQILAh4CDQIIAggCCAIIAggCCAIIAggCCAIIAggCCAIIAggCCAIIAggCIwIDAnACHgAEBAECAgIlAgQCBQIGAgcCCAIJAiECCwIeAg0CCAIIAggCCAIIAggCCAIIAggCCAIIAggCCAIIAggCCAIIAiMCAwIiAh4ABAQBAgICJQIEAgUCBgIHAggCCQIdAgsCHgINAggCCAIIAggCCAIIAggCCAIIAggCCAIIAggCCAIIAggCCAIjAgMCJgIeAAQEAQICAicCBAIFAgYCBwIIAgkCHQILAh4CDQIIAggCCAIIAggCCAIIAggCCAIIAggCCAIIAggCCAIIAggCIwIDegAABAACKAIeAAQEAQICAmgCBAIFAgYCBwIIAgkCKQILAh4CDQIIAggCCAIIAggCCAIIAggCCAIIAggCCAIIAggCCAIIAggCIwIDAnECHgAEBAECAgIwAgQCBQIGAgcCCAIJAiECCwIeAg0CCAIIAggCCAIIAggCCAIIAggCCAIIAggCCAIIAggCCAIIAiMCAwJ0Ah4ABAQBAgICMgIEAgUCBgIHAggCCQIhAgsCHgINAggCCAIIAggCCAIIAggCCAIIAggCCAIIAggCCAIIAggCCAIjAgMCMwIeAAQEAQICAiMCBAIFAgYCBwIIAgkCHQILAh4CDQIIAggCCAIIAggCCAIIAggCCAIIAggCCAIIAggCCAIIAggCIwIDAnICHgAEBAECAgIjAgQCBQIGAgcCCAIJAiECCwIeAg0CCAIIAggCCAIIAggCCAIIAggCCAIIAggCCAIIAggCCAIIAiMCAwIkAh4ABAQBAgICHAIEAgUCBgIHAggCCQIpAgsCHgINAggCCAIIAggCCAIIAggCCAIIAggCCAIIAggCCAIIAggCCAIjAgMCLQIeAAQEAQICAkYCBAIFAgYCBwIIAgkCKQILAh4CDQIIAggCCAIIAggCCAIIAggCCAIIAggCCAIIAggCCAIIAggCIwIDAnUCHgAEBAECAgIuAgQCBQIGAgcCCAIJAikCCwIeAg0CCAIIAggCCAIIAggCCAIIAggCCAIIAggCCAIIAggCCAIIAiMCAwIvAh4ABAQBAgICMgIEAgUCBgIHAggCCQIdAgsCHgINAggCCAIIAggCCAIIAggCCAIIAggCCAIIAggCCAIIAggCCAIjAgMCdgIeAAQEAQICAmICBAIFAgYCBwIIAgkCHQILAh4CDQIIAggCCAIIAggCCAIIAggCCAIIAggCCAIIAggCCAIIAggCIwIDAmMCHgAEBAECAgJlAgQCBQIGAgcCCAIJAiECCwIeAg0CCAIIAggCCAIIAggCCAIIAggCCAIIAggCCAIIAggCCAIIAiMCAwJmAh4ABAQBAgICZQIEAgUCBgIHAggCCQIdAgsCHgINAggCCAIIAggCCAIIAggCCAIIAggCCAIIAggCCAIIAggCCAIjAgMCjwIeAAQEAQICAmICBAIFAgYCBwIIAgkCIQILAh4CDQIIAggCCAIIAggCCAIIAggCCAIIAggCCAIIAggCCAIIAggCIwIDApQCHgAEBAECAgIwAgQCBQIGAgcCCAIJAh0CCwIeAg0CCAIIAggCCAIIAggCCAIIAggCCAIIAggCCAIIAggCCAIIAiMCAwIxAh4ABAQBAgICIwIEAgUCBgIHAggCCQIpAgsCHgINAggCCAIIAggCCAIIegAABAACCAIIAggCCAIIAggCCAIIAggCCAIIAiMCAwKTAh4ABAQBAgICJwIEAgUCBgIHAggCCQIpAgsCHgINAggCCAIIAggCCAIIAggCCAIIAggCCAIIAggCCAIIAggCCAIjAgMCZAIeAAQEAQICAiUCBAIFAgYCBwIIAgkCKQILAh4CDQIIAggCCAIIAggCCAIIAggCCAIIAggCCAIIAggCCAIIAggCIwIDAioCHgAEBAECAgJNAgQCBQIGAgcCCAIJAikCCwIeAg0CCAIIAggCCAIIAggCCAIIAggCCAIIAggCCAIIAggCCAIIAiMCAwJnAh4ABAQBAgICUQIEAgUCBgIHAggCCQIpAgsCHgINAggCCAIIAggCCAIIAggCCAIIAggCCAIIAggCCAIIAggCCAIjAgMCkgIeAAQEAQICAm0CBAIFAgYCBwIIAgkCIQILAh4CDQIIAggCCAIIAggCCAIIAggCCAIIAggCCAIIAggCCAIIAggCIwIDAm4CHgAEBAECAgJVAgQCBQIGAgcCCAIJAiECCwIeAg0CCAIIAggCCAIIAggCCAIIAggCCAIIAggCCAIIAggCCAIIAiMCAwKVAh4ABAQBAgICWgIEAgUCBgIHAggCCQIpAgsCHgINAggCCAIIAggCCAIIAggCCAIIAggCCAIIAggCCAIIAggCCAIjAgMCmAIeAAQEAQICAmgCBAIFAgYCBwIIAgkCIQILAh4CDQIIAggCCAIIAggCCAIIAggCCAIIAggCCAIIAggCCAIIAggCIwIDApECHgAEBAECAgJoAgQCBQIGAgcCCAIJAh0CCwIeAg0CCAIIAggCCAIIAggCCAIIAggCCAIIAggCCAIIAggCCAIIAiMCAwJpAh4ABAQBAgICbQIEAgUCBgIHAggCCQIdAgsCHgINAggCCAIIAggCCAIIAggCCAIIAggCCAIIAggCCAIIAggCCAIjAgMCmQIeAAQEAQICAl4CBAIFAgYCBwIIAgkCKQILAh4CDQIIAggCCAIIAggCCAIIAggCCAIIAggCCAIIAggCCAIIAggCIwIDAmoCHgAEBQEACTU4OTIwNzkxMgICAmACBAIFAgYCBwIIAgkCHQILAh4CDQIIAggCCAIIAggCCAIIAggCCAIIAggCCAIIAggCCAIIAggCGwIDAowCHgAEBQECAgJdAgQCBQIGAgcCCAIJAiECCwIeAg0CCAIIAggCCAIIAggCCAIIAggCCAIIAggCCAIIAggCCAIIAhsCAwIiAh4ABAUBAgICWgIEAgUCBgIHAggCCQIhAgsCHgINAggCCAIIAggCCAIIAggCCAIIAggCCAIIAggCCAIIAggCCAIbAgMCWwIeAAQFegAABAABAgICbQIEAgUCBgIHAggCCQIpAgsCHgINAggCCAIIAggCCAIIAggCCAIIAggCCAIIAggCCAIIAggCCAIbAgMCiAIeAAQFAQICAkkCBAIFAgYCBwIIAgkCKQILAh4CDQIIAggCCAIIAggCCAIIAggCCAIIAggCCAIIAggCCAIIAggCGwIDAosCHgAEBQECAgJeAgQCBQIGAgcCCAIJAh0CCwIeAg0CCAIIAggCCAIIAggCCAIIAggCCAIIAggCCAIIAggCCAIIAhsCAwJfAh4ABAUBAgICXQIEAgUCBgIHAggCCQIdAgsCHgINAggCCAIIAggCCAIIAggCCAIIAggCCAIIAggCCAIIAggCCAIbAgMChwIeAAQFAQICAloCBAIFAgYCBwIIAgkCHQILAh4CDQIIAggCCAIIAggCCAIIAggCCAIIAggCCAIIAggCCAIIAggCGwIDAokCHgAEBQECAgJVAgQCBQIGAgcCCAIJAikCCwIeAg0CCAIIAggCCAIIAggCCAIIAggCCAIIAggCCAIIAggCCAIIAhsCAwJWAh4ABAUBAgICQgIEAgUCBgIHAggCCQIpAgsCHgINAggCCAIIAggCCAIIAggCCAIIAggCCAIIAggCCAIIAggCCAIbAgMCWQIeAAQFAQICAmACBAIFAgYCBwIIAgkCIQILAh4CDQIIAggCCAIIAggCCAIIAggCCAIIAggCCAIIAggCCAIIAggCGwIDAmECHgAEBQECAgJeAgQCBQIGAgcCCAIJAiECCwIeAg0CCAIIAggCCAIIAggCCAIIAggCCAIIAggCCAIIAggCCAIIAhsCAwKNAh4ABAUBAgICPQIEAgUCBgIHAggCCQIpAgsCHgINAggCCAIIAggCCAIIAggCCAIIAggCCAIIAggCCAIIAggCCAIbAgMCPgIeAAQFAQICAjcCBAIFAgYCBwIIAgkCKQILAh4CDQIIAggCCAIIAggCCAIIAggCCAIIAggCCAIIAggCCAIIAggCGwIDAjgCHgAEBQECAgJAAgQCBQIGAgcCCAIJAiECCwIeAg0CCAIIAggCCAIIAggCCAIIAggCCAIIAggCCAIIAggCCAIIAhsCAwIiAh4ABAUBAgICQAIEAgUCBgIHAggCCQIdAgsCHgINAggCCAIIAggCCAIIAggCCAIIAggCCAIIAggCCAIIAggCCAIbAgMCjgIeAAQFAQICAlECBAIFAgYCBwIIAgkCKQILAh4CDQIIAggCCAIIAggCCAIIAggCCAIIAggCCAIIAggCCAIIAggCGwIDApICHgAEBQECAgJSAgQCBQIGAgcCCAIJAikCCwIeAg0CCAIIAggCCAIIAggCCAIIAggCegAABAAIAggCCAIIAggCCAIIAggCGwIDAngCHgAEBQECAgJNAgQCBQIGAgcCCAIJAikCCwIeAg0CCAIIAggCCAIIAggCCAIIAggCCAIIAggCCAIIAggCCAIIAhsCAwJnAh4ABAUBAgICYgIEAgUCBgIHAggCCQIdAgsCHgINAggCCAIIAggCCAIIAggCCAIIAggCCAIIAggCCAIIAggCCAIbAgMCYwIeAAQFAQICAmICBAIFAgYCBwIIAgkCIQILAh4CDQIIAggCCAIIAggCCAIIAggCCAIIAggCCAIIAggCCAIIAggCGwIDApQCHgAEBQECAgJCAgQCBQIGAgcCCAIJAiECCwIeAg0CCAIIAggCCAIIAggCCAIIAggCCAIIAggCCAIIAggCCAIIAhsCAwJDAh4ABAUBAgICRAIEAgUCBgIHAggCCQIdAgsCHgINAggCCAIIAggCCAIIAggCCAIIAggCCAIIAggCCAIIAggCCAIbAgMCfgIeAAQFAQICAicCBAIFAgYCBwIIAgkCKQILAh4CDQIIAggCCAIIAggCCAIIAggCCAIIAggCCAIIAggCCAIIAggCGwIDAmQCHgAEBQECAgIyAgQCBQIGAgcCCAIJAikCCwIeAg0CCAIIAggCCAIIAggCCAIIAggCCAIIAggCCAIIAggCCAIIAhsCAwJ9Ah4ABAUBAgICYAIEAgUCBgIHAggCCQIpAgsCHgINAggCCAIIAggCCAIIAggCCAIIAggCCAIIAggCCAIIAggCCAIbAgMCdwIeAAQFAQICAjACBAIFAgYCBwIIAgkCKQILAh4CDQIIAggCCAIIAggCCAIIAggCCAIIAggCCAIIAggCCAIIAggCGwIDAkUCHgAEBQECAgJEAgQCBQIGAgcCCAIJAiECCwIeAg0CCAIIAggCCAIIAggCCAIIAggCCAIIAggCCAIIAggCCAIIAhsCAwIiAh4ABAUBAgICHAIEAgUCBgIHAggCCQIhAgsCHgINAggCCAIIAggCCAIIAggCCAIIAggCCAIIAggCCAIIAggCCAIbAgMCfwIeAAQFAQICAkkCBAIFAgYCBwIIAgkCIQILAh4CDQIIAggCCAIIAggCCAIIAggCCAIIAggCCAIIAggCCAIIAggCGwIDAiICHgAEBQECAgJJAgQCBQIGAgcCCAIJAh0CCwIeAg0CCAIIAggCCAIIAggCCAIIAggCCAIIAggCCAIIAggCCAIIAhsCAwJKAh4ABAUBAgICQgIEAgUCBgIHAggCCQIdAgsCHgINAggCCAIIAggCCAIIAggCCAIIAggCCAIIAggCCAIIAggCCAIbAgMCfAIeAAQFAQICAi4CBAIFAgYCBwIIAgkCegAABAAdAgsCHgINAggCCAIIAggCCAIIAggCCAIIAggCCAIIAggCCAIIAggCCAIbAgMCSAIeAAQFAQICAkYCBAIFAgYCBwIIAgkCIQILAh4CDQIIAggCCAIIAggCCAIIAggCCAIIAggCCAIIAggCCAIIAggCGwIDAkcCHgAEBQECAgIuAgQCBQIGAgcCCAIJAiECCwIeAg0CCAIIAggCCAIIAggCCAIIAggCCAIIAggCCAIIAggCCAIIAhsCAwKBAh4ABAUBAgICNwIEAgUCBgIHAggCCQIhAgsCHgINAggCCAIIAggCCAIIAggCCAIIAggCCAIIAggCCAIIAggCCAIbAgMCIgIeAAQFAQICAjICBAIFAgYCBwIIAgkCHQILAh4CDQIIAggCCAIIAggCCAIIAggCCAIIAggCCAIIAggCCAIIAggCGwIDAnYCHgAEBQECAgJlAgQCBQIGAgcCCAIJAikCCwIeAg0CCAIIAggCCAIIAggCCAIIAggCCAIIAggCCAIIAggCCAIIAhsCAwKGAh4ABAUBAgICQAIEAgUCBgIHAggCCQIpAgsCHgINAggCCAIIAggCCAIIAggCCAIIAggCCAIIAggCCAIIAggCCAIbAgMCQQIeAAQFAQICAj0CBAIFAgYCBwIIAgkCIQILAh4CDQIIAggCCAIIAggCCAIIAggCCAIIAggCCAIIAggCCAIIAggCGwIDAoMCHgAEBQECAgJiAgQCBQIGAgcCCAIJAikCCwIeAg0CCAIIAggCCAIIAggCCAIIAggCCAIIAggCCAIIAggCCAIIAhsCAwJwAh4ABAUBAgICNwIEAgUCBgIHAggCCQIdAgsCHgINAggCCAIIAggCCAIIAggCCAIIAggCCAIIAggCCAIIAggCCAIbAgMCTwIeAAQFAQICAj0CBAIFAgYCBwIIAgkCHQILAh4CDQIIAggCCAIIAggCCAIIAggCCAIIAggCCAIIAggCCAIIAggCGwIDAlACHgAEBQECAgJSAgQCBQIGAgcCCAIJAh0CCwIeAg0CCAIIAggCCAIIAggCCAIIAggCCAIIAggCCAIIAggCCAIIAhsCAwKFAh4ABAUBAgICUgIEAgUCBgIHAggCCQIhAgsCHgINAggCCAIIAggCCAIIAggCCAIIAggCCAIIAggCCAIIAggCCAIbAgMCUwIeAAQFAQICAiMCBAIFAgYCBwIIAgkCHQILAh4CDQIIAggCCAIIAggCCAIIAggCCAIIAggCCAIIAggCCAIIAggCGwIDAnICHgAEBQECAgInAgQCBQIGAgcCCAIJAh0CCwIeAg0CCAIIAggCCAIIAggCCAIIAggCCAIIAggCCAIIAggCCAIIAhsCegAABAADAigCHgAEBQECAgJoAgQCBQIGAgcCCAIJAikCCwIeAg0CCAIIAggCCAIIAggCCAIIAggCCAIIAggCCAIIAggCCAIIAhsCAwJxAh4ABAUBAgICRAIEAgUCBgIHAggCCQIpAgsCHgINAggCCAIIAggCCAIIAggCCAIIAggCCAIIAggCCAIIAggCCAIbAgMCbwIeAAQFAQICAi4CBAIFAgYCBwIIAgkCKQILAh4CDQIIAggCCAIIAggCCAIIAggCCAIIAggCCAIIAggCCAIIAggCGwIDAi8CHgAEBQECAgIlAgQCBQIGAgcCCAIJAikCCwIeAg0CCAIIAggCCAIIAggCCAIIAggCCAIIAggCCAIIAggCCAIIAhsCAwIqAh4ABAUBAgICMAIEAgUCBgIHAggCCQIhAgsCHgINAggCCAIIAggCCAIIAggCCAIIAggCCAIIAggCCAIIAggCCAIbAgMCdAIeAAQFAQICAkYCBAIFAgYCBwIIAgkCHQILAh4CDQIIAggCCAIIAggCCAIIAggCCAIIAggCCAIIAggCCAIIAggCGwIDAoACHgAEBQECAgIcAgQCBQIGAgcCCAIJAikCCwIeAg0CCAIIAggCCAIIAggCCAIIAggCCAIIAggCCAIIAggCCAIIAhsCAwItAh4ABAUBAgICHAIEAgUCBgIHAggCCQIdAgsCHgINAggCCAIIAggCCAIIAggCCAIIAggCCAIIAggCCAIIAggCCAIbAgMCHwIeAAQFAQICAjICBAIFAgYCBwIIAgkCIQILAh4CDQIIAggCCAIIAggCCAIIAggCCAIIAggCCAIIAggCCAIIAggCGwIDAjMCHgAEBQECAgIwAgQCBQIGAgcCCAIJAh0CCwIeAg0CCAIIAggCCAIIAggCCAIIAggCCAIIAggCCAIIAggCCAIIAhsCAwIxAh4ABAUBAgICZQIEAgUCBgIHAggCCQIhAgsCHgINAggCCAIIAggCCAIIAggCCAIIAggCCAIIAggCCAIIAggCCAIbAgMCZgIeAAQFAQICAmUCBAIFAgYCBwIIAgkCHQILAh4CDQIIAggCCAIIAggCCAIIAggCCAIIAggCCAIIAggCCAIIAggCGwIDAo8CHgAEBQECAgI0AgQCBQIGAgcCCAIJAiECCwIeAg0CCAIIAggCCAIIAggCCAIIAggCCAIIAggCCAIIAggCCAIIAhsCAwI1Ah4ABAUBAgICaAIEAgUCBgIHAggCCQIdAgsCHgINAggCCAIIAggCCAIIAggCCAIIAggCCAIIAggCCAIIAggCCAIbAgMCaQIeAAQFAQICAjQCBAIFAgYCBwIIAgkCHQILAh4CDQIIAggCCAIIAggCegAABAAIAggCCAIIAggCCAIIAggCCAIIAggCCAIbAgMCeQIeAAQFAQICAiMCBAIFAgYCBwIIAgkCKQILAh4CDQIIAggCCAIIAggCCAIIAggCCAIIAggCCAIIAggCCAIIAggCGwIDApMCHgAEBQECAgI7AgQCBQIGAgcCCAIJAh0CCwIeAg0CCAIIAggCCAIIAggCCAIIAggCCAIIAggCCAIIAggCCAIIAhsCAwI8Ah4ABAUBAgICOwIEAgUCBgIHAggCCQIhAgsCHgINAggCCAIIAggCCAIIAggCCAIIAggCCAIIAggCCAIIAggCCAIbAgMCewIeAAQFAQICAl4CBAIFAgYCBwIIAgkCKQILAh4CDQIIAggCCAIIAggCCAIIAggCCAIIAggCCAIIAggCCAIIAggCGwIDAmoCHgAEBQECAgJdAgQCBQIGAgcCCAIJAikCCwIeAg0CCAIIAggCCAIIAggCCAIIAggCCAIIAggCCAIIAggCCAIIAhsCAwKXAh4ABAUBAgICWgIEAgUCBgIHAggCCQIpAgsCHgINAggCCAIIAggCCAIIAggCCAIIAggCCAIIAggCCAIIAggCCAIbAgMCmAIeAAQFAQICAmgCBAIFAgYCBwIIAgkCIQILAh4CDQIIAggCCAIIAggCCAIIAggCCAIIAggCCAIIAggCCAIIAggCGwIDApECHgAEBQECAgJVAgQCBQIGAgcCCAIJAiECCwIeAg0CCAIIAggCCAIIAggCCAIIAggCCAIIAggCCAIIAggCCAIIAhsCAwKVAh4ABAUBAgICbQIEAgUCBgIHAggCCQIdAgsCHgINAggCCAIIAggCCAIIAggCCAIIAggCCAIIAggCCAIIAggCCAIbAgMCmQIeAAQFAQICAlUCBAIFAgYCBwIIAgkCHQILAh4CDQIIAggCCAIIAggCCAIIAggCCAIIAggCCAIIAggCCAIIAggCGwIDAmwCHgAEBQECAgJtAgQCBQIGAgcCCAIJAiECCwIeAg0CCAIIAggCCAIIAggCCAIIAggCCAIIAggCCAIIAggCCAIIAhsCAwJuAh4ABAUBAgICJQIEAgUCBgIHAggCCQIdAgsCHgINAggCCAIIAggCCAIIAggCCAIIAggCCAIIAggCCAIIAggCCAIbAgMCJgIeAAQFAQICAk0CBAIFAgYCBwIIAgkCHQILAh4CDQIIAggCCAIIAggCCAIIAggCCAIIAggCCAIIAggCCAIIAggCGwIDAk4CHgAEBQECAgJGAgQCBQIGAgcCCAIJAikCCwIeAg0CCAIIAggCCAIIAggCCAIIAggCCAIIAggCCAIIAggCCAIIAhsCAwJ1Ah4ABAUBAgICOwIEAgUCegAABAAGAgcCCAIJAikCCwIeAg0CCAIIAggCCAIIAggCCAIIAggCCAIIAggCCAIIAggCCAIIAhsCAwKCAh4ABAUBAgICJQIEAgUCBgIHAggCCQIhAgsCHgINAggCCAIIAggCCAIIAggCCAIIAggCCAIIAggCCAIIAggCCAIbAgMCIgIeAAQFAQICAjQCBAIFAgYCBwIIAgkCKQILAh4CDQIIAggCCAIIAggCCAIIAggCCAIIAggCCAIIAggCCAIIAggCGwIDAkwCHgAEBQECAgJNAgQCBQIGAgcCCAIJAiECCwIeAg0CCAIIAggCCAIIAggCCAIIAggCCAIIAggCCAIIAggCCAIIAhsCAwKKAh4ABAUBAgICIwIEAgUCBgIHAggCCQIhAgsCHgINAggCCAIIAggCCAIIAggCCAIIAggCCAIIAggCCAIIAggCCAIbAgMCJAIeAAQFAQICAlECBAIFAgYCBwIIAgkCHQILAh4CDQIIAggCCAIIAggCCAIIAggCCAIIAggCCAIIAggCCAIIAggCGwIDAoQCHgAEBQECAgInAgQCBQIGAgcCCAIJAiECCwIeAg0CCAIIAggCCAIIAggCCAIIAggCCAIIAggCCAIIAggCCAIIAhsCAwJzAh4ABAUBAgICUQIEAgUCBgIHAggCCQIhAgsCHgINAggCCAIIAggCCAIIAggCCAIIAggCCAIIAggCCAIIAggCCAIbAgMCIgIeAAQGAQAJNTg5MTk1MDgwAgICRgIEAgUCBgIHAggCCQIdAgsCDAINAggCCAIIAggCCAIIAggCCAIIAggCCAIIAggCCAIIAggCCAISAgMC0wIeAAQGAQICAisCBAIFAgYCBwIIAgkCCgILAgwCDQIIAggCCAIIAggCCAIIAggCCAIIAggCCAIIAggCCAIIAggCEgIDAiICHgAEBgECAgJUAgQCBQIGAgcCCAIJAikCCwIMAg0CCAIIAggCCAIIAggCCAIIAggCCAIIAggCCAIIAggCCAIIAhICAwLnAh4ABAYBAgICIAIEAgUCBgIHAggCCQIdAgsCDAINAggCCAIIAggCCAIIAggCCAIIAggCCAIIAggCCAIIAggCCAISAgMC5gIeAAQGAQICAmICBAIFAgYCBwIIAgkCKQILAgwCDQIIAggCCAIIAggCCAIIAggCCAIIAggCCAIIAggCCAIIAggCEgIDAtUCHgAEBgECAgIwAgQCBQIGAgcCCAIJAgoCCwIMAg0CCAIIAggCCAIIAggCCAIIAggCCAIIAggCCAIIAggCCAIIAhICAwKwAh4ABAYBAgICRAIEAgUCBgIHAggCCQIdAgsCDAINAggCCAIIAggCCAIIAggCCAIIegAABAACCAIIAggCCAIIAggCCAIIAhICAwLaAh4ABAYBAgICWgIEAgUCBgIHAggCCQIpAgsCDAINAggCCAIIAggCCAIIAggCCAIIAggCCAIIAggCCAIIAggCCAISAgMCuQIeAAQGAQICAicCBAIFAgYCBwIIAgkCCgILAgwCDQIIAggCCAIIAggCCAIIAggCCAIIAggCCAIIAggCCAIIAggCEgIDAuICHgAEBgECAgJdAgQCBQIGAgcCCAIJAikCCwIMAg0CCAIIAggCCAIIAggCCAIIAggCCAIIAggCCAIIAggCCAIIAhICAwLoAh4ABAYBAgICaAIEAgUCBgIHAggCCQIdAgsCDAINAggCCAIIAggCCAIIAggCCAIIAggCCAIIAggCCAIIAggCCAISAgMCvQIeAAQGAQICAk0CBAIFAgYCBwIIAgkCCgILAgwCDQIIAggCCAIIAggCCAIIAggCCAIIAggCCAIIAggCCAIIAggCEgIDApwCHgAEBgECAgJgAgQCBQIGAgcCCAIJAikCCwIMAg0CCAIIAggCCAIIAggCCAIIAggCCAIIAggCCAIIAggCCAIIAhICAwLfAh4ABAYBAgICJQIEAgUCBgIHAggCCQIKAgsCDAINAggCCAIIAggCCAIIAggCCAIIAggCCAIIAggCCAIIAggCCAISAgMCIgIeAAQGAQICAmACBAIFAgYCBwIIAgkCCgILAgwCDQIIAggCCAIIAggCCAIIAggCCAIIAggCCAIIAggCCAIIAggCEgIDAqQCHgAEBgECAgI2AgQCBQIGAgcCCAIJAh0CCwIMAg0CCAIIAggCCAIIAggCCAIIAggCCAIIAggCCAIIAggCCAIIAhICAwL1Ah4ABAYBAgICVAIEAgUCBgIHAggCCQIdAgsCDAINAggCCAIIAggCCAIIAggCCAIIAggCCAIIAggCCAIIAggCCAISAgMC6wIeAAQGAQICAlUCBAIFAgYCBwIIAgkCCgILAgwCDQIIAggCCAIIAggCCAIIAggCCAIIAggCCAIIAggCCAIIAggCEgIDAqICHgAEBgECAgJSAgQCBQIGAgcCCAIJAikCCwIMAg0CCAIIAggCCAIIAggCCAIIAggCCAIIAggCCAIIAggCCAIIAhICAwLDAh4ABAYBAgICWgIEAgUCBgIHAggCCQIdAgsCDAINAggCCAIIAggCCAIIAggCCAIIAggCCAIIAggCCAIIAggCCAISAgMCxgIeAAQGAQICAiMCBAIFAgYCBwIIAgkCHQILAgwCDQIIAggCCAIIAggCCAIIAggCCAIIAggCCAIIAggCCAIIAggCEgIDAqYCHgAEBgECAgJXAgQCBQIGAgcCCAIJegAABAACCgILAgwCDQIIAggCCAIIAggCCAIIAggCCAIIAggCCAIIAggCCAIIAggCEgIDAiICHgAEBgECAgJEAgQCBQIGAgcCCAIJAikCCwIMAg0CCAIIAggCCAIIAggCCAIIAggCCAIIAggCCAIIAggCCAIIAhICAwKtAh4ABAYBAgICXQIEAgUCBgIHAggCCQIdAgsCDAINAggCCAIIAggCCAIIAggCCAIIAggCCAIIAggCCAIIAggCCAISAgMC6gIeAAQGAQICAkkCBAIFAgYCBwIIAgkCKQILAgwCDQIIAggCCAIIAggCCAIIAggCCAIIAggCCAIIAggCCAIIAggCEgIDAsoCHgAEBgECAgJlAgQCBQIGAgcCCAIJAgoCCwIMAg0CCAIIAggCCAIIAggCCAIIAggCCAIIAggCCAIIAggCCAIIAhICAwLUAh4ABAYBAgICRgIEAgUCBgIHAggCCQIpAgsCDAINAggCCAIIAggCCAIIAggCCAIIAggCCAIIAggCCAIIAggCCAISAgMCngIeAAQGAQICAkACBAIFAgYCBwIIAgkCCgILAgwCDQIIAggCCAIIAggCCAIIAggCCAIIAggCCAIIAggCCAIIAggCEgIDAiICHgAEBgECAgJNAgQCBQIGAgcCCAIJAh0CCwIMAg0CCAIIAggCCAIIAggCCAIIAggCCAIIAggCCAIIAggCCAIIAhICAwLRAh4ABAYBAgICNgIEAgUCBgIHAggCCQIpAgsCDAINAggCCAIIAggCCAIIAggCCAIIAggCCAIIAggCCAIIAggCCAISAgMC8wIeAAQGAQICAjQCBAIFAgYCBwIIAgkCKQILAgwCDQIIAggCCAIIAggCCAIIAggCCAIIAggCCAIIAggCCAIIAggCEgIDArECHgAEBgECAgI9AgQCBQIGAgcCCAIJAh0CCwIMAg0CCAIIAggCCAIIAggCCAIIAggCCAIIAggCCAIIAggCCAIIAhICAwLOAh4ABAYBAgICVQIEAgUCBgIHAggCCQIdAgsCDAINAggCCAIIAggCCAIIAggCCAIIAggCCAIIAggCCAIIAggCCAISAgMCtQIeAAQGAQICAjcCBAIFAgYCBwIIAgkCHQILAgwCDQIIAggCCAIIAggCCAIIAggCCAIIAggCCAIIAggCCAIIAggCEgIDAu0CHgAEBgECAgJJAgQCBQIGAgcCCAIJAh0CCwIMAg0CCAIIAggCCAIIAggCCAIIAggCCAIIAggCCAIIAggCCAIIAhICAwLdAh4ABAYBAgICXgIEAgUCBgIHAggCCQIKAgsCDAINAggCCAIIAggCCAIIAggCCAIIAggCCAIIAggCCAIIAggCCAISegAABAACAwLXAh4ABAYBAgICVwIEAgUCBgIHAggCCQIdAgsCDAINAggCCAIIAggCCAIIAggCCAIIAggCCAIIAggCCAIIAggCCAISAgMC8QIeAAQGAQICAlICBAIFAgYCBwIIAgkCCgILAgwCDQIIAggCCAIIAggCCAIIAggCCAIIAggCCAIIAggCCAIIAggCEgIDAr4CHgAEBgECAgIyAgQCBQIGAgcCCAIJAikCCwIMAg0CCAIIAggCCAIIAggCCAIIAggCCAIIAggCCAIIAggCCAIIAhICAwLgAh4ABAYBAgICYgIEAgUCBgIHAggCCQIdAgsCDAINAggCCAIIAggCCAIIAggCCAIIAggCCAIIAggCCAIIAggCCAISAgMCxAIeAAQGAQICAkYCBAIFAgYCBwIIAgkCCgILAgwCDQIIAggCCAIIAggCCAIIAggCCAIIAggCCAIIAggCCAIIAggCEgIDAsACHgAEBgECAgIyAgQCBQIGAgcCCAIJAh0CCwIMAg0CCAIIAggCCAIIAggCCAIIAggCCAIIAggCCAIIAggCCAIIAhICAwKdAh4ABAYBAgICTQIEAgUCBgIHAggCCQIpAgsCDAINAggCCAIIAggCCAIIAggCCAIIAggCCAIIAggCCAIIAggCCAISAgMCvAIeAAQGAQICAiUCBAIFAgYCBwIIAgkCKQILAgwCDQIIAggCCAIIAggCCAIIAggCCAIIAggCCAIIAggCCAIIAggCEgIDAqECHgAEBgECAgInAgQCBQIGAgcCCAIJAikCCwIMAg0CCAIIAggCCAIIAggCCAIIAggCCAIIAggCCAIIAggCCAIIAhICAwKjAh4ABAYBAgICVQIEAgUCBgIHAggCCQIpAgsCDAINAggCCAIIAggCCAIIAggCCAIIAggCCAIIAggCCAIIAggCCAISAgMCzAIeAAQGAQICAlcCBAIFAgYCBwIIAgkCKQILAgwCDQIIAggCCAIIAggCCAIIAggCCAIIAggCCAIIAggCCAIIAggCEgIDAuwCHgAEBgECAgJoAgQCBQIGAgcCCAIJAikCCwIMAg0CCAIIAggCCAIIAggCCAIIAggCCAIIAggCCAIIAggCCAIIAhICAwKpAh4ABAYBAgICRAIEAgUCBgIHAggCCQIKAgsCDAINAggCCAIIAggCCAIIAggCCAIIAggCCAIIAggCCAIIAggCCAISAgMCIgIeAAQGAQICAjkCBAIFAgYCBwIIAgkCHQILAgwCDQIIAggCCAIIAggCCAIIAggCCAIIAggCCAIIAggCCAIIAggCEgIDAusCHgAEBgECAgI0AgQCBQIGAgcCCAIJAgoCCwIMAg0CCAIIAggCCAIIegAABAACCAIIAggCCAIIAggCCAIIAggCCAIIAggCEgIDAqsCHgAEBgECAgIcAgQCBQIGAgcCCAIJAh0CCwIMAg0CCAIIAggCCAIIAggCCAIIAggCCAIIAggCCAIIAggCCAIIAhICAwLYAh4ABAYBAgICNgIEAgUCBgIHAggCCQIKAgsCDAINAggCCAIIAggCCAIIAggCCAIIAggCCAIIAggCCAIIAggCCAISAgMCIgIeAAQGAQICAkACBAIFAgYCBwIIAgkCKQILAgwCDQIIAggCCAIIAggCCAIIAggCCAIIAggCCAIIAggCCAIIAggCEgIDAvACHgAEBgECAgIyAgQCBQIGAgcCCAIJAgoCCwIMAg0CCAIIAggCCAIIAggCCAIIAggCCAIIAggCCAIIAggCCAIIAhICAwK0Ah4ABAYBAgICJQIEAgUCBgIHAggCCQIdAgsCDAINAggCCAIIAggCCAIIAggCCAIIAggCCAIIAggCCAIIAggCCAISAgMCrwIeAAQGAQICAkICBAIFAgYCBwIIAgkCCgILAgwCDQIIAggCCAIIAggCCAIIAggCCAIIAggCCAIIAggCCAIIAggCEgIDArgCHgAEBgECAgIuAgQCBQIGAgcCCAIJAh0CCwIMAg0CCAIIAggCCAIIAggCCAIIAggCCAIIAggCCAIIAggCCAIIAhICAwLbAh4ABAYBAgICIAIEAgUCBgIHAggCCQIKAgsCDAINAggCCAIIAggCCAIIAggCCAIIAggCCAIIAggCCAIIAggCCAISAgMCIgIeAAQGAQICAjkCBAIFAgYCBwIIAgkCKQILAgwCDQIIAggCCAIIAggCCAIIAggCCAIIAggCCAIIAggCCAIIAggCEgIDAucCHgAEBgECAgJeAgQCBQIGAgcCCAIJAikCCwIMAg0CCAIIAggCCAIIAggCCAIIAggCCAIIAggCCAIIAggCCAIIAhICAwK3Ah4ABAYBAgICIwIEAgUCBgIHAggCCQIKAgsCDAINAggCCAIIAggCCAIIAggCCAIIAggCCAIIAggCCAIIAggCCAISAgMC3AIeAAQGAQICAj0CBAIFAgYCBwIIAgkCKQILAgwCDQIIAggCCAIIAggCCAIIAggCCAIIAggCCAIIAggCCAIIAggCEgIDAsICHgAEBgECAgJRAgQCBQIGAgcCCAIJAgoCCwIMAg0CCAIIAggCCAIIAggCCAIIAggCCAIIAggCCAIIAggCCAIIAhICAwIiAh4ABAYBAgICNwIEAgUCBgIHAggCCQIpAgsCDAINAggCCAIIAggCCAIIAggCCAIIAggCCAIIAggCCAIIAggCCAISAgMC7gIeAAQGAQICAjsCBAIFegAABAACBgIHAggCCQIdAgsCDAINAggCCAIIAggCCAIIAggCCAIIAggCCAIIAggCCAIIAggCCAISAgMC3gIeAAQGAQICAm0CBAIFAgYCBwIIAgkCCgILAgwCDQIIAggCCAIIAggCCAIIAggCCAIIAggCCAIIAggCCAIIAggCEgIDAqACHgAEBgECAgInAgQCBQIGAgcCCAIJAh0CCwIMAg0CCAIIAggCCAIIAggCCAIIAggCCAIIAggCCAIIAggCCAIIAhICAwKnAh4ABAYBAgICXgIEAgUCBgIHAggCCQIdAgsCDAINAggCCAIIAggCCAIIAggCCAIIAggCCAIIAggCCAIIAggCCAISAgMCzQIeAAQGAQICAkICBAIFAgYCBwIIAgkCKQILAgwCDQIIAggCCAIIAggCCAIIAggCCAIIAggCCAIIAggCCAIIAggCEgIDAskCHgAEBgECAgIcAgQCBQIGAgcCCAIJAikCCwIMAg0CCAIIAggCCAIIAggCCAIIAggCCAIIAggCCAIIAggCCAIIAhICAwKfAh4ABAYBAgICaAIEAgUCBgIHAggCCQIKAgsCDAINAggCCAIIAggCCAIIAggCCAIIAggCCAIIAggCCAIIAggCCAISAgMCxwIeAAQGAQICAi4CBAIFAgYCBwIIAgkCKQILAgwCDQIIAggCCAIIAggCCAIIAggCCAIIAggCCAIIAggCCAIIAggCEgIDAqoCHgAEBgECAgJRAgQCBQIGAgcCCAIJAh0CCwIMAg0CCAIIAggCCAIIAggCCAIIAggCCAIIAggCCAIIAggCCAIIAhICAwKuAh4ABAYBAgICYgIEAgUCBgIHAggCCQIKAgsCDAINAggCCAIIAggCCAIIAggCCAIIAggCCAIIAggCCAIIAggCCAISAgMC0AIeAAQGAQICAmUCBAIFAgYCBwIIAgkCKQILAgwCDQIIAggCCAIIAggCCAIIAggCCAIIAggCCAIIAggCCAIIAggCEgIDAtICHgAEBgECAgJUAgQCBQIGAgcCCAIJAgoCCwIMAg0CCAIIAggCCAIIAggCCAIIAggCCAIIAggCCAIIAggCCAIIAhICAwIiAh4ABAYBAgICUgIEAgUCBgIHAggCCQIdAgsCDAINAggCCAIIAggCCAIIAggCCAIIAggCCAIIAggCCAIIAggCCAISAgMCzwIeAAQGAQICAloCBAIFAgYCBwIIAgkCCgILAgwCDQIIAggCCAIIAggCCAIIAggCCAIIAggCCAIIAggCCAIIAggCEgIDAqgCHgAEBgECAgI7AgQCBQIGAgcCCAIJAikCCwIMAg0CCAIIAggCCAIIAggCCAIIAggCCAIIAggCCAIIegAABAACCAIIAggCEgIDArICHgAEBgECAgJCAgQCBQIGAgcCCAIJAh0CCwIMAg0CCAIIAggCCAIIAggCCAIIAggCCAIIAggCCAIIAggCCAIIAhICAwLZAh4ABAYBAgICNAIEAgUCBgIHAggCCQIdAgsCDAINAggCCAIIAggCCAIIAggCCAIIAggCCAIIAggCCAIIAggCCAISAgMC4QIeAAQGAQICAl0CBAIFAgYCBwIIAgkCCgILAgwCDQIIAggCCAIIAggCCAIIAggCCAIIAggCCAIIAggCCAIIAggCEgIDAiICHgAEBgECAgI5AgQCBQIGAgcCCAIJAgoCCwIMAg0CCAIIAggCCAIIAggCCAIIAggCCAIIAggCCAIIAggCCAIIAhICAwIiAh4ABAYBAgICbQIEAgUCBgIHAggCCQIdAgsCDAINAggCCAIIAggCCAIIAggCCAIIAggCCAIIAggCCAIIAggCCAISAgMCswIeAAQGAQICAjACBAIFAgYCBwIIAgkCKQILAgwCDQIIAggCCAIIAggCCAIIAggCCAIIAggCCAIIAggCCAIIAggCEgIDAtYCHgAEBgECAgIrAgQCBQIGAgcCCAIJAikCCwIMAg0CCAIIAggCCAIIAggCCAIIAggCCAIIAggCCAIIAggCCAIIAhICAwL0Ah4ABAYBAgICPQIEAgUCBgIHAggCCQIKAgsCDAINAggCCAIIAggCCAIIAggCCAIIAggCCAIIAggCCAIIAggCCAISAgMCuwIeAAQGAQICAjcCBAIFAgYCBwIIAgkCCgILAgwCDQIIAggCCAIIAggCCAIIAggCCAIIAggCCAIIAggCCAIIAggCEgIDAiICHgAEBgECAgIwAgQCBQIGAgcCCAIJAh0CCwIMAg0CCAIIAggCCAIIAggCCAIIAggCCAIIAggCCAIIAggCCAIIAhICAwKlAh4ABAYBAgICZQIEAgUCBgIHAggCCQIdAgsCDAINAggCCAIIAggCCAIIAggCCAIIAggCCAIIAggCCAIIAggCCAISAgMCvwIeAAQGAQICAlECBAIFAgYCBwIIAgkCKQILAgwCDQIIAggCCAIIAggCCAIIAggCCAIIAggCCAIIAggCCAIIAggCEgIDAsUCHgAEBgECAgIjAgQCBQIGAgcCCAIJAikCCwIMAg0CCAIIAggCCAIIAggCCAIIAggCCAIIAggCCAIIAggCCAIIAhICAwK6Ah4ABAYBAgICIAIEAgUCBgIHAggCCQIpAgsCDAINAggCCAIIAggCCAIIAggCCAIIAggCCAIIAggCCAIIAggCCAISAgMC6QIeAAQGAQICAkACBAIFAgYCBwIIAgkCHQILAgwCDQIIegAABAACCAIIAggCCAIIAggCCAIIAggCCAIIAggCCAIIAggCCAISAgMC8gIeAAQGAQICAhwCBAIFAgYCBwIIAgkCCgILAgwCDQIIAggCCAIIAggCCAIIAggCCAIIAggCCAIIAggCCAIIAggCEgIDAsECHgAEBgECAgIuAgQCBQIGAgcCCAIJAgoCCwIMAg0CCAIIAggCCAIIAggCCAIIAggCCAIIAggCCAIIAggCCAIIAhICAwK2Ah4ABAYBAgICSQIEAgUCBgIHAggCCQIKAgsCDAINAggCCAIIAggCCAIIAggCCAIIAggCCAIIAggCCAIIAggCCAISAgMCIgIeAAQGAQICAmACBAIFAgYCBwIIAgkCHQILAgwCDQIIAggCCAIIAggCCAIIAggCCAIIAggCCAIIAggCCAIIAggCEgIDAsgCHgAEBgECAgI7AgQCBQIGAgcCCAIJAgoCCwIMAg0CCAIIAggCCAIIAggCCAIIAggCCAIIAggCCAIIAggCCAIIAhICAwKsAh4ABAYBAgICKwIEAgUCBgIHAggCCQIdAgsCDAINAggCCAIIAggCCAIIAggCCAIIAggCCAIIAggCCAIIAggCCAISAgMC7wIeAAQGAQICAm0CBAIFAgYCBwIIAgkCKQILAgwCDQIIAggCCAIIAggCCAIIAggCCAIIAggCCAIIAggCCAIIAggCEgIDAssCHgAEBwEACTY3ODUzMDg2NAICAlUCBAIFAgYCBwIIAgkCHQILAgwCDQIIAggCCAIIAggCCAIIAggCCAIIAggCCAIIAggCCAIIAggCHgIDArUCHgAEBwECAgIwAgQCBQIGAgcCCAIJAikCCwIMAg0CCAIIAggCCAIIAggCCAIIAggCCAIIAggCCAIIAggCCAIIAh4CAwLWAh4ABAcBAgICbQIEAgUCBgIHAggCCQIdAgsCDAINAggCCAIIAggCCAIIAggCCAIIAggCCAIIAggCCAIIAggCCAIeAgMCswIeAAQHAQICAmUCBAIFAgYCBwIIAgkCKQILAgwCDQIIAggCCAIIAggCCAIIAggCCAIIAggCCAIIAggCCAIIAggCHgIDAtICHgAEBwECAgJRAgQCBQIGAgcCCAIJAh0CCwIMAg0CCAIIAggCCAIIAggCCAIIAggCCAIIAggCCAIIAggCCAIIAh4CAwKuAh4ABAcBAgICQAIEAgUCBgIHAggCCQIKAgsCDAINAggCCAIIAggCCAIIAggCCAIIAggCCAIIAggCCAIIAggCCAIeAgMCIgIeAAQHAQICAmICBAIFAgYCBwIIAgkCCgILAgwCDQIIAggCCAIIAggCCAIIAggCCAIIAggCCAIIAggCCAIIAggCegAABAAeAgMC0AIeAAQHAQICAk0CBAIFAgYCBwIIAgkCHQILAgwCDQIIAggCCAIIAggCCAIIAggCCAIIAggCCAIIAggCCAIIAggCHgIDAtECHgAEBwECAgIyAgQCBQIGAgcCCAIJAikCCwIMAg0CCAIIAggCCAIIAggCCAIIAggCCAIIAggCCAIIAggCCAIIAh4CAwLgAh4ABAcBAgICPQIEAgUCBgIHAggCCQIdAgsCDAINAggCCAIIAggCCAIIAggCCAIIAggCCAIIAggCCAIIAggCCAIeAgMCzgIeAAQHAQICAlICBAIFAgYCBwIIAgkCHQILAgwCDQIIAggCCAIIAggCCAIIAggCCAIIAggCCAIIAggCCAIIAggCHgIDAs8CHgAEBwECAgI0AgQCBQIGAgcCCAIJAikCCwIMAg0CCAIIAggCCAIIAggCCAIIAggCCAIIAggCCAIIAggCCAIIAh4CAwKxAh4ABAcBAgICSQIEAgUCBgIHAggCCQIdAgsCDAINAggCCAIIAggCCAIIAggCCAIIAggCCAIIAggCCAIIAggCCAIeAgMC3QIeAAQHAQICAkICBAIFAgYCBwIIAgkCHQILAgwCDQIIAggCCAIIAggCCAIIAggCCAIIAggCCAIIAggCCAIIAggCHgIDAtkCHgAEBwECAgJeAgQCBQIGAgcCCAIJAgoCCwIMAg0CCAIIAggCCAIIAggCCAIIAggCCAIIAggCCAIIAggCCAIIAh4CAwLXAh4ABAcBAgICWgIEAgUCBgIHAggCCQIKAgsCDAINAggCCAIIAggCCAIIAggCCAIIAggCCAIIAggCCAIIAggCCAIeAgMCqAIeAAQHAQICAjsCBAIFAgYCBwIIAgkCKQILAgwCDQIIAggCCAIIAggCCAIIAggCCAIIAggCCAIIAggCCAIIAggCHgIDArICHgAEBwECAgJgAgQCBQIGAgcCCAIJAgoCCwIMAg0CCAIIAggCCAIIAggCCAIIAggCCAIIAggCCAIIAggCCAIIAh4CAwKkAh4ABAcBAgICUQIEAgUCBgIHAggCCQIpAgsCDAINAggCCAIIAggCCAIIAggCCAIIAggCCAIIAggCCAIIAggCCAIeAgMCxQIeAAQHAQICAjACBAIFAgYCBwIIAgkCHQILAgwCDQIIAggCCAIIAggCCAIIAggCCAIIAggCCAIIAggCCAIIAggCHgIDAqUCHgAEBwECAgJNAgQCBQIGAgcCCAIJAikCCwIMAg0CCAIIAggCCAIIAggCCAIIAggCCAIIAggCCAIIAggCCAIIAh4CAwK8Ah4ABAcBAgICMgIEAgUCBgIHAggCCQIdAgsCDAINAggCCAIIAggCegAABAAIAggCCAIIAggCCAIIAggCCAIIAggCCAIIAh4CAwKdAh4ABAcBAgICbQIEAgUCBgIHAggCCQIpAgsCDAINAggCCAIIAggCCAIIAggCCAIIAggCCAIIAggCCAIIAggCCAIeAgMCywIeAAQHAQICAlUCBAIFAgYCBwIIAgkCKQILAgwCDQIIAggCCAIIAggCCAIIAggCCAIIAggCCAIIAggCCAIIAggCHgIDAswCHgAEBwECAgJlAgQCBQIGAgcCCAIJAh0CCwIMAg0CCAIIAggCCAIIAggCCAIIAggCCAIIAggCCAIIAggCCAIIAh4CAwK/Ah4ABAcBAgICPQIEAgUCBgIHAggCCQIKAgsCDAINAggCCAIIAggCCAIIAggCCAIIAggCCAIIAggCCAIIAggCCAIeAgMCuwIeAAQHAQICAlICBAIFAgYCBwIIAgkCCgILAgwCDQIIAggCCAIIAggCCAIIAggCCAIIAggCCAIIAggCCAIIAggCHgIDAr4CHgAEBwECAgI0AgQCBQIGAgcCCAIJAgoCCwIMAg0CCAIIAggCCAIIAggCCAIIAggCCAIIAggCCAIIAggCCAIIAh4CAwKrAh4ABAcBAgICJwIEAgUCBgIHAggCCQIpAgsCDAINAggCCAIIAggCCAIIAggCCAIIAggCCAIIAggCCAIIAggCCAIeAgMCowIeAAQHAQICAkQCBAIFAgYCBwIIAgkCCgILAgwCDQIIAggCCAIIAggCCAIIAggCCAIIAggCCAIIAggCCAIIAggCHgIDAiICHgAEBwECAgIjAgQCBQIGAgcCCAIJAikCCwIMAg0CCAIIAggCCAIIAggCCAIIAggCCAIIAggCCAIIAggCCAIIAh4CAwK6Ah4ABAcBAgICYAIEAgUCBgIHAggCCQIdAgsCDAINAggCCAIIAggCCAIIAggCCAIIAggCCAIIAggCCAIIAggCCAIeAgMCyAIeAAQHAQICAkACBAIFAgYCBwIIAgkCHQILAgwCDQIIAggCCAIIAggCCAIIAggCCAIIAggCCAIIAggCCAIIAggCHgIDAvICHgAEBwECAgJiAgQCBQIGAgcCCAIJAh0CCwIMAg0CCAIIAggCCAIIAggCCAIIAggCCAIIAggCCAIIAggCCAIIAh4CAwLEAh4ABAcBAgICQgIEAgUCBgIHAggCCQIKAgsCDAINAggCCAIIAggCCAIIAggCCAIIAggCCAIIAggCCAIIAggCCAIeAgMCuAIeAAQHAQICAkYCBAIFAgYCBwIIAgkCCgILAgwCDQIIAggCCAIIAggCCAIIAggCCAIIAggCCAIIAggCCAIIAggCHgIDAsACHgAEBwECAgIuAgQCegAABAAFAgYCBwIIAgkCCgILAgwCDQIIAggCCAIIAggCCAIIAggCCAIIAggCCAIIAggCCAIIAggCHgIDArYCHgAEBwECAgIlAgQCBQIGAgcCCAIJAikCCwIMAg0CCAIIAggCCAIIAggCCAIIAggCCAIIAggCCAIIAggCCAIIAh4CAwKhAh4ABAcBAgICHAIEAgUCBgIHAggCCQIKAgsCDAINAggCCAIIAggCCAIIAggCCAIIAggCCAIIAggCCAIIAggCCAIeAgMCwQIeAAQHAQICAkkCBAIFAgYCBwIIAgkCCgILAgwCDQIIAggCCAIIAggCCAIIAggCCAIIAggCCAIIAggCCAIIAggCHgIDAiICHgAEBwECAgJAAgQCBQIGAgcCCAIJAikCCwIMAg0CCAIIAggCCAIIAggCCAIIAggCCAIIAggCCAIIAggCCAIIAh4CAwLwAh4ABAcBAgICMgIEAgUCBgIHAggCCQIKAgsCDAINAggCCAIIAggCCAIIAggCCAIIAggCCAIIAggCCAIIAggCCAIeAgMCtAIeAAQHAQICAjACBAIFAgYCBwIIAgkCCgILAgwCDQIIAggCCAIIAggCCAIIAggCCAIIAggCCAIIAggCCAIIAggCHgIDArACHgAEBwECAgJiAgQCBQIGAgcCCAIJAikCCwIMAg0CCAIIAggCCAIIAggCCAIIAggCCAIIAggCCAIIAggCCAIIAh4CAwLVAh4ABAcBAgICRgIEAgUCBgIHAggCCQIdAgsCDAINAggCCAIIAggCCAIIAggCCAIIAggCCAIIAggCCAIIAggCCAIeAgMC0wIeAAQHAQICAmUCBAIFAgYCBwIIAgkCCgILAgwCDQIIAggCCAIIAggCCAIIAggCCAIIAggCCAIIAggCCAIIAggCHgIDAtQCHgAEBwECAgJEAgQCBQIGAgcCCAIJAh0CCwIMAg0CCAIIAggCCAIIAggCCAIIAggCCAIIAggCCAIIAggCCAIIAh4CAwLaAh4ABAcBAgICaAIEAgUCBgIHAggCCQIdAgsCDAINAggCCAIIAggCCAIIAggCCAIIAggCCAIIAggCCAIIAggCCAIeAgMCvQIeAAQHAQICAl4CBAIFAgYCBwIIAgkCKQILAgwCDQIIAggCCAIIAggCCAIIAggCCAIIAggCCAIIAggCCAIIAggCHgIDArcCHgAEBwECAgIjAgQCBQIGAgcCCAIJAgoCCwIMAg0CCAIIAggCCAIIAggCCAIIAggCCAIIAggCCAIIAggCCAIIAh4CAwLcAh4ABAcBAgICJwIEAgUCBgIHAggCCQIKAgsCDAINAggCCAIIAggCCAIIAggCCAIIAggCCAIIAggCegAABAAIAggCCAIIAh4CAwLiAh4ABAcBAgICOwIEAgUCBgIHAggCCQIKAgsCDAINAggCCAIIAggCCAIIAggCCAIIAggCCAIIAggCCAIIAggCCAIeAgMCrAIeAAQHAQICAkQCBAIFAgYCBwIIAgkCKQILAgwCDQIIAggCCAIIAggCCAIIAggCCAIIAggCCAIIAggCCAIIAggCHgIDAq0CHgAEBwECAgJaAgQCBQIGAgcCCAIJAikCCwIMAg0CCAIIAggCCAIIAggCCAIIAggCCAIIAggCCAIIAggCCAIIAh4CAwK5Ah4ABAcBAgICaAIEAgUCBgIHAggCCQIpAgsCDAINAggCCAIIAggCCAIIAggCCAIIAggCCAIIAggCCAIIAggCCAIeAgMCqQIeAAQHAQICAi4CBAIFAgYCBwIIAgkCHQILAgwCDQIIAggCCAIIAggCCAIIAggCCAIIAggCCAIIAggCCAIIAggCHgIDAtsCHgAEBwECAgInAgQCBQIGAgcCCAIJAh0CCwIMAg0CCAIIAggCCAIIAggCCAIIAggCCAIIAggCCAIIAggCCAIIAh4CAwKnAh4ABAcBAgICHAIEAgUCBgIHAggCCQIdAgsCDAINAggCCAIIAggCCAIIAggCCAIIAggCCAIIAggCCAIIAggCCAIeAgMC2AIeAAQHAQICAiUCBAIFAgYCBwIIAgkCHQILAgwCDQIIAggCCAIIAggCCAIIAggCCAIIAggCCAIIAggCCAIIAggCHgIDAq8CHgAEBwECAgJGAgQCBQIGAgcCCAIJAikCCwIMAg0CCAIIAggCCAIIAggCCAIIAggCCAIIAggCCAIIAggCCAIIAh4CAwKeAh4ABAcBAgICHAIEAgUCBgIHAggCCQIpAgsCDAINAggCCAIIAggCCAIIAggCCAIIAggCCAIIAggCCAIIAggCCAIeAgMCnwIeAAQHAQICAiUCBAIFAgYCBwIIAgkCCgILAgwCDQIIAggCCAIIAggCCAIIAggCCAIIAggCCAIIAggCCAIIAggCHgIDAiICHgAEBwECAgI9AgQCBQIGAgcCCAIJAikCCwIMAg0CCAIIAggCCAIIAggCCAIIAggCCAIIAggCCAIIAggCCAIIAh4CAwLCAh4ABAcBAgICXgIEAgUCBgIHAggCCQIdAgsCDAINAggCCAIIAggCCAIIAggCCAIIAggCCAIIAggCCAIIAggCCAIeAgMCzQIeAAQHAQICAmgCBAIFAgYCBwIIAgkCCgILAgwCDQIIAggCCAIIAggCCAIIAggCCAIIAggCCAIIAggCCAIIAggCHgIDAscCHgAEBwECAgIjAgQCBQIGAgcCCAIJAh0CCwIMAg0CegAAA28IAggCCAIIAggCCAIIAggCCAIIAggCCAIIAggCCAIIAggCHgIDAqYCHgAEBwECAgJRAgQCBQIGAgcCCAIJAgoCCwIMAg0CCAIIAggCCAIIAggCCAIIAggCCAIIAggCCAIIAggCCAIIAh4CAwIiAh4ABAcBAgICTQIEAgUCBgIHAggCCQIKAgsCDAINAggCCAIIAggCCAIIAggCCAIIAggCCAIIAggCCAIIAggCCAIeAgMCnAIeAAQHAQICAmACBAIFAgYCBwIIAgkCKQILAgwCDQIIAggCCAIIAggCCAIIAggCCAIIAggCCAIIAggCCAIIAggCHgIDAt8CHgAEBwECAgIuAgQCBQIGAgcCCAIJAikCCwIMAg0CCAIIAggCCAIIAggCCAIIAggCCAIIAggCCAIIAggCCAIIAh4CAwKqAh4ABAcBAgICOwIEAgUCBgIHAggCCQIdAgsCDAINAggCCAIIAggCCAIIAggCCAIIAggCCAIIAggCCAIIAggCCAIeAgMC3gIeAAQHAQICAjQCBAIFAgYCBwIIAgkCHQILAgwCDQIIAggCCAIIAggCCAIIAggCCAIIAggCCAIIAggCCAIIAggCHgIDAuECHgAEBwECAgJJAgQCBQIGAgcCCAIJAikCCwIMAg0CCAIIAggCCAIIAggCCAIIAggCCAIIAggCCAIIAggCCAIIAh4CAwLKAh4ABAcBAgICQgIEAgUCBgIHAggCCQIpAgsCDAINAggCCAIIAggCCAIIAggCCAIIAggCCAIIAggCCAIIAggCCAIeAgMCyQIeAAQHAQICAlICBAIFAgYCBwIIAgkCKQILAgwCDQIIAggCCAIIAggCCAIIAggCCAIIAggCCAIIAggCCAIIAggCHgIDAsMCHgAEBwECAgJaAgQCBQIGAgcCCAIJAh0CCwIMAg0CCAIIAggCCAIIAggCCAIIAggCCAIIAggCCAIIAggCCAIIAh4CAwLGAh4ABAcBAgICbQIEAgUCBgIHAggCCQIKAgsCDAINAggCCAIIAggCCAIIAggCCAIIAggCCAIIAggCCAIIAggCCAIeAgMCoAIeAAQHAQICAlUCBAIFAgYCBwIIAgkCCgILAgwCDQIIAggCCAIIAggCCAIIAggCCAIIAggCCAIIAggCCAIIAggCHgIDAqI=]]></xxe4awand>
</file>

<file path=customXml/item24.xml><?xml version="1.0" encoding="utf-8"?>
<xxe4awand xmlns="http://www.excel4apps.com"><![CDATA[rO0ABXfZCMCtii8CJgKZ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mgIeAAIBAgICOAAGMjAxODA2AgQCBQIGAgcCCAIJAh4CCwIMAg0CCAIIAggCCAIIAggCCAIIAggCCAIIAggCCAIIAggCCAIIAhMCAwIkAh4AAgECAgI5AAYyMDE3MDcCBAIFAgYCBwIIAgkCIQILAgwCDQIIAggCCAIIAggCCAIIAggCCAIIAggCCAIIAggCCAIIAggCEwIDAjpzcQB+AAAAAAACc3EAfgAE///////////////+/////v////91cQB+AAcAAAADTrgKeHh3igIeAAIBAgICOAIEAgUCBgIHAggCCQIKAgsCDAINAggCCAIIAggCCAIIAggCCAIIAggCCAIIAggCCAIIAggCCAITAgMCJQIeAAIBAgICGwIEAgUCBgIHAggCCQIhAgsCDAINAggCCAIIAggCCAIIAggCCAIIAggCCAIIAggCCAIIAggCCAITAgMCO3NxAH4AAAAAAAJzcQB+AAT///////////////7////+/////3VxAH4ABwAAAAQewHRseHh3RQIeAAIBAgICAwIEAgUCBgIHAggCCQIhAgsCDAINAggCCAIIAggCCAIIAggCCAIIAggCCAIIAggCCAIIAggCCAITAgMCPHNxAH4AAAAAAAJzcQB+AAT///////////////7////+AAAAAXVxAH4ABwAAAAO5cnx4eHdFAh4AAgECAgImAgQCBQIGAgcCCAIJAgoCCwIMAg0CCAIIAggCCAIIAggCCAIIAggCCAIIAggCCAIIAggCCAIIAhMCAwI9c3EAfgAAAAAAAnNxAH4ABP///////////////v////7/////dXEAfgAHAAAABCoLRiF4eHdNAh4AAgECAgI+AAYyMDE2MDcCBAIFAgYCBwIIAgkCIQILAgwCDQIIAggCCAIIAggCCAIIAggCCAIIAggCCAIIAggCCAIIAggCEwIDAj9zcQB+AAAAAAACc3EAfgAE///////////////+/////v////91cQB+AAcAAAAEAQaUYHh4d00CHgACAQICAkAABjIwMTYxMgIEAgUCBgIHAggCCQIKAgsCDAINAggCCAIIAggCCAIIAggCCAIIAggCCAIIAggCCAIIAggCCAITAgMCQXNxAH4AAAAAAAJzcQB+AAT///////////////7////+/////3VxAH4ABwAAAAQVrLWfeHh3RQIeAAIBAgICIAIEAgUCBgIHAggCCQIKAgsCDAINAggCCAIIAggCCAIIAggCCAIIAggCCAIIAggCCAIIAggCCAITAgMCQnNxAH4AAAAAAAJzcQB+AAT///////////////7////+/////3VxAH4ABwAAAAQmLzLCeHh3RQIeAAIBAgICJgIEAgUCBgIHAggCCQIeAgsCDAINAggCCAIIAggCCAIIAggCCAIIAggCCAIIAggCCAIIAggCCAITAgMCQ3NxAH4AAAAAAAJzcQB+AAT///////////////7////+/////3VxAH4ABwAAAAMSlsB4eHdFAh4AAgECAgIjAgQCBQIGAgcCCAIJAiECCwIMAg0CCAIIAggCCAIIAggCCAIIAggCCAIIAggCCAIIAggCCAIIAhMCAwJEc3EAfgAAAAAAAnNxAH4ABP///////////////v////4AAAABdXEAfgAHAAAAAzaltnh4d0UCHgACAQICAh0CBAIFAgYCBwIIAgkCIQILAgwCDQIIAggCCAIIAggCCAIIAggCCAIIAggCCAIIAggCCAIIAggCEwIDAkVzcQB+AAAAAAACc3EAfgAE///////////////+/////v////91cQB+AAcAAAAEAvtLi3h4d00CHgACAQICAkYABjIwMTcwOQIEAgUCBgIHAggCCQIhAgsCDAINAggCCAIIAggCCAIIAggCCAIIAggCCAIIAggCCAIIAggCCAITAgMCR3NxAH4AAAAAAAJzcQB+AAT///////////////7////+AAAAAXVxAH4ABwAAAAQCWhLSeHh3TQIeAAIBAgICSAAGMjAxNzA0AgQCBQIGAgcCCAIJAiECCwIMAg0CCAIIAggCCAIIAggCCAIIAggCCAIIAggCCAIIAggCCAIIAhMCAwJJc3EAfgAAAAAAAnNxAH4ABP///////////////v////7/////dXEAfgAHAAAABAUEo0F4eHdNAh4AAgECAgJKAAYyMDE2MDgCBAIFAgYCBwIIAgkCIQILAgwCDQIIAggCCAIIAggCCAIIAggCCAIIAggCCAIIAggCCAIIAggCEwIDAktzcQB+AAAAAAACc3EAfgAE///////////////+/////v////91cQB+AAcAAAADnrKqeHh3RQIeAAIBAgICMwIEAgUCBgIHAggCCQIKAgsCDAINAggCCAIIAggCCAIIAggCCAIIAggCCAIIAggCCAIIAggCCAITAgMCTHNxAH4AAAAAAAJzcQB+AAT///////////////7////+/////3VxAH4ABwAAAAQmeB9xeHh3RQIeAAIBAgICKAIEAgUCBgIHAggCCQIeAgsCDAINAggCCAIIAggCCAIIAggCCAIIAggCCAIIAggCCAIIAggCCAITAgMCTXNxAH4AAAAAAAJzcQB+AAT///////////////7////+/////3VxAH4ABwAAAAMSX5R4eHdNAh4AAgECAgJOAAYyMDE3MDgCBAIFAgYCBwIIAgkCCgILAgwCDQIIAggCCAIIAggCCAIIAggCCAIIAggCCAIIAggCCAIIAggCEwIDAk9zcQB+AAAAAAACc3EAfgAE///////////////+/////v////91cQB+AAcAAAAENDlU6Hh4d0UCHgACAQICAjUCBAIFAgYCBwIIAgkCIQILAgwCDQIIAggCCAIIAggCCAIIAggCCAIIAggCCAIIAggCCAIIAggCEwIDAlBzcQB+AAAAAAACc3EAfgAE///////////////+/////v////91cQB+AAcAAAAEFreoonh4d0UCHgACAQICAj4CBAIFAgYCBwIIAgkCHgILAgwCDQIIAggCCAIIAggCCAIIAggCCAIIAggCCAIIAggCCAIIAggCEwIDAlFzcQB+AAAAAAACc3EAfgAE///////////////+/////v////91cQB+AAcAAAADEmtYeHh3RQIeAAIBAgICAwIEAgUCBgIHAggCCQIeAgsCDAINAggCCAIIAggCCAIIAggCCAIIAggCCAIIAggCCAIIAggCCAITAgMCUnNxAH4AAAAAAAJzcQB+AAT///////////////7////+/////3VxAH4ABwAAAAMSdyV4eHdFAh4AAgECAgJOAgQCBQIGAgcCCAIJAh4CCwIMAg0CCAIIAggCCAIIAggCCAIIAggCCAIIAggCCAIIAggCCAIIAhMCAwJTc3EAfgAAAAAAAnNxAH4ABP///////////////v////7/////dXEAfgAHAAAAAxKer3h4d4oCHgACAQICAhsCBAIFAgYCBwIIAgkCHgILAgwCDQIIAggCCAIIAggCCAIIAggCCAIIAggCCAIIAggCCAIIAggCEwIDAiQCHgACAQICAj4CBAIFAgYCBwIIAgkCCgILAgwCDQIIAggCCAIIAggCCAIIAggCCAIIAggCCAIIAggCCAIIAggCEwIDAlRzcQB+AAAAAAACc3EAfgAE///////////////+/////v////91cQB+AAcAAAAELv3gknh4d0UCHgACAQICAkYCBAIFAgYCBwIIAgkCCgILAgwCDQIIAggCCAIIAggCCAIIAggCCAIIAggCCAIIAggCCAIIAggCEwIDAlVzcQB+AAAAAAACc3EAfgAE///////////////+/////v////91cQB+AAcAAAAEOUUu/nh4d0UCHgACAQICAkoCBAIFAgYCBwIIAgkCCgILAgwCDQIIAggCCAIIAggCCAIIAggCCAIIAggCCAIIAggCCAIIAggCEwIDAlZzcQB+AAAAAAACc3EAfgAE///////////////+/////v////91cQB+AAcAAAAEMe+1GXh4d0UCHgACAQICAkoCBAIFAgYCBwIIAgkCHgILAgwCDQIIAggCCAIIAggCCAIIAggCCAIIAggCCAIIAggCCAIIAggCEwIDAldzcQB+AAAAAAACc3EAfgAE///////////////+/////v////91cQB+AAcAAAADEm9GeHh3RQIeAAIBAgICRgIEAgUCBgIHAggCCQIeAgsCDAINAggCCAIIAggCCAIIAggCCAIIAggCCAIIAggCCAIIAggCCAITAgMCWHNxAH4AAAAAAAJzcQB+AAT///////////////7////+/////3VxAH4ABwAAAAMSoqh4eHdFAh4AAgECAgIzAgQCBQIGAgcCCAIJAiECCwIMAg0CCAIIAggCCAIIAggCCAIIAggCCAIIAggCCAIIAggCCAIIAhMCAwJZc3EAfgAAAAAAAnNxAH4ABP///////////////v////7/////dXEAfgAHAAAABAi9SCF4eHdNAh4AAgECAgJaAAYyMDE2MDkCBAIFAgYCBwIIAgkCHgILAgwCDQIIAggCCAIIAggCCAIIAggCCAIIAggCCAIIAggCCAIIAggCEwIDAltzcQB+AAAAAAACc3EAfgAE///////////////+/////v////91cQB+AAcAAAADEnM1eHh3RQIeAAIBAgICQAIEAgUCBgIHAggCCQIeAgsCDAINAggCCAIIAggCCAIIAggCCAIIAggCCAIIAggCCAIIAggCCAITAgMCXHNxAH4AAAAAAAJzcQB+AAT///////////////7////+/////3VxAH4ABwAAAAMSfwZ4eHdFAh4AAgECAgJaAgQCBQIGAgcCCAIJAgoCCwIMAg0CCAIIAggCCAIIAggCCAIIAggCCAIIAggCCAIIAggCCAIIAhMCAwJdc3EAfgAAAAAAAnNxAH4ABP///////////////v////7/////dXEAfgAHAAAABDO8lpJ4eHdFAh4AAgECAgIgAgQCBQIGAgcCCAIJAh4CCwIMAg0CCAIIAggCCAIIAggCCAIIAggCCAIIAggCCAIIAggCCAIIAhMCAwJec3EAfgAAAAAAAnNxAH4ABP///////////////v////7/////dXEAfgAHAAAAAxJjf3h4d0UCHgACAQICAjACBAIFAgYCBwIIAgkCIQILAgwCDQIIAggCCAIIAggCCAIIAggCCAIIAggCCAIIAggCCAIIAggCEwIDAl9zcQB+AAAAAAACc3EAfgAE///////////////+/////gAAAAF1cQB+AAcAAAAEBhtaanh4d0UCHgACAQICAk4CBAIFAgYCBwIIAgkCIQILAgwCDQIIAggCCAIIAggCCAIIAggCCAIIAggCCAIIAggCCAIIAggCEwIDAmBzcQB+AAAAAAACc3EAfgAE///////////////+/////gAAAAF1cQB+AAcAAAAD/4leeHh3igIeAAIBAgICNQIEAgUCBgIHAggCCQIeAgsCDAINAggCCAIIAggCCAIIAggCCAIIAggCCAIIAggCCAIIAggCCAITAgMCJAIeAAIBAgICLAIEAgUCBgIHAggCCQIeAgsCDAINAggCCAIIAggCCAIIAggCCAIIAggCCAIIAggCCAIIAggCCAITAgMCYXNxAH4AAAAAAAJzcQB+AAT///////////////7////+/////3VxAH4ABwAAAAMSexV4eHdFAh4AAgECAgIuAgQCBQIGAgcCCAIJAh4CCwIMAg0CCAIIAggCCAIIAggCCAIIAggCCAIIAggCCAIIAggCCAIIAhMCAwJic3EAfgAAAAAAAnNxAH4ABP///////////////v////7/////dXEAfgAHAAAAAxJna3h4d0UCHgACAQICAjkCBAIFAgYCBwIIAgkCCgILAgwCDQIIAggCCAIIAggCCAIIAggCCAIIAggCCAIIAggCCAIIAggCEwIDAmNzcQB+AAAAAAACc3EAfgAE///////////////+/////v////91cQB+AAcAAAAELpGFK3h4d0UCHgACAQICAi4CBAIFAgYCBwIIAgkCCgILAgwCDQIIAggCCAIIAggCCAIIAggCCAIIAggCCAIIAggCCAIIAggCEwIDAmRzcQB+AAAAAAACc3EAfgAE///////////////+/////v////91cQB+AAcAAAAEKxALUXh4d0UCHgACAQICAjkCBAIFAgYCBwIIAgkCHgILAgwCDQIIAggCCAIIAggCCAIIAggCCAIIAggCCAIIAggCCAIIAggCEwIDAmVzcQB+AAAAAAACc3EAfgAE///////////////+/////v////91cQB+AAcAAAADEpq3eHh3RQIeAAIBAgICLAIEAgUCBgIHAggCCQIKAgsCDAINAggCCAIIAggCCAIIAggCCAIIAggCCAIIAggCCAIIAggCCAITAgMCZnNxAH4AAAAAAAJzcQB+AAT///////////////7////+/////3VxAH4ABwAAAAQL0RJ0eHh3RQIeAAIBAgICKAIEAgUCBgIHAggCCQIhAgsCDAINAggCCAIIAggCCAIIAggCCAIIAggCCAIIAggCCAIIAggCCAITAgMCZ3NxAH4AAAAAAAJzcQB+AAT///////////////7////+/////3VxAH4ABwAAAAQCUB7peHh3igIeAAIBAgICOAIEAgUCBgIHAggCCQIhAgsCDAINAggCCAIIAggCCAIIAggCCAIIAggCCAIIAggCCAIIAggCCAITAgMCRAIeAAIBAgICKgIEAgUCBgIHAggCCQIhAgsCDAINAggCCAIIAggCCAIIAggCCAIIAggCCAIIAggCCAIIAggCCAITAgMCaHNxAH4AAAAAAAJzcQB+AAT///////////////7////+/////3VxAH4ABwAAAAQC12dUeHh3RQIeAAIBAgICSAIEAgUCBgIHAggCCQIKAgsCDAINAggCCAIIAggCCAIIAggCCAIIAggCCAIIAggCCAIIAggCCAITAgMCaXNxAH4AAAAAAAJzcQB+AAT///////////////7////+/////3VxAH4ABwAAAAQp4OUTeHh3RQIeAAIBAgICWgIEAgUCBgIHAggCCQIhAgsCDAINAggCCAIIAggCCAIIAggCCAIIAggCCAIIAggCCAIIAggCCAITAgMCanNxAH4AAAAAAAJzcQB+AAT///////////////7////+/////3VxAH4ABwAAAAMy9xF4eHdFAh4AAgECAgJAAgQCBQIGAgcCCAIJAiECCwIMAg0CCAIIAggCCAIIAggCCAIIAggCCAIIAggCCAIIAggCCAIIAhMCAwJrc3EAfgAAAAAAAnNxAH4ABP///////////////v////7/////dXEAfgAHAAAABB0QqXR4eHdFAh4AAgECAgJIAgQCBQIGAgcCCAIJAh4CCwIMAg0CCAIIAggCCAIIAggCCAIIAggCCAIIAggCCAIIAggCCAIIAhMCAwJsc3EAfgAAAAAAAnNxAH4ABP///////////////v////7/////dXEAfgAHAAAAAxKO1Hh4d0UCHgACAQICAh0CBAIFAgYCBwIIAgkCCgILAgwCDQIIAggCCAIIAggCCAIIAggCCAIIAggCCAIIAggCCAIIAggCEwIDAm1zcQB+AAAAAAACc3EAfgAE///////////////+/////v////91cQB+AAcAAAAEHq4JT3h4d1QCHgACbgAJNTIxNzk2NzY4AgICLAIEAgUCBgIHAggCCQIKAgsCbwACV0ECDQIIAggCCAIIAggCCAIIAggCCAIIAggCCAIIAggCCAIIAggCEgIDAnBzcQB+AAAAAAACc3EAfgAE///////////////+/////v////91cQB+AAcAAAAEElQVqnh4d0UCHgACbgICAiACBAIFAgYCBwIIAgkCCgILAm8CDQIIAggCCAIIAggCCAIIAggCCAIIAggCCAIIAggCCAIIAggCEgIDAnFzcQB+AAAAAAACc3EAfgAE///////////////+/////v////91cQB+AAcAAAAETCsLgHh4d0UCHgACbgICAiYCBAIFAgYCBwIIAgkCCgILAm8CDQIIAggCCAIIAggCCAIIAggCCAIIAggCCAIIAggCCAIIAggCEgIDAnJzcQB+AAAAAAACc3EAfgAE///////////////+/////v////91cQB+AAcAAAAEWAsHLHh4d0UCHgACbgICAjUCBAIFAgYCBwIIAgkCCgILAm8CDQIIAggCCAIIAggCCAIIAggCCAIIAggCCAIIAggCCAIIAggCEgIDAnNzcQB+AAAAAAACc3EAfgAE///////////////+/////v////91cQB+AAcAAAAEQjS8fHh4d5oCHgACbgICAnQABjIwMTgwNAIEAgUCBgIHAggCCQJ1AAYxOTEwMjUCCwJvAg0CCAIIAggCCAIIAggCCAIIAggCCAIIAggCCAIIAggCCAIIAhICAwIkAh4AAm4CAgJOAgQCBQIGAgcCCAIJAiECCwJvAg0CCAIIAggCCAIIAggCCAIIAggCCAIIAggCCAIIAggCCAIIAhICAwJ2c3EAfgAAAAAAAnNxAH4ABP///////////////v////7/////dXEAfgAHAAAAAzKU1nh4d0UCHgACbgICAigCBAIFAgYCBwIIAgkCCgILAm8CDQIIAggCCAIIAggCCAIIAggCCAIIAggCCAIIAggCCAIIAggCEgIDAndzcQB+AAAAAAACc3EAfgAE///////////////+/////v////91cQB+AAcAAAAESHB4r3h4d0UCHgACbgICAj4CBAIFAgYCBwIIAgkCIQILAm8CDQIIAggCCAIIAggCCAIIAggCCAIIAggCCAIIAggCCAIIAggCEgIDAnhzcQB+AAAAAAACc3EAfgAE///////////////+/////v////91cQB+AAcAAAAEAzaSmXh4d00CHgACbgICAnkABjIwMTYwMgIEAgUCBgIHAggCCQJ1AgsCbwINAggCCAIIAggCCAIIAggCCAIIAggCCAIIAggCCAIIAggCCAISAgMCenNxAH4AAAAAAAJzcQB+AAT///////////////7////+/////3VxAH4ABwAAAAMSFct4eHdFAh4AAm4CAgIzAgQCBQIGAgcCCAIJAnUCCwJvAg0CCAIIAggCCAIIAggCCAIIAggCCAIIAggCCAIIAggCCAIIAhICAwJ7c3EAfgAAAAAAAnNxAH4ABP///////////////v////7/////dXEAfgAHAAAAAwSrl3h4d0UCHgACbgICAjACBAIFAgYCBwIIAgkCdQILAm8CDQIIAggCCAIIAggCCAIIAggCCAIIAggCCAIIAggCCAIIAggCEgIDAnxzcQB+AAAAAAACc3EAfgAE///////////////+/////v////91cQB+AAcAAAADA9yreHh3RQIeAAJuAgICAwIEAgUCBgIHAggCCQJ1AgsCbwINAggCCAIIAggCCAIIAggCCAIIAggCCAIIAggCCAIIAggCCAISAgMCfXNxAH4AAAAAAAJzcQB+AAT///////////////7////+/////3VxAH4ABwAAAAMFP694eHeKAh4AAm4CAgIbAgQCBQIGAgcCCAIJAnUCCwJvAg0CCAIIAggCCAIIAggCCAIIAggCCAIIAggCCAIIAggCCAIIAhICAwIkAh4AAm4CAgJAAgQCBQIGAgcCCAIJAgoCCwJvAg0CCAIIAggCCAIIAggCCAIIAggCCAIIAggCCAIIAggCCAIIAhICAwJ+c3EAfgAAAAAAAnNxAH4ABP///////////////v////7/////dXEAfgAHAAAABCij2ll4eHeKAh4AAm4CAgIjAgQCBQIGAgcCCAIJAnUCCwJvAg0CCAIIAggCCAIIAggCCAIIAggCCAIIAggCCAIIAggCCAIIAhICAwIkAh4AAm4CAgI4AgQCBQIGAgcCCAIJAgoCCwJvAg0CCAIIAggCCAIIAggCCAIIAggCCAIIAggCCAIIAggCCAIIAhICAwJ/c3EAfgAAAAAAAnNxAH4ABP///////////////v////7/////dXEAfgAHAAAABFzlwLB4eHdFAh4AAm4CAgIuAgQCBQIGAgcCCAIJAiECCwJvAg0CCAIIAggCCAIIAggCCAIIAggCCAIIAggCCAIIAggCCAIIAhICAwKAc3EAfgAAAAAAAnNxAH4ABP///////////////v////7/////dXEAfgAHAAAABAOri614eHdFAh4AAm4CAgIqAgQCBQIGAgcCCAIJAgoCCwJvAg0CCAIIAggCCAIIAggCCAIIAggCCAIIAggCCAIIAggCCAIIAhICAwKBc3EAfgAAAAAAAnNxAH4ABP///////////////v////7/////dXEAfgAHAAAABFn95fJ4eHdFAh4AAm4CAgJIAgQCBQIGAgcCCAIJAnUCCwJvAg0CCAIIAggCCAIIAggCCAIIAggCCAIIAggCCAIIAggCCAIIAhICAwKCc3EAfgAAAAAAAnNxAH4ABP///////////////v////7/////dXEAfgAHAAAAAwR0jXh4d0UCHgACbgICAh0CBAIFAgYCBwIIAgkCdQILAm8CDQIIAggCCAIIAggCCAIIAggCCAIIAggCCAIIAggCCAIIAggCEgIDAoNzcQB+AAAAAAACc3EAfgAE///////////////+/////v////91cQB+AAcAAAADDoPdeHh3RQIeAAJuAgICOQIEAgUCBgIHAggCCQIhAgsCbwINAggCCAIIAggCCAIIAggCCAIIAggCCAIIAggCCAIIAggCCAISAgMChHNxAH4AAAAAAAJzcQB+AAT///////////////7////+/////3VxAH4ABwAAAAQCCvb0eHh3RQIeAAJuAgICPgIEAgUCBgIHAggCCQIKAgsCbwINAggCCAIIAggCCAIIAggCCAIIAggCCAIIAggCCAIIAggCCAISAgMChXNxAH4AAAAAAAJzcQB+AAT///////////////7////+/////3VxAH4ABwAAAARaL7WteHh3RQIeAAJuAgICTgIEAgUCBgIHAggCCQIKAgsCbwINAggCCAIIAggCCAIIAggCCAIIAggCCAIIAggCCAIIAggCCAISAgMChnNxAH4AAAAAAAJzcQB+AAT///////////////7////+/////3VxAH4ABwAAAARlMUGreHh3RQIeAAJuAgICeQIEAgUCBgIHAggCCQIKAgsCbwINAggCCAIIAggCCAIIAggCCAIIAggCCAIIAggCCAIIAggCCAISAgMCh3NxAH4AAAAAAAJzcQB+AAT///////////////7////+/////3VxAH4ABwAAAAQ3OPVPeHh3RQIeAAJuAgICLAIEAgUCBgIHAggCCQIhAgsCbwINAggCCAIIAggCCAIIAggCCAIIAggCCAIIAggCCAIIAggCCAISAgMCiHNxAH4AAAAAAAJzcQB+AAT///////////////7////+/////3VxAH4ABwAAAARMQw4VeHh3RQIeAAJuAgICMwIEAgUCBgIHAggCCQIKAgsCbwINAggCCAIIAggCCAIIAggCCAIIAggCCAIIAggCCAIIAggCCAISAgMCiXNxAH4AAAAAAAJzcQB+AAT///////////////7////+/////3VxAH4ABwAAAARTY5smeHh3igIeAAJuAgICOAIEAgUCBgIHAggCCQJ1AgsCbwINAggCCAIIAggCCAIIAggCCAIIAggCCAIIAggCCAIIAggCCAISAgMCJAIeAAJuAgICKAIEAgUCBgIHAggCCQJ1AgsCbwINAggCCAIIAggCCAIIAggCCAIIAggCCAIIAggCCAIIAggCCAISAgMCinNxAH4AAAAAAAJzcQB+AAT///////////////7////+/////3VxAH4ABwAAAAMMxv54eHdFAh4AAm4CAgIqAgQCBQIGAgcCCAIJAnUCCwJvAg0CCAIIAggCCAIIAggCCAIIAggCCAIIAggCCAIIAggCCAIIAhICAwKLc3EAfgAAAAAAAnNxAH4ABP///////////////v////7/////dXEAfgAHAAAAAwRWK3h4d0UCHgACbgICAiYCBAIFAgYCBwIIAgkCIQILAm8CDQIIAggCCAIIAggCCAIIAggCCAIIAggCCAIIAggCCAIIAggCEgIDAoxzcQB+AAAAAAACc3EAfgAE///////////////+/////v////91cQB+AAcAAAAEA91NIHh4d0UCHgACbgICAiMCBAIFAgYCBwIIAgkCIQILAm8CDQIIAggCCAIIAggCCAIIAggCCAIIAggCCAIIAggCCAIIAggCEgIDAo1zcQB+AAAAAAACc3EAfgAE///////////////+/////v////91cQB+AAcAAAAEBEpBlXh4d0UCHgACbgICAgMCBAIFAgYCBwIIAgkCCgILAm8CDQIIAggCCAIIAggCCAIIAggCCAIIAggCCAIIAggCCAIIAggCEgIDAo5zcQB+AAAAAAACc3EAfgAE///////////////+/////v////91cQB+AAcAAAAEYo3LFnh4d0UCHgACbgICAhsCBAIFAgYCBwIIAgkCCgILAm8CDQIIAggCCAIIAggCCAIIAggCCAIIAggCCAIIAggCCAIIAggCEgIDAo9zcQB+AAAAAAACc3EAfgAE///////////////+/////v////91cQB+AAcAAAAEMNCqs3h4d00CHgACbgICApAABjIwMTgwMQIEAgUCBgIHAggCCQIKAgsCbwINAggCCAIIAggCCAIIAggCCAIIAggCCAIIAggCCAIIAggCCAISAgMCkXNxAH4AAAAAAAJzcQB+AAT///////////////7////+/////3VxAH4ABwAAAARO7ujaeHh3TQIeAAJuAgICkgAGMjAxNzAyAgQCBQIGAgcCCAIJAnUCCwJvAg0CCAIIAggCCAIIAggCCAIIAggCCAIIAggCCAIIAggCCAIIAhICAwKTc3EAfgAAAAAAAnNxAH4ABP///////////////v////7/////dXEAfgAHAAAAAwT7aHh4d0UCHgACbgICAiACBAIFAgYCBwIIAgkCIQILAm8CDQIIAggCCAIIAggCCAIIAggCCAIIAggCCAIIAggCCAIIAggCEgIDApRzcQB+AAAAAAACc3EAfgAE///////////////+/////v////91cQB+AAcAAAAEBDaJ43h4d0UCHgACbgICAkoCBAIFAgYCBwIIAgkCIQILAm8CDQIIAggCCAIIAggCCAIIAggCCAIIAggCCAIIAggCCAIIAggCEgIDApVzcQB+AAAAAAACc3EAfgAE///////////////+/////v////91cQB+AAcAAAAEAr0/pHh4d5oCHgACbgICApYABjIwMTgwMwIEAgUCBgIHAggCCQJ1AgsCbwINAggCCAIIAggCCAIIAggCCAIIAggCCAIIAggCCAIIAggCCAISAgMCJAIeAAJuAgIClwAGMjAxODAyAgQCBQIGAgcCCAIJAiECCwJvAg0CCAIIAggCCAIIAggCCAIIAggCCAIIAggCCAIIAggCCAIIAhICAwKYc3EAfgAAAAAAAnNxAH4ABP///////////////v////7/////dXEAfgAHAAAABBli52V4eHdFAh4AAm4CAgJ0AgQCBQIGAgcCCAIJAgoCCwJvAg0CCAIIAggCCAIIAggCCAIIAggCCAIIAggCCAIIAggCCAIIAhICAwKZc3EAfgAAAAAAAnNxAH4ABP///////////////v////7/////dXEAfgAHAAAABFqpyF94eHdFAh4AAm4CAgJAAgQCBQIGAgcCCAIJAnUCCwJvAg0CCAIIAggCCAIIAggCCAIIAggCCAIIAggCCAIIAggCCAIIAhICAwKac3EAfgAAAAAAAnNxAH4ABP///////////////v////7/////dXEAfgAHAAAAAwbck3h4d0UCHgACbgICAkYCBAIFAgYCBwIIAgkCIQILAm8CDQIIAggCCAIIAggCCAIIAggCCAIIAggCCAIIAggCCAIIAggCEgIDAptzcQB+AAAAAAACc3EAfgAE///////////////+/////gAAAAF1cQB+AAcAAAAEAo6woHh4d0UCHgACbgICAjUCBAIFAgYCBwIIAgkCIQILAm8CDQIIAggCCAIIAggCCAIIAggCCAIIAggCCAIIAggCCAIIAggCEgIDApxzcQB+AAAAAAACc3EAfgAE///////////////+/////v////91cQB+AAcAAAAENEm+I3h4d00CHgACbgICAp0ABjIwMTcwMQIEAgUCBgIHAggCCQIhAgsCbwINAggCCAIIAggCCAIIAggCCAIIAggCCAIIAggCCAIIAggCCAISAgMCnnNxAH4AAAAAAAJzcQB+AAT///////////////7////+/////3VxAH4ABwAAAAQo6Ya2eHh3RQIeAAJuAgICWgIEAgUCBgIHAggCCQJ1AgsCbwINAggCCAIIAggCCAIIAggCCAIIAggCCAIIAggCCAIIAggCCAISAgMCn3NxAH4AAAAAAAJzcQB+AAT///////////////7////+/////3VxAH4ABwAAAAMHjdR4eHdFAh4AAm4CAgKXAgQCBQIGAgcCCAIJAgoCCwJvAg0CCAIIAggCCAIIAggCCAIIAggCCAIIAggCCAIIAggCCAIIAhICAwKgc3EAfgAAAAAAAnNxAH4ABP///////////////v////7/////dXEAfgAHAAAABE8qcfl4eHdFAh4AAm4CAgKdAgQCBQIGAgcCCAIJAgoCCwJvAg0CCAIIAggCCAIIAggCCAIIAggCCAIIAggCCAIIAggCCAIIAhICAwKhc3EAfgAAAAAAAnNxAH4ABP///////////////v////7/////dXEAfgAHAAAABD0VO3Z4eHdFAh4AAm4CAgJ5AgQCBQIGAgcCCAIJAiECCwJvAg0CCAIIAggCCAIIAggCCAIIAggCCAIIAggCCAIIAggCCAIIAhICAwKic3EAfgAAAAAAAnNxAH4ABP///////////////v////7/////dXEAfgAHAAAABAgl/7F4eHdFAh4AAm4CAgJ0AgQCBQIGAgcCCAIJAiECCwJvAg0CCAIIAggCCAIIAggCCAIIAggCCAIIAggCCAIIAggCCAIIAhICAwKjc3EAfgAAAAAAAnNxAH4ABP///////////////v////7/////dXEAfgAHAAAABAcZP5l4eHdFAh4AAm4CAgJOAgQCBQIGAgcCCAIJAnUCCwJvAg0CCAIIAggCCAIIAggCCAIIAggCCAIIAggCCAIIAggCCAIIAhICAwKkc3EAfgAAAAAAAnNxAH4ABP///////////////v////7/////dXEAfgAHAAAAAwQlCXh4d0UCHgACbgICAloCBAIFAgYCBwIIAgkCCgILAm8CDQIIAggCCAIIAggCCAIIAggCCAIIAggCCAIIAggCCAIIAggCEgIDAqVzcQB+AAAAAAACc3EAfgAE///////////////+/////v////91cQB+AAcAAAAEYTEIFHh4d0UCHgACbgICApYCBAIFAgYCBwIIAgkCIQILAm8CDQIIAggCCAIIAggCCAIIAggCCAIIAggCCAIIAggCCAIIAggCEgIDAqZzcQB+AAAAAAACc3EAfgAE///////////////+/////v////91cQB+AAcAAAAEDlPJjHh4d0UCHgACbgICAi4CBAIFAgYCBwIIAgkCdQILAm8CDQIIAggCCAIIAggCCAIIAggCCAIIAggCCAIIAggCCAIIAggCEgIDAqdzcQB+AAAAAAACc3EAfgAE///////////////+/////v////91cQB+AAcAAAADCoBUeHh3RQIeAAJuAgICkgIEAgUCBgIHAggCCQIhAgsCbwINAggCCAIIAggCCAIIAggCCAIIAggCCAIIAggCCAIIAggCCAISAgMCqHNxAH4AAAAAAAJzcQB+AAT///////////////7////+/////3VxAH4ABwAAAAQbRzHTeHh3RQIeAAJuAgICOQIEAgUCBgIHAggCCQJ1AgsCbwINAggCCAIIAggCCAIIAggCCAIIAggCCAIIAggCCAIIAggCCAISAgMCqXNxAH4AAAAAAAJzcQB+AAT///////////////7////+/////3VxAH4ABwAAAAMENDh4eHdFAh4AAm4CAgKWAgQCBQIGAgcCCAIJAgoCCwJvAg0CCAIIAggCCAIIAggCCAIIAggCCAIIAggCCAIIAggCCAIIAhICAwKqc3EAfgAAAAAAAnNxAH4ABP///////////////v////7/////dXEAfgAHAAAABFJ+oxp4eHdFAh4AAm4CAgJKAgQCBQIGAgcCCAIJAnUCCwJvAg0CCAIIAggCCAIIAggCCAIIAggCCAIIAggCCAIIAggCCAIIAhICAwKrc3EAfgAAAAAAAnNxAH4ABP///////////////v////7/////dXEAfgAHAAAAAwi2nHh4d0UCHgACbgICAkgCBAIFAgYCBwIIAgkCIQILAm8CDQIIAggCCAIIAggCCAIIAggCCAIIAggCCAIIAggCCAIIAggCEgIDAqxzcQB+AAAAAAACc3EAfgAE///////////////+/////v////91cQB+AAcAAAAECfBqRnh4d0UCHgACbgICAh0CBAIFAgYCBwIIAgkCIQILAm8CDQIIAggCCAIIAggCCAIIAggCCAIIAggCCAIIAggCCAIIAggCEgIDAq1zcQB+AAAAAAACc3EAfgAE///////////////+/////v////91cQB+AAcAAAAEBeiObnh4d0UCHgACbgICAkYCBAIFAgYCBwIIAgkCCgILAm8CDQIIAggCCAIIAggCCAIIAggCCAIIAggCCAIIAggCCAIIAggCEgIDAq5zcQB+AAAAAAACc3EAfgAE///////////////+/////v////91cQB+AAcAAAAEcQZZSXh4d0UCHgACbgICAkoCBAIFAgYCBwIIAgkCCgILAm8CDQIIAggCCAIIAggCCAIIAggCCAIIAggCCAIIAggCCAIIAggCEgIDAq9zcQB+AAAAAAACc3EAfgAE///////////////+/////v////91cQB+AAcAAAAEXVdQyXh4d0UCHgACbgICApICBAIFAgYCBwIIAgkCCgILAm8CDQIIAggCCAIIAggCCAIIAggCCAIIAggCCAIIAggCCAIIAggCEgIDArBzcQB+AAAAAAACc3EAfgAE///////////////+/////v////91cQB+AAcAAAAESYtTyXh4d4oCHgACbgICApACBAIFAgYCBwIIAgkCdQILAm8CDQIIAggCCAIIAggCCAIIAggCCAIIAggCCAIIAggCCAIIAggCEgIDAiQCHgACbgICAjACBAIFAgYCBwIIAgkCIQILAm8CDQIIAggCCAIIAggCCAIIAggCCAIIAggCCAIIAggCCAIIAggCEgIDArFzcQB+AAAAAAACc3EAfgAE///////////////+/////gAAAAF1cQB+AAcAAAAECQ0V/Xh4d0UCHgACbgICAj4CBAIFAgYCBwIIAgkCdQILAm8CDQIIAggCCAIIAggCCAIIAggCCAIIAggCCAIIAggCCAIIAggCEgIDArJzcQB+AAAAAAACc3EAfgAE///////////////+/////v////91cQB+AAcAAAADCZ5/eHh3RQIeAAJuAgICMwIEAgUCBgIHAggCCQIhAgsCbwINAggCCAIIAggCCAIIAggCCAIIAggCCAIIAggCCAIIAggCCAISAgMCs3NxAH4AAAAAAAJzcQB+AAT///////////////7////+/////3VxAH4ABwAAAAQQ/fIjeHh3RQIeAAJuAgICnQIEAgUCBgIHAggCCQJ1AgsCbwINAggCCAIIAggCCAIIAggCCAIIAggCCAIIAggCCAIIAggCCAISAgMCtHNxAH4AAAAAAAJzcQB+AAT///////////////7////+/////3VxAH4ABwAAAAMFZP94eHeKAh4AAm4CAgI1AgQCBQIGAgcCCAIJAnUCCwJvAg0CCAIIAggCCAIIAggCCAIIAggCCAIIAggCCAIIAggCCAIIAhICAwIkAh4AAm4CAgIsAgQCBQIGAgcCCAIJAnUCCwJvAg0CCAIIAggCCAIIAggCCAIIAggCCAIIAggCCAIIAggCCAIIAhICAwK1c3EAfgAAAAAAAnNxAH4ABP///////////////v////7/////dXEAfgAHAAAAAwZoK3h4d4oCHgACbgICAjgCBAIFAgYCBwIIAgkCIQILAm8CDQIIAggCCAIIAggCCAIIAggCCAIIAggCCAIIAggCCAIIAggCEgIDAo0CHgACbgICAigCBAIFAgYCBwIIAgkCIQILAm8CDQIIAggCCAIIAggCCAIIAggCCAIIAggCCAIIAggCCAIIAggCEgIDArZzcQB+AAAAAAACc3EAfgAE///////////////+/////v////91cQB+AAcAAAAEBOQwD3h4d0UCHgACbgICAloCBAIFAgYCBwIIAgkCIQILAm8CDQIIAggCCAIIAggCCAIIAggCCAIIAggCCAIIAggCCAIIAggCEgIDArdzcQB+AAAAAAACc3EAfgAE///////////////+/////v////91cQB+AAcAAAAEAhunbnh4d0UCHgACbgICAjACBAIFAgYCBwIIAgkCCgILAm8CDQIIAggCCAIIAggCCAIIAggCCAIIAggCCAIIAggCCAIIAggCEgIDArhzcQB+AAAAAAACc3EAfgAE///////////////+/////v////91cQB+AAcAAAAEgtyI8Xh4d4oCHgACbgICApcCBAIFAgYCBwIIAgkCdQILAm8CDQIIAggCCAIIAggCCAIIAggCCAIIAggCCAIIAggCCAIIAggCEgIDAiQCHgACbgICApACBAIFAgYCBwIIAgkCIQILAm8CDQIIAggCCAIIAggCCAIIAggCCAIIAggCCAIIAggCCAIIAggCEgIDArlzcQB+AAAAAAACc3EAfgAE///////////////+/////v////91cQB+AAcAAAAEJnGjV3h4d4oCHgACbgICAiMCBAIFAgYCBwIIAgkCCgILAm8CDQIIAggCCAIIAggCCAIIAggCCAIIAggCCAIIAggCCAIIAggCEgIDAn8CHgACbgICAgMCBAIFAgYCBwIIAgkCIQILAm8CDQIIAggCCAIIAggCCAIIAggCCAIIAggCCAIIAggCCAIIAggCEgIDArpzcQB+AAAAAAACc3EAfgAE///////////////+/////v////91cQB+AAcAAAADvFyyeHh3RQIeAAJuAgICSAIEAgUCBgIHAggCCQIKAgsCbwINAggCCAIIAggCCAIIAggCCAIIAggCCAIIAggCCAIIAggCCAISAgMCu3NxAH4AAAAAAAJzcQB+AAT///////////////7////+/////3VxAH4ABwAAAARacNl3eHh3RQIeAAJuAgICGwIEAgUCBgIHAggCCQIhAgsCbwINAggCCAIIAggCCAIIAggCCAIIAggCCAIIAggCCAIIAggCCAISAgMCvHNxAH4AAAAAAAJzcQB+AAT///////////////7////+/////3VxAH4ABwAAAAREule8eHh3RQIeAAJuAgICRgIEAgUCBgIHAggCCQJ1AgsCbwINAggCCAIIAggCCAIIAggCCAIIAggCCAIIAggCCAIIAggCCAISAgMCvXNxAH4AAAAAAAJzcQB+AAT///////////////7////+/////3VxAH4ABwAAAAMEDq54eHdFAh4AAm4CAgIuAgQCBQIGAgcCCAIJAgoCCwJvAg0CCAIIAggCCAIIAggCCAIIAggCCAIIAggCCAIIAggCCAIIAhICAwK+c3EAfgAAAAAAAnNxAH4ABP///////////////v////7/////dXEAfgAHAAAABFSIS5t4eHdFAh4AAm4CAgI5AgQCBQIGAgcCCAIJAgoCCwJvAg0CCAIIAggCCAIIAggCCAIIAggCCAIIAggCCAIIAggCCAIIAhICAwK/c3EAfgAAAAAAAnNxAH4ABP///////////////v////7/////dXEAfgAHAAAABF7UYvh4eHdFAh4AAm4CAgJAAgQCBQIGAgcCCAIJAiECCwJvAg0CCAIIAggCCAIIAggCCAIIAggCCAIIAggCCAIIAggCCAIIAhICAwLAc3EAfgAAAAAAAnNxAH4ABP///////////////v////7/////dXEAfgAHAAAABDuLiL14eHdFAh4AAm4CAgIdAgQCBQIGAgcCCAIJAgoCCwJvAg0CCAIIAggCCAIIAggCCAIIAggCCAIIAggCCAIIAggCCAIIAhICAwLBc3EAfgAAAAAAAnNxAH4ABP///////////////v////7/////dXEAfgAHAAAABD37VuJ4eHdFAh4AAm4CAgImAgQCBQIGAgcCCAIJAnUCCwJvAg0CCAIIAggCCAIIAggCCAIIAggCCAIIAggCCAIIAggCCAIIAhICAwLCc3EAfgAAAAAAAnNxAH4ABP///////////////v////7/////dXEAfgAHAAAAAwRDenh4d0UCHgACbgICAiACBAIFAgYCBwIIAgkCdQILAm8CDQIIAggCCAIIAggCCAIIAggCCAIIAggCCAIIAggCCAIIAggCEgIDAsNzcQB+AAAAAAACc3EAfgAE///////////////+/////v////91cQB+AAcAAAADC4KteHh3RQIeAAJuAgICKgIEAgUCBgIHAggCCQIhAgsCbwINAggCCAIIAggCCAIIAggCCAIIAggCCAIIAggCCAIIAggCCAISAgMCxHNxAH4AAAAAAAJzcQB+AAT///////////////7////+/////3VxAH4ABwAAAAQGIRiFeHg=]]></xxe4awand>
</file>

<file path=customXml/item25.xml><?xml version="1.0" encoding="utf-8"?>
<xxe4awand xmlns="http://www.excel4apps.com"><![CDATA[rO0ABXfZCMCtii8ABEk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26.xml><?xml version="1.0" encoding="utf-8"?>
<xxe4awand xmlns="http://www.excel4apps.com"><![CDATA[rO0ABXfaCMCtii8CAgSo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xxe4awand>
</file>

<file path=customXml/item27.xml><?xml version="1.0" encoding="utf-8"?>
<xxe4awand xmlns="http://www.excel4apps.com"><![CDATA[rO0ABXfZCMCtii8ABEY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28.xml><?xml version="1.0" encoding="utf-8"?>
<xxe4awand xmlns="http://www.excel4apps.com"><![CDATA[rO0ABXfZCMCtii8CJAJU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A==]]></xxe4awand>
</file>

<file path=customXml/item29.xml><?xml version="1.0" encoding="utf-8"?>
<xxe4awand xmlns="http://www.excel4apps.com"><![CDATA[rO0ABXfZCMCtii8ABPcDAh4AAERjb20uZXhjZWw0YXBwcy53YW5kLm9yYWNsZS5n
bHdhbmQuY2FsY3VsYXRpb25zLmdldGJhbGFuY2UuR2V0QmFsYW5jZQIBAAk3MDIy
NjQzMjgCAgABMAIDAAYyMDE3MTACBAADWVREAgUAA1VTRAIGAAVUb3RhbAIHAAFB
AggAAAIJAAMwMDECCgAGMTkxMDAwAgsAAkdEAgwAAldB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1UCHgACAQICAhsABjIwMTcwMgIEAgUCBgIHAggCCQIcAAYxOTEw
MTACCwIMAg0CCAIIAggCCAIIAggCCAIIAggCCAIIAggCCAIIAggCCAIIAhYCAwId
c3EAfgAAAAAAAnNxAH4ABP///////////////v////7/////dXEAfgAHAAAABEmL
U8l4eHdNAh4AAgECAgIeAAYyMDE3MDQCBAIFAgYCBwIIAgkCCgILAgwCDQIIAggC
CAIIAggCCAIIAggCCAIIAggCCAIIAggCCAIIAggCFgIDAh9zcQB+AAAAAAACc3EA
fgAE///////////////+/////v////91cQB+AAcAAAAECfBqRnh4d1UCHgACAQIC
AiAABjIwMTYwOAIEAgUCBgIHAggCCQIhAAYxOTEwMjUCCwIMAg0CCAIIAggCCAII
AggCCAIIAggCCAIIAggCCAIIAggCCAIIAhYCAwIic3EAfgAAAAAAAnNxAH4ABP///////////////v////7/////dXEAfgAHAAAAAwi2nHh4d00CHgACAQICAiMABjIwMTYwMwIEAgUCBgIHAggCCQIKAgsCDAINAggCCAIIAggCCAIIAggCCAIIAggCCAIIAggCCAIIAggCCAIWAgMCJHNxAH4AAAAAAAJzcQB+AAT///////////////7////+/////3VxAH4ABwAAAAQF6I5ueHh3TQIeAAIBAgICJQAGMjAxNzA5AgQCBQIGAgcCCAIJAiECCwIMAg0CCAIIAggCCAIIAggCCAIIAggCCAIIAggCCAIIAggCCAIIAhYCAwImc3EAfgAAAAAAAnNxAH4ABP///////////////v////7/////dXEAfgAHAAAAAwQOrnh4d00CHgACAQICAicABjIwMTgwMwIEAgUCBgIHAggCCQIcAgsCDAINAggCCAIIAggCCAIIAggCCAIIAggCCAIIAggCCAIIAggCCAIWAgMCKHNxAH4AAAAAAAJzcQB+AAT///////////////7////+/////3VxAH4ABwAAAARSfqMaeHh3TQIeAAIBAgICKQAGMjAxNzAzAgQCBQIGAgcCCAIJAhwCCwIMAg0CCAIIAggCCAIIAggCCAIIAggCCAIIAggCCAIIAggCCAIIAhYCAwIqc3EAfgAAAAAAAnNxAH4ABP///////////////v////7/////dXEAfgAHAAAABFNjmyZ4eHdNAh4AAgECAgIrAAYyMDE2MDICBAIFAgYCBwIIAgkCHAILAgwCDQIIAggCCAIIAggCCAIIAggCCAIIAggCCAIIAggCCAIIAggCFgIDAixzcQB+AAAAAAACc3EAfgAE///////////////+/////v////91cQB+AAcAAAAENzj1T3h4d00CHgACAQICAi0ABjIwMTYwNAIEAgUCBgIHAggCCQIKAgsCDAINAggCCAIIAggCCAIIAggCCAIIAggCCAIIAggCCAIIAggCCAIWAgMCLnNxAH4AAAAAAAJzcQB+AAT///////////////7////+/////3VxAH4ABwAAAAQE5DAPeHh3TQIeAAIBAgICLwAGMjAxODA0AgQCBQIGAgcCCAIJAhwCCwIMAg0CCAIIAggCCAIIAggCCAIIAggCCAIIAggCCAIIAggCCAIIAhYCAwIwc3EAfgAAAAAAAnNxAH4ABP///////////////v////7/////dXEAfgAHAAAABFqpyF94eHdNAh4AAgECAgIxAAYyMDE3MTICBAIFAgYCBwIIAgkCCgILAgwCDQIIAggCCAIIAggCCAIIAggCCAIIAggCCAIIAggCCAIIAggCFgIDAjJzcQB+AAAAAAACc3EAfgAE///////////////+/////v////91cQB+AAcAAAAENEm+I3h4d00CHgACAQICAjMABjIwMTYxMgIEAgUCBgIHAggCCQIhAgsCDAINAggCCAIIAggCCAIIAggCCAIIAggCCAIIAggCCAIIAggCCAIWAgMCNHNxAH4AAAAAAAJzcQB+AAT///////////////7////+/////3VxAH4ABwAAAAMG3JN4eHdNAh4AAgECAgI1AAYyMDE2MDkCBAIFAgYCBwIIAgkCIQILAgwCDQIIAggCCAIIAggCCAIIAggCCAIIAggCCAIIAggCCAIIAggCFgIDAjZzcQB+AAAAAAACc3EAfgAE///////////////+/////v////91cQB+AAcAAAADB43UeHh3TQIeAAIBAgICNwAGMjAxNzA1AgQCBQIGAgcCCAIJAgoCCwIMAg0CCAIIAggCCAIIAggCCAIIAggCCAIIAggCCAIIAggCCAIIAhYCAwI4c3EAfgAAAAAAAnNxAH4ABP///////////////v////7/////dXEAfgAHAAAABAYhGIV4eHdFAh4AAgECAgIjAgQCBQIGAgcCCAIJAhwCCwIMAg0CCAIIAggCCAIIAggCCAIIAggCCAIIAggCCAIIAggCCAIIAhYCAwI5c3EAfgAAAAAAAnNxAH4ABP///////////////v////7/////dXEAfgAHAAAABD37VuJ4eHdFAh4AAgECAgIeAgQCBQIGAgcCCAIJAhwCCwIMAg0CCAIIAggCCAIIAggCCAIIAggCCAIIAggCCAIIAggCCAIIAhYCAwI6c3EAfgAAAAAAAnNxAH4ABP///////////////v////7/////dXEAfgAHAAAABFpw2Xd4eHdNAh4AAgECAgI7AAYyMDE3MDYCBAIFAgYCBwIIAgkCIQILAgwCDQIIAggCCAIIAggCCAIIAggCCAIIAggCCAIIAggCCAIIAggCFgIDAjxzcQB+AAAAAAACc3EAfgAE///////////////+/////v////91cQB+AAcAAAADBEN6eHh3RQIeAAIBAgICNQIEAgUCBgIHAggCCQIKAgsCDAINAggCCAIIAggCCAIIAggCCAIIAggCCAIIAggCCAIIAggCCAIWAgMCPXNxAH4AAAAAAAJzcQB+AAT///////////////7////+/////3VxAH4ABwAAAAQCG6dueHh3TQIeAAIBAgICPgAGMjAxNjExAgQCBQIGAgcCCAIJAgoCCwIMAg0CCAIIAggCCAIIAggCCAIIAggCCAIIAggCCAIIAggCCAIIAhYCAwI/c3EAfgAAAAAAAnNxAH4ABP///////////////v////7/////dXEAfgAHAAAABExDDhV4eHdFAh4AAgECAgIgAgQCBQIGAgcCCAIJAhwCCwIMAg0CCAIIAggCCAIIAggCCAIIAggCCAIIAggCCAIIAggCCAIIAhYCAwJAc3EAfgAAAAAAAnNxAH4ABP///////////////v////7/////dXEAfgAHAAAABF1XUMl4eHdFAh4AAgECAgIbAgQCBQIGAgcCCAIJAgoCCwIMAg0CCAIIAggCCAIIAggCCAIIAggCCAIIAggCCAIIAggCCAIIAhYCAwJBc3EAfgAAAAAAAnNxAH4ABP///////////////v////7/////dXEAfgAHAAAABBtHMdN4eHdFAh4AAgECAgInAgQCBQIGAgcCCAIJAgoCCwIMAg0CCAIIAggCCAIIAggCCAIIAggCCAIIAggCCAIIAggCCAIIAhYCAwJCc3EAfgAAAAAAAnNxAH4ABP///////////////v////7/////dXEAfgAHAAAABA5TyYx4eHdFAh4AAgECAgItAgQCBQIGAgcCCAIJAiECCwIMAg0CCAIIAggCCAIIAggCCAIIAggCCAIIAggCCAIIAggCCAIIAhYCAwJDc3EAfgAAAAAAAnNxAH4ABP///////////////v////7/////dXEAfgAHAAAAAwzG/nh4d00CHgACAQICAkQABjIwMTYwNgIEAgUCBgIHAggCCQIKAgsCDAINAggCCAIIAggCCAIIAggCCAIIAggCCAIIAggCCAIIAggCCAIWAgMCRXNxAH4AAAAAAAJzcQB+AAT///////////////7////+/////3VxAH4ABwAAAAQDq4uteHh3RQIeAAIBAgICLwIEAgUCBgIHAggCCQIhAgsCDAINAggCCAIIAggCCAIIAggCCAIIAggCCAIIAggCCAIIAggCCAIWAgMCRnNxAH4AAAAAAAJzcQB+AAT///////////////7////+AAAAAHVxAH4ABwAAAAB4eHeaAh4AAgECAgJHAAYyMDE4MDECBAIFAgYCBwIIAgkCIQILAgwCDQIIAggCCAIIAggCCAIIAggCCAIIAggCCAIIAggCCAIIAggCFgIDAkYCHgACAQICAkgABjIwMTgwMgIEAgUCBgIHAggCCQIcAgsCDAINAggCCAIIAggCCAIIAggCCAIIAggCCAIIAggCCAIIAggCCAIWAgMCSXNxAH4AAAAAAAJzcQB+AAT///////////////7////+/////3VxAH4ABwAAAARPKnH5eHh3RQIeAAIBAgICJQIEAgUCBgIHAggCCQIcAgsCDAINAggCCAIIAggCCAIIAggCCAIIAggCCAIIAggCCAIIAggCCAIWAgMCSnNxAH4AAAAAAAJzcQB+AAT///////////////7////+/////3VxAH4ABwAAAARxBllJeHh3TQIeAAIBAgICSwAGMjAxNzAxAgQCBQIGAgcCCAIJAhwCCwIMAg0CCAIIAggCCAIIAggCCAIIAggCCAIIAggCCAIIAggCCAIIAhYCAwJMc3EAfgAAAAAAAnNxAH4ABP///////////////v////7/////dXEAfgAHAAAABD0VO3Z4eHdFAh4AAgECAgIxAgQCBQIGAgcCCAIJAhwCCwIMAg0CCAIIAggCCAIIAggCCAIIAggCCAIIAggCCAIIAggCCAIIAhYCAwJNc3EAfgAAAAAAAnNxAH4ABP///////////////v////7/////dXEAfgAHAAAABEI0vHx4eHeaAh4AAgECAgJOAAYyMDE3MTECBAIFAgYCBwIIAgkCIQILAgwCDQIIAggCCAIIAggCCAIIAggCCAIIAggCCAIIAggCCAIIAggCFgIDAkYCHgACAQICAk8ABjIwMTcwOAIEAgUCBgIHAggCCQIhAgsCDAINAggCCAIIAggCCAIIAggCCAIIAggCCAIIAggCCAIIAggCCAIWAgMCUHNxAH4AAAAAAAJzcQB+AAT///////////////7////+/////3VxAH4ABwAAAAMEJQl4eHdNAh4AAgECAgJRAAYyMDE2MTACBAIFAgYCBwIIAgkCIQILAgwCDQIIAggCCAIIAggCCAIIAggCCAIIAggCCAIIAggCCAIIAggCFgIDAlJzcQB+AAAAAAACc3EAfgAE///////////////+/////v////91cQB+AAcAAAADBT+veHh3TQIeAAIBAgICUwAGMjAxNjA3AgQCBQIGAgcCCAIJAiECCwIMAg0CCAIIAggCCAIIAggCCAIIAggCCAIIAggCCAIIAggCCAIIAhYCAwJUc3EAfgAAAAAAAnNxAH4ABP///////////////v////7/////dXEAfgAHAAAAAwmef3h4d00CHgACAQICAlUABjIwMTcwNwIEAgUCBgIHAggCCQIKAgsCDAINAggCCAIIAggCCAIIAggCCAIIAggCCAIIAggCCAIIAggCCAIWAgMCVnNxAH4AAAAAAAJzcQB+AAT///////////////7////+/////3VxAH4ABwAAAAQCCvb0eHh3RQIeAAIBAgICTwIEAgUCBgIHAggCCQIKAgsCDAINAggCCAIIAggCCAIIAggCCAIIAggCCAIIAggCCAIIAggCCAIWAgMCV3NxAH4AAAAAAAJzcQB+AAT///////////////7////+/////3VxAH4ABwAAAAMylNZ4eHdFAh4AAgECAgJTAgQCBQIGAgcCCAIJAgoCCwIMAg0CCAIIAggCCAIIAggCCAIIAggCCAIIAggCCAIIAggCCAIIAhYCAwJYc3EAfgAAAAAAAnNxAH4ABP///////////////v////7/////dXEAfgAHAAAABAM2kpl4eHdFAh4AAgECAgIeAgQCBQIGAgcCCAIJAiECCwIMAg0CCAIIAggCCAIIAggCCAIIAggCCAIIAggCCAIIAggCCAIIAhYCAwJZc3EAfgAAAAAAAnNxAH4ABP///////////////v////7/////dXEAfgAHAAAAAwR0jXh4d0UCHgACAQICAjMCBAIFAgYCBwIIAgkCHAILAgwCDQIIAggCCAIIAggCCAIIAggCCAIIAggCCAIIAggCCAIIAggCFgIDAlpzcQB+AAAAAAACc3EAfgAE///////////////+/////v////91cQB+AAcAAAAEKKPaWXh4d0UCHgACAQICAjsCBAIFAgYCBwIIAgkCHAILAgwCDQIIAggCCAIIAggCCAIIAggCCAIIAggCCAIIAggCCAIIAggCFgIDAltzcQB+AAAAAAACc3EAfgAE///////////////+/////v////91cQB+AAcAAAAEWAsHLHh4d00CHgACAQICAlwABjIwMTYwNQIEAgUCBgIHAggCCQIcAgsCDAINAggCCAIIAggCCAIIAggCCAIIAggCCAIIAggCCAIIAggCCAIWAgMCXXNxAH4AAAAAAAJzcQB+AAT///////////////7////+/////3VxAH4ABwAAAARMKwuAeHh3RQIeAAIBAgICPgIEAgUCBgIHAggCCQIcAgsCDAINAggCCAIIAggCCAIIAggCCAIIAggCCAIIAggCCAIIAggCCAIWAgMCXnNxAH4AAAAAAAJzcQB+AAT///////////////7////+/////3VxAH4ABwAAAAQSVBWqeHh3RQIeAAIBAgICKQIEAgUCBgIHAggCCQIhAgsCDAINAggCCAIIAggCCAIIAggCCAIIAggCCAIIAggCCAIIAggCCAIWAgMCX3NxAH4AAAAAAAJzcQB+AAT///////////////7////+/////3VxAH4ABwAAAAMEq5d4eHdFAh4AAgECAgIDAgQCBQIGAgcCCAIJAiECCwIMAg0CCAIIAggCCAIIAggCCAIIAggCCAIIAggCCAIIAggCCAIIAhYCAwJgc3EAfgAAAAAAAnNxAH4ABP///////////////v////7/////dXEAfgAHAAAAAwPcq3h4d0UCHgACAQICAisCBAIFAgYCBwIIAgkCIQILAgwCDQIIAggCCAIIAggCCAIIAggCCAIIAggCCAIIAggCCAIIAggCFgIDAmFzcQB+AAAAAAACc3EAfgAE///////////////+/////v////91cQB+AAcAAAADEhXLeHh3RQIeAAIBAgICIAIEAgUCBgIHAggCCQIKAgsCDAINAggCCAIIAggCCAIIAggCCAIIAggCCAIIAggCCAIIAggCCAIWAgMCYnNxAH4AAAAAAAJzcQB+AAT///////////////7////+/////3VxAH4ABwAAAAQCvT+keHh3RQIeAAIBAgICNwIEAgUCBgIHAggCCQIhAgsCDAINAggCCAIIAggCCAIIAggCCAIIAggCCAIIAggCCAIIAggCCAIWAgMCY3NxAH4AAAAAAAJzcQB+AAT///////////////7////+/////3VxAH4ABwAAAAMEVit4eHdFAh4AAgECAgJHAgQCBQIGAgcCCAIJAgoCCwIMAg0CCAIIAggCCAIIAggCCAIIAggCCAIIAggCCAIIAggCCAIIAhYCAwJkc3EAfgAAAAAAAnNxAH4ABP///////////////v////7/////dXEAfgAHAAAABCZxo1d4eHdFAh4AAgECAgJVAgQCBQIGAgcCCAIJAhwCCwIMAg0CCAIIAggCCAIIAggCCAIIAggCCAIIAggCCAIIAggCCAIIAhYCAwJlc3EAfgAAAAAAAnNxAH4ABP///////////////v////7/////dXEAfgAHAAAABF7UYvh4eHdFAh4AAgECAgJEAgQCBQIGAgcCCAIJAhwCCwIMAg0CCAIIAggCCAIIAggCCAIIAggCCAIIAggCCAIIAggCCAIIAhYCAwJmc3EAfgAAAAAAAnNxAH4ABP///////////////v////7/////dXEAfgAHAAAABFSIS5t4eHdFAh4AAgECAgIzAgQCBQIGAgcCCAIJAgoCCwIMAg0CCAIIAggCCAIIAggCCAIIAggCCAIIAggCCAIIAggCCAIIAhYCAwJnc3EAfgAAAAAAAnNxAH4ABP///////////////v////7/////dXEAfgAHAAAABDuLiL14eHdFAh4AAgECAgJRAgQCBQIGAgcCCAIJAhwCCwIMAg0CCAIIAggCCAIIAggCCAIIAggCCAIIAggCCAIIAggCCAIIAhYCAwJoc3EAfgAAAAAAAnNxAH4ABP///////////////v////7/////dXEAfgAHAAAABGKNyxZ4eHdFAh4AAgECAgJTAgQCBQIGAgcCCAIJAhwCCwIMAg0CCAIIAggCCAIIAggCCAIIAggCCAIIAggCCAIIAggCCAIIAhYCAwJpc3EAfgAAAAAAAnNxAH4ABP///////////////v////7/////dXEAfgAHAAAABFovta14eHdFAh4AAgECAgIbAgQCBQIGAgcCCAIJAiECCwIMAg0CCAIIAggCCAIIAggCCAIIAggCCAIIAggCCAIIAggCCAIIAhYCAwJqc3EAfgAAAAAAAnNxAH4ABP///////////////v////7/////dXEAfgAHAAAAAwT7aHh4d0UCHgACAQICAiUCBAIFAgYCBwIIAgkCCgILAgwCDQIIAggCCAIIAggCCAIIAggCCAIIAggCCAIIAggCCAIIAggCFgIDAmtzcQB+AAAAAAACc3EAfgAE///////////////+/////gAAAAF1cQB+AAcAAAAEAo6woHh4d0UCHgACAQICAksCBAIFAgYCBwIIAgkCCgILAgwCDQIIAggCCAIIAggCCAIIAggCCAIIAggCCAIIAggCCAIIAggCFgIDAmxzcQB+AAAAAAACc3EAfgAE///////////////+/////v////91cQB+AAcAAAAEKOmGtnh4d0UCHgACAQICAlwCBAIFAgYCBwIIAgkCIQILAgwCDQIIAggCCAIIAggCCAIIAggCCAIIAggCCAIIAggCCAIIAggCFgIDAm1zcQB+AAAAAAACc3EAfgAE///////////////+/////v////91cQB+AAcAAAADC4KteHh3RQIeAAIBAgICSAIEAgUCBgIHAggCCQIKAgsCDAINAggCCAIIAggCCAIIAggCCAIIAggCCAIIAggCCAIIAggCCAIWAgMCbnNxAH4AAAAAAAJzcQB+AAT///////////////7////+/////3VxAH4ABwAAAAQZYudleHh3RQIeAAIBAgICXAIEAgUCBgIHAggCCQIKAgsCDAINAggCCAIIAggCCAIIAggCCAIIAggCCAIIAggCCAIIAggCCAIWAgMCb3NxAH4AAAAAAAJzcQB+AAT///////////////7////+/////3VxAH4ABwAAAAQENonjeHh3RQIeAAIBAgICAwIEAgUCBgIHAggCCQIcAgsCDAINAggCCAIIAggCCAIIAggCCAIIAggCCAIIAggCCAIIAggCCAIWAgMCcHNxAH4AAAAAAAJzcQB+AAT///////////////7////+/////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AAT///////////////7////+/////3VxAH4ABwAAAAMGaCt4eHdFAh4AAgECAgJOAgQCBQIGAgcCCAIJAhwCCwIMAg0CCAIIAggCCAIIAggCCAIIAggCCAIIAggCCAIIAggCCAIIAhYCAwJyc3EAfgAAAAAAAnNxAH4ABP///////////////v////7/////dXEAfgAHAAAABDDQqrN4eHdFAh4AAgECAgJPAgQCBQIGAgcCCAIJAhwCCwIMAg0CCAIIAggCCAIIAggCCAIIAggCCAIIAggCCAIIAggCCAIIAhYCAwJzc3EAfgAAAAAAAnNxAH4ABP///////////////v////7/////dXEAfgAHAAAABGUxQat4eHdFAh4AAgECAgJLAgQCBQIGAgcCCAIJAiECCwIMAg0CCAIIAggCCAIIAggCCAIIAggCCAIIAggCCAIIAggCCAIIAhYCAwJ0c3EAfgAAAAAAAnNxAH4ABP///////////////v////7/////dXEAfgAHAAAAAwVk/3h4d0UCHgACAQICAjsCBAIFAgYCBwIIAgkCCgILAgwCDQIIAggCCAIIAggCCAIIAggCCAIIAggCCAIIAggCCAIIAggCFgIDAnVzcQB+AAAAAAACc3EAfgAE///////////////+/////v////91cQB+AAcAAAAEA91NIHh4d0UCHgACAQICAkQCBAIFAgYCBwIIAgkCIQILAgwCDQIIAggCCAIIAggCCAIIAggCCAIIAggCCAIIAggCCAIIAggCFgIDAnZzcQB+AAAAAAACc3EAfgAE///////////////+/////v////91cQB+AAcAAAADCoBUeHh3RQIeAAIBAgICRwIEAgUCBgIHAggCCQIcAgsCDAINAggCCAIIAggCCAIIAggCCAIIAggCCAIIAggCCAIIAggCCAIWAgMCd3NxAH4AAAAAAAJzcQB+AAT///////////////7////+/////3VxAH4ABwAAAARO7ujaeHh3RQIeAAIBAgICUQIEAgUCBgIHAggCCQIKAgsCDAINAggCCAIIAggCCAIIAggCCAIIAggCCAIIAggCCAIIAggCCAIWAgMCeHNxAH4AAAAAAAJzcQB+AAT///////////////7////+/////3VxAH4ABwAAAAO8XLJ4eHdFAh4AAgECAgItAgQCBQIGAgcCCAIJAhwCCwIMAg0CCAIIAggCCAIIAggCCAIIAggCCAIIAggCCAIIAggCCAIIAhYCAwJ5c3EAfgAAAAAAAnNxAH4ABP///////////////v////7/////dXEAfgAHAAAABEhweK94eHdFAh4AAgECAgI3AgQCBQIGAgcCCAIJAhwCCwIMAg0CCAIIAggCCAIIAggCCAIIAggCCAIIAggCCAIIAggCCAIIAhYCAwJ6c3EAfgAAAAAAAnNxAH4ABP///////////////v////7/////dXEAfgAHAAAABFn95fJ4eHdFAh4AAgECAgJOAgQCBQIGAgcCCAIJAgoCCwIMAg0CCAIIAggCCAIIAggCCAIIAggCCAIIAggCCAIIAggCCAIIAhYCAwJ7c3EAfgAAAAAAAnNxAH4ABP///////////////v////7/////dXEAfgAHAAAABES6V7x4eHdFAh4AAgECAgJVAgQCBQIGAgcCCAIJAiECCwIMAg0CCAIIAggCCAIIAggCCAIIAggCCAIIAggCCAIIAggCCAIIAhYCAwJ8c3EAfgAAAAAAAnNxAH4ABP///////////////v////7/////dXEAfgAHAAAAAwQ0OHh4d0UCHgACAQICAjUCBAIFAgYCBwIIAgkCHAILAgwCDQIIAggCCAIIAggCCAIIAggCCAIIAggCCAIIAggCCAIIAggCFgIDAn1zcQB+AAAAAAACc3EAfgAE///////////////+/////v////91cQB+AAcAAAAEYTEIFHh4d0UCHgACAQICAisCBAIFAgYCBwIIAgkCCgILAgwCDQIIAggCCAIIAggCCAIIAggCCAIIAggCCAIIAggCCAIIAggCFgIDAn5zcQB+AAAAAAACc3EAfgAE///////////////+/////v////91cQB+AAcAAAAECCX/sXh4d0UCHgACAQICAi8CBAIFAgYCBwIIAgkCCgILAgwCDQIIAggCCAIIAggCCAIIAggCCAIIAggCCAIIAggCCAIIAggCFgIDAn9zcQB+AAAAAAACc3EAfgAE///////////////+/////v////91cQB+AAcAAAAEBxk/mXh4d0UCHgACAQICAikCBAIFAgYCBwIIAgkCCgILAgwCDQIIAggCCAIIAggCCAIIAggCCAIIAggCCAIIAggCCAIIAggCFgIDAoBzcQB+AAAAAAACc3EAfgAE///////////////+/////v////91cQB+AAcAAAAEEP3yI3h4d0UCHgACAQICAiMCBAIFAgYCBwIIAgkCIQILAgwCDQIIAggCCAIIAggCCAIIAggCCAIIAggCCAIIAggCCAIIAggCFgIDAoFzcQB+AAAAAAACc3EAfgAE///////////////+/////v////91cQB+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v////7/////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v////7/////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v////7/////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v////7/////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Ah4AAoICAgIrAgQCBQIGAgcCCAIJAgoCCwIMAg0CCAIIAggCCAIIAggCCAIIAggCCAIIAggCCAIIAggCCAIIAhICAwJ+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AgQCBQIGAgcCCAIJAiECCwIMAg0CCAIIAggCCAIIAggCCAIIAggCCAIIAggCCAIIAggCCAIIAhQCAwJxAh4AAokCAgJOAgQCBQIGAgcCCAIJAgoCCwIMAg0CCAIIAggCCAIIAggCCAIIAggCCAIIAggCCAIIAggCCAIIAhQCAwJ7Ah4AAokCAgIrAgQCBQIGAgcCCAIJAgoCCwIMAg0CCAIIAggCCAIIAggCCAIIAggCCAIIAggCCAIIAggCCAIIAhQCAwJ+Ah4AAokCAgIvAgQCBQIGAgcCCAIJAgoCCwIMAg0CCAIIAggCCAIIAggCCAIIAggCCAIIAggCCAIIAggCCAIIAhQCAwJ/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AAAAAAACc3EAfgAE///////////////+/////v////91cQB+AAcAAAADEp6veHh3RQIeAAKMAgICJQIEAgUCBgIHAggCCQIcAgsCjgINAggCCAIIAggCCAIIAggCCAIIAggCCAIIAggCCAIIAggCCAITAgMCkHNxAH4AAAAAAAJzcQB+AAT///////////////7////+/////3VxAH4ABwAAAAQ5RS7+eHh3RQIeAAKMAgICGwIEAgUCBgIHAggCCQIKAgsCjgINAggCCAIIAggCCAIIAggCCAIIAggCCAIIAggCCAIIAggCCAITAgMCkXNxAH4AAAAAAAJzcQB+AAT///////////////7////+/////3VxAH4ABwAAAAQOCxxKeHh3RQIeAAKMAgICRwIEAgUCBgIHAggCCQIcAgsCjgINAggCCAIIAggCCAIIAggCCAIIAggCCAIIAggCCAIIAggCCAITAgMCknNxAH4AAAAAAAJzcQB+AAT///////////////7////+/////3VxAH4ABwAAAAQpII+FeHh3RQIeAAKMAgICIAIEAgUCBgIHAggCCQIcAgsCjgINAggCCAIIAggCCAIIAggCCAIIAggCCAIIAggCCAIIAggCCAITAgMCk3NxAH4AAAAAAAJzcQB+AAT///////////////7////+/////3VxAH4ABwAAAAQx77UZeHh3RQIeAAKMAgICJwIEAgUCBgIHAggCCQIKAgsCjgINAggCCAIIAggCCAIIAggCCAIIAggCCAIIAggCCAIIAggCCAITAgMClHNxAH4AAAAAAAJzcQB+AAT///////////////7////+/////3VxAH4ABwAAAAQE4d6ZeHh3RQIeAAKMAgICIAIEAgUCBgIHAggCCQKNAgsCjgINAggCCAIIAggCCAIIAggCCAIIAggCCAIIAggCCAIIAggCCAITAgMClXNxAH4AAAAAAAJzcQB+AAT///////////////7////+/////3VxAH4ABwAAAAMSb0Z4eHdFAh4AAowCAgI1AgQCBQIGAgcCCAIJAhwCCwKOAg0CCAIIAggCCAIIAggCCAIIAggCCAIIAggCCAIIAggCCAIIAhMCAwKWc3EAfgAAAAAAAnNxAH4ABP///////////////v////7/////dXEAfgAHAAAABDO8lpJ4eHdFAh4AAowCAgJIAgQCBQIGAgcCCAIJAhwCCwKOAg0CCAIIAggCCAIIAggCCAIIAggCCAIIAggCCAIIAggCCAIIAhMCAwKXc3EAfgAAAAAAAnNxAH4ABP///////////////v////7/////dXEAfgAHAAAABClGhLZ4eHdFAh4AAowCAgJLAgQCBQIGAgcCCAIJAhwCCwKOAg0CCAIIAggCCAIIAggCCAIIAggCCAIIAggCCAIIAggCCAIIAhMCAwKYc3EAfgAAAAAAAnNxAH4ABP///////////////v////7/////dXEAfgAHAAAABB2x+kx4eHdFAh4AAowCAgIlAgQCBQIGAgcCCAIJAo0CCwKOAg0CCAIIAggCCAIIAggCCAIIAggCCAIIAggCCAIIAggCCAIIAhMCAwKZc3EAfgAAAAAAAnNxAH4ABP///////////////v////7/////dXEAfgAHAAAAAxKiqHh4d0UCHgACjAICAisCBAIFAgYCBwIIAgkCCgILAo4CDQIIAggCCAIIAggCCAIIAggCCAIIAggCCAIIAggCCAIIAggCEwIDAppzcQB+AAAAAAACc3EAfgAE///////////////+/////v////91cQB+AAcAAAAEBFuSEHh4d0UCHgACjAICAikCBAIFAgYCBwIIAgkCCgILAo4CDQIIAggCCAIIAggCCAIIAggCCAIIAggCCAIIAggCCAIIAggCEwIDAptzcQB+AAAAAAACc3EAfgAE///////////////+/////v////91cQB+AAcAAAAECL1IIXh4d0UCHgACjAICAi8CBAIFAgYCBwIIAgkCCgILAo4CDQIIAggCCAIIAggCCAIIAggCCAIIAggCCAIIAggCCAIIAggCEwIDApxzcQB+AAAAAAACc3EAfgAE///////////////+/////v////91cQB+AAcAAAAEATJrz3h4d0UCHgACjAICAjMCBAIFAgYCBwIIAgkCjQILAo4CDQIIAggCCAIIAggCCAIIAggCCAIIAggCCAIIAggCCAIIAggCEwIDAp1zcQB+AAAAAAACc3EAfgAE///////////////+/////v////91cQB+AAcAAAADEn8GeHh3RQIeAAKMAgICNQIEAgUCBgIHAggCCQKNAgsCjgINAggCCAIIAggCCAIIAggCCAIIAggCCAIIAggCCAIIAggCCAITAgMCnnNxAH4AAAAAAAJzcQB+AAT///////////////7////+/////3VxAH4ABwAAAAMSczV4eHdFAh4AAowCAgJcAgQCBQIGAgcCCAIJAo0CCwKOAg0CCAIIAggCCAIIAggCCAIIAggCCAIIAggCCAIIAggCCAIIAhMCAwKfc3EAfgAAAAAAAnNxAH4ABP///////////////v////7/////dXEAfgAHAAAAAxJjf3h4d0UCHgACjAICAjsCBAIFAgYCBwIIAgkCjQILAo4CDQIIAggCCAIIAggCCAIIAggCCAIIAggCCAIIAggCCAIIAggCEwIDAqBzcQB+AAAAAAACc3EAfgAE///////////////+/////v////91cQB+AAcAAAADEpbAeHh3RQIeAAKMAgICIwIEAgUCBgIHAggCCQIKAgsCjgINAggCCAIIAggCCAIIAggCCAIIAggCCAIIAggCCAIIAggCCAITAgMCoXNxAH4AAAAAAAJzcQB+AAT///////////////7////+/////3VxAH4ABwAAAAQC+0uLeHh3RQIeAAKMAgICHgIEAgUCBgIHAggCCQIKAgsCjgINAggCCAIIAggCCAIIAggCCAIIAggCCAIIAggCCAIIAggCCAITAgMConNxAH4AAAAAAAJzcQB+AAT///////////////7////+/////3VxAH4ABwAAAAQFBKNBeHh3RQIeAAKMAgICgwIEAgUCBgIHAggCCQIKAgsCjgINAggCCAIIAggCCAIIAggCCAIIAggCCAIIAggCCAIIAggCCAITAgMCo3NxAH4AAAAAAAJzcQB+AAT///////////////7////+AAAAAXVxAH4ABwAAAAM2pbZ4eHdFAh4AAowCAgItAgQCBQIGAgcCCAIJAo0CCwKOAg0CCAIIAggCCAIIAggCCAIIAggCCAIIAggCCAIIAggCCAIIAhMCAwKkc3EAfgAAAAAAAnNxAH4ABP///////////////v////7/////dXEAfgAHAAAAAxJflHh4d0UCHgACjAICAi8CBAIFAgYCBwIIAgkCHAILAo4CDQIIAggCCAIIAggCCAIIAggCCAIIAggCCAIIAggCCAIIAggCEwIDAqVzcQB+AAAAAAACc3EAfgAE///////////////+/////v////91cQB+AAcAAAAELvQU/3h4d0UCHgACjAICAikCBAIFAgYCBwIIAgkCHAILAo4CDQIIAggCCAIIAggCCAIIAggCCAIIAggCCAIIAggCCAIIAggCEwIDAqZzcQB+AAAAAAACc3EAfgAE///////////////+/////v////91cQB+AAcAAAAEJngfcXh4d0UCHgACjAICAisCBAIFAgYCBwIIAgkCHAILAo4CDQIIAggCCAIIAggCCAIIAggCCAIIAggCCAIIAggCCAIIAggCEwIDAqdzcQB+AAAAAAACc3EAfgAE///////////////+/////v////91cQB+AAcAAAAEG7MeXHh4d4oCHgACjAICAk4CBAIFAgYCBwIIAgkCjQILAo4CDQIIAggCCAIIAggCCAIIAggCCAIIAggCCAIIAggCCAIIAggCEwIDAkYCHgACjAICAk8CBAIFAgYCBwIIAgkCHAILAo4CDQIIAggCCAIIAggCCAIIAggCCAIIAggCCAIIAggCCAIIAggCEwIDAqhzcQB+AAAAAAACc3EAfgAE///////////////+/////v////91cQB+AAcAAAAENDlU6Hh4d4oCHgACjAICAkcCBAIFAgYCBwIIAgkCjQILAo4CDQIIAggCCAIIAggCCAIIAggCCAIIAggCCAIIAggCCAIIAggCEwIDAkYCHgACjAICAiACBAIFAgYCBwIIAgkCCgILAo4CDQIIAggCCAIIAggCCAIIAggCCAIIAggCCAIIAggCCAIIAggCEwIDAqlzcQB+AAAAAAACc3EAfgAE///////////////+/////v////91cQB+AAcAAAADnrKqeHh3igIeAAKMAgICLwIEAgUCBgIHAggCCQKNAgsCjgINAggCCAIIAggCCAIIAggCCAIIAggCCAIIAggCCAIIAggCCAITAgMCRgIeAAKMAgICMQIEAgUCBgIHAggCCQIKAgsCjgINAggCCAIIAggCCAIIAggCCAIIAggCCAIIAggCCAIIAggCCAITAgMCqnNxAH4AAAAAAAJzcQB+AAT///////////////7////+/////3VxAH4ABwAAAAQWt6iieHh3RQIeAAKMAgICSwIEAgUCBgIHAggCCQIKAgsCjgINAggCCAIIAggCCAIIAggCCAIIAggCCAIIAggCCAIIAggCCAITAgMCq3NxAH4AAAAAAAJzcQB+AAT///////////////7////+/////3VxAH4ABwAAAAQUOveDeHh3RQIeAAKMAgICJQIEAgUCBgIHAggCCQIKAgsCjgINAggCCAIIAggCCAIIAggCCAIIAggCCAIIAggCCAIIAggCCAITAgMCrHNxAH4AAAAAAAJzcQB+AAT///////////////7////+AAAAAXVxAH4ABwAAAAQCWhLSeHh3RQIeAAKMAgICUQIEAgUCBgIHAggCCQIcAgsCjgINAggCCAIIAggCCAIIAggCCAIIAggCCAIIAggCCAIIAggCCAITAgMCrXNxAH4AAAAAAAJzcQB+AAT///////////////7////+/////3VxAH4ABwAAAAQ0mEcjeHh3RQIeAAKMAgICUwIEAgUCBgIHAggCCQIcAgsCjgINAggCCAIIAggCCAIIAggCCAIIAggCCAIIAggCCAIIAggCCAITAgMCrnNxAH4AAAAAAAJzcQB+AAT///////////////7////+/////3VxAH4ABwAAAAQu/eCSeHh3RQIeAAKMAgICSAIEAgUCBgIHAggCCQIKAgsCjgINAggCCAIIAggCCAIIAggCCAIIAggCCAIIAggCCAIIAggCCAITAgMCr3NxAH4AAAAAAAJzcQB+AAT///////////////7////+/////3VxAH4ABwAAAAQKK9PneHh3RQIeAAKMAgICUwIEAgUCBgIHAggCCQKNAgsCjgINAggCCAIIAggCCAIIAggCCAIIAggCCAIIAggCCAIIAggCCAITAgMCsHNxAH4AAAAAAAJzcQB+AAT///////////////7////+/////3VxAH4ABwAAAAMSa1h4eHdFAh4AAowCAgJRAgQCBQIGAgcCCAIJAo0CCwKOAg0CCAIIAggCCAIIAggCCAIIAggCCAIIAggCCAIIAggCCAIIAhMCAwKxc3EAfgAAAAAAAnNxAH4ABP///////////////v////7/////dXEAfgAHAAAAAxJ3JXh4d0UCHgACjAICAlwCBAIFAgYCBwIIAgkCCgILAo4CDQIIAggCCAIIAggCCAIIAggCCAIIAggCCAIIAggCCAIIAggCEwIDArJzcQB+AAAAAAACc3EAfgAE///////////////+/////v////91cQB+AAcAAAAEAc1Kd3h4d0UCHgACjAICAjsCBAIFAgYCBwIIAgkCCgILAo4CDQIIAggCCAIIAggCCAIIAggCCAIIAggCCAIIAggCCAIIAggCEwIDArNzcQB+AAAAAAACc3EAfgAE///////////////+/////v////91cQB+AAcAAAAEAW1K0nh4d0UCHgACjAICAoMCBAIFAgYCBwIIAgkCHAILAo4CDQIIAggCCAIIAggCCAIIAggCCAIIAggCCAIIAggCCAIIAggCEwIDArRzcQB+AAAAAAACc3EAfgAE///////////////+/////v////91cQB+AAcAAAAEL/7GXHh4d0UCHgACjAICAgMCBAIFAgYCBwIIAgkCjQILAo4CDQIIAggCCAIIAggCCAIIAggCCAIIAggCCAIIAggCCAIIAggCEwIDArVzcQB+AAAAAAACc3EAfgAE///////////////+/////v////91cQB+AAcAAAADEqaieHh3RQIeAAKMAgICTgIEAgUCBgIHAggCCQIcAgsCjgINAggCCAIIAggCCAIIAggCCAIIAggCCAIIAggCCAIIAggCCAITAgMCtnNxAH4AAAAAAAJzcQB+AAT///////////////7////+/////3VxAH4ABwAAAAQcI3yQeHh3igIeAAKMAgICgwIEAgUCBgIHAggCCQKNAgsCjgINAggCCAIIAggCCAIIAggCCAIIAggCCAIIAggCCAIIAggCCAITAgMCRgIeAAKMAgICHgIEAgUCBgIHAggCCQIcAgsCjgINAggCCAIIAggCCAIIAggCCAIIAggCCAIIAggCCAIIAggCCAITAgMCt3NxAH4AAAAAAAJzcQB+AAT///////////////7////+/////3VxAH4ABwAAAAQp4OUTeHh3RQIeAAKMAgICKQIEAgUCBgIHAggCCQKNAgsCjgINAggCCAIIAggCCAIIAggCCAIIAggCCAIIAggCCAIIAggCCAITAgMCuHNxAH4AAAAAAAJzcQB+AAT///////////////7////+/////3VxAH4ABwAAAAMSit94eHdFAh4AAowCAgI+AgQCBQIGAgcCCAIJAgoCCwKOAg0CCAIIAggCCAIIAggCCAIIAggCCAIIAggCCAIIAggCCAIIAhMCAwK5c3EAfgAAAAAAAnNxAH4ABP///////////////v////7/////dXEAfgAHAAAABCWQ0ft4eHdFAh4AAowCAgIDAgQCBQIGAgcCCAIJAhwCCwKOAg0CCAIIAggCCAIIAggCCAIIAggCCAIIAggCCAIIAggCCAIIAhMCAwK6c3EAfgAAAAAAAnNxAH4ABP///////////////v////7/////dXEAfgAHAAAABENETeB4eHdFAh4AAowCAgItAgQCBQIGAgcCCAIJAhwCCwKOAg0CCAIIAggCCAIIAggCCAIIAggCCAIIAggCCAIIAggCCAIIAhMCAwK7c3EAfgAAAAAAAnNxAH4ABP///////////////v////7/////dXEAfgAHAAAABCPGeP14eHdFAh4AAowCAgIrAgQCBQIGAgcCCAIJAo0CCwKOAg0CCAIIAggCCAIIAggCCAIIAggCCAIIAggCCAIIAggCCAIIAhMCAwK8c3EAfgAAAAAAAnNxAH4ABP///////////////v////7/////dXEAfgAHAAAAAxJXv3h4d0UCHgACjAICAlUCBAIFAgYCBwIIAgkCCgILAo4CDQIIAggCCAIIAggCCAIIAggCCAIIAggCCAIIAggCCAIIAggCEwIDAr1zcQB+AAAAAAACc3EAfgAE///////////////+/////v////91cQB+AAcAAAADTrgKeHh3RQIeAAKMAgICNwIEAgUCBgIHAggCCQKNAgsCjgINAggCCAIIAggCCAIIAggCCAIIAggCCAIIAggCCAIIAggCCAITAgMCvnNxAH4AAAAAAAJzcQB+AAT///////////////7////+/////3VxAH4ABwAAAAMSksp4eHeKAh4AAowCAgKEAgQCBQIGAgcCCAIJAo0CCwKOAg0CCAIIAggCCAIIAggCCAIIAggCCAIIAggCCAIIAggCCAIIAhMCAwJGAh4AAowCAgKEAgQCBQIGAgcCCAIJAhwCCwKOAg0CCAIIAggCCAIIAggCCAIIAggCCAIIAggCCAIIAggCCAIIAhMCAwK/c3EAfgAAAAAAAnNxAH4ABP///////////////v////7/////dXEAfgAHAAAABDDwgSh4eHdFAh4AAowCAgJOAgQCBQIGAgcCCAIJAgoCCwKOAg0CCAIIAggCCAIIAggCCAIIAggCCAIIAggCCAIIAggCCAIIAhMCAwLAc3EAfgAAAAAAAnNxAH4ABP///////////////v////7/////dXEAfgAHAAAABB7AdGx4eHdFAh4AAowCAgIxAgQCBQIGAgcCCAIJAhwCCwKOAg0CCAIIAggCCAIIAggCCAIIAggCCAIIAggCCAIIAggCCAIIAhMCAwLBc3EAfgAAAAAAAnNxAH4ABP///////////////v////7/////dXEAfgAHAAAABCQ0bfR4eHdFAh4AAowCAgI3AgQCBQIGAgcCCAIJAhwCCwKOAg0CCAIIAggCCAIIAggCCAIIAggCCAIIAggCCAIIAggCCAIIAhMCAwLCc3EAfgAAAAAAAnNxAH4ABP///////////////v////7/////dXEAfgAHAAAABComTwt4eHdFAh4AAowCAgJRAgQCBQIGAgcCCAIJAgoCCwKOAg0CCAIIAggCCAIIAggCCAIIAggCCAIIAggCCAIIAggCCAIIAhMCAwLDc3EAfgAAAAAAAnNxAH4ABP///////////////v////4AAAABdXEAfgAHAAAAA7lyfHh4d4oCHgACjAICAicCBAIFAgYCBwIIAgkCjQILAo4CDQIIAggCCAIIAggCCAIIAggCCAIIAggCCAIIAggCCAIIAggCEwIDAkYCHgACjAICAkQCBAIFAgYCBwIIAgkCCgILAo4CDQIIAggCCAIIAggCCAIIAggCCAIIAggCCAIIAggCCAIIAggCEwIDAsRzcQB+AAAAAAACc3EAfgAE///////////////+/////v////91cQB+AAcAAAAEAWTK8nh4d0UCHgACjAICAjsCBAIFAgYCBwIIAgkCHAILAo4CDQIIAggCCAIIAggCCAIIAggCCAIIAggCCAIIAggCCAIIAggCEwIDAsVzcQB+AAAAAAACc3EAfgAE///////////////+/////v////91cQB+AAcAAAAEKgtGIXh4d0UCHgACjAICAlwCBAIFAgYCBwIIAgkCHAILAo4CDQIIAggCCAIIAggCCAIIAggCCAIIAggCCAIIAggCCAIIAggCEwIDAsZzcQB+AAAAAAACc3EAfgAE///////////////+/////v////91cQB+AAcAAAAEJi8ywnh4d0UCHgACjAICAhsCBAIFAgYCBwIIAgkCjQILAo4CDQIIAggCCAIIAggCCAIIAggCCAIIAggCCAIIAggCCAIIAggCEwIDAsdzcQB+AAAAAAACc3EAfgAE///////////////+/////v////91cQB+AAcAAAADEobreHh3RQIeAAKMAgICMwIEAgUCBgIHAggCCQIcAgsCjgINAggCCAIIAggCCAIIAggCCAIIAggCCAIIAggCCAIIAggCCAITAgMCyHNxAH4AAAAAAAJzcQB+AAT///////////////7////+/////3VxAH4ABwAAAAQVrLWfeHh3RQIeAAKMAgICJwIEAgUCBgIHAggCCQIcAgsCjgINAggCCAIIAggCCAIIAggCCAIIAggCCAIIAggCCAIIAggCCAITAgMCyXNxAH4AAAAAAAJzcQB+AAT///////////////7////+/////3VxAH4ABwAAAAQqwrH4eHh3igIeAAKMAgICSAIEAgUCBgIHAggCCQKNAgsCjgINAggCCAIIAggCCAIIAggCCAIIAggCCAIIAggCCAIIAggCCAITAgMCRgIeAAKMAgICSwIEAgUCBgIHAggCCQKNAgsCjgINAggCCAIIAggCCAIIAggCCAIIAggCCAIIAggCCAIIAggCCAITAgMCynNxAH4AAAAAAAJzcQB+AAT///////////////7////+/////3VxAH4ABwAAAAMSgvh4eHdFAh4AAowCAgJPAgQCBQIGAgcCCAIJAgoCCwKOAg0CCAIIAggCCAIIAggCCAIIAggCCAIIAggCCAIIAggCCAIIAhMCAwLLc3EAfgAAAAAAAnNxAH4ABP///////////////v////4AAAABdXEAfgAHAAAAA/+JXnh4d0UCHgACjAICAlMCBAIFAgYCBwIIAgkCCgILAo4CDQIIAggCCAIIAggCCAIIAggCCAIIAggCCAIIAggCCAIIAggCEwIDAsxzcQB+AAAAAAACc3EAfgAE///////////////+/////v////91cQB+AAcAAAAEAQaUYHh4d0UCHgACjAICAgMCBAIFAgYCBwIIAgkCCgILAo4CDQIIAggCCAIIAggCCAIIAggCCAIIAggCCAIIAggCCAIIAggCEwIDAs1zcQB+AAAAAAACc3EAfgAE///////////////+/////gAAAAF1cQB+AAcAAAAEBhtaanh4d0UCHgACjAICAhsCBAIFAgYCBwIIAgkCHAILAo4CDQIIAggCCAIIAggCCAIIAggCCAIIAggCCAIIAggCCAIIAggCEwIDAs5zcQB+AAAAAAACc3EAfgAE///////////////+/////v////91cQB+AAcAAAAEIgqsMXh4d0UCHgACjAICAlUCBAIFAgYCBwIIAgkCHAILAo4CDQIIAggCCAIIAggCCAIIAggCCAIIAggCCAIIAggCCAIIAggCEwIDAs9zcQB+AAAAAAACc3EAfgAE///////////////+/////v////91cQB+AAcAAAAELpGFK3h4d0UCHgACjAICAkQCBAIFAgYCBwIIAgkCHAILAo4CDQIIAggCCAIIAggCCAIIAggCCAIIAggCCAIIAggCCAIIAggCEwIDAtBzcQB+AAAAAAACc3EAfgAE///////////////+/////v////91cQB+AAcAAAAEKxALUXh4d4oCHgACjAICAjECBAIFAgYCBwIIAgkCjQILAo4CDQIIAggCCAIIAggCCAIIAggCCAIIAggCCAIIAggCCAIIAggCEwIDAkYCHgACjAICAj4CBAIFAgYCBwIIAgkCHAILAo4CDQIIAggCCAIIAggCCAIIAggCCAIIAggCCAIIAggCCAIIAggCEwIDAtFzcQB+AAAAAAACc3EAfgAE///////////////+/////v////91cQB+AAcAAAAEC9ESdHh4d0UCHgACjAICAkcCBAIFAgYCBwIIAgkCCgILAo4CDQIIAggCCAIIAggCCAIIAggCCAIIAggCCAIIAggCCAIIAggCEwIDAtJzcQB+AAAAAAACc3EAfgAE///////////////+/////v////91cQB+AAcAAAAEEKaLJHh4d0UCHgACjAICAkQCBAIFAgYCBwIIAgkCjQILAo4CDQIIAggCCAIIAggCCAIIAggCCAIIAggCCAIIAggCCAIIAggCEwIDAtNzcQB+AAAAAAACc3EAfgAE///////////////+/////v////91cQB+AAcAAAADEmdreHh3RQIeAAKMAgICPgIEAgUCBgIHAggCCQKNAgsCjgINAggCCAIIAggCCAIIAggCCAIIAggCCAIIAggCCAIIAggCCAITAgMC1HNxAH4AAAAAAAJzcQB+AAT///////////////7////+/////3VxAH4ABwAAAAMSexV4eHdFAh4AAowCAgJVAgQCBQIGAgcCCAIJAo0CCwKOAg0CCAIIAggCCAIIAggCCAIIAggCCAIIAggCCAIIAggCCAIIAhMCAwLVc3EAfgAAAAAAAnNxAH4ABP///////////////v////7/////dXEAfgAHAAAAAxKat3h4d0UCHgACjAICAjcCBAIFAgYCBwIIAgkCCgILAo4CDQIIAggCCAIIAggCCAIIAggCCAIIAggCCAIIAggCCAIIAggCEwIDAtZzcQB+AAAAAAACc3EAfgAE///////////////+/////v////91cQB+AAcAAAAEAtdnVHh4d0UCHgACjAICAi0CBAIFAgYCBwIIAgkCCgILAo4CDQIIAggCCAIIAggCCAIIAggCCAIIAggCCAIIAggCCAIIAggCEwIDAtdzcQB+AAAAAAACc3EAfgAE///////////////+/////v////91cQB+AAcAAAAEAlAe6Xh4d0UCHgACjAICAjUCBAIFAgYCBwIIAgkCCgILAo4CDQIIAggCCAIIAggCCAIIAggCCAIIAggCCAIIAggCCAIIAggCEwIDAthzcQB+AAAAAAACc3EAfgAE///////////////+/////v////91cQB+AAcAAAADMvcReHh3RQIeAAKMAgICMwIEAgUCBgIHAggCCQIKAgsCjgINAggCCAIIAggCCAIIAggCCAIIAggCCAIIAggCCAIIAggCCAITAgMC2XNxAH4AAAAAAAJzcQB+AAT///////////////7////+/////3VxAH4ABwAAAAQdEKl0eHh3RQIeAAKMAgICHgIEAgUCBgIHAggCCQKNAgsCjgINAggCCAIIAggCCAIIAggCCAIIAggCCAIIAggCCAIIAggCCAITAgMC2nNxAH4AAAAAAAJzcQB+AAT///////////////7////+/////3VxAH4ABwAAAAMSjtR4eHdFAh4AAowCAgIjAgQCBQIGAgcCCAIJAhwCCwKOAg0CCAIIAggCCAIIAggCCAIIAggCCAIIAggCCAIIAggCCAIIAhMCAwLbc3EAfgAAAAAAAnNxAH4ABP///////////////v////7/////dXEAfgAHAAAABB6uCU94eHdFAh4AAowCAgIjAgQCBQIGAgcCCAIJAo0CCwKOAg0CCAIIAggCCAIIAggCCAIIAggCCAIIAggCCAIIAggCCAIIAhMCAwLcc3EAfgAAAAAAAnNxAH4ABP///////////////v////7/////dXEAfgAHAAAAAxJbqXh4d0UCHgACjAICAoQCBAIFAgYCBwIIAgkCCgILAo4CDQIIAggCCAIIAggCCAIIAggCCAIIAggCCAIIAggCCAIIAggCEwIDAt1zcQB+AAAAAAACc3EAfgAE///////////////+/////gAAAAF1cQB+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AAT///////////////7////+/////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xxe4awand>
</file>

<file path=customXml/item3.xml><?xml version="1.0" encoding="utf-8"?>
<xxe4awand xmlns="http://www.excel4apps.com"><![CDATA[rO0ABXfZCMCtii8ABJsFAh4AAERjb20uZXhjZWw0YXBwcy53YW5kLm9yYWNsZS5n
bHdhbmQuY2FsY3VsYXRpb25zLmdldGJhbGFuY2UuR2V0QmFsYW5jZQIBAAk1NzU5
OTcwMTYCAgABMAIDAAYyMDE4MDM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DAgMCHHNxAH4AAAAA
AAJzcQB+AAT///////////////7////+/////3VxAH4ABwAAAAQiCqwxeHh3TQIeAAIBAgICHQAGMjAxNzA0AgQCBQIGAgcCCAIJAgoCCwIMAg0CCAIIAggCCAIIAggCCAIIAggCCAIIAggCCAIIAggCCAIIAgMCAwIec3EAfgAAAAAAAnNxAH4ABP///////////////v////7/////dXEAfgAHAAAABCng5RN4eHdNAh4AAgECAgIfAAYyMDE3MDcCBAIFAgYCBwIIAgkCCgILAgwCDQIIAggCCAIIAggCCAIIAggCCAIIAggCCAIIAggCCAIIAggCAwIDAiBzcQB+AAAAAAACc3EAfgAE///////////////+/////v////91cQB+AAcAAAAELpGFK3h4d00CHgACAQICAiEABjIwMTcwOQIEAgUCBgIHAggCCQIKAgsCDAINAggCCAIIAggCCAIIAggCCAIIAggCCAIIAggCCAIIAggCCAIDAgMCInNxAH4AAAAAAAJzcQB+AAT///////////////7////+/////3VxAH4ABwAAAAQ5RS7+eHh3TQIeAAIBAgICIwAGMjAxNzExAgQCBQIGAgcCCAIJAgoCCwIMAg0CCAIIAggCCAIIAggCCAIIAggCCAIIAggCCAIIAggCCAIIAgMCAwIkc3EAfgAAAAAAAnNxAH4ABP///////////////v////7/////dXEAfgAHAAAABBwjfJB4eHdNAh4AAgECAgIlAAYyMDE3MDYCBAIFAgYCBwIIAgkCCgILAgwCDQIIAggCCAIIAggCCAIIAggCCAIIAggCCAIIAggCCAIIAggCAwIDAiZzcQB+AAAAAAACc3EAfgAE///////////////+/////v////91cQB+AAcAAAAEKgtGIXh4d00CHgACAQICAicABjIwMTgwNQIEAgUCBgIHAggCCQIKAgsCDAINAggCCAIIAggCCAIIAggCCAIIAggCCAIIAggCCAIIAggCCAIDAgMCKHNxAH4AAAAAAAJzcQB+AAT///////////////7////+/////3VxAH4ABwAAAAQv/sZceHh3TQIeAAIBAgICKQAGMjAxODAxAgQCBQIGAgcCCAIJAgoCCwIMAg0CCAIIAggCCAIIAggCCAIIAggCCAIIAggCCAIIAggCCAIIAgMCAwIqc3EAfgAAAAAAAnNxAH4ABP///////////////v////7/////dXEAfgAHAAAABCkgj4V4eHdNAh4AAgECAgIrAAYyMDE4MDQCBAIFAgYCBwIIAgkCCgILAgwCDQIIAggCCAIIAggCCAIIAggCCAIIAggCCAIIAggCCAIIAggCAwIDAixzcQB+AAAAAAACc3EAfgAE///////////////+/////v////91cQB+AAcAAAAELvQU/3h4d00CHgACAQICAi0ABjIwMTgwMgIEAgUCBgIHAggCCQIKAgsCDAINAggCCAIIAggCCAIIAggCCAIIAggCCAIIAggCCAIIAggCCAIDAgMCLnNxAH4AAAAAAAJzcQB+AAT///////////////7////+/////3VxAH4ABwAAAAQpRoS2eHh3TQIeAAIBAgICLwAGMjAxNzA4AgQCBQIGAgcCCAIJAgoCCwIMAg0CCAIIAggCCAIIAggCCAIIAggCCAIIAggCCAIIAggCCAIIAgMCAwIwc3EAfgAAAAAAAnNxAH4ABP///////////////v////7/////dXEAfgAHAAAABDQ5VOh4eHdNAh4AAgECAgIxAAYyMDE3MDMCBAIFAgYCBwIIAgkCCgILAgwCDQIIAggCCAIIAggCCAIIAggCCAIIAggCCAIIAggCCAIIAggCAwIDAjJzcQB+AAAAAAACc3EAfgAE///////////////+/////v////91cQB+AAcAAAAEJngfcXh4d00CHgACAQICAjMABjIwMTcwNQIEAgUCBgIHAggCCQIKAgsCDAINAggCCAIIAggCCAIIAggCCAIIAggCCAIIAggCCAIIAggCCAIDAgMCNHNxAH4AAAAAAAJzcQB+AAT///////////////7////+/////3VxAH4ABwAAAAQqJk8LeHh3TQIeAAIBAgICNQAGMjAxNzAxAgQCBQIGAgcCCAIJAgoCCwIMAg0CCAIIAggCCAIIAggCCAIIAggCCAIIAggCCAIIAggCCAIIAgMCAwI2c3EAfgAAAAAAAnNxAH4ABP///////////////v////7/////dXEAfgAHAAAABB2x+kx4eHdNAh4AAgECAgI3AAYyMDE3MTACBAIFAgYCBwIIAgkCCgILAgwCDQIIAggCCAIIAggCCAIIAggCCAIIAggCCAIIAggCCAIIAggCAwIDAjhzcQB+AAAAAAACc3EAfgAE///////////////+/////v////91cQB+AAcAAAAEQ0RN4Hh4d00CHgACAQICAjkABjIwMTcxMgIEAgUCBgIHAggCCQIKAgsCDAINAggCCAIIAggCCAIIAggCCAIIAggCCAIIAggCCAIIAggCCAIDAgMCOnNxAH4AAAAAAAJzcQB+AAT///////////////7////+/////3VxAH4ABwAAAAQkNG30eHh3TQIeAAIBAgICOwAGMjAxODA2AgQCBQIGAgcCCAIJAgoCCwIMAg0CCAIIAggCCAIIAggCCAIIAggCCAIIAggCCAIIAggCCAIIAgMCAwI8c3EAfgAAAAAAAnNxAH4ABP///////////////v////7/////dXEAfgAHAAAABDDwgSh4eHdYAh4AAj0ACTY5MTM2MzYzMgICAj4ABjIwMTYwNwIEAgUCBgIHAggCCQIKAgsCDAINAggCCAIIAggCCAIIAggCCAIIAggCCAIIAggCCAIIAggCCAIpAgMCP3NxAH4AAAAAAAJzcQB+AAT///////////////7////+/////3VxAH4ABwAAAAQu/eCSeHh3TQIeAAI9AgICQAAGMjAxODA5AgQCBQIGAgcCCAIJAgoCCwIMAg0CCAIIAggCCAIIAggCCAIIAggCCAIIAggCCAIIAggCCAIIAikCAwJBc3EAfgAAAAAAAnNxAH4ABP///////////////v////7/////dXEAfgAHAAAABDWm++V4eHdVAh4AAj0CAgJCAAYyMDE2MDkCBAIFAgYCBwIIAgkCQwAGMTkxMDAwAgsCDAINAggCCAIIAggCCAIIAggCCAIIAggCCAIIAggCCAIIAggCCAIpAgMCRHNxAH4AAAAAAAJzcQB+AAT///////////////7////+/////3VxAH4ABwAAAAMy9xF4eHdVAh4AAj0CAgJFAAYyMDE4MDgCBAIFAgYCBwIIAgkCRgAGMTkxMDE1AgsCDAINAggCCAIIAggCCAIIAggCCAIIAggCCAIIAggCCAIIAggCCAIpAgMCR3NxAH4AAAAAAAJzcQB+AAT///////////////7////+AAAAAHVxAH4ABwAAAAB4eHdFAh4AAj0CAgIvAgQCBQIGAgcCCAIJAkYCCwIMAg0CCAIIAggCCAIIAggCCAIIAggCCAIIAggCCAIIAggCCAIIAikCAwJIc3EAfgAAAAAAAnNxAH4ABP///////////////v////7/////dXEAfgAHAAAAAxKer3h4d0UCHgACPQICAiECBAIFAgYCBwIIAgkCQwILAgwCDQIIAggCCAIIAggCCAIIAggCCAIIAggCCAIIAggCCAIIAggCKQIDAklzcQB+AAAAAAACc3EAfgAE///////////////+/////gAAAAF1cQB+AAcAAAAEAloS0nh4d0UCHgACPQICAi0CBAIFAgYCBwIIAgkCQwILAgwCDQIIAggCCAIIAggCCAIIAggCCAIIAggCCAIIAggCCAIIAggCKQIDAkpzcQB+AAAAAAACc3EAfgAE///////////////+/////v////91cQB+AAcAAAAECivT53h4d00CHgACPQICAksABjIwMTYxMgIEAgUCBgIHAggCCQJGAgsCDAINAggCCAIIAggCCAIIAggCCAIIAggCCAIIAggCCAIIAggCCAIpAgMCTHNxAH4AAAAAAAJzcQB+AAT///////////////7////+/////3VxAH4ABwAAAAMSfwZ4eHdFAh4AAj0CAgIbAgQCBQIGAgcCCAIJAkMCCwIMAg0CCAIIAggCCAIIAggCCAIIAggCCAIIAggCCAIIAggCCAIIAikCAwJNc3EAfgAAAAAAAnNxAH4ABP///////////////v////7/////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AAAAAAACc3EAfgAE///////////////+/////v////91cQB+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AAT///////////////7////+/////3VxAH4ABwAAAAQmLzLCeHh3igIeAAI9AgICOQIEAgUCBgIHAggCCQJGAgsCDAINAggCCAIIAggCCAIIAggCCAIIAggCCAIIAggCCAIIAggCCAIpAgMCRwIeAAI9AgICNQIEAgUCBgIHAggCCQJGAgsCDAINAggCCAIIAggCCAIIAggCCAIIAggCCAIIAggCCAIIAggCCAIpAgMCVXNxAH4AAAAAAAJzcQB+AAT///////////////7////+/////3VxAH4ABwAAAAMSgvh4eHdFAh4AAj0CAgIfAgQCBQIGAgcCCAIJAkMCCwIMAg0CCAIIAggCCAIIAggCCAIIAggCCAIIAggCCAIIAggCCAIIAikCAwJWc3EAfgAAAAAAAnNxAH4ABP///////////////v////7/////dXEAfgAHAAAAA064Cnh4d0UCHgACPQICAjcCBAIFAgYCBwIIAgkCQwILAgwCDQIIAggCCAIIAggCCAIIAggCCAIIAggCCAIIAggCCAIIAggCKQIDAldzcQB+AAAAAAACc3EAfgAE///////////////+/////gAAAAF1cQB+AAcAAAAEBhtaanh4d00CHgACPQICAlgABjIwMTYxMAIEAgUCBgIHAggCCQJGAgsCDAINAggCCAIIAggCCAIIAggCCAIIAggCCAIIAggCCAIIAggCCAIpAgMCWXNxAH4AAAAAAAJzcQB+AAT///////////////7////+/////3VxAH4ABwAAAAMSdyV4eHdFAh4AAj0CAgIdAgQCBQIGAgcCCAIJAkMCCwIMAg0CCAIIAggCCAIIAggCCAIIAggCCAIIAggCCAIIAggCCAIIAikCAwJac3EAfgAAAAAAAnNxAH4ABP///////////////v////7/////dXEAfgAHAAAABAUEo0F4eHeKAh4AAj0CAgJQAgQCBQIGAgcCCAIJAgoCCwIMAg0CCAIIAggCCAIIAggCCAIIAggCCAIIAggCCAIIAggCCAIIAikCAwJRAh4AAj0CAgIlAgQCBQIGAgcCCAIJAkYCCwIMAg0CCAIIAggCCAIIAggCCAIIAggCCAIIAggCCAIIAggCCAIIAikCAwJbc3EAfgAAAAAAAnNxAH4ABP///////////////v////7/////dXEAfgAHAAAAAxKWwHh4d00CHgACPQICAlwABjIwMTYwMgIEAgUCBgIHAggCCQIKAgsCDAINAggCCAIIAggCCAIIAggCCAIIAggCCAIIAggCCAIIAggCCAIpAgMCXXNxAH4AAAAAAAJzcQB+AAT///////////////7////+/////3VxAH4ABwAAAAQbsx5ceHh3RQIeAAI9AgICXAIEAgUCBgIHAggCCQJGAgsCDAINAggCCAIIAggCCAIIAggCCAIIAggCCAIIAggCCAIIAggCCAIpAgMCXnNxAH4AAAAAAAJzcQB+AAT///////////////7////+/////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AAT///////////////7////+/////3VxAH4ABwAAAAQCUB7peHh3TQIeAAI9AgICYgAGMjAxNjExAgQCBQIGAgcCCAIJAkMCCwIMAg0CCAIIAggCCAIIAggCCAIIAggCCAIIAggCCAIIAggCCAIIAikCAwJjc3EAfgAAAAAAAnNxAH4ABP///////////////v////7/////dXEAfgAHAAAABCWQ0ft4eHdNAh4AAj0CAgJkAAYyMDE2MDMCBAIFAgYCBwIIAgkCCgILAgwCDQIIAggCCAIIAggCCAIIAggCCAIIAggCCAIIAggCCAIIAggCKQIDAmVzcQB+AAAAAAACc3EAfgAE///////////////+/////v////91cQB+AAcAAAAEHq4JT3h4d0UCHgACPQICAjsCBAIFAgYCBwIIAgkCQwILAgwCDQIIAggCCAIIAggCCAIIAggCCAIIAggCCAIIAggCCAIIAggCKQIDAmZzcQB+AAAAAAACc3EAfgAE///////////////+/////gAAAAF1cQB+AAcAAAAEAaNwu3h4d0UCHgACPQICAh0CBAIFAgYCBwIIAgkCRgILAgwCDQIIAggCCAIIAggCCAIIAggCCAIIAggCCAIIAggCCAIIAggCKQIDAmdzcQB+AAAAAAACc3EAfgAE///////////////+/////v////91cQB+AAcAAAADEo7UeHh3RQIeAAI9AgICWAIEAgUCBgIHAggCCQIKAgsCDAINAggCCAIIAggCCAIIAggCCAIIAggCCAIIAggCCAIIAggCCAIpAgMCaHNxAH4AAAAAAAJzcQB+AAT///////////////7////+/////3VxAH4ABwAAAAQ0mEcjeHh3RQIeAAI9AgICUwIEAgUCBgIHAggCCQJDAgsCDAINAggCCAIIAggCCAIIAggCCAIIAggCCAIIAggCCAIIAggCCAIpAgMCaXNxAH4AAAAAAAJzcQB+AAT///////////////7////+/////3VxAH4ABwAAAAQBzUp3eHh3igIeAAI9AgICJwIEAgUCBgIHAggCCQIKAgsCDAINAggCCAIIAggCCAIIAggCCAIIAggCCAIIAggCCAIIAggCCAIpAgMCKAIeAAI9AgICYAIEAgUCBgIHAggCCQIKAgsCDAINAggCCAIIAggCCAIIAggCCAIIAggCCAIIAggCCAIIAggCCAIpAgMCanNxAH4AAAAAAAJzcQB+AAT///////////////7////+/////3VxAH4ABwAAAAQjxnj9eHh3RQIeAAI9AgICUgIEAgUCBgIHAggCCQJDAgsCDAINAggCCAIIAggCCAIIAggCCAIIAggCCAIIAggCCAIIAggCCAIpAgMCa3NxAH4AAAAAAAJzcQB+AAT///////////////7////+AAAAAXVxAH4ABwAAAAQC1DjseHh3RQIeAAI9AgICMQIEAgUCBgIHAggCCQJDAgsCDAINAggCCAIIAggCCAIIAggCCAIIAggCCAIIAggCCAIIAggCCAIpAgMCbHNxAH4AAAAAAAJzcQB+AAT///////////////7////+/////3VxAH4ABwAAAAQIvUgheHh3RQIeAAI9AgICMwIEAgUCBgIHAggCCQJGAgsCDAINAggCCAIIAggCCAIIAggCCAIIAggCCAIIAggCCAIIAggCCAIpAgMCbXNxAH4AAAAAAAJzcQB+AAT///////////////7////+/////3VxAH4ABwAAAAMSksp4eHdFAh4AAj0CAgJCAgQCBQIGAgcCCAIJAgoCCwIMAg0CCAIIAggCCAIIAggCCAIIAggCCAIIAggCCAIIAggCCAIIAikCAwJuc3EAfgAAAAAAAnNxAH4ABP///////////////v////7/////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v////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AAT///////////////7////+/////3VxAH4ABwAAAAMSZ2t4eHdFAh4AAj0CAgI3AgQCBQIGAgcCCAIJAkYCCwIMAg0CCAIIAggCCAIIAggCCAIIAggCCAIIAggCCAIIAggCCAIIAikCAwJyc3EAfgAAAAAAAnNxAH4ABP///////////////v////7/////dXEAfgAHAAAAAxKmonh4d0UCHgACPQICAi8CBAIFAgYCBwIIAgkCQwILAgwCDQIIAggCCAIIAggCCAIIAggCCAIIAggCCAIIAggCCAIIAggCKQIDAnNzcQB+AAAAAAACc3EAfgAE///////////////+/////gAAAAF1cQB+AAcAAAAD/4leeHh3RQIeAAI9AgICKQIEAgUCBgIHAggCCQJDAgsCDAINAggCCAIIAggCCAIIAggCCAIIAggCCAIIAggCCAIIAggCCAIpAgMCdHNxAH4AAAAAAAJzcQB+AAT///////////////7////+/////3VxAH4ABwAAAAQQposkeHh3igIeAAI9AgICLwIEAgUCBgIHAggCCQIKAgsCDAINAggCCAIIAggCCAIIAggCCAIIAggCCAIIAggCCAIIAggCCAIpAgMCMAIeAAI9AgICPgIEAgUCBgIHAggCCQJGAgsCDAINAggCCAIIAggCCAIIAggCCAIIAggCCAIIAggCCAIIAggCCAIpAgMCdXNxAH4AAAAAAAJzcQB+AAT///////////////7////+/////3VxAH4ABwAAAAMSa1h4eHdFAh4AAj0CAgI1AgQCBQIGAgcCCAIJAkMCCwIMAg0CCAIIAggCCAIIAggCCAIIAggCCAIIAggCCAIIAggCCAIIAikCAwJ2c3EAfgAAAAAAAnNxAH4ABP///////////////v////7/////dXEAfgAHAAAABBQ694N4eHdFAh4AAj0CAgJOAgQCBQIGAgcCCAIJAgoCCwIMAg0CCAIIAggCCAIIAggCCAIIAggCCAIIAggCCAIIAggCCAIIAikCAwJ3c3EAfgAAAAAAAnNxAH4ABP///////////////v////7/////dXEAfgAHAAAABDHvtRl4eHeKAh4AAj0CAgIpAgQCBQIGAgcCCAIJAgoCCwIMAg0CCAIIAggCCAIIAggCCAIIAggCCAIIAggCCAIIAggCCAIIAikCAwIqAh4AAj0CAgIhAgQCBQIGAgcCCAIJAkYCCwIMAg0CCAIIAggCCAIIAggCCAIIAggCCAIIAggCCAIIAggCCAIIAikCAwJ4c3EAfgAAAAAAAnNxAH4ABP///////////////v////7/////dXEAfgAHAAAAAxKiqHh4d4oCHgACPQICAkACBAIFAgYCBwIIAgkCRgILAgwCDQIIAggCCAIIAggCCAIIAggCCAIIAggCCAIIAggCCAIIAggCKQIDAkcCHgACPQICAmICBAIFAgYCBwIIAgkCRgILAgwCDQIIAggCCAIIAggCCAIIAggCCAIIAggCCAIIAggCCAIIAggCKQIDAnlzcQB+AAAAAAACc3EAfgAE///////////////+/////v////91cQB+AAcAAAADEnsVeHh3RQIeAAI9AgICAwIEAgUCBgIHAggCCQJDAgsCDAINAggCCAIIAggCCAIIAggCCAIIAggCCAIIAggCCAIIAggCCAIpAgMCenNxAH4AAAAAAAJzcQB+AAT///////////////7////+/////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AAT///////////////7////+/////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v////7/////dXEAfgAHAAAABAL7S4t4eHdFAh4AAj0CAgJOAgQCBQIGAgcCCAIJAkMCCwIMAg0CCAIIAggCCAIIAggCCAIIAggCCAIIAggCCAIIAggCCAIIAikCAwJ9c3EAfgAAAAAAAnNxAH4ABP///////////////v////7/////dXEAfgAHAAAAA56yqnh4d0UCHgACPQICAicCBAIFAgYCBwIIAgkCQwILAgwCDQIIAggCCAIIAggCCAIIAggCCAIIAggCCAIIAggCCAIIAggCKQIDAn5zcQB+AAAAAAACc3EAfgAE///////////////+/////gAAAAF1cQB+AAcAAAADNqW2eHh3igIeAAI9AgICNwIEAgUCBgIHAggCCQIKAgsCDAINAggCCAIIAggCCAIIAggCCAIIAggCCAIIAggCCAIIAggCCAIpAgMCOAIeAAI9AgICMQIEAgUCBgIHAggCCQJGAgsCDAINAggCCAIIAggCCAIIAggCCAIIAggCCAIIAggCCAIIAggCCAIpAgMCf3NxAH4AAAAAAAJzcQB+AAT///////////////7////+/////3VxAH4ABwAAAAMSit94eHdFAh4AAj0CAgI5AgQCBQIGAgcCCAIJAkMCCwIMAg0CCAIIAggCCAIIAggCCAIIAggCCAIIAggCCAIIAggCCAIIAikCAwKAc3EAfgAAAAAAAnNxAH4ABP///////////////v////7/////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v////7/////dXEAfgAHAAAABALXZ1R4eHeKAh4AAj0CAgInAgQCBQIGAgcCCAIJAkYCCwIMAg0CCAIIAggCCAIIAggCCAIIAggCCAIIAggCCAIIAggCCAIIAikCAwJHAh4AAj0CAgJkAgQCBQIGAgcCCAIJAkYCCwIMAg0CCAIIAggCCAIIAggCCAIIAggCCAIIAggCCAIIAggCCAIIAikCAwKCc3EAfgAAAAAAAnNxAH4ABP///////////////v////7/////dXEAfgAHAAAAAxJbqXh4d4oCHgACPQICAiMCBAIFAgYCBwIIAgkCCgILAgwCDQIIAggCCAIIAggCCAIIAggCCAIIAggCCAIIAggCCAIIAggCKQIDAiQCHgACPQICAnACBAIFAgYCBwIIAgkCQwILAgwCDQIIAggCCAIIAggCCAIIAggCCAIIAggCCAIIAggCCAIIAggCKQIDAoNzcQB+AAAAAAACc3EAfgAE///////////////+/////v////91cQB+AAcAAAAEAWTK8nh4d4oCHgACPQICAjMCBAIFAgYCBwIIAgkCCgILAgwCDQIIAggCCAIIAggCCAIIAggCCAIIAggCCAIIAggCCAIIAggCKQIDAjQCHgACPQICAksCBAIFAgYCBwIIAgkCQwILAgwCDQIIAggCCAIIAggCCAIIAggCCAIIAggCCAIIAggCCAIIAggCKQIDAoRzcQB+AAAAAAACc3EAfgAE///////////////+/////v////91cQB+AAcAAAAEHRCpdHh4d0UCHgACPQICAiUCBAIFAgYCBwIIAgkCQwILAgwCDQIIAggCCAIIAggCCAIIAggCCAIIAggCCAIIAggCCAIIAggCKQIDAoVzcQB+AAAAAAACc3EAfgAE///////////////+/////v////91cQB+AAcAAAAEAW1K0nh4d0UCHgACPQICAmICBAIFAgYCBwIIAgkCCgILAgwCDQIIAggCCAIIAggCCAIIAggCCAIIAggCCAIIAggCCAIIAggCKQIDAoZzcQB+AAAAAAACc3EAfgAE///////////////+/////v////91cQB+AAcAAAAEC9ESdHh4d0UCHgACPQICAmACBAIFAgYCBwIIAgkCRgILAgwCDQIIAggCCAIIAggCCAIIAggCCAIIAggCCAIIAggCCAIIAggCKQIDAodzcQB+AAAAAAACc3EAfgAE///////////////+/////v////91cQB+AAcAAAADEl+UeHh3RQIeAAI9AgICXAIEAgUCBgIHAggCCQJDAgsCDAINAggCCAIIAggCCAIIAggCCAIIAggCCAIIAggCCAIIAggCCAIpAgMCiHNxAH4AAAAAAAJzcQB+AAT///////////////7////+/////3VxAH4ABwAAAAQEW5IQeHh3RQIeAAI9AgICKwIEAgUCBgIHAggCCQJDAgsCDAINAggCCAIIAggCCAIIAggCCAIIAggCCAIIAggCCAIIAggCCAIpAgMCiXNxAH4AAAAAAAJzcQB+AAT///////////////7////+/////3VxAH4ABwAAAAQBMmvPeHh3igIeAAI9AgICOwIEAgUCBgIHAggCCQJGAgsCDAINAggCCAIIAggCCAIIAggCCAIIAggCCAIIAggCCAIIAggCCAIpAgMCRwIeAAI9AgICPgIEAgUCBgIHAggCCQJDAgsCDAINAggCCAIIAggCCAIIAggCCAIIAggCCAIIAggCCAIIAggCCAIpAgMCinNxAH4AAAAAAAJzcQB+AAT///////////////7////+/////3VxAH4ABwAAAAQBBpRgeHh3RQIeAAI9AgICSwIEAgUCBgIHAggCCQIKAgsCDAINAggCCAIIAggCCAIIAggCCAIIAggCCAIIAggCCAIIAggCCAIpAgMCi3NxAH4AAAAAAAJzcQB+AAT///////////////7////+/////3VxAH4ABwAAAAQVrLWfeHh3RQIeAAI9AgICQgIEAgUCBgIHAggCCQJGAgsCDAINAggCCAIIAggCCAIIAggCCAIIAggCCAIIAggCCAIIAggCCAIpAgMCjHNxAH4AAAAAAAJzcQB+AAT///////////////7////+/////3VxAH4ABwAAAAMSczV4eHdFAh4AAj0CAgJwAgQCBQIGAgcCCAIJAgoCCwIMAg0CCAIIAggCCAIIAggCCAIIAggCCAIIAggCCAIIAggCCAIIAikCAwKNc3EAfgAAAAAAAnNxAH4ABP///////////////v////7/////dXEAfgAHAAAABCsQC1F4eHeKAh4AAj0CAgJFAgQCBQIGAgcCCAIJAgoCCwIMAg0CCAIIAggCCAIIAggCCAIIAggCCAIIAggCCAIIAggCCAIIAikCAwJBAh4AAj0CAgIbAgQCBQIGAgcCCAIJAkYCCwIMAg0CCAIIAggCCAIIAggCCAIIAggCCAIIAggCCAIIAggCCAIIAikCAwKOc3EAfgAAAAAAAnNxAH4ABP///////////////v////7/////dXEAfgAHAAAAAxKG63h4d0UCHgACPQICAh8CBAIFAgYCBwIIAgkCRgILAgwCDQIIAggCCAIIAggCCAIIAggCCAIIAggCCAIIAggCCAIIAggCKQIDAo9zcQB+AAAAAAACc3EAfgAE///////////////+/////v////91cQB+AAcAAAADEpq3eHh3RQIeAAI9AgICIwIEAgUCBgIHAggCCQJDAgsCDAINAggCCAIIAggCCAIIAggCCAIIAggCCAIIAggCCAIIAggCCAIpAgMCkHNxAH4AAAAAAAJzcQB+AAT///////////////7////+/////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AAAAAAACc3EAfgAE///////////////+/////v////91cQB+AAcAAAAEWf3l8nh4d0UCHgACkgICAjsCBAIFAgYCBwIIAgkCCgILApMCDQIIAggCCAIIAggCCAIIAggCCAIIAggCCAIIAggCCAIIAggCAgIDApVzcQB+AAAAAAACc3EAfgAE///////////////+/////v////91cQB+AAcAAAAEXRoD03h4d0UCHgACkgICAikCBAIFAgYCBwIIAgkCCgILApMCDQIIAggCCAIIAggCCAIIAggCCAIIAggCCAIIAggCCAIIAggCAgIDApZzcQB+AAAAAAACc3EAfgAE///////////////+/////v////91cQB+AAcAAAAETu7o2nh4d0UCHgACkgICAisCBAIFAgYCBwIIAgkCCgILApMCDQIIAggCCAIIAggCCAIIAggCCAIIAggCCAIIAggCCAIIAggCAgIDApdzcQB+AAAAAAACc3EAfgAE///////////////+/////v////91cQB+AAcAAAAEWqnIX3h4d0UCHgACkgICAiECBAIFAgYCBwIIAgkCCgILApMCDQIIAggCCAIIAggCCAIIAggCCAIIAggCCAIIAggCCAIIAggCAgIDAphzcQB+AAAAAAACc3EAfgAE///////////////+/////v////91cQB+AAcAAAAEcQZZSXh4d0UCHgACkgICAjkCBAIFAgYCBwIIAgkCCgILApMCDQIIAggCCAIIAggCCAIIAggCCAIIAggCCAIIAggCCAIIAggCAgIDAplzcQB+AAAAAAACc3EAfgAE///////////////+/////v////91cQB+AAcAAAAEQjS8fHh4d0UCHgACkgICAjUCBAIFAgYCBwIIAgkCCgILApMCDQIIAggCCAIIAggCCAIIAggCCAIIAggCCAIIAggCCAIIAggCAgIDAppzcQB+AAAAAAACc3EAfgAE///////////////+/////v////91cQB+AAcAAAAEPRU7dnh4d0UCHgACkgICAi0CBAIFAgYCBwIIAgkCCgILApMCDQIIAggCCAIIAggCCAIIAggCCAIIAggCCAIIAggCCAIIAggCAgIDAptzcQB+AAAAAAACc3EAfgAE///////////////+/////v////91cQB+AAcAAAAETypx+Xh4d0UCHgACkgICAh8CBAIFAgYCBwIIAgkCCgILApMCDQIIAggCCAIIAggCCAIIAggCCAIIAggCCAIIAggCCAIIAggCAgIDApxzcQB+AAAAAAACc3EAfgAE///////////////+/////v////91cQB+AAcAAAAEXtRi+Hh4d0UCHgACkgICAjcCBAIFAgYCBwIIAgkCCgILApMCDQIIAggCCAIIAggCCAIIAggCCAIIAggCCAIIAggCCAIIAggCAgIDAp1zcQB+AAAAAAACc3EAfgAE///////////////+/////v////91cQB+AAcAAAAEgtyI8Xh4d0UCHgACkgICAjECBAIFAgYCBwIIAgkCCgILApMCDQIIAggCCAIIAggCCAIIAggCCAIIAggCCAIIAggCCAIIAggCAgIDAp5zcQB+AAAAAAACc3EAfgAE///////////////+/////v////91cQB+AAcAAAAEU2ObJnh4d0UCHgACkgICAiUCBAIFAgYCBwIIAgkCCgILApMCDQIIAggCCAIIAggCCAIIAggCCAIIAggCCAIIAggCCAIIAggCAgIDAp9zcQB+AAAAAAACc3EAfgAE///////////////+/////v////91cQB+AAcAAAAEWAsHLHh4d0UCHgACkgICAicCBAIFAgYCBwIIAgkCCgILApMCDQIIAggCCAIIAggCCAIIAggCCAIIAggCCAIIAggCCAIIAggCAgIDAqBzcQB+AAAAAAACc3EAfgAE///////////////+/////v////91cQB+AAcAAAAEXOXAsHh4d0UCHgACkgICAgMCBAIFAgYCBwIIAgkCCgILApMCDQIIAggCCAIIAggCCAIIAggCCAIIAggCCAIIAggCCAIIAggCAgIDAqFzcQB+AAAAAAACc3EAfgAE///////////////+/////v////91cQB+AAcAAAAEUn6jGnh4d0UCHgACkgICAhsCBAIFAgYCBwIIAgkCCgILApMCDQIIAggCCAIIAggCCAIIAggCCAIIAggCCAIIAggCCAIIAggCAgIDAqJzcQB+AAAAAAACc3EAfgAE///////////////+/////v////91cQB+AAcAAAAESYtTyXh4d0UCHgACkgICAh0CBAIFAgYCBwIIAgkCCgILApMCDQIIAggCCAIIAggCCAIIAggCCAIIAggCCAIIAggCCAIIAggCAgIDAqNzcQB+AAAAAAACc3EAfgAE///////////////+/////v////91cQB+AAcAAAAEWnDZd3h4d0UCHgACkgICAiMCBAIFAgYCBwIIAgkCCgILApMCDQIIAggCCAIIAggCCAIIAggCCAIIAggCCAIIAggCCAIIAggCAgIDAqRzcQB+AAAAAAACc3EAfgAE///////////////+/////v////91cQB+AAcAAAAEMNCqs3h4d0UCHgACkgICAi8CBAIFAgYCBwIIAgkCCgILApMCDQIIAggCCAIIAggCCAIIAggCCAIIAggCCAIIAggCCAIIAggCAgIDAqVzcQB+AAAAAAACc3EAfgAE///////////////+/////v////91cQB+AAcAAAAEZTFBq3h4d1ACHgACpgAJOTAxMzMxMDU2AgICQgIEAgUCBgIHAggCCQIKAgsCkwINAggCCAIIAggCCAIIAggCCAIIAggCCAIIAggCCAIIAggCCAIbAgMCp3NxAH4AAAAAAAJzcQB+AAT///////////////7////+/////3VxAH4ABwAAAARhMQgUeHh3TQIeAAKmAgICHwIEAgUCBgIHAggCCQKoAAYxOTEwMjUCCwKTAg0CCAIIAggCCAIIAggCCAIIAggCCAIIAggCCAIIAggCCAIIAhsCAwKpc3EAfgAAAAAAAnNxAH4ABP///////////////v////7/////dXEAfgAHAAAAAwQ0OHh4d0UCHgACpgICAgMCBAIFAgYCBwIIAgkCQwILApMCDQIIAggCCAIIAggCCAIIAggCCAIIAggCCAIIAggCCAIIAggCGwIDAqpzcQB+AAAAAAACc3EAfgAE///////////////+/////v////91cQB+AAcAAAAEDlPJjHh4d4oCHgACpgICAikCBAIFAgYCBwIIAgkCCgILApMCDQIIAggCCAIIAggCCAIIAggCCAIIAggCCAIIAggCCAIIAggCGwIDApYCHgACpgICAi8CBAIFAgYCBwIIAgkCqAILApMCDQIIAggCCAIIAggCCAIIAggCCAIIAggCCAIIAggCCAIIAggCGwIDAqtzcQB+AAAAAAACc3EAfgAE///////////////+/////v////91cQB+AAcAAAADBCUJeHh3RQIeAAKmAgICGwIEAgUCBgIHAggCCQJDAgsCkwINAggCCAIIAggCCAIIAggCCAIIAggCCAIIAggCCAIIAggCCAIbAgMCrHNxAH4AAAAAAAJzcQB+AAT///////////////7////+/////3VxAH4ABwAAAAQbRzHTeHh3RQIeAAKmAgICcAIEAgUCBgIHAggCCQKoAgsCkwINAggCCAIIAggCCAIIAggCCAIIAggCCAIIAggCCAIIAggCCAIbAgMCrXNxAH4AAAAAAAJzcQB+AAT///////////////7////+/////3VxAH4ABwAAAAMKgFR4eHeKAh4AAqYCAgIDAgQCBQIGAgcCCAIJAgoCCwKTAg0CCAIIAggCCAIIAggCCAIIAggCCAIIAggCCAIIAggCCAIIAhsCAwKhAh4AAqYCAgJLAgQCBQIGAgcCCAIJAqgCCwKTAg0CCAIIAggCCAIIAggCCAIIAggCCAIIAggCCAIIAggCCAIIAhsCAwKuc3EAfgAAAAAAAnNxAH4ABP///////////////v////7/////dXEAfgAHAAAAAwbck3h4d0UCHgACpgICAjUCBAIFAgYCBwIIAgkCQwILApMCDQIIAggCCAIIAggCCAIIAggCCAIIAggCCAIIAggCCAIIAggCGwIDAq9zcQB+AAAAAAACc3EAfgAE///////////////+/////v////91cQB+AAcAAAAEKOmGtnh4d0UCHgACpgICAi0CBAIFAgYCBwIIAgkCQwILApMCDQIIAggCCAIIAggCCAIIAggCCAIIAggCCAIIAggCCAIIAggCGwIDArBzcQB+AAAAAAACc3EAfgAE///////////////+/////v////91cQB+AAcAAAAEGWLnZXh4d0UCHgACpgICAlMCBAIFAgYCBwIIAgkCqAILApMCDQIIAggCCAIIAggCCAIIAggCCAIIAggCCAIIAggCCAIIAggCGwIDArFzcQB+AAAAAAACc3EAfgAE///////////////+/////v////91cQB+AAcAAAADC4KteHh3RQIeAAKmAgICJQIEAgUCBgIHAggCCQKoAgsCkwINAggCCAIIAggCCAIIAggCCAIIAggCCAIIAggCCAIIAggCCAIbAgMCsnNxAH4AAAAAAAJzcQB+AAT///////////////7////+/////3VxAH4ABwAAAAMEQ3p4eHdFAh4AAqYCAgIhAgQCBQIGAgcCCAIJAqgCCwKTAg0CCAIIAggCCAIIAggCCAIIAggCCAIIAggCCAIIAggCCAIIAhsCAwKzc3EAfgAAAAAAAnNxAH4ABP///////////////v////7/////dXEAfgAHAAAAAwQOrnh4d0UCHgACpgICAjMCBAIFAgYCBwIIAgkCqAILApMCDQIIAggCCAIIAggCCAIIAggCCAIIAggCCAIIAggCCAIIAggCGwIDArRzcQB+AAAAAAACc3EAfgAE///////////////+/////v////91cQB+AAcAAAADBFYreHh3RQIeAAKmAgICYAIEAgUCBgIHAggCCQKoAgsCkwINAggCCAIIAggCCAIIAggCCAIIAggCCAIIAggCCAIIAggCCAIbAgMCtXNxAH4AAAAAAAJzcQB+AAT///////////////7////+/////3VxAH4ABwAAAAMMxv54eHdFAh4AAqYCAgJcAgQCBQIGAgcCCAIJAgoCCwKTAg0CCAIIAggCCAIIAggCCAIIAggCCAIIAggCCAIIAggCCAIIAhsCAwK2c3EAfgAAAAAAAnNxAH4ABP///////////////v////7/////dXEAfgAHAAAABDc49U94eHdFAh4AAqYCAgIzAgQCBQIGAgcCCAIJAkMCCwKTAg0CCAIIAggCCAIIAggCCAIIAggCCAIIAggCCAIIAggCCAIIAhsCAwK3c3EAfgAAAAAAAnNxAH4ABP///////////////v////7/////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v////7/////dXEAfgAHAAAABAnwakZ4eHdFAh4AAqYCAgJkAgQCBQIGAgcCCAIJAkMCCwKTAg0CCAIIAggCCAIIAggCCAIIAggCCAIIAggCCAIIAggCCAIIAhsCAwK5c3EAfgAAAAAAAnNxAH4ABP///////////////v////7/////dXEAfgAHAAAABAXojm54eHdFAh4AAqYCAgJCAgQCBQIGAgcCCAIJAkMCCwKTAg0CCAIIAggCCAIIAggCCAIIAggCCAIIAggCCAIIAggCCAIIAhsCAwK6c3EAfgAAAAAAAnNxAH4ABP///////////////v////7/////dXEAfgAHAAAABAIbp254eHeKAh4AAqYCAgIdAgQCBQIGAgcCCAIJAgoCCwKTAg0CCAIIAggCCAIIAggCCAIIAggCCAIIAggCCAIIAggCCAIIAhsCAwKjAh4AAqYCAgI3AgQCBQIGAgcCCAIJAkMCCwKTAg0CCAIIAggCCAIIAggCCAIIAggCCAIIAggCCAIIAggCCAIIAhsCAwK7c3EAfgAAAAAAAnNxAH4ABP///////////////v////4AAAABdXEAfgAHAAAABAkNFf14eHdFAh4AAqYCAgI+AgQCBQIGAgcCCAIJAqgCCwKTAg0CCAIIAggCCAIIAggCCAIIAggCCAIIAggCCAIIAggCCAIIAhsCAwK8c3EAfgAAAAAAAnNxAH4ABP///////////////v////7/////dXEAfgAHAAAAAwmef3h4d4oCHgACpgICAi0CBAIFAgYCBwIIAgkCCgILApMCDQIIAggCCAIIAggCCAIIAggCCAIIAggCCAIIAggCCAIIAggCGwIDApsCHgACpgICAlgCBAIFAgYCBwIIAgkCqAILApMCDQIIAggCCAIIAggCCAIIAggCCAIIAggCCAIIAggCCAIIAggCGwIDAr1zcQB+AAAAAAACc3EAfgAE///////////////+/////v////91cQB+AAcAAAADBT+veHh3RQIeAAKmAgICTgIEAgUCBgIHAggCCQIKAgsCkwINAggCCAIIAggCCAIIAggCCAIIAggCCAIIAggCCAIIAggCCAIbAgMCvnNxAH4AAAAAAAJzcQB+AAT///////////////7////+/////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AAT///////////////7////+/////3VxAH4ABwAAAAQDq4uteHh3RQIeAAKmAgICHwIEAgUCBgIHAggCCQJDAgsCkwINAggCCAIIAggCCAIIAggCCAIIAggCCAIIAggCCAIIAggCCAIbAgMCwHNxAH4AAAAAAAJzcQB+AAT///////////////7////+/////3VxAH4ABwAAAAQCCvb0eHh3RQIeAAKmAgICXAIEAgUCBgIHAggCCQKoAgsCkwINAggCCAIIAggCCAIIAggCCAIIAggCCAIIAggCCAIIAggCCAIbAgMCwXNxAH4AAAAAAAJzcQB+AAT///////////////7////+/////3VxAH4ABwAAAAMSFct4eHdFAh4AAqYCAgJgAgQCBQIGAgcCCAIJAgoCCwKTAg0CCAIIAggCCAIIAggCCAIIAggCCAIIAggCCAIIAggCCAIIAhsCAwLCc3EAfgAAAAAAAnNxAH4ABP///////////////v////7/////dXEAfgAHAAAABEhweK94eHdFAh4AAqYCAgJiAgQCBQIGAgcCCAIJAgoCCwKTAg0CCAIIAggCCAIIAggCCAIIAggCCAIIAggCCAIIAggCCAIIAhsCAwLDc3EAfgAAAAAAAnNxAH4ABP///////////////v////7/////dXEAfgAHAAAABBJUFap4eHdFAh4AAqYCAgIxAgQCBQIGAgcCCAIJAqgCCwKTAg0CCAIIAggCCAIIAggCCAIIAggCCAIIAggCCAIIAggCCAIIAhsCAwLEc3EAfgAAAAAAAnNxAH4ABP///////////////v////7/////dXEAfgAHAAAAAwSrl3h4d0UCHgACpgICAlgCBAIFAgYCBwIIAgkCCgILApMCDQIIAggCCAIIAggCCAIIAggCCAIIAggCCAIIAggCCAIIAggCGwIDAsVzcQB+AAAAAAACc3EAfgAE///////////////+/////v////91cQB+AAcAAAAEYo3LFnh4d0UCHgACpgICAlMCBAIFAgYCBwIIAgkCCgILApMCDQIIAggCCAIIAggCCAIIAggCCAIIAggCCAIIAggCCAIIAggCGwIDAsZzcQB+AAAAAAACc3EAfgAE///////////////+/////v////91cQB+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AAAAAAACc3EAfgAE///////////////+/////v////91cQB+AAcAAAAEBDaJ43h4d4oCHgACpgICAiUCBAIFAgYCBwIIAgkCCgILApMCDQIIAggCCAIIAggCCAIIAggCCAIIAggCCAIIAggCCAIIAggCGwIDAp8CHgACpgICAj4CBAIFAgYCBwIIAgkCQwILApMCDQIIAggCCAIIAggCCAIIAggCCAIIAggCCAIIAggCCAIIAggCGwIDAshzcQB+AAAAAAACc3EAfgAE///////////////+/////v////91cQB+AAcAAAAEAzaSmXh4d0UCHgACpgICAksCBAIFAgYCBwIIAgkCQwILApMCDQIIAggCCAIIAggCCAIIAggCCAIIAggCCAIIAggCCAIIAggCGwIDAslzcQB+AAAAAAACc3EAfgAE///////////////+/////v////91cQB+AAcAAAAEO4uIvXh4d0UCHgACpgICAi8CBAIFAgYCBwIIAgkCQwILApMCDQIIAggCCAIIAggCCAIIAggCCAIIAggCCAIIAggCCAIIAggCGwIDAspzcQB+AAAAAAACc3EAfgAE///////////////+/////v////91cQB+AAcAAAADMpTWeHh3RQIeAAKmAgICZAIEAgUCBgIHAggCCQIKAgsCkwINAggCCAIIAggCCAIIAggCCAIIAggCCAIIAggCCAIIAggCCAIbAgMCy3NxAH4AAAAAAAJzcQB+AAT///////////////7////+/////3VxAH4ABwAAAAQ9+1bieHh3RQIeAAKmAgICGwIEAgUCBgIHAggCCQKoAgsCkwINAggCCAIIAggCCAIIAggCCAIIAggCCAIIAggCCAIIAggCCAIbAgMCzHNxAH4AAAAAAAJzcQB+AAT///////////////7////+/////3VxAH4ABwAAAAME+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v////7/////dXEAfgAHAAAAAwVk/3h4d0UCHgACpgICAjkCBAIFAgYCBwIIAgkCQwILApMCDQIIAggCCAIIAggCCAIIAggCCAIIAggCCAIIAggCCAIIAggCGwIDAs5zcQB+AAAAAAACc3EAfgAE///////////////+/////v////91cQB+AAcAAAAENEm+I3h4d0UCHgACpgICAnACBAIFAgYCBwIIAgkCCgILApMCDQIIAggCCAIIAggCCAIIAggCCAIIAggCCAIIAggCCAIIAggCGwIDAs9zcQB+AAAAAAACc3EAfgAE///////////////+/////v////91cQB+AAcAAAAEVIhLm3h4d0UCHgACpgICAmACBAIFAgYCBwIIAgkCQwILApMCDQIIAggCCAIIAggCCAIIAggCCAIIAggCCAIIAggCCAIIAggCGwIDAtBzcQB+AAAAAAACc3EAfgAE///////////////+/////v////91cQB+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AAAAAAACc3EAfgAE///////////////+/////v////91cQB+AAcAAAAEAr0/pHh4d0UCHgACpgICAmICBAIFAgYCBwIIAgkCQwILApMCDQIIAggCCAIIAggCCAIIAggCCAIIAggCCAIIAggCCAIIAggCGwIDAtJzcQB+AAAAAAACc3EAfgAE///////////////+/////v////91cQB+AAcAAAAETEMOFXh4d0UCHgACpgICAiMCBAIFAgYCBwIIAgkCQwILApMCDQIIAggCCAIIAggCCAIIAggCCAIIAggCCAIIAggCCAIIAggCGwIDAtNzcQB+AAAAAAACc3EAfgAE///////////////+/////v////91cQB+AAcAAAAERLpXvHh4d0UCHgACpgICAiECBAIFAgYCBwIIAgkCQwILApMCDQIIAggCCAIIAggCCAIIAggCCAIIAggCCAIIAggCCAIIAggCGwIDAtRzcQB+AAAAAAACc3EAfgAE///////////////+/////gAAAAF1cQB+AAcAAAAEAo6woHh4d0UCHgACpgICAkICBAIFAgYCBwIIAgkCqAILApMCDQIIAggCCAIIAggCCAIIAggCCAIIAggCCAIIAggCCAIIAggCGwIDAtVzcQB+AAAAAAACc3EAfgAE///////////////+/////v////91cQB+AAcAAAADB43UeHh3RQIeAAKmAgICKQIEAgUCBgIHAggCCQJDAgsCkwINAggCCAIIAggCCAIIAggCCAIIAggCCAIIAggCCAIIAggCCAIbAgMC1nNxAH4AAAAAAAJzcQB+AAT///////////////7////+/////3VxAH4ABwAAAAQmcaNXeHh3igIeAAKmAgICOQIEAgUCBgIHAggCCQKoAgsCkwINAggCCAIIAggCCAIIAggCCAIIAggCCAIIAggCCAIIAggCCAIbAgMCRwIeAAKmAgICTgIEAgUCBgIHAggCCQKoAgsCkwINAggCCAIIAggCCAIIAggCCAIIAggCCAIIAggCCAIIAggCCAIbAgMC13NxAH4AAAAAAAJzcQB+AAT///////////////7////+/////3VxAH4ABwAAAAMItpx4eHdFAh4AAqYCAgI+AgQCBQIGAgcCCAIJAgoCCwKTAg0CCAIIAggCCAIIAggCCAIIAggCCAIIAggCCAIIAggCCAIIAhsCAwLYc3EAfgAAAAAAAnNxAH4ABP///////////////v////7/////dXEAfgAHAAAABFovta14eHdFAh4AAqYCAgJiAgQCBQIGAgcCCAIJAqgCCwKTAg0CCAIIAggCCAIIAggCCAIIAggCCAIIAggCCAIIAggCCAIIAhsCAwLZc3EAfgAAAAAAAnNxAH4ABP///////////////v////7/////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AAAAAAACc3EAfgAE///////////////+/////v////91cQB+AAcAAAADvFyyeHh3RQIeAAKmAgICZAIEAgUCBgIHAggCCQKoAgsCkwINAggCCAIIAggCCAIIAggCCAIIAggCCAIIAggCCAIIAggCCAIbAgMC23NxAH4AAAAAAAJzcQB+AAT///////////////7////+/////3VxAH4ABwAAAAMOg914eHdFAh4AAqYCAgIdAgQCBQIGAgcCCAIJAqgCCwKTAg0CCAIIAggCCAIIAggCCAIIAggCCAIIAggCCAIIAggCCAIIAhsCAwLcc3EAfgAAAAAAAnNxAH4ABP///////////////v////7/////dXEAfgAHAAAAAwR0jXh4d0UCHgACpgICAiUCBAIFAgYCBwIIAgkCQwILApMCDQIIAggCCAIIAggCCAIIAggCCAIIAggCCAIIAggCCAIIAggCGwIDAt1zcQB+AAAAAAACc3EAfgAE///////////////+/////v////91cQB+AAcAAAAEA91NIHh4d0UCHgACpgICAksCBAIFAgYCBwIIAgkCCgILApMCDQIIAggCCAIIAggCCAIIAggCCAIIAggCCAIIAggCCAIIAggCGwIDAt5zcQB+AAAAAAACc3EAfgAE///////////////+/////v////91cQB+AAcAAAAEKKPaWXh4d0UCHgACpgICAjcCBAIFAgYCBwIIAgkCqAILApMCDQIIAggCCAIIAggCCAIIAggCCAIIAggCCAIIAggCCAIIAggCGwIDAt9zcQB+AAAAAAACc3EAfgAE///////////////+/////v////91cQB+AAcAAAADA9yreHh3RQIeAAKmAgICXAIEAgUCBgIHAggCCQJDAgsCkwINAggCCAIIAggCCAIIAggCCAIIAggCCAIIAggCCAIIAggCCAIbAgMC4HNxAH4AAAAAAAJzcQB+AAT///////////////7////+/////3VxAH4ABwAAAAQIJf+xeHh3RQIeAAKmAgICMQIEAgUCBgIHAggCCQJDAgsCkwINAggCCAIIAggCCAIIAggCCAIIAggCCAIIAggCCAIIAggCCAIbAgMC4XNxAH4AAAAAAAJzcQB+AAT///////////////7////+/////3VxAH4ABwAAAAQQ/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AgQCBQIGAgcCCAIJAgoCCwIMAg0CCAIIAggCCAIIAggCCAIIAggCCAIIAggCCAIIAggCCAIIAhQCAwI/Ah4AAuYCAgIxAgQCBQIGAgcCCAIJAkYCCwIMAg0CCAIIAggCCAIIAggCCAIIAggCCAIIAggCCAIIAggCCAIIAhQCAwJ/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AgQCBQIGAgcCCAIJAkYCCwIMAg0CCAIIAggCCAIIAggCCAIIAggCCAIIAggCCAIIAggCCAIIAhYCAwJ1Ah4AAucCAgI+AgQCBQIGAgcCCAIJAgoCCwIMAg0CCAIIAggCCAIIAggCCAIIAggCCAIIAggCCAIIAggCCAIIAhYCAwI/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AAAAAAACc3EAfgAE///////////////+/////v////91cQB+AAcAAAAEBxk/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v////7/////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v////7/////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v////7/////dXEAfgAHAAAABGPPmgl4eHoAAAQAAh4AAu4CAgI+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AAAAAAACc3EAfgAE///////////////+/////gAAAAF1cQB+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AAAAAAACc3EAfgAE///////////////+/////v////91cQB+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AgQCBQIGAgcCCAIJAgoCCwIMAg0CCAIIAggCCAIIAggCCAIIAggCCAIIAggCCAIIAggCCAIIAhoCAwI/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AICAk4CBAIFAgYCBwIIAgkCCgILAgwCDQIIAggCCAIIAggCCAIIAggCCAIIAggCCAIIAggCCAIIAggCGAIDAncCHgAC+AICAiECBAIFAgYCBwIIAgkCCgILAgwCDQIIAggCCAIIAggCCAIIAggCCAIIAggCCAIIAggCCAIIAggCGAIDAiICHgAC+AICAhsCBAIFAgYCBwIIAgkCCgILAgwCDQIIAggCCAIIAggCCAIIAggCCAIIAggCCAIIAggCCAIIAggCGAIDAhwCHgAC+AICAh0CBAIFAgYCBwIIAgkCQwILAgwCDQIIAggCCAIIAggCCAIIAggCCAIIAggCCAIIAggCCAIIAggCGAIDAloCHgAC+AICAmQCBAIFAgYCBwIIAgkCQwILAgwCDQIIAggCCAIIAggCCAIIAggCCAIIAggCCAIIAggCCAIIAggCGAIDAnwCHgAC+AICAi0CBAIFAgYCBwIIAgkCRgILAgwCDQIIAggCCAIIAggCCAIIAggCCAIIAggCCAIIAggCCAIIAggCGAIDAkcCHgAC+AICAgMCBAIFAgYCBwIIAgkCCgILAgwCDQIIAggCCAIIAggCCAIIAggCCAIIAggCCAIIAggCCAIIAggCGAIDAg4CHgAC+AICAjcCBAIFAgYCBwIIAgkCQwILAgwCDQIIAggCCAIIAggCCAIIAggCCAIIAggCCAIIAggCCAIIAggCGAIDAlcCHgAC+AICAkICBAIFAgYCBwIIAgkCRgILAgwCDQIIAggCCAIIAggCCAIIAggCCAIIAggCCAIIAggCCAIIAggCGAIDAowCHgAC+AICAhsCBAIFAgYCBwIIAgkCRgILAgwCDQIIAggCCAIIAggCCAIIAggCCAIIAggCCAIIAggCCAIIAggCGAIDAo4CHgAC+AICAisCBAIFAgYCBwIIAgkCQwILAgwCDQIIAggCCAIIAggCCAIIAggCCAIIAggCCAIIAggCCAIIAggCGAIDAokCHgAC+AICAlgCBAIFAgYCBwIIAgkCQwILAgwCDQIIAggCCAIIAggCCAIIAggCCAIIAggCCAIIAggCCAIIAggCGAIDAm8CHgAC+AICAkICBAIFAgYCBwIIAgkCCgILAgwCDQIIAggCCAIIAggCCAIIAggCCAIIAggCCAIIAggCCAIIAggCGAIDAm4CHgAC+AICAisCBAIFAgYCBwIIAgkCCgILAgwCDQIIAggCCAIIAggCCAIIAggCCAIIAggCCAIIAggCCAIIAggCGAIDAiwCHgAC+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AgQCBQIGAgcCCAIJAkYCCwIMAg0CCAIIAggCCAIIAggCCAIIAggCCAIIAggCCAIIAggCCAIIAhgCAwJ1Ah4AAvgCAgI+AgQCBQIGAgcCCAIJAgoCCwIMAg0CCAIIAggCCAIIAggCCAIIAggCCAIIAggCCAIIAggCCAIIAhgCAwI/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AICAmACBAIFAgYCBwIIAgkCRgILAgwCDQIIAggCCAIIAggCCAIIAggCCAIIAggCCAIIAggCCAIIAggCGAIDAocCHgAC+AICAmICBAIFAgYCBwIIAgkCCgILAgwCDQIIAggCCAIIAggCCAIIAggCCAIIAggCCAIIAggCCAIIAggCGAIDAoYCHgAC+AICAmACBAIFAgYCBwIIAgkCCgILAgwCDQIIAggCCAIIAggCCAIIAggCCAIIAggCCAIIAggCCAIIAggCGAIDAmoCHgAC+AICAksCBAIFAgYCBwIIAgkCCgILAgwCDQIIAggCCAIIAggCCAIIAggCCAIIAggCCAIIAggCCAIIAggCGAIDAosCHgAC+AICAlMCBAIFAgYCBwIIAgkCRgILAgwCDQIIAggCCAIIAggCCAIIAggCCAIIAggCCAIIAggCCAIIAggCGAIDAnsCHgAC+AICAiUCBAIFAgYCBwIIAgkCRgILAgwCDQIIAggCCAIIAggCCAIIAggCCAIIAggCCAIIAggCCAIIAggCGAIDAlsCHgAC+AICAj4CBAIFAgYCBwIIAgkCQwILAgwCDQIIAggCCAIIAggCCAIIAggCCAIIAggCCAIIAggCCAIIAggCGAIDAooCHgAC+AICAi8CBAIFAgYCBwIIAgkCQwILAgwCDQIIAggCCAIIAggCCAIIAggCCAIIAggCCAIIAggCCAIIAggCGAIDAnMCHgAC+AICAksCBAIFAgYCBwIIAgkCRgILAgwCDQIIAggCCAIIAggCCAIIAggCCAIIAggCCAIIAggCCAIIAggCGAIDAkwCHgAC+AICAiUCBAIFAgYCBwIIAgkCCgILAgwCDQIIAggCCAIIAggCCAIIAggCCAIIAggCCAIIAggCCAIIAggCGAIDAiYCHgAC+AICAlMCBAIFAgYCBwIIAgkCCgILAgwCDQIIAggCCAIIAggCCAIIAggCCAIIAggCCAIIAggCCAIIAggCGAIDAlQCHgAC+AICAh8CBAIFAgYCBwIIAgkCRgILAgwCDQIIAggCCAIIAggCCAIIAggCCAIIAggCCAIIAggCCAIIAggCGAIDAo8CHgAC+AICAnACBAIFAgYCBwIIAgkCRgILAgwCDQIIAggCCAIIAggCCAIIAggCCAIIAggCCAIIAggCCAIIAggCGAIDAnECHgAC+AICAmACBAIFAgYCBwIIAgkCQwILAgwCDQIIAggCCAIIAggCCAIIAggCCAIIAggCCAIIAggCCAIIAggCGAIDAmECHgAC+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xxe4awand>
</file>

<file path=customXml/item30.xml><?xml version="1.0" encoding="utf-8"?>
<xxe4awand xmlns="http://www.excel4apps.com"><![CDATA[rO0ABXfaCMCtii8CAQQB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Ah4AAvECAgInAgQCBQIGAgcCCAIJAh4CCwKJAg0CCAIIAggCCAIIAggCCAIIAggCCAIIAggCCAIIAggCCAIIAhcCAwKQAh4AAvECAgJAAgQCBQIGAgcCCAIJAgoCCwKJAg0CCAIIAggCCAIIAggCCAIIAggCCAIIAggCCAIIAggCCAIIAhcCAwK+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v////7/////dXEAfgAHAAAAAxTl5Hh4egAABAACHgAC+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AICAj0CBAIFAgYCBwIIAgkCHgILAgwCDQIIAggCCAIIAggCCAIIAggCCAIIAggCCAIIAggCCAIIAggCKQIDAj4CHgAC+AICAiACBAIFAgYCBwIIAgkCCgILAgwCDQIIAggCCAIIAggCCAIIAggCCAIIAggCCAIIAggCCAIIAggCKQIDAn0CHgAC+AICAnECBAIFAgYCBwIIAgkCHgILAgwCDQIIAggCCAIIAggCCAIIAggCCAIIAggCCAIIAggCCAIIAggCKQIDAoICHgAC+AICAmcCBAIFAgYCBwIIAgkCHgILAgwCDQIIAggCCAIIAggCCAIIAggCCAIIAggCCAIIAggCCAIIAggCKQIDAoECHgAC+AICAjcCBAIFAgYCBwIIAgkCIgILAgwCDQIIAggCCAIIAggCCAIIAggCCAIIAggCCAIIAggCCAIIAggCKQIDAkwCHgAC+AICAlcCBAIFAgYCBwIIAgkCHgILAgwCDQIIAggCCAIIAggCCAIIAggCCAIIAggCCAIIAggCCAIIAggCKQIDAlgCHgAC+AICAi0CBAIFAgYCBwIIAgkCIgILAgwCDQIIAggCCAIIAggCCAIIAggCCAIIAggCCAIIAggCCAIIAggCKQIDAiMCHgAC+AICAjkCBAIFAgYCBwIIAgkCCgILAgwCDQIIAggCCAIIAggCCAIIAggCCAIIAggCCAIIAggCCAIIAggCKQIDAkoCHgAC+AICAtUCBAIFAgYCBwIIAgkCCgILAgwCDQIIAggCCAIIAggCCAIIAggCCAIIAggCCAIIAggCCAIIAggCKQIDAtYCHgAC+AICAhsCBAIFAgYCBwIIAgkCCgILAgwCDQIIAggCCAIIAggCCAIIAggCCAIIAggCCAIIAggCCAIIAggCKQIDAhwCHgAC+AICAlwCBAIFAgYCBwIIAgkCIgILAgwCDQIIAggCCAIIAggCCAIIAggCCAIIAggCCAIIAggCCAIIAggCKQIDAmwCHgAC+AICAiUCBAIFAgYCBwIIAgkCHgILAgwCDQIIAggCCAIIAggCCAIIAggCCAIIAggCCAIIAggCCAIIAggCKQIDAiYCHgAC+AICAkUCBAIFAgYCBwIIAgkCHgILAgwCDQIIAggCCAIIAggCCAIIAggCCAIIAggCCAIIAggCCAIIAggCKQIDAoQCHgAC+AICAkACBAIFAgYCBwIIAgkCHgILAgwCDQIIAggCCAIIAggCCAIIAggCCAIIAggCCAIIAggCCAIIAggCKQIDAmMCHgAC+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AICAicCBAIFAgYCBwIIAgkCCgILAgwCDQIIAggCCAIIAggCCAIIAggCCAIIAggCCAIIAggCCAIIAggCKQIDAj8CHgAC+AICAh0CBAIFAgYCBwIIAgkCIgILAgwCDQIIAggCCAIIAggCCAIIAggCCAIIAggCCAIIAggCCAIIAggCKQIDAnUCHgAC+AICAikCBAIFAgYCBwIIAgkCCgILAgwCDQIIAggCCAIIAggCCAIIAggCCAIIAggCCAIIAggCCAIIAggCKQIDAn4CHgAC+AICAlwCBAIFAgYCBwIIAgkCHgILAgwCDQIIAggCCAIIAggCCAIIAggCCAIIAggCCAIIAggCCAIIAggCKQIDAnwCHgAC+AICAkgCBAIFAgYCBwIIAgkCHgILAgwCDQIIAggCCAIIAggCCAIIAggCCAIIAggCCAIIAggCCAIIAggCKQIDAkkCHgAC+AICAiACBAIFAgYCBwIIAgkCIgILAgwCDQIIAggCCAIIAggCCAIIAggCCAIIAggCCAIIAggCCAIIAggCKQIDAiMCHgAC+AICAmQCBAIFAgYCBwIIAgkCHgILAgwCDQIIAggCCAIIAggCCAIIAggCCAIIAggCCAIIAggCCAIIAggCKQIDAoACHgAC+AICAjUCBAIFAgYCBwIIAgkCCgILAgwCDQIIAggCCAIIAggCCAIIAggCCAIIAggCCAIIAggCCAIIAggCKQIDAocCHgAC+AICAjkCBAIFAgYCBwIIAgkCIgILAgwCDQIIAggCCAIIAggCCAIIAggCCAIIAggCCAIIAggCCAIIAggCKQIDAlYCHgAC+AICAjcCBAIFAgYCBwIIAgkCCgILAgwCDQIIAggCCAIIAggCCAIIAggCCAIIAggCCAIIAggCCAIIAggCKQIDAk4CHgAC+AICAiUCBAIFAgYCBwIIAgkCIgILAgwCDQIIAggCCAIIAggCCAIIAggCCAIIAggCCAIIAggCCAIIAggCKQIDAksCHgAC+AICAtUCBAIFAgYCBwIIAgkCIgILAgwCDQIIAggCCAIIAggCCAIIAggCCAIIAggCCAIIAggCCAIIAggCKQIDAtYCHgAC+AICAi0CBAIFAgYCBwIIAgkCCgILAgwCDQIIAggCCAIIAggCCAIIAggCCAIIAggCCAIIAggCCAIIAggCKQIDAlkCHgAC+AICAlECBAIFAgYCBwIIAgkCHgILAgwCDQIIAggCCAIIAggCCAIIAggCCAIIAggCCAIIAggCCAIIAggCKQIDAlICHgAC+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Ah4AAvkCAgIpAgQCBQIGAgcCCAIJAgoCCwIMAg0CCAIIAggCCAIIegAABAACCAIIAggCCAIIAggCCAIIAggCCAIIAggCGAIDAn4CHgAC+QICAiUCBAIFAgYCBwIIAgkCCgILAgwCDQIIAggCCAIIAggCCAIIAggCCAIIAggCCAIIAggCCAIIAggCGAIDAkQCHgAC+QICAicCBAIFAgYCBwIIAgkCCgILAgwCDQIIAggCCAIIAggCCAIIAggCCAIIAggCCAIIAggCCAIIAggCGAIDAj8CHgAC+QICAikCBAIFAgYCBwIIAgkCIgILAgwCDQIIAggCCAIIAggCCAIIAggCCAIIAggCCAIIAggCCAIIAggCGAIDAnQCHgAC+QICAh0CBAIFAgYCBwIIAgkCCgILAgwCDQIIAggCCAIIAggCCAIIAggCCAIIAggCCAIIAggCCAIIAggCGAIDAngCHgAC+QICAjUCBAIFAgYCBwIIAgkCIgILAgwCDQIIAggCCAIIAggCCAIIAggCCAIIAggCCAIIAggCCAIIAggCGAIDAnYCHgAC+QICAjcCBAIFAgYCBwIIAgkCIgILAgwCDQIIAggCCAIIAggCCAIIAggCCAIIAggCCAIIAggCCAIIAggCGAIDAkwCHgAC+QICAlwCBAIFAgYCBwIIAgkCHgILAgwCDQIIAggCCAIIAggCCAIIAggCCAIIAggCCAIIAggCCAIIAggCGAIDAnwCHgAC+QICAiACBAIFAgYCBwIIAgkCIgILAgwCDQIIAggCCAIIAggCCAIIAggCCAIIAggCCAIIAggCCAIIAggCGAIDAiMCHgAC+QICAiACBAIFAgYCBwIIAgkCCgILAgwCDQIIAggCCAIIAggCCAIIAggCCAIIAggCCAIIAggCCAIIAggCGAIDAn0CHgAC+QICAkgCBAIFAgYCBwIIAgkCHgILAgwCDQIIAggCCAIIAggCCAIIAggCCAIIAggCCAIIAggCCAIIAggCGAIDAkkCHgAC+QICAjkCBAIFAgYCBwIIAgkCCgILAgwCDQIIAggCCAIIAggCCAIIAggCCAIIAggCCAIIAggCCAIIAggCGAIDAkoCHgAC+QICAi0CBAIFAgYCBwIIAgkCCgILAgwCDQIIAggCCAIIAggCCAIIAggCCAIIAggCCAIIAggCCAIIAggCGAIDAlkCHgAC+QICAjcCBAIFAgYCBwIIAgkCCgILAgwCDQIIAggCCAIIAggCCAIIAggCCAIIAggCCAIIAggCCAIIAggCGAIDAk4CHgAC+QICAmcCBAIFAgYCBwIIAgkCHgILAgwCDQIIAggCCAIIAggCCAIIAggCCAIIAggCCAIIAggCCAIIAggCGAIDAoECHgAC+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QICAjICBAIFAgYCBwIIAgkCCgILAgwCDQIIAggCCAIIAggCCAIIAggCCAIIAggCCAIIAggCCAIIAggCGAIDAnMCHgAC+QICAkACBAIFAgYCBwIIAgkCIgILAgwCDQIIAggCCAIIAggCCAIIAggCCAIIAggCCAIIAggCCAIIAggCGAIDAkECHgAC+QICAi8CBAIFAgYCBwIIAgkCHgILAgwCDQIIAggCCAIIAggCCAIIAggCCAIIAggCCAIIAggCCAIIAggCGAIDAnsCHgAC+QICAkACBAIFAgYCBwIIAgkCCgILAgwCDQIIAggCCAIIAggCCAIIAggCCAIIAggCCAIIAggCCAIIAggCGAIDAkcCHgAC+QICAgMCBAIFAgYCBwIIAgkCHgILAgwCDQIIAggCCAIIAggCCAIIAggCCAIIAggCCAIIAggCCAIIAggCGAIDAnoCHgAC+QICAkUCBAIFAgYCBwIIAgkCCgILAgwCDQIIAggCCAIIAggCCAIIAggCCAIIAggCCAIIAggCCAIIAggCGAIDAkYCHgAC+QICAhsCBAIFAgYCBwIIAgkCHgILAgwCDQIIAggCCAIIAggCCAIIAggCCAIIAggCCAIIAggCCAIIAggCGAIDAn8CHgAC+QICAm8CBAIFAgYCBwIIAgkCIgILAgwCDQIIAggCCAIIAggCCAIIAggCCAIIAggCCAIIAggCCAIIAggCGAIDAoMCHgAC+QICAl4CBAIFAgYCBwIIAgkCIgILAgwCDQIIAggCCAIIAggCCAIIAggCCAIIAggCCAIIAggCCAIIAggCGAIDAoUCHgAC+QICAkUCBAIFAgYCBwIIAgkCIgILAgwCDQIIAggCCAIIAggCCAIIAggCCAIIAggCCAIIAggCCAIIAggCGAIDAiMCHgAC+QICAkUCBAIFAgYCBwIIAgkCHgILAgwCDQIIAggCCAIIAggCCAIIAggCCAIIAggCCAIIAggCCAIIAggCGAIDAoQCHgAC+QICAkICBAIFAgYCBwIIAgkCCgILAgwCDQIIAggCCAIIAggCCAIIAggCCAIIAggCCAIIAggCCAIIAggCGAIDAk0CHgAC+QICAm8CBAIFAgYCBwIIAgkCCgILAgwCDQIIAggCCAIIAggCCAIIAggCCAIIAggCCAIIAggCCAIIAggCGAIDAoYCHgAC+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gICAnECBAIFAgYCBwIIAgkCHgILAokCDQIIAggCCAIIAggCCAIIAggCCAIIAggCCAIIAggCCAIIAggCBAIDAtwCHgAC+gICAm8CBAIFAgYCBwIIAgkCHgILAokCDQIIAggCCAIIAggCCAIIAggCCAIIAggCCAIIAggCCAIIAggCBAIDAp8CHgAC+gICAjkCBAIFAgYCBwIIAgkCHgILAokCDQIIAggCCAIIAggCCAIIAggCCAIIAggCCAIIAggCCAIIAggCBAIDAs8CHgAC+gICAjICBAIFAgYCBwIIAgkCHgILAokCDQIIAggCCAIIAggCCAIIAggCCAIIAggCCAIIAggCCAIIAggCBAIDArQCHgAC+gICAisCBAIFAgYCBwIIAgkCHgILAokCDQIIAggCCAIIAggCCAIIAggCCAIIAggCCAIIAggCCAIIAggCBAIDAroCHgAC+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wICAmQCBAIFAgYCBwIIAgkCHgILAokCDQIIAggCCAIIAggCCAIIAggCCAIIAggCCAIIAggCCAIIAggCFQIDAowCHgAC+wICAi0CBAIFAgYCBwIIAgkCCgILAokCDQIIAggCCAIIAggCCAIIAggCCAIIAggCCAIIAggCCAIIAggCFQIDAuMCHgAC+wICAi8CBAIFAgYCBwIIAgkCjgILAokCDQIIAggCCAIIAggCCAIIAggCCAIIAggCCAIIAggCCAIIAggCFQIDAo8CHgAC+wICAiUCBAIFAgYCBwIIAgkCHgILAokCDQIIAggCCAIIAggCCAIIAggCCAIIAggCCAIIAggCCAIIAggCFQIDAosCHgAC+wICAicCBAIFAgYCBwIIAgkCHgILAokCDQIIAggCCAIIAggCCAIIAggCCAIIAggCCAIIAggCCAIIAggCFQIDApACHgAC+wICAikCBAIFAgYCBwIIAgkCCgILAokCDQIIAggCCAIIAggCCAIIAggCCAIIAggCCAIIAggCCAIIAggCFQIDApcCHgAC+wICAkUCBAIFAgYCBwIIAgkCjgILAokCDQIIAggCCAIIAggCCAIIAggCCAIIAggCCAIIAggCCAIIAggCFQIDAiMCHgAC+wICAh0CBAIFAgYCBwIIAgkCCgILAokCDQIIAggCCAIIAggCCAIIAggCCAIIAggCCAIIAggCCAIIAggCFQIDAp4CHgAC+wICAgMCBAIFAgYCBwIIAgkCjgILAokCDQIIAggCCAIIAggCCAIIAggCCAIIAggCCAIIAggCCAIIAggCFQIDAiMCHgAC+wICAicCBAIFAgYCBwIIAgkCCgILAokCDQIIAggCCAIIAggCCAIIAggCCAIIAggCCAIIAggCCAIIAggCFQIDApoCHgAC+wICAj0CBAIFAgYCBwIIAgkCHgILAokCDQIIAggCCAIIAggCCAIIAggCCAIIAggCCAIIAggCCAIIAggCFQIDApYCHgAC+wICAiACBAIFAgYCBwIIAgkCCgILAokCDQIIAggCCAIIAggCCAIIAggCCAIIAggCCAIIAggCCAIIAggCFQIDAtoCHgAC+wICAjUCBAIFAgYCBwIIAgkCHgILAokCDQIIAggCCAIIAggCCAIIAggCCAIIAggCCAIIAggCCAIIAggCFQIDAqsCHgAC+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wICAlcCBAIFAgYCBwIIAgkCjgILAokCDQIIAggCCAIIAggCCAIIAggCCAIIAggCCAIIAggCCAIIAggCFQIDArYCHgAC+wICAj0CBAIFAgYCBwIIAgkCjgILAokCDQIIAggCCAIIAggCCAIIAggCCAIIAggCCAIIAggCCAIIAggCFQIDArsCHgAC+wICAkgCBAIFAgYCBwIIAgkCjgILAokCDQIIAggCCAIIAggCCAIIAggCCAIIAggCCAIIAggCCAIIAggCFQIDAsACHgAC+wICAjsCBAIFAgYCBwIIAgkCHgILAokCDQIIAggCCAIIAggCCAIIAggCCAIIAggCCAIIAggCCAIIAggCFQIDAr8CHgAC+wICAi8CBAIFAgYCBwIIAgkCHgILAokCDQIIAggCCAIIAggCCAIIAggCCAIIAggCCAIIAggCCAIIAggCFQIDAr0CHgAC+wICAkICBAIFAgYCBwIIAgkCCgILAokCDQIIAggCCAIIAggCCAIIAggCCAIIAggCCAIIAggCCAIIAggCFQIDAsECHgAC+wICAjICBAIFAgYCBwIIAgkCCgILAokCDQIIAggCCAIIAggCCAIIAggCCAIIAggCCAIIAggCCAIIAggCFQIDAqQCHgAC+wICAlMCBAIFAgYCBwIIAgkCCgILAokCDQIIAggCCAIIAggCCAIIAggCCAIIAggCCAIIAggCCAIIAggCFQIDAqkCHgAC+wICAicCBAIFAgYCBwIIAgkCjgILAokCDQIIAggCCAIIAggCCAIIAggCCAIIAggCCAIIAggCCAIIAggCFQIDAiMCHgAC+wICAkUCBAIFAgYCBwIIAgkCCgILAokCDQIIAggCCAIIAggCCAIIAggCCAIIAggCCAIIAggCCAIIAggCFQIDAsQCHgAC+wICAhsCBAIFAgYCBwIIAgkCHgILAokCDQIIAggCCAIIAggCCAIIAggCCAIIAggCCAIIAggCCAIIAggCFQIDAqECHgAC+wICAiUCBAIFAgYCBwIIAgkCjgILAokCDQIIAggCCAIIAggCCAIIAggCCAIIAggCCAIIAggCCAIIAggCFQIDAqwCHgAC+wICAl4CBAIFAgYCBwIIAgkCjgILAokCDQIIAggCCAIIAggCCAIIAggCCAIIAggCCAIIAggCCAIIAggCFQIDAsMCHgAC+wICAh0CBAIFAgYCBwIIAgkCjgILAokCDQIIAggCCAIIAggCCAIIAggCCAIIAggCCAIIAggCCAIIAggCFQIDAskCHgAC+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AICAisCBAIFAgYCBwIIAgkCHgILAgwCDQIIAggCCAIIAggCCAIIAggCCAIIAggCCAIIAggCCAIIAggCGgIDAlACHgAC/AICAkICBAIFAgYCBwIIAgkCCgILAgwCDQIIAggCCAIIAggCCAIIAggCCAIIAggCCAIIAggCCAIIAggCGgIDAk0CHgAC/AICAjsCBAIFAgYCBwIIAgkCHgILAgwCDQIIAggCCAIIAggCCAIIAggCCAIIAggCCAIIAggCCAIIAggCGgIDAlUCHgAC/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AICAlECBAIFAgYCBwIIAgkCHgILAgwCDQIIAggCCAIIAggCCAIIAggCCAIIAggCCAIIAggCCAIIAggCGgIDAlICHgAC/AICAj0CBAIFAgYCBwIIAgkCHgILAgwCDQIIAggCCAIIAggCCAIIAggCCAIIAggCCAIIAggCCAIIAggCGgIDAj4CHgAC/AICAkgCBAIFAgYCBwIIAgkCHgILAgwCDQIIAggCCAIIAggCCAIIAggCCAIIAggCCAIIAggCCAIIAggCGgIDAkkCHgAC/AICAh0CBAIFAgYCBwIIAgkCCgILAgwCDQIIAggCCAIIAggCCAIIAggCCAIIAggCCAIIAggCCAIIAggCGgIDAngCHgAC/AICAikCBAIFAgYCBwIIAgkCIgILAgwCDQIIAggCCAIIAggCCAIIAggCCAIIAggCCAIIAggCCAIIAggCGgIDAnQCHgAC/AICAhsCBAIFAgYCBwIIAgkCIgILAgwCDQIIAggCCAIIAggCCAIIAggCCAIIAggCCAIIAggCCAIIAggCGgIDAiQCHgAC/AICAikCBAIFAgYCBwIIAgkCCgILAgwCDQIIAggCCAIIAggCCAIIAggCCAIIAggCCAIIAggCCAIIAggCGgIDAn4CHgAC/AICAiUCBAIFAgYCBwIIAgkCHgILAgwCDQIIAggCCAIIAggCCAIIAggCCAIIAggCCAIIAggCCAIIAggCGgIDAiYCHgAC/AICAicCBAIFAgYCBwIIAgkCCgILAgwCDQIIAggCCAIIAggCCAIIAggCCAIIAggCCAIIAggCCAIIAggCGgIDAj8CHgAC/AICAlwCBAIFAgYCBwIIAgkCHgILAgwCDQIIAggCCAIIAggCCAIIAggCCAIIAggCCAIIAggCCAIIAggCGgIDAnwCHgAC/AICAgMCBAIFAgYCBwIIAgkCIgILAgwCDQIIAggCCAIIAggCCAIIAggCCAIIAggCCAIIAggCCAIIAggCGgIDAiMCHgAC/AICAicCBAIFAgYCBwIIAgkCHgILAgwCDQIIAggCCAIIAggCCAIIAggCCAIIAggCCAIIAggCCAIIAggCGgIDAigCHgAC/AICAiUCBAIFAgYCBwIIAgkCCgILAgwCDQIIAggCCAIIAggCCAIIAggCCAIIAggCCAIIAggCCAIIAggCGgIDAkQCHgAC/AICAikCBAIFAgYCBwIIAgkCHgILAgwCDQIIAggCCAIIAggCCAIIAggCCAIIAggCCAIIAggCCAIIAggCGgIDAioCHgAC/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AICAjICBAIFAgYCBwIIAgkCCgILAgwCDQIIAggCCAIIAggCCAIIAggCCAIIAggCCAIIAggCCAIIAggCGgIDAnMCHgAC/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QICAisCBAIFAgYCBwIIAgkCCgILAgwCDQIIAggCCAIIAggCCAIIAggCCAIIAggCCAIIAggCCAIIAggCHAIDAiwCHgAC/QICAjICBAIFAgYCBwIIAgkCCgILAgwCDQIIAggCCAIIAggCCAIIAggCCAIIAggCCAIIAggCCAIIAggCHAIDAnMCHgAC/QICAi8CBAIFAgYCBwIIAgkCHgILAgwCDQIIAggCCAIIAggCCAIIAggCCAIIAggCCAIIAggCCAIIAggCHAIDAnsCHgAC/QICAlECBAIFAgYCBwIIAgkCIgILAgwCDQIIAggCCAIIAggCCAIIAggCCAIIAggCCAIIAggCCAIIAggCHAIDAiMCHgAC/QICAisCBAIFAgYCBwIIAgkCIgILAgwCDQIIAggCCAIIAggCCAIIAggCCAIIAggCCAIIAggCCAIIAggCHAIDAjQCHgAC/QICAh0CBAIFAgYCBwIIAgkCCgILAgwCDQIIAggCCAIIAggCCAIIAggCCAIIAggCCAIIAggCCAIIAggCHAIDAngCHgAC/QICAlcCBAIFAgYCBwIIAgkCCgILAgwCDQIIAggCCAIIAggCCAIIAggCCAIIAggCCAIIAggCCAIIAggCHAIDAmsCHgAC/QICAlcCBAIFAgYCBwIIAgkCIgILAgwCDQIIAggCCAIIAggCCAIIAggCCAIIAggCCAIIAggCCAIIAggCHAIDAmECHgAC/QICAikCBAIFAgYCBwIIAgkCCgILAgwCDQIIAggCCAIIAggCCAIIAggCCAIIAggCCAIIAggCCAIIAggCHAIDAn4CHgAC/QICAiUCBAIFAgYCBwIIAgkCHgILAgwCDQIIAggCCAIIAggCCAIIAggCCAIIAggCCAIIAggCCAIIAggCHAIDAiYCHgAC/QICAhsCBAIFAgYCBwIIAgkCIgILAgwCDQIIAggCCAIIAggCCAIIAggCCAIIAggCCAIIAggCCAIIAggCHAIDAiQCHgAC/QICAmQCBAIFAgYCBwIIAgkCHgILAgwCDQIIAggCCAIIAggCCAIIAggCCAIIAggCCAIIAggCCAIIAggCHAIDAoACHgAC/QICAjkCBAIFAgYCBwIIAgkCCgILAgwCDQIIAggCCAIIAggCCAIIAggCCAIIAggCCAIIAggCCAIIAggCHAIDAkoCHgAC/QICAmcCBAIFAgYCBwIIAgkCHgILAgwCDQIIAggCCAIIAggCCAIIAggCCAIIAggCCAIIAggCCAIIAggCHAIDAoECHgAC/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Ah4AAv0CAgJIAgQCBQIGAgcCegAAAYwIAgkCHgILAgwCDQIIAggCCAIIAggCCAIIAggCCAIIAggCCAIIAggCCAIIAggCHAIDAkkCHgAC/QICAkACBAIFAgYCBwIIAgkCIgILAgwCDQIIAggCCAIIAggCCAIIAggCCAIIAggCCAIIAggCCAIIAggCHAIDAkECHgAC/QICAicCBAIFAgYCBwIIAgkCCgILAgwCDQIIAggCCAIIAggCCAIIAggCCAIIAggCCAIIAggCCAIIAggCHAIDAj8CHgAC/QICAkUCBAIFAgYCBwIIAgkCCgILAgwCDQIIAggCCAIIAggCCAIIAggCCAIIAggCCAIIAggCCAIIAggCHAIDAkYCHgAC/QICAkACBAIFAgYCBwIIAgkCCgILAgwCDQIIAggCCAIIAggCCAIIAggCCAIIAggCCAIIAggCCAIIAggCHAIDAkcCHgAC/QICAkUCBAIFAgYCBwIIAgkCIgILAgwCDQIIAggCCAIIAggCCAIIAggCCAIIAggCCAIIAggCCAIIAggCHAIDAiM=]]></xxe4awand>
</file>

<file path=customXml/item31.xml><?xml version="1.0" encoding="utf-8"?>
<xxe4awand xmlns="http://www.excel4apps.com"><![CDATA[rO0ABXfZCMCtii8ABK4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AAT///////////////7////+/////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AgQCBQIGAgcCCAIJAgoCCwKPAg0CCAIIAggCCAIIAggCCAIIAggCCAIIAggCCAIIAggCCAIIAhwCAwK8Ah4AAvECAgIbAgQCBQIGAgcCCAIJAiMCCwKPAg0CCAIIAggCCAIIAggCCAIIAggCCAIIAggCCAIIAggCCAIIAhwCAwK3Ah4AAvECAgIgAgQCBQIGAgcCCAIJAiMCCwKPAg0CCAIIAggCCAIIAggCCAIIAggCCAIIAggCCAIIAggCCAIIAhwCAwK+Ah4AAvECAgIiAgQCBQIGAgcCCAIJAiMCCwKPAg0CCAIIAggCCAIIAggCCAIIAggCCAIIAggCCAIIAggCCAIIAhwCAwK/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xxe4awand>
</file>

<file path=customXml/item32.xml><?xml version="1.0" encoding="utf-8"?>
<xxe4awand xmlns="http://www.excel4apps.com"><![CDATA[rO0ABXfZCMCtii8CJgKW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TQIeAAIBAgICOAAGMjAxNzA3AgQCBQIGAgcCCAIJAiECCwIMAg0CCAIIAggCCAIIAggCCAIIAggCCAIIAggCCAIIAggCCAIIAhMCAwI5c3EAfgAAAAAAAnNxAH4ABP///////////////v////7/////dXEAfgAHAAAAA064Cnh4d0UCHgACAQICAhsCBAIFAgYCBwIIAgkCIQILAgwCDQIIAggCCAIIAggCCAIIAggCCAIIAggCCAIIAggCCAIIAggCEwIDAjpzcQB+AAAAAAACc3EAfgAE///////////////+/////v////91cQB+AAcAAAAEHsB0bHh4d0UCHgACAQICAgMCBAIFAgYCBwIIAgkCIQILAgwCDQIIAggCCAIIAggCCAIIAggCCAIIAggCCAIIAggCCAIIAggCEwIDAjtzcQB+AAAAAAACc3EAfgAE///////////////+/////gAAAAF1cQB+AAcAAAADuXJ8eHh3RQIeAAIBAgICJgIEAgUCBgIHAggCCQIKAgsCDAINAggCCAIIAggCCAIIAggCCAIIAggCCAIIAggCCAIIAggCCAITAgMCPHNxAH4AAAAAAAJzcQB+AAT///////////////7////+/////3VxAH4ABwAAAAQqC0YheHh3TQIeAAIBAgICPQAGMjAxNjA3AgQCBQIGAgcCCAIJAiECCwIMAg0CCAIIAggCCAIIAggCCAIIAggCCAIIAggCCAIIAggCCAIIAhMCAwI+c3EAfgAAAAAAAnNxAH4ABP///////////////v////7/////dXEAfgAHAAAABAEGlGB4eHdNAh4AAgECAgI/AAYyMDE2MTICBAIFAgYCBwIIAgkCCgILAgwCDQIIAggCCAIIAggCCAIIAggCCAIIAggCCAIIAggCCAIIAggCEwIDAkBzcQB+AAAAAAACc3EAfgAE///////////////+/////v////91cQB+AAcAAAAEFay1n3h4d0UCHgACAQICAiACBAIFAgYCBwIIAgkCCgILAgwCDQIIAggCCAIIAggCCAIIAggCCAIIAggCCAIIAggCCAIIAggCEwIDAkFzcQB+AAAAAAACc3EAfgAE///////////////+/////v////91cQB+AAcAAAAEJi8ywnh4d0UCHgACAQICAiYCBAIFAgYCBwIIAgkCHgILAgwCDQIIAggCCAIIAggCCAIIAggCCAIIAggCCAIIAggCCAIIAggCEwIDAkJzcQB+AAAAAAACc3EAfgAE///////////////+/////v////91cQB+AAcAAAADEpbAeHh3RQIeAAIBAgICIwIEAgUCBgIHAggCCQIhAgsCDAINAggCCAIIAggCCAIIAggCCAIIAggCCAIIAggCCAIIAggCCAITAgMCQ3NxAH4AAAAAAAJzcQB+AAT///////////////7////+AAAAAXVxAH4ABwAAAAM2pbZ4eHdFAh4AAgECAgIdAgQCBQIGAgcCCAIJAiECCwIMAg0CCAIIAggCCAIIAggCCAIIAggCCAIIAggCCAIIAggCCAIIAhMCAwJEc3EAfgAAAAAAAnNxAH4ABP///////////////v////7/////dXEAfgAHAAAABAL7S4t4eHdNAh4AAgECAgJFAAYyMDE3MDkCBAIFAgYCBwIIAgkCIQILAgwCDQIIAggCCAIIAggCCAIIAggCCAIIAggCCAIIAggCCAIIAggCEwIDAkZzcQB+AAAAAAACc3EAfgAE///////////////+/////gAAAAF1cQB+AAcAAAAEAloS0nh4d00CHgACAQICAkcABjIwMTcwNAIEAgUCBgIHAggCCQIhAgsCDAINAggCCAIIAggCCAIIAggCCAIIAggCCAIIAggCCAIIAggCCAITAgMCSHNxAH4AAAAAAAJzcQB+AAT///////////////7////+/////3VxAH4ABwAAAAQFBKNBeHh3TQIeAAIBAgICSQAGMjAxNjA4AgQCBQIGAgcCCAIJAiECCwIMAg0CCAIIAggCCAIIAggCCAIIAggCCAIIAggCCAIIAggCCAIIAhMCAwJKc3EAfgAAAAAAAnNxAH4ABP///////////////v////7/////dXEAfgAHAAAAA56yqnh4d0UCHgACAQICAjMCBAIFAgYCBwIIAgkCCgILAgwCDQIIAggCCAIIAggCCAIIAggCCAIIAggCCAIIAggCCAIIAggCEwIDAktzcQB+AAAAAAACc3EAfgAE///////////////+/////v////91cQB+AAcAAAAEJngfcXh4d0UCHgACAQICAigCBAIFAgYCBwIIAgkCHgILAgwCDQIIAggCCAIIAggCCAIIAggCCAIIAggCCAIIAggCCAIIAggCEwIDAkxzcQB+AAAAAAACc3EAfgAE///////////////+/////v////91cQB+AAcAAAADEl+UeHh3TQIeAAIBAgICTQAGMjAxNzA4AgQCBQIGAgcCCAIJAgoCCwIMAg0CCAIIAggCCAIIAggCCAIIAggCCAIIAggCCAIIAggCCAIIAhMCAwJOc3EAfgAAAAAAAnNxAH4ABP///////////////v////7/////dXEAfgAHAAAABDQ5VOh4eHdFAh4AAgECAgI1AgQCBQIGAgcCCAIJAiECCwIMAg0CCAIIAggCCAIIAggCCAIIAggCCAIIAggCCAIIAggCCAIIAhMCAwJPc3EAfgAAAAAAAnNxAH4ABP///////////////v////7/////dXEAfgAHAAAABBa3qKJ4eHdFAh4AAgECAgI9AgQCBQIGAgcCCAIJAh4CCwIMAg0CCAIIAggCCAIIAggCCAIIAggCCAIIAggCCAIIAggCCAIIAhMCAwJQc3EAfgAAAAAAAnNxAH4ABP///////////////v////7/////dXEAfgAHAAAAAxJrWHh4d0UCHgACAQICAgMCBAIFAgYCBwIIAgkCHgILAgwCDQIIAggCCAIIAggCCAIIAggCCAIIAggCCAIIAggCCAIIAggCEwIDAlFzcQB+AAAAAAACc3EAfgAE///////////////+/////v////91cQB+AAcAAAADEncleHh3RQIeAAIBAgICTQIEAgUCBgIHAggCCQIeAgsCDAINAggCCAIIAggCCAIIAggCCAIIAggCCAIIAggCCAIIAggCCAITAgMCUnNxAH4AAAAAAAJzcQB+AAT///////////////7////+/////3VxAH4ABwAAAAMSnq94eHeKAh4AAgECAgIbAgQCBQIGAgcCCAIJAh4CCwIMAg0CCAIIAggCCAIIAggCCAIIAggCCAIIAggCCAIIAggCCAIIAhMCAwIkAh4AAgECAgI9AgQCBQIGAgcCCAIJAgoCCwIMAg0CCAIIAggCCAIIAggCCAIIAggCCAIIAggCCAIIAggCCAIIAhMCAwJTc3EAfgAAAAAAAnNxAH4ABP///////////////v////7/////dXEAfgAHAAAABC794JJ4eHdFAh4AAgECAgJFAgQCBQIGAgcCCAIJAgoCCwIMAg0CCAIIAggCCAIIAggCCAIIAggCCAIIAggCCAIIAggCCAIIAhMCAwJUc3EAfgAAAAAAAnNxAH4ABP///////////////v////7/////dXEAfgAHAAAABDlFLv54eHdFAh4AAgECAgJJAgQCBQIGAgcCCAIJAgoCCwIMAg0CCAIIAggCCAIIAggCCAIIAggCCAIIAggCCAIIAggCCAIIAhMCAwJVc3EAfgAAAAAAAnNxAH4ABP///////////////v////7/////dXEAfgAHAAAABDHvtRl4eHdFAh4AAgECAgJJAgQCBQIGAgcCCAIJAh4CCwIMAg0CCAIIAggCCAIIAggCCAIIAggCCAIIAggCCAIIAggCCAIIAhMCAwJWc3EAfgAAAAAAAnNxAH4ABP///////////////v////7/////dXEAfgAHAAAAAxJvRnh4d0UCHgACAQICAkUCBAIFAgYCBwIIAgkCHgILAgwCDQIIAggCCAIIAggCCAIIAggCCAIIAggCCAIIAggCCAIIAggCEwIDAldzcQB+AAAAAAACc3EAfgAE///////////////+/////v////91cQB+AAcAAAADEqKoeHh3RQIeAAIBAgICMwIEAgUCBgIHAggCCQIhAgsCDAINAggCCAIIAggCCAIIAggCCAIIAggCCAIIAggCCAIIAggCCAITAgMCWHNxAH4AAAAAAAJzcQB+AAT///////////////7////+/////3VxAH4ABwAAAAQIvUgheHh3TQIeAAIBAgICWQAGMjAxNjA5AgQCBQIGAgcCCAIJAh4CCwIMAg0CCAIIAggCCAIIAggCCAIIAggCCAIIAggCCAIIAggCCAIIAhMCAwJac3EAfgAAAAAAAnNxAH4ABP///////////////v////7/////dXEAfgAHAAAAAxJzNXh4d0UCHgACAQICAj8CBAIFAgYCBwIIAgkCHgILAgwCDQIIAggCCAIIAggCCAIIAggCCAIIAggCCAIIAggCCAIIAggCEwIDAltzcQB+AAAAAAACc3EAfgAE///////////////+/////v////91cQB+AAcAAAADEn8GeHh3RQIeAAIBAgICWQIEAgUCBgIHAggCCQIKAgsCDAINAggCCAIIAggCCAIIAggCCAIIAggCCAIIAggCCAIIAggCCAITAgMCXHNxAH4AAAAAAAJzcQB+AAT///////////////7////+/////3VxAH4ABwAAAAQzvJaSeHh3RQIeAAIBAgICIAIEAgUCBgIHAggCCQIeAgsCDAINAggCCAIIAggCCAIIAggCCAIIAggCCAIIAggCCAIIAggCCAITAgMCXXNxAH4AAAAAAAJzcQB+AAT///////////////7////+/////3VxAH4ABwAAAAMSY394eHdFAh4AAgECAgIwAgQCBQIGAgcCCAIJAiECCwIMAg0CCAIIAggCCAIIAggCCAIIAggCCAIIAggCCAIIAggCCAIIAhMCAwJec3EAfgAAAAAAAnNxAH4ABP///////////////v////4AAAABdXEAfgAHAAAABAYbWmp4eHdFAh4AAgECAgJNAgQCBQIGAgcCCAIJAiECCwIMAg0CCAIIAggCCAIIAggCCAIIAggCCAIIAggCCAIIAggCCAIIAhMCAwJfc3EAfgAAAAAAAnNxAH4ABP///////////////v////4AAAABdXEAfgAHAAAAA/+JXnh4d4oCHgACAQICAjUCBAIFAgYCBwIIAgkCHgILAgwCDQIIAggCCAIIAggCCAIIAggCCAIIAggCCAIIAggCCAIIAggCEwIDAiQCHgACAQICAiwCBAIFAgYCBwIIAgkCHgILAgwCDQIIAggCCAIIAggCCAIIAggCCAIIAggCCAIIAggCCAIIAggCEwIDAmBzcQB+AAAAAAACc3EAfgAE///////////////+/////v////91cQB+AAcAAAADEnsVeHh3RQIeAAIBAgICLgIEAgUCBgIHAggCCQIeAgsCDAINAggCCAIIAggCCAIIAggCCAIIAggCCAIIAggCCAIIAggCCAITAgMCYXNxAH4AAAAAAAJzcQB+AAT///////////////7////+/////3VxAH4ABwAAAAMSZ2t4eHdFAh4AAgECAgI4AgQCBQIGAgcCCAIJAgoCCwIMAg0CCAIIAggCCAIIAggCCAIIAggCCAIIAggCCAIIAggCCAIIAhMCAwJic3EAfgAAAAAAAnNxAH4ABP///////////////v////7/////dXEAfgAHAAAABC6RhSt4eHdFAh4AAgECAgIuAgQCBQIGAgcCCAIJAgoCCwIMAg0CCAIIAggCCAIIAggCCAIIAggCCAIIAggCCAIIAggCCAIIAhMCAwJjc3EAfgAAAAAAAnNxAH4ABP///////////////v////7/////dXEAfgAHAAAABCsQC1F4eHdFAh4AAgECAgI4AgQCBQIGAgcCCAIJAh4CCwIMAg0CCAIIAggCCAIIAggCCAIIAggCCAIIAggCCAIIAggCCAIIAhMCAwJkc3EAfgAAAAAAAnNxAH4ABP///////////////v////7/////dXEAfgAHAAAAAxKat3h4d0UCHgACAQICAiwCBAIFAgYCBwIIAgkCCgILAgwCDQIIAggCCAIIAggCCAIIAggCCAIIAggCCAIIAggCCAIIAggCEwIDAmVzcQB+AAAAAAACc3EAfgAE///////////////+/////v////91cQB+AAcAAAAEC9ESdHh4d0UCHgACAQICAigCBAIFAgYCBwIIAgkCIQILAgwCDQIIAggCCAIIAggCCAIIAggCCAIIAggCCAIIAggCCAIIAggCEwIDAmZzcQB+AAAAAAACc3EAfgAE///////////////+/////v////91cQB+AAcAAAAEAlAe6Xh4d0UCHgACAQICAioCBAIFAgYCBwIIAgkCIQILAgwCDQIIAggCCAIIAggCCAIIAggCCAIIAggCCAIIAggCCAIIAggCEwIDAmdzcQB+AAAAAAACc3EAfgAE///////////////+/////v////91cQB+AAcAAAAEAtdnVHh4d0UCHgACAQICAkcCBAIFAgYCBwIIAgkCCgILAgwCDQIIAggCCAIIAggCCAIIAggCCAIIAggCCAIIAggCCAIIAggCEwIDAmhzcQB+AAAAAAACc3EAfgAE///////////////+/////v////91cQB+AAcAAAAEKeDlE3h4d0UCHgACAQICAlkCBAIFAgYCBwIIAgkCIQILAgwCDQIIAggCCAIIAggCCAIIAggCCAIIAggCCAIIAggCCAIIAggCEwIDAmlzcQB+AAAAAAACc3EAfgAE///////////////+/////v////91cQB+AAcAAAADMvcReHh3RQIeAAIBAgICPwIEAgUCBgIHAggCCQIhAgsCDAINAggCCAIIAggCCAIIAggCCAIIAggCCAIIAggCCAIIAggCCAITAgMCanNxAH4AAAAAAAJzcQB+AAT///////////////7////+/////3VxAH4ABwAAAAQdEKl0eHh3RQIeAAIBAgICRwIEAgUCBgIHAggCCQIeAgsCDAINAggCCAIIAggCCAIIAggCCAIIAggCCAIIAggCCAIIAggCCAITAgMCa3NxAH4AAAAAAAJzcQB+AAT///////////////7////+/////3VxAH4ABwAAAAMSjtR4eHdFAh4AAgECAgIdAgQCBQIGAgcCCAIJAgoCCwIMAg0CCAIIAggCCAIIAggCCAIIAggCCAIIAggCCAIIAggCCAIIAhMCAwJsc3EAfgAAAAAAAnNxAH4ABP///////////////v////7/////dXEAfgAHAAAABB6uCU94eHdUAh4AAm0ACTUyMTc5Njc2OAICAiwCBAIFAgYCBwIIAgkCCgILAm4AAldBAg0CCAIIAggCCAIIAggCCAIIAggCCAIIAggCCAIIAggCCAIIAhICAwJvc3EAfgAAAAAAAnNxAH4ABP///////////////v////7/////dXEAfgAHAAAABBJUFap4eHdFAh4AAm0CAgIgAgQCBQIGAgcCCAIJAgoCCwJuAg0CCAIIAggCCAIIAggCCAIIAggCCAIIAggCCAIIAggCCAIIAhICAwJwc3EAfgAAAAAAAnNxAH4ABP///////////////v////7/////dXEAfgAHAAAABEwrC4B4eHdFAh4AAm0CAgImAgQCBQIGAgcCCAIJAgoCCwJuAg0CCAIIAggCCAIIAggCCAIIAggCCAIIAggCCAIIAggCCAIIAhICAwJxc3EAfgAAAAAAAnNxAH4ABP///////////////v////7/////dXEAfgAHAAAABFgLByx4eHdFAh4AAm0CAgI1AgQCBQIGAgcCCAIJAgoCCwJuAg0CCAIIAggCCAIIAggCCAIIAggCCAIIAggCCAIIAggCCAIIAhICAwJyc3EAfgAAAAAAAnNxAH4ABP///////////////v////7/////dXEAfgAHAAAABEI0vHx4eHeaAh4AAm0CAgJzAAYyMDE4MDQCBAIFAgYCBwIIAgkCdAAGMTkxMDI1AgsCbgINAggCCAIIAggCCAIIAggCCAIIAggCCAIIAggCCAIIAggCCAISAgMCJAIeAAJtAgICTQIEAgUCBgIHAggCCQIhAgsCbgINAggCCAIIAggCCAIIAggCCAIIAggCCAIIAggCCAIIAggCCAISAgMCdXNxAH4AAAAAAAJzcQB+AAT///////////////7////+/////3VxAH4ABwAAAAMylNZ4eHdFAh4AAm0CAgIoAgQCBQIGAgcCCAIJAgoCCwJuAg0CCAIIAggCCAIIAggCCAIIAggCCAIIAggCCAIIAggCCAIIAhICAwJ2c3EAfgAAAAAAAnNxAH4ABP///////////////v////7/////dXEAfgAHAAAABEhweK94eHdFAh4AAm0CAgI9AgQCBQIGAgcCCAIJAiECCwJuAg0CCAIIAggCCAIIAggCCAIIAggCCAIIAggCCAIIAggCCAIIAhICAwJ3c3EAfgAAAAAAAnNxAH4ABP///////////////v////7/////dXEAfgAHAAAABAM2kpl4eHdNAh4AAm0CAgJ4AAYyMDE2MDICBAIFAgYCBwIIAgkCdAILAm4CDQIIAggCCAIIAggCCAIIAggCCAIIAggCCAIIAggCCAIIAggCEgIDAnlzcQB+AAAAAAACc3EAfgAE///////////////+/////v////91cQB+AAcAAAADEhXLeHh3RQIeAAJtAgICMwIEAgUCBgIHAggCCQJ0AgsCbgINAggCCAIIAggCCAIIAggCCAIIAggCCAIIAggCCAIIAggCCAISAgMCenNxAH4AAAAAAAJzcQB+AAT///////////////7////+/////3VxAH4ABwAAAAMEq5d4eHdFAh4AAm0CAgIwAgQCBQIGAgcCCAIJAnQCCwJuAg0CCAIIAggCCAIIAggCCAIIAggCCAIIAggCCAIIAggCCAIIAhICAwJ7c3EAfgAAAAAAAnNxAH4ABP///////////////v////7/////dXEAfgAHAAAAAwPcq3h4d0UCHgACbQICAgMCBAIFAgYCBwIIAgkCdAILAm4CDQIIAggCCAIIAggCCAIIAggCCAIIAggCCAIIAggCCAIIAggCEgIDAnxzcQB+AAAAAAACc3EAfgAE///////////////+/////v////91cQB+AAcAAAADBT+veHh3igIeAAJtAgICGwIEAgUCBgIHAggCCQJ0AgsCbgINAggCCAIIAggCCAIIAggCCAIIAggCCAIIAggCCAIIAggCCAISAgMCJAIeAAJtAgICPwIEAgUCBgIHAggCCQIKAgsCbgINAggCCAIIAggCCAIIAggCCAIIAggCCAIIAggCCAIIAggCCAISAgMCfXNxAH4AAAAAAAJzcQB+AAT///////////////7////+/////3VxAH4ABwAAAAQoo9pZeHh3kgIeAAJtAgICIwIEAgUCBgIHAggCCQJ0AgsCbgINAggCCAIIAggCCAIIAggCCAIIAggCCAIIAggCCAIIAggCCAISAgMCJAIeAAJtAgICfgAGMjAxODA2AgQCBQIGAgcCCAIJAgoCCwJuAg0CCAIIAggCCAIIAggCCAIIAggCCAIIAggCCAIIAggCCAIIAhICAwJ/c3EAfgAAAAAAAnNxAH4ABP///////////////v////7/////dXEAfgAHAAAABFzlwLB4eHdFAh4AAm0CAgIuAgQCBQIGAgcCCAIJAiECCwJuAg0CCAIIAggCCAIIAggCCAIIAggCCAIIAggCCAIIAggCCAIIAhICAwKAc3EAfgAAAAAAAnNxAH4ABP///////////////v////7/////dXEAfgAHAAAABAOri614eHdFAh4AAm0CAgIqAgQCBQIGAgcCCAIJAgoCCwJuAg0CCAIIAggCCAIIAggCCAIIAggCCAIIAggCCAIIAggCCAIIAhICAwKBc3EAfgAAAAAAAnNxAH4ABP///////////////v////7/////dXEAfgAHAAAABFn95fJ4eHdFAh4AAm0CAgJHAgQCBQIGAgcCCAIJAnQCCwJuAg0CCAIIAggCCAIIAggCCAIIAggCCAIIAggCCAIIAggCCAIIAhICAwKCc3EAfgAAAAAAAnNxAH4ABP///////////////v////7/////dXEAfgAHAAAAAwR0jXh4d0UCHgACbQICAh0CBAIFAgYCBwIIAgkCdAILAm4CDQIIAggCCAIIAggCCAIIAggCCAIIAggCCAIIAggCCAIIAggCEgIDAoNzcQB+AAAAAAACc3EAfgAE///////////////+/////v////91cQB+AAcAAAADDoPdeHh3RQIeAAJtAgICOAIEAgUCBgIHAggCCQIhAgsCbgINAggCCAIIAggCCAIIAggCCAIIAggCCAIIAggCCAIIAggCCAISAgMChHNxAH4AAAAAAAJzcQB+AAT///////////////7////+/////3VxAH4ABwAAAAQCCvb0eHh3RQIeAAJtAgICPQIEAgUCBgIHAggCCQIKAgsCbgINAggCCAIIAggCCAIIAggCCAIIAggCCAIIAggCCAIIAggCCAISAgMChXNxAH4AAAAAAAJzcQB+AAT///////////////7////+/////3VxAH4ABwAAAARaL7WteHh3RQIeAAJtAgICTQIEAgUCBgIHAggCCQIKAgsCbgINAggCCAIIAggCCAIIAggCCAIIAggCCAIIAggCCAIIAggCCAISAgMChnNxAH4AAAAAAAJzcQB+AAT///////////////7////+/////3VxAH4ABwAAAARlMUGreHh3RQIeAAJtAgICeAIEAgUCBgIHAggCCQIKAgsCbgINAggCCAIIAggCCAIIAggCCAIIAggCCAIIAggCCAIIAggCCAISAgMCh3NxAH4AAAAAAAJzcQB+AAT///////////////7////+/////3VxAH4ABwAAAAQ3OPVPeHh3RQIeAAJtAgICLAIEAgUCBgIHAggCCQIhAgsCbgINAggCCAIIAggCCAIIAggCCAIIAggCCAIIAggCCAIIAggCCAISAgMCiHNxAH4AAAAAAAJzcQB+AAT///////////////7////+/////3VxAH4ABwAAAARMQw4VeHh3RQIeAAJtAgICMwIEAgUCBgIHAggCCQIKAgsCbgINAggCCAIIAggCCAIIAggCCAIIAggCCAIIAggCCAIIAggCCAISAgMCiXNxAH4AAAAAAAJzcQB+AAT///////////////7////+/////3VxAH4ABwAAAARTY5smeHh3igIeAAJtAgICfgIEAgUCBgIHAggCCQJ0AgsCbgINAggCCAIIAggCCAIIAggCCAIIAggCCAIIAggCCAIIAggCCAISAgMCJAIeAAJtAgICKAIEAgUCBgIHAggCCQJ0AgsCbgINAggCCAIIAggCCAIIAggCCAIIAggCCAIIAggCCAIIAggCCAISAgMCinNxAH4AAAAAAAJzcQB+AAT///////////////7////+/////3VxAH4ABwAAAAMMxv54eHdFAh4AAm0CAgIqAgQCBQIGAgcCCAIJAnQCCwJuAg0CCAIIAggCCAIIAggCCAIIAggCCAIIAggCCAIIAggCCAIIAhICAwKLc3EAfgAAAAAAAnNxAH4ABP///////////////v////7/////dXEAfgAHAAAAAwRWK3h4d0UCHgACbQICAiYCBAIFAgYCBwIIAgkCIQILAm4CDQIIAggCCAIIAggCCAIIAggCCAIIAggCCAIIAggCCAIIAggCEgIDAoxzcQB+AAAAAAACc3EAfgAE///////////////+/////v////91cQB+AAcAAAAEA91NIHh4d0UCHgACbQICAiMCBAIFAgYCBwIIAgkCIQILAm4CDQIIAggCCAIIAggCCAIIAggCCAIIAggCCAIIAggCCAIIAggCEgIDAo1zcQB+AAAAAAACc3EAfgAE///////////////+/////v////91cQB+AAcAAAAEBEpBlXh4d0UCHgACbQICAgMCBAIFAgYCBwIIAgkCCgILAm4CDQIIAggCCAIIAggCCAIIAggCCAIIAggCCAIIAggCCAIIAggCEgIDAo5zcQB+AAAAAAACc3EAfgAE///////////////+/////v////91cQB+AAcAAAAEYo3LFnh4d0UCHgACbQICAhsCBAIFAgYCBwIIAgkCCgILAm4CDQIIAggCCAIIAggCCAIIAggCCAIIAggCCAIIAggCCAIIAggCEgIDAo9zcQB+AAAAAAACc3EAfgAE///////////////+/////v////91cQB+AAcAAAAEMNCqs3h4d00CHgACbQICApAABjIwMTgwMQIEAgUCBgIHAggCCQIKAgsCbgINAggCCAIIAggCCAIIAggCCAIIAggCCAIIAggCCAIIAggCCAISAgMCkXNxAH4AAAAAAAJzcQB+AAT///////////////7////+/////3VxAH4ABwAAAARO7ujaeHh3TQIeAAJtAgICkgAGMjAxNzAyAgQCBQIGAgcCCAIJAnQCCwJuAg0CCAIIAggCCAIIAggCCAIIAggCCAIIAggCCAIIAggCCAIIAhICAwKTc3EAfgAAAAAAAnNxAH4ABP///////////////v////7/////dXEAfgAHAAAAAwT7aHh4d0UCHgACbQICAiACBAIFAgYCBwIIAgkCIQILAm4CDQIIAggCCAIIAggCCAIIAggCCAIIAggCCAIIAggCCAIIAggCEgIDApRzcQB+AAAAAAACc3EAfgAE///////////////+/////v////91cQB+AAcAAAAEBDaJ43h4d0UCHgACbQICAkkCBAIFAgYCBwIIAgkCIQILAm4CDQIIAggCCAIIAggCCAIIAggCCAIIAggCCAIIAggCCAIIAggCEgIDApVzcQB+AAAAAAACc3EAfgAE///////////////+/////v////91cQB+AAcAAAAEAr0/pHh4d5oCHgACbQICApYABjIwMTgwMwIEAgUCBgIHAggCCQJ0AgsCbgINAggCCAIIAggCCAIIAggCCAIIAggCCAIIAggCCAIIAggCCAISAgMCJAIeAAJtAgIClwAGMjAxODAyAgQCBQIGAgcCCAIJAiECCwJuAg0CCAIIAggCCAIIAggCCAIIAggCCAIIAggCCAIIAggCCAIIAhICAwKYc3EAfgAAAAAAAnNxAH4ABP///////////////v////7/////dXEAfgAHAAAABBli52V4eHdFAh4AAm0CAgJzAgQCBQIGAgcCCAIJAgoCCwJuAg0CCAIIAggCCAIIAggCCAIIAggCCAIIAggCCAIIAggCCAIIAhICAwKZc3EAfgAAAAAAAnNxAH4ABP///////////////v////7/////dXEAfgAHAAAABFqpyF94eHdFAh4AAm0CAgI/AgQCBQIGAgcCCAIJAnQCCwJuAg0CCAIIAggCCAIIAggCCAIIAggCCAIIAggCCAIIAggCCAIIAhICAwKac3EAfgAAAAAAAnNxAH4ABP///////////////v////7/////dXEAfgAHAAAAAwbck3h4d0UCHgACbQICAkUCBAIFAgYCBwIIAgkCIQILAm4CDQIIAggCCAIIAggCCAIIAggCCAIIAggCCAIIAggCCAIIAggCEgIDAptzcQB+AAAAAAACc3EAfgAE///////////////+/////gAAAAF1cQB+AAcAAAAEAo6woHh4d0UCHgACbQICAjUCBAIFAgYCBwIIAgkCIQILAm4CDQIIAggCCAIIAggCCAIIAggCCAIIAggCCAIIAggCCAIIAggCEgIDApxzcQB+AAAAAAACc3EAfgAE///////////////+/////v////91cQB+AAcAAAAENEm+I3h4d00CHgACbQICAp0ABjIwMTcwMQIEAgUCBgIHAggCCQIhAgsCbgINAggCCAIIAggCCAIIAggCCAIIAggCCAIIAggCCAIIAggCCAISAgMCnnNxAH4AAAAAAAJzcQB+AAT///////////////7////+/////3VxAH4ABwAAAAQo6Ya2eHh3RQIeAAJtAgICWQIEAgUCBgIHAggCCQJ0AgsCbgINAggCCAIIAggCCAIIAggCCAIIAggCCAIIAggCCAIIAggCCAISAgMCn3NxAH4AAAAAAAJzcQB+AAT///////////////7////+/////3VxAH4ABwAAAAMHjdR4eHdFAh4AAm0CAgKXAgQCBQIGAgcCCAIJAgoCCwJuAg0CCAIIAggCCAIIAggCCAIIAggCCAIIAggCCAIIAggCCAIIAhICAwKgc3EAfgAAAAAAAnNxAH4ABP///////////////v////7/////dXEAfgAHAAAABE8qcfl4eHdFAh4AAm0CAgKdAgQCBQIGAgcCCAIJAgoCCwJuAg0CCAIIAggCCAIIAggCCAIIAggCCAIIAggCCAIIAggCCAIIAhICAwKhc3EAfgAAAAAAAnNxAH4ABP///////////////v////7/////dXEAfgAHAAAABD0VO3Z4eHdFAh4AAm0CAgJ4AgQCBQIGAgcCCAIJAiECCwJuAg0CCAIIAggCCAIIAggCCAIIAggCCAIIAggCCAIIAggCCAIIAhICAwKic3EAfgAAAAAAAnNxAH4ABP///////////////v////7/////dXEAfgAHAAAABAgl/7F4eHdFAh4AAm0CAgJzAgQCBQIGAgcCCAIJAiECCwJuAg0CCAIIAggCCAIIAggCCAIIAggCCAIIAggCCAIIAggCCAIIAhICAwKjc3EAfgAAAAAAAnNxAH4ABP///////////////v////7/////dXEAfgAHAAAABAcZP5l4eHdFAh4AAm0CAgJNAgQCBQIGAgcCCAIJAnQCCwJuAg0CCAIIAggCCAIIAggCCAIIAggCCAIIAggCCAIIAggCCAIIAhICAwKkc3EAfgAAAAAAAnNxAH4ABP///////////////v////7/////dXEAfgAHAAAAAwQlCXh4d0UCHgACbQICAlkCBAIFAgYCBwIIAgkCCgILAm4CDQIIAggCCAIIAggCCAIIAggCCAIIAggCCAIIAggCCAIIAggCEgIDAqVzcQB+AAAAAAACc3EAfgAE///////////////+/////v////91cQB+AAcAAAAEYTEIFHh4d0UCHgACbQICApYCBAIFAgYCBwIIAgkCIQILAm4CDQIIAggCCAIIAggCCAIIAggCCAIIAggCCAIIAggCCAIIAggCEgIDAqZzcQB+AAAAAAACc3EAfgAE///////////////+/////v////91cQB+AAcAAAAEDlPJjHh4d0UCHgACbQICAi4CBAIFAgYCBwIIAgkCdAILAm4CDQIIAggCCAIIAggCCAIIAggCCAIIAggCCAIIAggCCAIIAggCEgIDAqdzcQB+AAAAAAACc3EAfgAE///////////////+/////v////91cQB+AAcAAAADCoBUeHh3RQIeAAJtAgICkgIEAgUCBgIHAggCCQIhAgsCbgINAggCCAIIAggCCAIIAggCCAIIAggCCAIIAggCCAIIAggCCAISAgMCqHNxAH4AAAAAAAJzcQB+AAT///////////////7////+/////3VxAH4ABwAAAAQbRzHTeHh3RQIeAAJtAgICOAIEAgUCBgIHAggCCQJ0AgsCbgINAggCCAIIAggCCAIIAggCCAIIAggCCAIIAggCCAIIAggCCAISAgMCqXNxAH4AAAAAAAJzcQB+AAT///////////////7////+/////3VxAH4ABwAAAAMENDh4eHdFAh4AAm0CAgKWAgQCBQIGAgcCCAIJAgoCCwJuAg0CCAIIAggCCAIIAggCCAIIAggCCAIIAggCCAIIAggCCAIIAhICAwKqc3EAfgAAAAAAAnNxAH4ABP///////////////v////7/////dXEAfgAHAAAABFJ+oxp4eHdFAh4AAm0CAgJJAgQCBQIGAgcCCAIJAnQCCwJuAg0CCAIIAggCCAIIAggCCAIIAggCCAIIAggCCAIIAggCCAIIAhICAwKrc3EAfgAAAAAAAnNxAH4ABP///////////////v////7/////dXEAfgAHAAAAAwi2nHh4d0UCHgACbQICAkcCBAIFAgYCBwIIAgkCIQILAm4CDQIIAggCCAIIAggCCAIIAggCCAIIAggCCAIIAggCCAIIAggCEgIDAqxzcQB+AAAAAAACc3EAfgAE///////////////+/////v////91cQB+AAcAAAAECfBqRnh4d0UCHgACbQICAh0CBAIFAgYCBwIIAgkCIQILAm4CDQIIAggCCAIIAggCCAIIAggCCAIIAggCCAIIAggCCAIIAggCEgIDAq1zcQB+AAAAAAACc3EAfgAE///////////////+/////v////91cQB+AAcAAAAEBeiObnh4d0UCHgACbQICAkUCBAIFAgYCBwIIAgkCCgILAm4CDQIIAggCCAIIAggCCAIIAggCCAIIAggCCAIIAggCCAIIAggCEgIDAq5zcQB+AAAAAAACc3EAfgAE///////////////+/////v////91cQB+AAcAAAAEcQZZSXh4d0UCHgACbQICAkkCBAIFAgYCBwIIAgkCCgILAm4CDQIIAggCCAIIAggCCAIIAggCCAIIAggCCAIIAggCCAIIAggCEgIDAq9zcQB+AAAAAAACc3EAfgAE///////////////+/////v////91cQB+AAcAAAAEXVdQyXh4d0UCHgACbQICApICBAIFAgYCBwIIAgkCCgILAm4CDQIIAggCCAIIAggCCAIIAggCCAIIAggCCAIIAggCCAIIAggCEgIDArBzcQB+AAAAAAACc3EAfgAE///////////////+/////v////91cQB+AAcAAAAESYtTyXh4d4oCHgACbQICApACBAIFAgYCBwIIAgkCdAILAm4CDQIIAggCCAIIAggCCAIIAggCCAIIAggCCAIIAggCCAIIAggCEgIDAiQCHgACbQICAjACBAIFAgYCBwIIAgkCIQILAm4CDQIIAggCCAIIAggCCAIIAggCCAIIAggCCAIIAggCCAIIAggCEgIDArFzcQB+AAAAAAACc3EAfgAE///////////////+/////gAAAAF1cQB+AAcAAAAECQ0V/Xh4d0UCHgACbQICAj0CBAIFAgYCBwIIAgkCdAILAm4CDQIIAggCCAIIAggCCAIIAggCCAIIAggCCAIIAggCCAIIAggCEgIDArJzcQB+AAAAAAACc3EAfgAE///////////////+/////v////91cQB+AAcAAAADCZ5/eHh3RQIeAAJtAgICMwIEAgUCBgIHAggCCQIhAgsCbgINAggCCAIIAggCCAIIAggCCAIIAggCCAIIAggCCAIIAggCCAISAgMCs3NxAH4AAAAAAAJzcQB+AAT///////////////7////+/////3VxAH4ABwAAAAQQ/fIjeHh3RQIeAAJtAgICnQIEAgUCBgIHAggCCQJ0AgsCbgINAggCCAIIAggCCAIIAggCCAIIAggCCAIIAggCCAIIAggCCAISAgMCtHNxAH4AAAAAAAJzcQB+AAT///////////////7////+/////3VxAH4ABwAAAAMFZP94eHeKAh4AAm0CAgI1AgQCBQIGAgcCCAIJAnQCCwJuAg0CCAIIAggCCAIIAggCCAIIAggCCAIIAggCCAIIAggCCAIIAhICAwIkAh4AAm0CAgIsAgQCBQIGAgcCCAIJAnQCCwJuAg0CCAIIAggCCAIIAggCCAIIAggCCAIIAggCCAIIAggCCAIIAhICAwK1c3EAfgAAAAAAAnNxAH4ABP///////////////v////7/////dXEAfgAHAAAAAwZoK3h4d4oCHgACbQICAn4CBAIFAgYCBwIIAgkCIQILAm4CDQIIAggCCAIIAggCCAIIAggCCAIIAggCCAIIAggCCAIIAggCEgIDAo0CHgACbQICAigCBAIFAgYCBwIIAgkCIQILAm4CDQIIAggCCAIIAggCCAIIAggCCAIIAggCCAIIAggCCAIIAggCEgIDArZzcQB+AAAAAAACc3EAfgAE///////////////+/////v////91cQB+AAcAAAAEBOQwD3h4d0UCHgACbQICAlkCBAIFAgYCBwIIAgkCIQILAm4CDQIIAggCCAIIAggCCAIIAggCCAIIAggCCAIIAggCCAIIAggCEgIDArdzcQB+AAAAAAACc3EAfgAE///////////////+/////v////91cQB+AAcAAAAEAhunbnh4d0UCHgACbQICAjACBAIFAgYCBwIIAgkCCgILAm4CDQIIAggCCAIIAggCCAIIAggCCAIIAggCCAIIAggCCAIIAggCEgIDArhzcQB+AAAAAAACc3EAfgAE///////////////+/////v////91cQB+AAcAAAAEgtyI8Xh4d4oCHgACbQICApcCBAIFAgYCBwIIAgkCdAILAm4CDQIIAggCCAIIAggCCAIIAggCCAIIAggCCAIIAggCCAIIAggCEgIDAiQCHgACbQICApACBAIFAgYCBwIIAgkCIQILAm4CDQIIAggCCAIIAggCCAIIAggCCAIIAggCCAIIAggCCAIIAggCEgIDArlzcQB+AAAAAAACc3EAfgAE///////////////+/////v////91cQB+AAcAAAAEJnGjV3h4d4oCHgACbQICAiMCBAIFAgYCBwIIAgkCCgILAm4CDQIIAggCCAIIAggCCAIIAggCCAIIAggCCAIIAggCCAIIAggCEgIDAn8CHgACbQICAgMCBAIFAgYCBwIIAgkCIQILAm4CDQIIAggCCAIIAggCCAIIAggCCAIIAggCCAIIAggCCAIIAggCEgIDArpzcQB+AAAAAAACc3EAfgAE///////////////+/////v////91cQB+AAcAAAADvFyyeHh3RQIeAAJtAgICRwIEAgUCBgIHAggCCQIKAgsCbgINAggCCAIIAggCCAIIAggCCAIIAggCCAIIAggCCAIIAggCCAISAgMCu3NxAH4AAAAAAAJzcQB+AAT///////////////7////+/////3VxAH4ABwAAAARacNl3eHh3RQIeAAJtAgICGwIEAgUCBgIHAggCCQIhAgsCbgINAggCCAIIAggCCAIIAggCCAIIAggCCAIIAggCCAIIAggCCAISAgMCvHNxAH4AAAAAAAJzcQB+AAT///////////////7////+/////3VxAH4ABwAAAAREule8eHh3RQIeAAJtAgICRQIEAgUCBgIHAggCCQJ0AgsCbgINAggCCAIIAggCCAIIAggCCAIIAggCCAIIAggCCAIIAggCCAISAgMCvXNxAH4AAAAAAAJzcQB+AAT///////////////7////+/////3VxAH4ABwAAAAMEDq54eHdFAh4AAm0CAgIuAgQCBQIGAgcCCAIJAgoCCwJuAg0CCAIIAggCCAIIAggCCAIIAggCCAIIAggCCAIIAggCCAIIAhICAwK+c3EAfgAAAAAAAnNxAH4ABP///////////////v////7/////dXEAfgAHAAAABFSIS5t4eHdFAh4AAm0CAgI4AgQCBQIGAgcCCAIJAgoCCwJuAg0CCAIIAggCCAIIAggCCAIIAggCCAIIAggCCAIIAggCCAIIAhICAwK/c3EAfgAAAAAAAnNxAH4ABP///////////////v////7/////dXEAfgAHAAAABF7UYvh4eHdFAh4AAm0CAgI/AgQCBQIGAgcCCAIJAiECCwJuAg0CCAIIAggCCAIIAggCCAIIAggCCAIIAggCCAIIAggCCAIIAhICAwLAc3EAfgAAAAAAAnNxAH4ABP///////////////v////7/////dXEAfgAHAAAABDuLiL14eHdFAh4AAm0CAgIdAgQCBQIGAgcCCAIJAgoCCwJuAg0CCAIIAggCCAIIAggCCAIIAggCCAIIAggCCAIIAggCCAIIAhICAwLBc3EAfgAAAAAAAnNxAH4ABP///////////////v////7/////dXEAfgAHAAAABD37VuJ4eHdFAh4AAm0CAgImAgQCBQIGAgcCCAIJAnQCCwJuAg0CCAIIAggCCAIIAggCCAIIAggCCAIIAggCCAIIAggCCAIIAhICAwLCc3EAfgAAAAAAAnNxAH4ABP///////////////v////7/////dXEAfgAHAAAAAwRDenh4d0UCHgACbQICAiACBAIFAgYCBwIIAgkCdAILAm4CDQIIAggCCAIIAggCCAIIAggCCAIIAggCCAIIAggCCAIIAggCEgIDAsNzcQB+AAAAAAACc3EAfgAE///////////////+/////v////91cQB+AAcAAAADC4KteHh3RQIeAAJtAgICKgIEAgUCBgIHAggCCQIhAgsCbgINAggCCAIIAggCCAIIAggCCAIIAggCCAIIAggCCAIIAggCCAISAgMCxHNxAH4AAAAAAAJzcQB+AAT///////////////7////+/////3VxAH4ABwAAAAQGIRiFeHg=]]></xxe4awand>
</file>

<file path=customXml/item33.xml><?xml version="1.0" encoding="utf-8"?>
<xxe4awand xmlns="http://www.excel4apps.com"><![CDATA[rO0ABXfaCMCtii8CAQSd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xxe4awand>
</file>

<file path=customXml/item34.xml><?xml version="1.0" encoding="utf-8"?>
<xxe4awand xmlns="http://www.excel4apps.com"><![CDATA[rO0ABXfZCMCtii8ABDMHAh4AAERjb20uZXhjZWw0YXBwcy53YW5kLm9yYWNsZS5n
bHdhbmQuY2FsY3VsYXRpb25zLmdldGJhbGFuY2UuR2V0QmFsYW5jZQIBAAk1Mjg2
NzI2NDgCAgABMAIDAAYyMDE2MTE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EMOFXh4d1UCHgACAQICAhsABjIwMTgxMQIEAgUCBgIHAggCCQIcAAYxOTEw
MTACCwIMAg0CCAIIAggCCAIIAggCCAIIAggCCAIIAggCCAIIAggCCAIIAhICAwId
c3EAfgAAAAAAAnNxAH4ABP///////////////v////7/////dXEAfgAHAAAABHHR
mJR4eHdNAh4AAgECAgIeAAYyMDE4MDUCBAIFAgYCBwIIAgkCHAILAgwCDQIIAggC
CAIIAggCCAIIAggCCAIIAggCCAIIAggCCAIIAggCEgIDAh9zcQB+AAAAAAACc3EA
fgAE///////////////+/////v////91cQB+AAcAAAAEXOXAsHh4d1UCHgACAQIC
AiAABjIwMTcwMgIEAgUCBgIHAggCCQIhAAYxOTEwMjUCCwIMAg0CCAIIAggCCAII
AggCCAIIAggCCAIIAggCCAIIAggCCAIIAhICAwIic3EAfgAAAAAAAnNxAH4ABP///////////////v////7/////dXEAfgAHAAAAAwT7aHh4d00CHgACAQICAiMABjIwMTYwMwIEAgUCBgIHAggCCQIcAgsCDAINAggCCAIIAggCCAIIAggCCAIIAggCCAIIAggCCAIIAggCCAISAgMCJHNxAH4AAAAAAAJzcQB+AAT///////////////7////+/////3VxAH4ABwAAAAQ9+1bieHh3TQIeAAIBAgICJQAGMjAxNjA1AgQCBQIGAgcCCAIJAgoCCwIMAg0CCAIIAggCCAIIAggCCAIIAggCCAIIAggCCAIIAggCCAIIAhICAwImc3EAfgAAAAAAAnNxAH4ABP///////////////v////7/////dXEAfgAHAAAABAQ2ieN4eHdNAh4AAgECAgInAAYyMDE3MTECBAIFAgYCBwIIAgkCHAILAgwCDQIIAggCCAIIAggCCAIIAggCCAIIAggCCAIIAggCCAIIAggCEgIDAihzcQB+AAAAAAACc3EAfgAE///////////////+/////v////91cQB+AAcAAAAEMNCqs3h4d00CHgACAQICAikABjIwMTcwNwIEAgUCBgIHAggCCQIKAgsCDAINAggCCAIIAggCCAIIAggCCAIIAggCCAIIAggCCAIIAggCCAISAgMCKnNxAH4AAAAAAAJzcQB+AAT///////////////7////+/////3VxAH4ABwAAAAQCCvb0eHh3TQIeAAIBAgICKwAGMjAxODA0AgQCBQIGAgcCCAIJAiECCwIMAg0CCAIIAggCCAIIAggCCAIIAggCCAIIAggCCAIIAggCCAIIAhICAwIsc3EAfgAAAAAAAnNxAH4ABP///////////////v////4AAAAAdXEAfgAHAAAAAHh4d00CHgACAQICAi0ABjIwMTgwNwIEAgUCBgIHAggCCQIKAgsCDAINAggCCAIIAggCCAIIAggCCAIIAggCCAIIAggCCAIIAggCCAISAgMCLnNxAH4AAAAAAAJzcQB+AAT///////////////7////+AAAAAXVxAH4ABwAAAAMJSVB4eHdFAh4AAgECAgIDAgQCBQIGAgcCCAIJAhwCCwIMAg0CCAIIAggCCAIIAggCCAIIAggCCAIIAggCCAIIAggCCAIIAhICAwIvc3EAfgAAAAAAAnNxAH4ABP///////////////v////7/////dXEAfgAHAAAABBJUFap4eHdNAh4AAgECAgIwAAYyMDE3MDUCBAIFAgYCBwIIAgkCHAILAgwCDQIIAggCCAIIAggCCAIIAggCCAIIAggCCAIIAggCCAIIAggCEgIDAjFzcQB+AAAAAAACc3EAfgAE///////////////+/////v////91cQB+AAcAAAAEWf3l8nh4d0UCHgACAQICAiUCBAIFAgYCBwIIAgkCHAILAgwCDQIIAggCCAIIAggCCAIIAggCCAIIAggCCAIIAggCCAIIAggCEgIDAjJzcQB+AAAAAAACc3EAfgAE///////////////+/////v////91cQB+AAcAAAAETCsLgHh4d0UCHgACAQICAi0CBAIFAgYCBwIIAgkCHAILAgwCDQIIAggCCAIIAggCCAIIAggCCAIIAggCCAIIAggCCAIIAggCEgIDAjNzcQB+AAAAAAACc3EAfgAE///////////////+/////v////91cQB+AAcAAAAEY8+aCXh4d00CHgACAQICAjQABjIwMTcxMAIEAgUCBgIHAggCCQIhAgsCDAINAggCCAIIAggCCAIIAggCCAIIAggCCAIIAggCCAIIAggCCAISAgMCNXNxAH4AAAAAAAJzcQB+AAT///////////////7////+/////3VxAH4ABwAAAAMD3Kt4eHdFAh4AAgECAgIbAgQCBQIGAgcCCAIJAgoCCwIMAg0CCAIIAggCCAIIAggCCAIIAggCCAIIAggCCAIIAggCCAIIAhICAwI2c3EAfgAAAAAAAnNxAH4ABP///////////////v////4AAAABdXEAfgAHAAAABASp52R4eHdNAh4AAgECAgI3AAYyMDE2MDcCBAIFAgYCBwIIAgkCIQILAgwCDQIIAggCCAIIAggCCAIIAggCCAIIAggCCAIIAggCCAIIAggCEgIDAjhzcQB+AAAAAAACc3EAfgAE///////////////+/////v////91cQB+AAcAAAADCZ5/eHh3kgIeAAIBAgICOQAGMjAxODA5AgQCBQIGAgcCCAIJAiECCwIMAg0CCAIIAggCCAIIAggCCAIIAggCCAIIAggCCAIIAggCCAIIAhICAwIsAh4AAgECAgIjAgQCBQIGAgcCCAIJAgoCCwIMAg0CCAIIAggCCAIIAggCCAIIAggCCAIIAggCCAIIAggCCAIIAhICAwI6c3EAfgAAAAAAAnNxAH4ABP///////////////v////7/////dXEAfgAHAAAABAXojm54eHdNAh4AAgECAgI7AAYyMDE3MDkCBAIFAgYCBwIIAgkCCgILAgwCDQIIAggCCAIIAggCCAIIAggCCAIIAggCCAIIAggCCAIIAggCEgIDAjxzcQB+AAAAAAACc3EAfgAE///////////////+/////gAAAAF1cQB+AAcAAAAEAo6woHh4d0UCHgACAQICAh4CBAIFAgYCBwIIAgkCCgILAgwCDQIIAggCCAIIAggCCAIIAggCCAIIAggCCAIIAggCCAIIAggCEgIDAj1zcQB+AAAAAAACc3EAfgAE///////////////+/////v////91cQB+AAcAAAAEBEpBlXh4d00CHgACAQICAj4ABjIwMTYwNAIEAgUCBgIHAggCCQIhAgsCDAINAggCCAIIAggCCAIIAggCCAIIAggCCAIIAggCCAIIAggCCAISAgMCP3NxAH4AAAAAAAJzcQB+AAT///////////////7////+/////3VxAH4ABwAAAAMMxv54eHdNAh4AAgECAgJAAAYyMDE2MDkCBAIFAgYCBwIIAgkCIQILAgwCDQIIAggCCAIIAggCCAIIAggCCAIIAggCCAIIAggCCAIIAggCEgIDAkFzcQB+AAAAAAACc3EAfgAE///////////////+/////v////91cQB+AAcAAAADB43UeHh3mgIeAAIBAgICQgAGMjAxODA2AgQCBQIGAgcCCAIJAiECCwIMAg0CCAIIAggCCAIIAggCCAIIAggCCAIIAggCCAIIAggCCAIIAhICAwIsAh4AAgECAgJDAAYyMDE3MDMCBAIFAgYCBwIIAgkCHAILAgwCDQIIAggCCAIIAggCCAIIAggCCAIIAggCCAIIAggCCAIIAggCEgIDAkRzcQB+AAAAAAACc3EAfgAE///////////////+/////v////91cQB+AAcAAAAEU2ObJnh4d0UCHgACAQICAiUCBAIFAgYCBwIIAgkCIQILAgwCDQIIAggCCAIIAggCCAIIAggCCAIIAggCCAIIAggCCAIIAggCEgIDAkVzcQB+AAAAAAACc3EAfgAE///////////////+/////v////91cQB+AAcAAAADC4KteHh3TQIeAAIBAgICRgAGMjAxODAyAgQCBQIGAgcCCAIJAgoCCwIMAg0CCAIIAggCCAIIAggCCAIIAggCCAIIAggCCAIIAggCCAIIAhICAwJHc3EAfgAAAAAAAnNxAH4ABP///////////////v////7/////dXEAfgAHAAAABBli52V4eHdFAh4AAgECAgIDAgQCBQIGAgcCCAIJAiECCwIMAg0CCAIIAggCCAIIAggCCAIIAggCCAIIAggCCAIIAggCCAIIAhICAwJIc3EAfgAAAAAAAnNxAH4ABP///////////////v////7/////dXEAfgAHAAAAAwZoK3h4d00CHgACAQICAkkABjIwMTcwOAIEAgUCBgIHAggCCQIcAgsCDAINAggCCAIIAggCCAIIAggCCAIIAggCCAIIAggCCAIIAggCCAISAgMCSnNxAH4AAAAAAAJzcQB+AAT///////////////7////+/////3VxAH4ABwAAAARlMUGreHh3RQIeAAIBAgICQAIEAgUCBgIHAggCCQIKAgsCDAINAggCCAIIAggCCAIIAggCCAIIAggCCAIIAggCCAIIAggCCAISAgMCS3NxAH4AAAAAAAJzcQB+AAT///////////////7////+/////3VxAH4ABwAAAAQCG6dueHh31wIeAAIBAgICLQIEAgUCBgIHAggCCQIhAgsCDAINAggCCAIIAggCCAIIAggCCAIIAggCCAIIAggCCAIIAggCCAISAgMCLAIeAAIBAgICTAAGMjAxODA4AgQCBQIGAgcCCAIJAiECCwIMAg0CCAIIAggCCAIIAggCCAIIAggCCAIIAggCCAIIAggCCAIIAhICAwIsAh4AAgECAgIgAgQCBQIGAgcCCAIJAgoCCwIMAg0CCAIIAggCCAIIAggCCAIIAggCCAIIAggCCAIIAggCCAIIAhICAwJNc3EAfgAAAAAAAnNxAH4ABP///////////////v////7/////dXEAfgAHAAAABBtHMdN4eHdNAh4AAgECAgJOAAYyMDE2MDYCBAIFAgYCBwIIAgkCIQILAgwCDQIIAggCCAIIAggCCAIIAggCCAIIAggCCAIIAggCCAIIAggCEgIDAk9zcQB+AAAAAAACc3EAfgAE///////////////+/////v////91cQB+AAcAAAADCoBUeHh3TQIeAAIBAgICUAAGMjAxNjEwAgQCBQIGAgcCCAIJAiECCwIMAg0CCAIIAggCCAIIAggCCAIIAggCCAIIAggCCAIIAggCCAIIAhICAwJRc3EAfgAAAAAAAnNxAH4ABP///////////////v////7/////dXEAfgAHAAAAAwU/r3h4d00CHgACAQICAlIABjIwMTgwMQIEAgUCBgIHAggCCQIcAgsCDAINAggCCAIIAggCCAIIAggCCAIIAggCCAIIAggCCAIIAggCCAISAgMCU3NxAH4AAAAAAAJzcQB+AAT///////////////7////+/////3VxAH4ABwAAAARO7ujaeHh3TQIeAAIBAgICVAAGMjAxNjA4AgQCBQIGAgcCCAIJAhwCCwIMAg0CCAIIAggCCAIIAggCCAIIAggCCAIIAggCCAIIAggCCAIIAhICAwJVc3EAfgAAAAAAAnNxAH4ABP///////////////v////7/////dXEAfgAHAAAABF1XUMl4eHdNAh4AAgECAgJWAAYyMDE3MDECBAIFAgYCBwIIAgkCHAILAgwCDQIIAggCCAIIAggCCAIIAggCCAIIAggCCAIIAggCCAIIAggCEgIDAldzcQB+AAAAAAACc3EAfgAE///////////////+/////v////91cQB+AAcAAAAEPRU7dnh4d0UCHgACAQICAkMCBAIFAgYCBwIIAgkCCgILAgwCDQIIAggCCAIIAggCCAIIAggCCAIIAggCCAIIAggCCAIIAggCEgIDAlhzcQB+AAAAAAACc3EAfgAE///////////////+/////v////91cQB+AAcAAAAEEP3yI3h4d0UCHgACAQICAkkCBAIFAgYCBwIIAgkCCgILAgwCDQIIAggCCAIIAggCCAIIAggCCAIIAggCCAIIAggCCAIIAggCEgIDAllzcQB+AAAAAAACc3EAfgAE///////////////+/////v////91cQB+AAcAAAADMpTWeHh3RQIeAAIBAgICQAIEAgUCBgIHAggCCQIcAgsCDAINAggCCAIIAggCCAIIAggCCAIIAggCCAIIAggCCAIIAggCCAISAgMCWnNxAH4AAAAAAAJzcQB+AAT///////////////7////+/////3VxAH4ABwAAAARhMQgUeHh3RQIeAAIBAgICIAIEAgUCBgIHAggCCQIcAgsCDAINAggCCAIIAggCCAIIAggCCAIIAggCCAIIAggCCAIIAggCCAISAgMCW3NxAH4AAAAAAAJzcQB+AAT///////////////7////+/////3VxAH4ABwAAAARJi1PJeHh3TQIeAAIBAgICXAAGMjAxNzA0AgQCBQIGAgcCCAIJAiECCwIMAg0CCAIIAggCCAIIAggCCAIIAggCCAIIAggCCAIIAggCCAIIAhICAwJdc3EAfgAAAAAAAnNxAH4ABP///////////////v////7/////dXEAfgAHAAAAAwR0jXh4d0UCHgACAQICAjsCBAIFAgYCBwIIAgkCIQILAgwCDQIIAggCCAIIAggCCAIIAggCCAIIAggCCAIIAggCCAIIAggCEgIDAl5zcQB+AAAAAAACc3EAfgAE///////////////+/////v////91cQB+AAcAAAADBA6ueHh3RQIeAAIBAgICUgIEAgUCBgIHAggCCQIKAgsCDAINAggCCAIIAggCCAIIAggCCAIIAggCCAIIAggCCAIIAggCCAISAgMCX3NxAH4AAAAAAAJzcQB+AAT///////////////7////+/////3VxAH4ABwAAAAQmcaNXeHh3RQIeAAIBAgICPgIEAgUCBgIHAggCCQIKAgsCDAINAggCCAIIAggCCAIIAggCCAIIAggCCAIIAggCCAIIAggCCAISAgMCYHNxAH4AAAAAAAJzcQB+AAT///////////////7////+/////3VxAH4ABwAAAAQE5DAPeHh3igIeAAIBAgICRgIEAgUCBgIHAggCCQIhAgsCDAINAggCCAIIAggCCAIIAggCCAIIAggCCAIIAggCCAIIAggCCAISAgMCLAIeAAIBAgICKQIEAgUCBgIHAggCCQIcAgsCDAINAggCCAIIAggCCAIIAggCCAIIAggCCAIIAggCCAIIAggCCAISAgMCYXNxAH4AAAAAAAJzcQB+AAT///////////////7////+/////3VxAH4ABwAAAARe1GL4eHh3TQIeAAIBAgICYgAGMjAxNzEyAgQCBQIGAgcCCAIJAgoCCwIMAg0CCAIIAggCCAIIAggCCAIIAggCCAIIAggCCAIIAggCCAIIAhICAwJjc3EAfgAAAAAAAnNxAH4ABP///////////////v////7/////dXEAfgAHAAAABDRJviN4eHdFAh4AAgECAgJWAgQCBQIGAgcCCAIJAiECCwIMAg0CCAIIAggCCAIIAggCCAIIAggCCAIIAggCCAIIAggCCAIIAhICAwJkc3EAfgAAAAAAAnNxAH4ABP///////////////v////7/////dXEAfgAHAAAAAwVk/3h4d0UCHgACAQICAkICBAIFAgYCBwIIAgkCCgILAgwCDQIIAggCCAIIAggCCAIIAggCCAIIAggCCAIIAggCCAIIAggCEgIDAmVzcQB+AAAAAAACc3EAfgAE///////////////+/////v////91cQB+AAcAAAAEAe561nh4d00CHgACAQICAmYABjIwMTcwNgIEAgUCBgIHAggCCQIKAgsCDAINAggCCAIIAggCCAIIAggCCAIIAggCCAIIAggCCAIIAggCCAISAgMCZ3NxAH4AAAAAAAJzcQB+AAT///////////////7////+/////3VxAH4ABwAAAAQD3U0geHh3RQIeAAIBAgICUAIEAgUCBgIHAggCCQIcAgsCDAINAggCCAIIAggCCAIIAggCCAIIAggCCAIIAggCCAIIAggCCAISAgMCaHNxAH4AAAAAAAJzcQB+AAT///////////////7////+/////3VxAH4ABwAAAARijcsWeHh3RQIeAAIBAgICXAIEAgUCBgIHAggCCQIcAgsCDAINAggCCAIIAggCCAIIAggCCAIIAggCCAIIAggCCAIIAggCCAISAgMCaXNxAH4AAAAAAAJzcQB+AAT///////////////7////+/////3VxAH4ABwAAAARacNl3eHh3mgIeAAIBAgICagAGMjAxODAzAgQCBQIGAgcCCAIJAiECCwIMAg0CCAIIAggCCAIIAggCCAIIAggCCAIIAggCCAIIAggCCAIIAhICAwIsAh4AAgECAgJrAAYyMDE2MTICBAIFAgYCBwIIAgkCCgILAgwCDQIIAggCCAIIAggCCAIIAggCCAIIAggCCAIIAggCCAIIAggCEgIDAmxzcQB+AAAAAAACc3EAfgAE///////////////+/////v////91cQB+AAcAAAAEO4uIvXh4d0UCHgACAQICAlACBAIFAgYCBwIIAgkCCgILAgwCDQIIAggCCAIIAggCCAIIAggCCAIIAggCCAIIAggCCAIIAggCEgIDAm1zcQB+AAAAAAACc3EAfgAE///////////////+/////v////91cQB+AAcAAAADvFyyeHh3RQIeAAIBAgICPgIEAgUCBgIHAggCCQIcAgsCDAINAggCCAIIAggCCAIIAggCCAIIAggCCAIIAggCCAIIAggCCAISAgMCbnNxAH4AAAAAAAJzcQB+AAT///////////////7////+/////3VxAH4ABwAAAARIcHiveHh3RQIeAAIBAgICQgIEAgUCBgIHAggCCQIcAgsCDAINAggCCAIIAggCCAIIAggCCAIIAggCCAIIAggCCAIIAggCCAISAgMCb3NxAH4AAAAAAAJzcQB+AAT///////////////7////+/////3VxAH4ABwAAAARdGgPTeHh3RQIeAAIBAgICTAIEAgUCBgIHAggCCQIKAgsCDAINAggCCAIIAggCCAIIAggCCAIIAggCCAIIAggCCAIIAggCCAISAgMCcHNxAH4AAAAAAAJzcQB+AAT///////////////7////+AAAAAXVxAH4ABwAAAAQCCDy9eHh3RQIeAAIBAgICQwIEAgUCBgIHAggCCQIhAgsCDAINAggCCAIIAggCCAIIAggCCAIIAggCCAIIAggCCAIIAggCCAISAgMCcXNxAH4AAAAAAAJzcQB+AAT///////////////7////+/////3VxAH4ABwAAAAMEq5d4eHdFAh4AAgECAgJOAgQCBQIGAgcCCAIJAgoCCwIMAg0CCAIIAggCCAIIAggCCAIIAggCCAIIAggCCAIIAggCCAIIAhICAwJyc3EAfgAAAAAAAnNxAH4ABP///////////////v////7/////dXEAfgAHAAAABAOri614eHdFAh4AAgECAgJiAgQCBQIGAgcCCAIJAhwCCwIMAg0CCAIIAggCCAIIAggCCAIIAggCCAIIAggCCAIIAggCCAIIAhICAwJzc3EAfgAAAAAAAnNxAH4ABP///////////////v////7/////dXEAfgAHAAAABEI0vHx4eHdFAh4AAgECAgJmAgQCBQIGAgcCCAIJAhwCCwIMAg0CCAIIAggCCAIIAggCCAIIAggCCAIIAggCCAIIAggCCAIIAhICAwJ0c3EAfgAAAAAAAnNxAH4ABP///////////////v////7/////dXEAfgAHAAAABFgLByx4eHeKAh4AAgECAgIbAgQCBQIGAgcCCAIJAiECCwIMAg0CCAIIAggCCAIIAggCCAIIAggCCAIIAggCCAIIAggCCAIIAhICAwIsAh4AAgECAgI0AgQCBQIGAgcCCAIJAgoCCwIMAg0CCAIIAggCCAIIAggCCAIIAggCCAIIAggCCAIIAggCCAIIAhICAwJ1c3EAfgAAAAAAAnNxAH4ABP///////////////v////4AAAABdXEAfgAHAAAABAkNFf14eHdFAh4AAgECAgJJAgQCBQIGAgcCCAIJAiECCwIMAg0CCAIIAggCCAIIAggCCAIIAggCCAIIAggCCAIIAggCCAIIAhICAwJ2c3EAfgAAAAAAAnNxAH4ABP///////////////v////7/////dXEAfgAHAAAAAwQlCXh4d9cCHgACAQICAlICBAIFAgYCBwIIAgkCIQILAgwCDQIIAggCCAIIAggCCAIIAggCCAIIAggCCAIIAggCCAIIAggCEgIDAiwCHgACAQICAncABjIwMTgxMAIEAgUCBgIHAggCCQIcAgsCDAINAggCCAIIAggCCAIIAggCCAIIAggCCAIIAggCCAIIAggCCAISAgMCHQIeAAIBAgICVAIEAgUCBgIHAggCCQIKAgsCDAINAggCCAIIAggCCAIIAggCCAIIAggCCAIIAggCCAIIAggCCAISAgMCeHNxAH4AAAAAAAJzcQB+AAT///////////////7////+/////3VxAH4ABwAAAAQCvT+keHh3RQIeAAIBAgICMAIEAgUCBgIHAggCCQIhAgsCDAINAggCCAIIAggCCAIIAggCCAIIAggCCAIIAggCCAIIAggCCAISAgMCeXNxAH4AAAAAAAJzcQB+AAT///////////////7////+/////3VxAH4ABwAAAAMEVit4eHdFAh4AAgECAgJcAgQCBQIGAgcCCAIJAgoCCwIMAg0CCAIIAggCCAIIAggCCAIIAggCCAIIAggCCAIIAggCCAIIAhICAwJ6c3EAfgAAAAAAAnNxAH4ABP///////////////v////7/////dXEAfgAHAAAABAnwakZ4eHdFAh4AAgECAgJrAgQCBQIGAgcCCAIJAiECCwIMAg0CCAIIAggCCAIIAggCCAIIAggCCAIIAggCCAIIAggCCAIIAhICAwJ7c3EAfgAAAAAAAnNxAH4ABP///////////////v////7/////dXEAfgAHAAAAAwbck3h4d00CHgACAQICAnwABjIwMTYwMgIEAgUCBgIHAggCCQIcAgsCDAINAggCCAIIAggCCAIIAggCCAIIAggCCAIIAggCCAIIAggCCAISAgMCfXNxAH4AAAAAAAJzcQB+AAT///////////////7////+/////3VxAH4ABwAAAAQ3OPVPeHh3RQIeAAIBAgICKwIEAgUCBgIHAggCCQIcAgsCDAINAggCCAIIAggCCAIIAggCCAIIAggCCAIIAggCCAIIAggCCAISAgMCfnNxAH4AAAAAAAJzcQB+AAT///////////////7////+/////3VxAH4ABwAAAARaqchfeHh3RQIeAAIBAgICVgIEAgUCBgIHAggCCQIKAgsCDAINAggCCAIIAggCCAIIAggCCAIIAggCCAIIAggCCAIIAggCCAISAgMCf3NxAH4AAAAAAAJzcQB+AAT///////////////7////+/////3VxAH4ABwAAAAQo6Ya2eHh3RQIeAAIBAgICZgIEAgUCBgIHAggCCQIhAgsCDAINAggCCAIIAggCCAIIAggCCAIIAggCCAIIAggCCAIIAggCCAISAgMCgHNxAH4AAAAAAAJzcQB+AAT///////////////7////+/////3VxAH4ABwAAAAMEQ3p4eHfPAh4AAgECAgI5AgQCBQIGAgcCCAIJAhwCCwIMAg0CCAIIAggCCAIIAggCCAIIAggCCAIIAggCCAIIAggCCAIIAhICAwIdAh4AAgECAgJiAgQCBQIGAgcCCAIJAiECCwIMAg0CCAIIAggCCAIIAggCCAIIAggCCAIIAggCCAIIAggCCAIIAhICAwIsAh4AAgECAgI3AgQCBQIGAgcCCAIJAhwCCwIMAg0CCAIIAggCCAIIAggCCAIIAggCCAIIAggCCAIIAggCCAIIAhICAwKBc3EAfgAAAAAAAnNxAH4ABP///////////////v////7/////dXEAfgAHAAAABFovta14eHdFAh4AAgECAgJqAgQCBQIGAgcCCAIJAgoCCwIMAg0CCAIIAggCCAIIAggCCAIIAggCCAIIAggCCAIIAggCCAIIAhICAwKCc3EAfgAAAAAAAnNxAH4ABP///////////////v////7/////dXEAfgAHAAAABA5TyYx4eHdFAh4AAgECAgIpAgQCBQIGAgcCCAIJAiECCwIMAg0CCAIIAggCCAIIAggCCAIIAggCCAIIAggCCAIIAggCCAIIAhICAwKDc3EAfgAAAAAAAnNxAH4ABP///////////////v////7/////dXEAfgAHAAAAAwQ0OHh4d88CHgACAQICAicCBAIFAgYCBwIIAgkCIQILAgwCDQIIAggCCAIIAggCCAIIAggCCAIIAggCCAIIAggCCAIIAggCEgIDAiwCHgACAQICAncCBAIFAgYCBwIIAgkCCgILAgwCDQIIAggCCAIIAggCCAIIAggCCAIIAggCCAIIAggCCAIIAggCEgIDAjYCHgACAQICAkYCBAIFAgYCBwIIAgkCHAILAgwCDQIIAggCCAIIAggCCAIIAggCCAIIAggCCAIIAggCCAIIAggCEgIDAoRzcQB+AAAAAAACc3EAfgAE///////////////+/////v////91cQB+AAcAAAAETypx+Xh4d0UCHgACAQICAnwCBAIFAgYCBwIIAgkCCgILAgwCDQIIAggCCAIIAggCCAIIAggCCAIIAggCCAIIAggCCAIIAggCEgIDAoVzcQB+AAAAAAACc3EAfgAE///////////////+/////v////91cQB+AAcAAAAECCX/sXh4d0UCHgACAQICAjsCBAIFAgYCBwIIAgkCHAILAgwCDQIIAggCCAIIAggCCAIIAggCCAIIAggCCAIIAggCCAIIAggCEgIDAoZzcQB+AAAAAAACc3EAfgAE///////////////+/////v////91cQB+AAcAAAAEcQZZSXh4d4oCHgACAQICAjkCBAIFAgYCBwIIAgkCCgILAgwCDQIIAggCCAIIAggCCAIIAggCCAIIAggCCAIIAggCCAIIAggCEgIDAjYCHgACAQICAiMCBAIFAgYCBwIIAgkCIQILAgwCDQIIAggCCAIIAggCCAIIAggCCAIIAggCCAIIAggCCAIIAggCEgIDAodzcQB+AAAAAAACc3EAfgAE///////////////+/////v////91cQB+AAcAAAADDoPdeHh3RQIeAAIBAgICKwIEAgUCBgIHAggCCQIKAgsCDAINAggCCAIIAggCCAIIAggCCAIIAggCCAIIAggCCAIIAggCCAISAgMCiHNxAH4AAAAAAAJzcQB+AAT///////////////7////+/////3VxAH4ABwAAAAQHGT+ZeHh3RQIeAAIBAgICagIEAgUCBgIHAggCCQIcAgsCDAINAggCCAIIAggCCAIIAggCCAIIAggCCAIIAggCCAIIAggCCAISAgMCiXNxAH4AAAAAAAJzcQB+AAT///////////////7////+/////3VxAH4ABwAAAARSfqMaeHh3RQIeAAIBAgICfAIEAgUCBgIHAggCCQIhAgsCDAINAggCCAIIAggCCAIIAggCCAIIAggCCAIIAggCCAIIAggCCAISAgMCinNxAH4AAAAAAAJzcQB+AAT///////////////7////+/////3VxAH4ABwAAAAMSFct4eHdFAh4AAgECAgJrAgQCBQIGAgcCCAIJAhwCCwIMAg0CCAIIAggCCAIIAggCCAIIAggCCAIIAggCCAIIAggCCAIIAhICAwKLc3EAfgAAAAAAAnNxAH4ABP///////////////v////7/////dXEAfgAHAAAABCij2ll4eHeKAh4AAgECAgIeAgQCBQIGAgcCCAIJAiECCwIMAg0CCAIIAggCCAIIAggCCAIIAggCCAIIAggCCAIIAggCCAIIAhICAwIsAh4AAgECAgI3AgQCBQIGAgcCCAIJAgoCCwIMAg0CCAIIAggCCAIIAggCCAIIAggCCAIIAggCCAIIAggCCAIIAhICAwKMc3EAfgAAAAAAAnNxAH4ABP///////////////v////7/////dXEAfgAHAAAABAM2kpl4eHeKAh4AAgECAgJ3AgQCBQIGAgcCCAIJAiECCwIMAg0CCAIIAggCCAIIAggCCAIIAggCCAIIAggCCAIIAggCCAIIAhICAwIsAh4AAgECAgInAgQCBQIGAgcCCAIJAgoCCwIMAg0CCAIIAggCCAIIAggCCAIIAggCCAIIAggCCAIIAggCCAIIAhICAwKNc3EAfgAAAAAAAnNxAH4ABP///////////////v////7/////dXEAfgAHAAAABES6V7x4eHdFAh4AAgECAgJMAgQCBQIGAgcCCAIJAhwCCwIMAg0CCAIIAggCCAIIAggCCAIIAggCCAIIAggCCAIIAggCCAIIAhICAwKOc3EAfgAAAAAAAnNxAH4ABP///////////////v////7/////dXEAfgAHAAAABG9TFvJ4eHdFAh4AAgECAgJOAgQCBQIGAgcCCAIJAhwCCwIMAg0CCAIIAggCCAIIAggCCAIIAggCCAIIAggCCAIIAggCCAIIAhICAwKPc3EAfgAAAAAAAnNxAH4ABP///////////////v////7/////dXEAfgAHAAAABFSIS5t4eHdFAh4AAgECAgJUAgQCBQIGAgcCCAIJAiECCwIMAg0CCAIIAggCCAIIAggCCAIIAggCCAIIAggCCAIIAggCCAIIAhICAwKQc3EAfgAAAAAAAnNxAH4ABP///////////////v////7/////dXEAfgAHAAAAAwi2nHh4d0UCHgACAQICAjACBAIFAgYCBwIIAgkCCgILAgwCDQIIAggCCAIIAggCCAIIAggCCAIIAggCCAIIAggCCAIIAggCEgIDApFzcQB+AAAAAAACc3EAfgAE///////////////+/////v////91cQB+AAcAAAAEBiEYhXh4d0UCHgACAQICAjQCBAIFAgYCBwIIAgkCHAILAgwCDQIIAggCCAIIAggCCAIIAggCCAIIAggCCAIIAggCCAIIAggCEgIDApJzcQB+AAAAAAACc3EAfgAE///////////////+/////v////91cQB+AAcAAAAEgtyI8Xh4egAABAACHgACkwAJNTI4Njc0OTY4AgICJwIEAgUCBgIHAggCCQIKAgsCDAINAggCCAIIAggCCAIIAggCCAIIAggCCAIIAggCCAIIAggCCAIBAgMCjQIeAAKTAgICHgIEAgUCBgIHAggCCQIKAgsCDAINAggCCAIIAggCCAIIAggCCAIIAggCCAIIAggCCAIIAggCCAIBAgMCPQIeAAKTAgICOwIEAgUCBgIHAggCCQIhAgsCDAINAggCCAIIAggCCAIIAggCCAIIAggCCAIIAggCCAIIAggCCAIBAgMCXgIeAAKTAgICQAIEAgUCBgIHAggCCQIhAgsCDAINAggCCAIIAggCCAIIAggCCAIIAggCCAIIAggCCAIIAggCCAIBAgMCQQIeAAKTAgICMAIEAgUCBgIHAggCCQIKAgsCDAINAggCCAIIAggCCAIIAggCCAIIAggCCAIIAggCCAIIAggCCAIBAgMCkQIeAAKTAgICRgIEAgUCBgIHAggCCQIhAgsCDAINAggCCAIIAggCCAIIAggCCAIIAggCCAIIAggCCAIIAggCCAIBAgMCLAIeAAKTAgICGwIEAgUCBgIHAggCCQIcAgsCDAINAggCCAIIAggCCAIIAggCCAIIAggCCAIIAggCCAIIAggCCAIBAgMCHQIeAAKTAgICQwIEAgUCBgIHAggCCQIcAgsCDAINAggCCAIIAggCCAIIAggCCAIIAggCCAIIAggCCAIIAggCCAIBAgMCRAIeAAKTAgICIwIEAgUCBgIHAggCCQIcAgsCDAINAggCCAIIAggCCAIIAggCCAIIAggCCAIIAggCCAIIAggCCAIBAgMCJAIeAAKTAgICLQIEAgUCBgIHAggCCQIKAgsCDAINAggCCAIIAggCCAIIAggCCAIIAggCCAIIAggCCAIIAggCCAIBAgMCLgIeAAKTAgICJwIEAgUCBgIHAggCCQIcAgsCDAINAggCCAIIAggCCAIIAggCCAIIAggCCAIIAggCCAIIAggCCAIBAgMCKAIeAAKTAgICHgIEAgUCBgIHAggCCQIcAgsCDAINAggCCAIIAggCCAIIAggCCAIIAggCCAIIAggCCAIIAggCCAIBAgMCHwIeAAKTAgICJQIEAgUCBgIHAggCCQIKAgsCDAINAggCCAIIAggCCAIIAggCCAIIAggCCAIIAggCCAIIAggCCAIBAgMCJgIeAAKTAgICdwIEAgUCBgIHAggCCQIhAgsCDAINAggCCAIIAggCCAIIAggCCAIIAggCCAIIAggCCAIIAggCCAIBAgMCLAIeAAKTAgICMAIEAgUCBgIHAggCCQIcAgsCDAINAggCCAIIAggCCAIIAggCCAIIegAABAACCAIIAggCCAIIAggCCAIIAgECAwIxAh4AApMCAgIpAgQCBQIGAgcCCAIJAiECCwIMAg0CCAIIAggCCAIIAggCCAIIAggCCAIIAggCCAIIAggCCAIIAgECAwKDAh4AApMCAgJDAgQCBQIGAgcCCAIJAgoCCwIMAg0CCAIIAggCCAIIAggCCAIIAggCCAIIAggCCAIIAggCCAIIAgECAwJYAh4AApMCAgI5AgQCBQIGAgcCCAIJAgoCCwIMAg0CCAIIAggCCAIIAggCCAIIAggCCAIIAggCCAIIAggCCAIIAgECAwI2Ah4AApMCAgJcAgQCBQIGAgcCCAIJAiECCwIMAg0CCAIIAggCCAIIAggCCAIIAggCCAIIAggCCAIIAggCCAIIAgECAwJdAh4AApMCAgJqAgQCBQIGAgcCCAIJAhwCCwIMAg0CCAIIAggCCAIIAggCCAIIAggCCAIIAggCCAIIAggCCAIIAgECAwKJAh4AApMCAgIDAgQCBQIGAgcCCAIJAiECCwIMAg0CCAIIAggCCAIIAggCCAIIAggCCAIIAggCCAIIAggCCAIIAgECAwJIAh4AApMCAgI3AgQCBQIGAgcCCAIJAgoCCwIMAg0CCAIIAggCCAIIAggCCAIIAggCCAIIAggCCAIIAggCCAIIAgECAwKMAh4AApMCAgJUAgQCBQIGAgcCCAIJAgoCCwIMAg0CCAIIAggCCAIIAggCCAIIAggCCAIIAggCCAIIAggCCAIIAgECAwJ4Ah4AApMCAgI+AgQCBQIGAgcCCAIJAiECCwIMAg0CCAIIAggCCAIIAggCCAIIAggCCAIIAggCCAIIAggCCAIIAgECAwI/Ah4AApMCAgJCAgQCBQIGAgcCCAIJAiECCwIMAg0CCAIIAggCCAIIAggCCAIIAggCCAIIAggCCAIIAggCCAIIAgECAwIsAh4AApMCAgJSAgQCBQIGAgcCCAIJAgoCCwIMAg0CCAIIAggCCAIIAggCCAIIAggCCAIIAggCCAIIAggCCAIIAgECAwJfAh4AApMCAgIjAgQCBQIGAgcCCAIJAiECCwIMAg0CCAIIAggCCAIIAggCCAIIAggCCAIIAggCCAIIAggCCAIIAgECAwKHAh4AApMCAgJQAgQCBQIGAgcCCAIJAiECCwIMAg0CCAIIAggCCAIIAggCCAIIAggCCAIIAggCCAIIAggCCAIIAgECAwJRAh4AApMCAgIpAgQCBQIGAgcCCAIJAhwCCwIMAg0CCAIIAggCCAIIAggCCAIIAggCCAIIAggCCAIIAggCCAIIAgECAwJhAh4AApMCAgIlAgQCBQIGAgcCCAIJAiECCwIMAg0CCAIIAggCegAABAAIAggCCAIIAggCCAIIAggCCAIIAggCCAIIAggCAQIDAkUCHgACkwICAlYCBAIFAgYCBwIIAgkCCgILAgwCDQIIAggCCAIIAggCCAIIAggCCAIIAggCCAIIAggCCAIIAggCAQIDAn8CHgACkwICAhsCBAIFAgYCBwIIAgkCIQILAgwCDQIIAggCCAIIAggCCAIIAggCCAIIAggCCAIIAggCCAIIAggCAQIDAiwCHgACkwICAi0CBAIFAgYCBwIIAgkCIQILAgwCDQIIAggCCAIIAggCCAIIAggCCAIIAggCCAIIAggCCAIIAggCAQIDAiwCHgACkwICAjcCBAIFAgYCBwIIAgkCHAILAgwCDQIIAggCCAIIAggCCAIIAggCCAIIAggCCAIIAggCCAIIAggCAQIDAoECHgACkwICAjkCBAIFAgYCBwIIAgkCHAILAgwCDQIIAggCCAIIAggCCAIIAggCCAIIAggCCAIIAggCCAIIAggCAQIDAh0CHgACkwICAkACBAIFAgYCBwIIAgkCCgILAgwCDQIIAggCCAIIAggCCAIIAggCCAIIAggCCAIIAggCCAIIAggCAQIDAksCHgACkwICAiACBAIFAgYCBwIIAgkCCgILAgwCDQIIAggCCAIIAggCCAIIAggCCAIIAggCCAIIAggCCAIIAggCAQIDAk0CHgACkwICAkMCBAIFAgYCBwIIAgkCIQILAgwCDQIIAggCCAIIAggCCAIIAggCCAIIAggCCAIIAggCCAIIAggCAQIDAnECHgACkwICAiACBAIFAgYCBwIIAgkCIQILAgwCDQIIAggCCAIIAggCCAIIAggCCAIIAggCCAIIAggCCAIIAggCAQIDAiICHgACkwICAmICBAIFAgYCBwIIAgkCHAILAgwCDQIIAggCCAIIAggCCAIIAggCCAIIAggCCAIIAggCCAIIAggCAQIDAnMCHgACkwICAlQCBAIFAgYCBwIIAgkCHAILAgwCDQIIAggCCAIIAggCCAIIAggCCAIIAggCCAIIAggCCAIIAggCAQIDAlUCHgACkwICAlYCBAIFAgYCBwIIAgkCHAILAgwCDQIIAggCCAIIAggCCAIIAggCCAIIAggCCAIIAggCCAIIAggCAQIDAlcCHgACkwICAikCBAIFAgYCBwIIAgkCCgILAgwCDQIIAggCCAIIAggCCAIIAggCCAIIAggCCAIIAggCCAIIAggCAQIDAioCHgACkwICAmYCBAIFAgYCBwIIAgkCHAILAgwCDQIIAggCCAIIAggCCAIIAggCCAIIAggCCAIIAggCCAIIAggCAQIDAnQCHgACkwICAhsCBAIFAgYCBwIIAgkCCgILegAABAACDAINAggCCAIIAggCCAIIAggCCAIIAggCCAIIAggCCAIIAggCCAIBAgMCNgIeAAKTAgICSQIEAgUCBgIHAggCCQIhAgsCDAINAggCCAIIAggCCAIIAggCCAIIAggCCAIIAggCCAIIAggCCAIBAgMCdgIeAAKTAgICIwIEAgUCBgIHAggCCQIKAgsCDAINAggCCAIIAggCCAIIAggCCAIIAggCCAIIAggCCAIIAggCCAIBAgMCOgIeAAKTAgICUAIEAgUCBgIHAggCCQIKAgsCDAINAggCCAIIAggCCAIIAggCCAIIAggCCAIIAggCCAIIAggCCAIBAgMCbQIeAAKTAgICdwIEAgUCBgIHAggCCQIcAgsCDAINAggCCAIIAggCCAIIAggCCAIIAggCCAIIAggCCAIIAggCCAIBAgMCHQIeAAKTAgICUgIEAgUCBgIHAggCCQIhAgsCDAINAggCCAIIAggCCAIIAggCCAIIAggCCAIIAggCCAIIAggCCAIBAgMCLAIeAAKTAgICfAIEAgUCBgIHAggCCQIcAgsCDAINAggCCAIIAggCCAIIAggCCAIIAggCCAIIAggCCAIIAggCCAIBAgMCfQIeAAKTAgICPgIEAgUCBgIHAggCCQIKAgsCDAINAggCCAIIAggCCAIIAggCCAIIAggCCAIIAggCCAIIAggCCAIBAgMCYAIeAAKTAgICQgIEAgUCBgIHAggCCQIKAgsCDAINAggCCAIIAggCCAIIAggCCAIIAggCCAIIAggCCAIIAggCCAIBAgMCZQIeAAKTAgICKwIEAgUCBgIHAggCCQIcAgsCDAINAggCCAIIAggCCAIIAggCCAIIAggCCAIIAggCCAIIAggCCAIBAgMCfgIeAAKTAgICNAIEAgUCBgIHAggCCQIcAgsCDAINAggCCAIIAggCCAIIAggCCAIIAggCCAIIAggCCAIIAggCCAIBAgMCkgIeAAKTAgICNAIEAgUCBgIHAggCCQIKAgsCDAINAggCCAIIAggCCAIIAggCCAIIAggCCAIIAggCCAIIAggCCAIBAgMCdQIeAAKTAgICYgIEAgUCBgIHAggCCQIKAgsCDAINAggCCAIIAggCCAIIAggCCAIIAggCCAIIAggCCAIIAggCCAIBAgMCYwIeAAKTAgICZgIEAgUCBgIHAggCCQIKAgsCDAINAggCCAIIAggCCAIIAggCCAIIAggCCAIIAggCCAIIAggCCAIBAgMCZwIeAAKTAgICagIEAgUCBgIHAggCCQIhAgsCDAINAggCCAIIAggCCAIIAggCCAIIAggCCAIIAggCCAIIAggCCAIBAgMCLAIeAAKTAgICawIEAgUCegAABAAGAgcCCAIJAgoCCwIMAg0CCAIIAggCCAIIAggCCAIIAggCCAIIAggCCAIIAggCCAIIAgECAwJsAh4AApMCAgJcAgQCBQIGAgcCCAIJAhwCCwIMAg0CCAIIAggCCAIIAggCCAIIAggCCAIIAggCCAIIAggCCAIIAgECAwJpAh4AApMCAgI+AgQCBQIGAgcCCAIJAhwCCwIMAg0CCAIIAggCCAIIAggCCAIIAggCCAIIAggCCAIIAggCCAIIAgECAwJuAh4AApMCAgJCAgQCBQIGAgcCCAIJAhwCCwIMAg0CCAIIAggCCAIIAggCCAIIAggCCAIIAggCCAIIAggCCAIIAgECAwJvAh4AApMCAgJOAgQCBQIGAgcCCAIJAiECCwIMAg0CCAIIAggCCAIIAggCCAIIAggCCAIIAggCCAIIAggCCAIIAgECAwJPAh4AApMCAgJMAgQCBQIGAgcCCAIJAiECCwIMAg0CCAIIAggCCAIIAggCCAIIAggCCAIIAggCCAIIAggCCAIIAgECAwIsAh4AApMCAgJ3AgQCBQIGAgcCCAIJAgoCCwIMAg0CCAIIAggCCAIIAggCCAIIAggCCAIIAggCCAIIAggCCAIIAgECAwI2Ah4AApMCAgJ8AgQCBQIGAgcCCAIJAgoCCwIMAg0CCAIIAggCCAIIAggCCAIIAggCCAIIAggCCAIIAggCCAIIAgECAwKFAh4AApMCAgJJAgQCBQIGAgcCCAIJAgoCCwIMAg0CCAIIAggCCAIIAggCCAIIAggCCAIIAggCCAIIAggCCAIIAgECAwJZAh4AApMCAgIrAgQCBQIGAgcCCAIJAgoCCwIMAg0CCAIIAggCCAIIAggCCAIIAggCCAIIAggCCAIIAggCCAIIAgECAwKIAh4AApMCAgJiAgQCBQIGAgcCCAIJAiECCwIMAg0CCAIIAggCCAIIAggCCAIIAggCCAIIAggCCAIIAggCCAIIAgECAwIsAh4AApMCAgJrAgQCBQIGAgcCCAIJAhwCCwIMAg0CCAIIAggCCAIIAggCCAIIAggCCAIIAggCCAIIAggCCAIIAgECAwKLAh4AApMCAgJWAgQCBQIGAgcCCAIJAiECCwIMAg0CCAIIAggCCAIIAggCCAIIAggCCAIIAggCCAIIAggCCAIIAgECAwJkAh4AApMCAgJAAgQCBQIGAgcCCAIJAhwCCwIMAg0CCAIIAggCCAIIAggCCAIIAggCCAIIAggCCAIIAggCCAIIAgECAwJaAh4AApMCAgIgAgQCBQIGAgcCCAIJAhwCCwIMAg0CCAIIAggCCAIIAggCCAIIAggCCAIIAggCCAIIAggCCAIIAgECAwJbAh4AegAABAACkwICAlQCBAIFAgYCBwIIAgkCIQILAgwCDQIIAggCCAIIAggCCAIIAggCCAIIAggCCAIIAggCCAIIAggCAQIDApACHgACkwICAh4CBAIFAgYCBwIIAgkCIQILAgwCDQIIAggCCAIIAggCCAIIAggCCAIIAggCCAIIAggCCAIIAggCAQIDAiwCHgACkwICAjsCBAIFAgYCBwIIAgkCCgILAgwCDQIIAggCCAIIAggCCAIIAggCCAIIAggCCAIIAggCCAIIAggCAQIDAjwCHgACkwICAicCBAIFAgYCBwIIAgkCIQILAgwCDQIIAggCCAIIAggCCAIIAggCCAIIAggCCAIIAggCCAIIAggCAQIDAiwCHgACkwICAk4CBAIFAgYCBwIIAgkCHAILAgwCDQIIAggCCAIIAggCCAIIAggCCAIIAggCCAIIAggCCAIIAggCAQIDAo8CHgACkwICAjACBAIFAgYCBwIIAgkCIQILAgwCDQIIAggCCAIIAggCCAIIAggCCAIIAggCCAIIAggCCAIIAggCAQIDAnkCHgACkwICAkwCBAIFAgYCBwIIAgkCHAILAgwCDQIIAggCCAIIAggCCAIIAggCCAIIAggCCAIIAggCCAIIAggCAQIDAo4CHgACkwICAkYCBAIFAgYCBwIIAgkCCgILAgwCDQIIAggCCAIIAggCCAIIAggCCAIIAggCCAIIAggCCAIIAggCAQIDAkcCHgACkwICAjQCBAIFAgYCBwIIAgkCIQILAgwCDQIIAggCCAIIAggCCAIIAggCCAIIAggCCAIIAggCCAIIAggCAQIDAjUCHgACkwICAmYCBAIFAgYCBwIIAgkCIQILAgwCDQIIAggCCAIIAggCCAIIAggCCAIIAggCCAIIAggCCAIIAggCAQIDAoACHgACkwICAnwCBAIFAgYCBwIIAgkCIQILAgwCDQIIAggCCAIIAggCCAIIAggCCAIIAggCCAIIAggCCAIIAggCAQIDAooCHgACkwICAlICBAIFAgYCBwIIAgkCHAILAgwCDQIIAggCCAIIAggCCAIIAggCCAIIAggCCAIIAggCCAIIAggCAQIDAlMCHgACkwICAkkCBAIFAgYCBwIIAgkCHAILAgwCDQIIAggCCAIIAggCCAIIAggCCAIIAggCCAIIAggCCAIIAggCAQIDAkoCHgACkwICAkwCBAIFAgYCBwIIAgkCCgILAgwCDQIIAggCCAIIAggCCAIIAggCCAIIAggCCAIIAggCCAIIAggCAQIDAnACHgACkwICAmoCBAIFAgYCBwIIAgkCCgILAgwCDQIIAggCCAIIAggCCAIIAggCCAIIAggCCAIIAggCCAIIegAAA90CCAIBAgMCggIeAAKTAgICUAIEAgUCBgIHAggCCQIcAgsCDAINAggCCAIIAggCCAIIAggCCAIIAggCCAIIAggCCAIIAggCCAIBAgMCaAIeAAKTAgICAwIEAgUCBgIHAggCCQIcAgsCDAINAggCCAIIAggCCAIIAggCCAIIAggCCAIIAggCCAIIAggCCAIBAgMCLwIeAAKTAgICawIEAgUCBgIHAggCCQIhAgsCDAINAggCCAIIAggCCAIIAggCCAIIAggCCAIIAggCCAIIAggCCAIBAgMCewIeAAKTAgICOwIEAgUCBgIHAggCCQIcAgsCDAINAggCCAIIAggCCAIIAggCCAIIAggCCAIIAggCCAIIAggCCAIBAgMChgIeAAKTAgICRgIEAgUCBgIHAggCCQIcAgsCDAINAggCCAIIAggCCAIIAggCCAIIAggCCAIIAggCCAIIAggCCAIBAgMChAIeAAKTAgICKwIEAgUCBgIHAggCCQIhAgsCDAINAggCCAIIAggCCAIIAggCCAIIAggCCAIIAggCCAIIAggCCAIBAgMCLAIeAAKTAgICNwIEAgUCBgIHAggCCQIhAgsCDAINAggCCAIIAggCCAIIAggCCAIIAggCCAIIAggCCAIIAggCCAIBAgMCOAIeAAKTAgICTgIEAgUCBgIHAggCCQIKAgsCDAINAggCCAIIAggCCAIIAggCCAIIAggCCAIIAggCCAIIAggCCAIBAgMCcgIeAAKTAgICJQIEAgUCBgIHAggCCQIcAgsCDAINAggCCAIIAggCCAIIAggCCAIIAggCCAIIAggCCAIIAggCCAIBAgMCMgIeAAKTAgICAwIEAgUCBgIHAggCCQIKAgsCDAINAggCCAIIAggCCAIIAggCCAIIAggCCAIIAggCCAIIAggCCAIBAgMCDgIeAAKTAgICLQIEAgUCBgIHAggCCQIcAgsCDAINAggCCAIIAggCCAIIAggCCAIIAggCCAIIAggCCAIIAggCCAIBAgMCMwIeAAKTAgICOQIEAgUCBgIHAggCCQIhAgsCDAINAggCCAIIAggCCAIIAggCCAIIAggCCAIIAggCCAIIAggCCAIBAgMCLAIeAAKTAgICXAIEAgUCBgIHAggCCQIKAgsCDAINAggCCAIIAggCCAIIAggCCAIIAggCCAIIAggCCAIIAggCCAIBAgMCegIeAAKUAAk1MjYwNTI0MTYCAgJrAgQCBQIGAgcCCAIJAgoCCwKVAAJJRAINAggCCAIIAggCCAIIAggCCAIIAggCCAIIAggCCAIIAggCCAIfAgMClnNxAH4AAAAAAAJzcQB+AAT///////////////7////+/////3VxAH4ABwAAAAQdEKl0eHh3TQIeAAKUAgICIwIEAgUCBgIHAggCCQKXAAYxOTEwMTUCCwKVAg0CCAIIAggCCAIIAggCCAIIAggCCAIIAggCCAIIAggCCAIIAh8CAwKYc3EAfgAAAAAAAnNxAH4ABP///////////////v////7/////dXEAfgAHAAAAAxJbqXh4d0UCHgAClAICAlACBAIFAgYCBwIIAgkClwILApUCDQIIAggCCAIIAggCCAIIAggCCAIIAggCCAIIAggCCAIIAggCHwIDAplzcQB+AAAAAAACc3EAfgAE///////////////+/////v////91cQB+AAcAAAADEncleHh3RQIeAAKUAgICKQIEAgUCBgIHAggCCQIKAgsClQINAggCCAIIAggCCAIIAggCCAIIAggCCAIIAggCCAIIAggCCAIfAgMCmnNxAH4AAAAAAAJzcQB+AAT///////////////7////+/////3VxAH4ABwAAAANOuAp4eHdFAh4AApQCAgIDAgQCBQIGAgcCCAIJAhwCCwKVAg0CCAIIAggCCAIIAggCCAIIAggCCAIIAggCCAIIAggCCAIIAh8CAwKbc3EAfgAAAAAAAnNxAH4ABP///////////////v////7/////dXEAfgAHAAAABAvREnR4eHdFAh4AApQCAgJOAgQCBQIGAgcCCAIJAgoCCwKVAg0CCAIIAggCCAIIAggCCAIIAggCCAIIAggCCAIIAggCCAIIAh8CAwKcc3EAfgAAAAAAAnNxAH4ABP///////////////v////7/////dXEAfgAHAAAABAFkyvJ4eHdFAh4AApQCAgI+AgQCBQIGAgcCCAIJApcCCwKVAg0CCAIIAggCCAIIAggCCAIIAggCCAIIAggCCAIIAggCCAIIAh8CAwKdc3EAfgAAAAAAAnNxAH4ABP///////////////v////7/////dXEAfgAHAAAAAxJflHh4d0UCHgAClAICAjACBAIFAgYCBwIIAgkCHAILApUCDQIIAggCCAIIAggCCAIIAggCCAIIAggCCAIIAggCCAIIAggCHwIDAp5zcQB+AAAAAAACc3EAfgAE///////////////+/////v////91cQB+AAcAAAAEKiZPC3h4d0UCHgAClAICAj4CBAIFAgYCBwIIAgkCHAILApUCDQIIAggCCAIIAggCCAIIAggCCAIIAggCCAIIAggCCAIIAggCHwIDAp9zcQB+AAAAAAACc3EAfgAE///////////////+/////v////91cQB+AAcAAAAEI8Z4/Xh4d0UCHgAClAICAmICBAIFAgYCBwIIAgkCHAILApUCDQIIAggCCAIIAggCCAIIAggCCAIIAggCCAIIAggCCAIIAggCHwIDAqBzcQB+AAAAAAACc3EAfgAE///////////////+/////v////91cQB+AAcAAAAEJDRt9Hh4d0UCHgAClAICAjACBAIFAgYCBwIIAgkClwILApUCDQIIAggCCAIIAggCCAIIAggCCAIIAggCCAIIAggCCAIIAggCHwIDAqFzcQB+AAAAAAACc3EAfgAE///////////////+/////v////91cQB+AAcAAAADEpLKeHh3RQIeAAKUAgICNAIEAgUCBgIHAggCCQKXAgsClQINAggCCAIIAggCCAIIAggCCAIIAggCCAIIAggCCAIIAggCCAIfAgMConNxAH4AAAAAAAJzcQB+AAT///////////////7////+/////3VxAH4ABwAAAAMSpqJ4eHdFAh4AApQCAgJDAgQCBQIGAgcCCAIJApcCCwKVAg0CCAIIAggCCAIIAggCCAIIAggCCAIIAggCCAIIAggCCAIIAh8CAwKjc3EAfgAAAAAAAnNxAH4ABP///////////////v////7/////dXEAfgAHAAAAAxKK33h4d0UCHgAClAICAgMCBAIFAgYCBwIIAgkCCgILApUCDQIIAggCCAIIAggCCAIIAggCCAIIAggCCAIIAggCCAIIAggCHwIDAqRzcQB+AAAAAAACc3EAfgAE///////////////+/////v////91cQB+AAcAAAAEJZDR+3h4d0UCHgAClAICAmICBAIFAgYCBwIIAgkCCgILApUCDQIIAggCCAIIAggCCAIIAggCCAIIAggCCAIIAggCCAIIAggCHwIDAqVzcQB+AAAAAAACc3EAfgAE///////////////+/////v////91cQB+AAcAAAAEFreoonh4d0UCHgAClAICAgMCBAIFAgYCBwIIAgkClwILApUCDQIIAggCCAIIAggCCAIIAggCCAIIAggCCAIIAggCCAIIAggCHwIDAqZzcQB+AAAAAAACc3EAfgAE///////////////+/////v////91cQB+AAcAAAADEnsVeHh3RQIeAAKUAgICMAIEAgUCBgIHAggCCQIKAgsClQINAggCCAIIAggCCAIIAggCCAIIAggCCAIIAggCCAIIAggCCAIfAgMCp3NxAH4AAAAAAAJzcQB+AAT///////////////7////+/////3VxAH4ABwAAAAQC12dUeHh3RQIeAAKUAgICZgIEAgUCBgIHAggCCQIKAgsClQINAggCCAIIAggCCAIIAggCCAIIAggCCAIIAggCCAIIAggCCAIfAgMCqHNxAH4AAAAAAAJzcQB+AAT///////////////7////+/////3VxAH4ABwAAAAQBbUrSeHh3RQIeAAKUAgICJQIEAgUCBgIHAggCCQIKAgsClQINAggCCAIIAggCCAIIAggCCAIIAggCCAIIAggCCAIIAggCCAIfAgMCqXNxAH4AAAAAAAJzcQB+AAT///////////////7////+/////3VxAH4ABwAAAAQBzUp3eHh3RQIeAAKUAgICJwIEAgUCBgIHAggCCQIcAgsClQINAggCCAIIAggCCAIIAggCCAIIAggCCAIIAggCCAIIAggCCAIfAgMCqnNxAH4AAAAAAAJzcQB+AAT///////////////7////+/////3VxAH4ABwAAAAQcI3yQeHh3RQIeAAKUAgICUAIEAgUCBgIHAggCCQIcAgsClQINAggCCAIIAggCCAIIAggCCAIIAggCCAIIAggCCAIIAggCCAIfAgMCq3NxAH4AAAAAAAJzcQB+AAT///////////////7////+/////3VxAH4ABwAAAAQ0mEcjeHh3RQIeAAKUAgICIwIEAgUCBgIHAggCCQIcAgsClQINAggCCAIIAggCCAIIAggCCAIIAggCCAIIAggCCAIIAggCCAIfAgMCrHNxAH4AAAAAAAJzcQB+AAT///////////////7////+/////3VxAH4ABwAAAAQerglPeHh3RQIeAAKUAgICXAIEAgUCBgIHAggCCQIcAgsClQINAggCCAIIAggCCAIIAggCCAIIAggCCAIIAggCCAIIAggCCAIfAgMCrXNxAH4AAAAAAAJzcQB+AAT///////////////7////+/////3VxAH4ABwAAAAQp4OUTeHh3RQIeAAKUAgICXAIEAgUCBgIHAggCCQKXAgsClQINAggCCAIIAggCCAIIAggCCAIIAggCCAIIAggCCAIIAggCCAIfAgMCrnNxAH4AAAAAAAJzcQB+AAT///////////////7////+/////3VxAH4ABwAAAAMSjtR4eHeKAh4AApQCAgInAgQCBQIGAgcCCAIJApcCCwKVAg0CCAIIAggCCAIIAggCCAIIAggCCAIIAggCCAIIAggCCAIIAh8CAwIsAh4AApQCAgJrAgQCBQIGAgcCCAIJApcCCwKVAg0CCAIIAggCCAIIAggCCAIIAggCCAIIAggCCAIIAggCCAIIAh8CAwKvc3EAfgAAAAAAAnNxAH4ABP///////////////v////7/////dXEAfgAHAAAAAxJ/Bnh4d0UCHgAClAICAikCBAIFAgYCBwIIAgkCHAILApUCDQIIAggCCAIIAggCCAIIAggCCAIIAggCCAIIAggCCAIIAggCHwIDArBzcQB+AAAAAAACc3EAfgAE///////////////+/////v////91cQB+AAcAAAAELpGFK3h4d0UCHgAClAICAk4CBAIFAgYCBwIIAgkCHAILApUCDQIIAggCCAIIAggCCAIIAggCCAIIAggCCAIIAggCCAIIAggCHwIDArFzcQB+AAAAAAACc3EAfgAE///////////////+/////v////91cQB+AAcAAAAEKxALUXh4d4oCHgAClAICAmoCBAIFAgYCBwIIAgkClwILApUCDQIIAggCCAIIAggCCAIIAggCCAIIAggCCAIIAggCCAIIAggCHwIDAiwCHgAClAICAlICBAIFAgYCBwIIAgkCCgILApUCDQIIAggCCAIIAggCCAIIAggCCAIIAggCCAIIAggCCAIIAggCHwIDArJzcQB+AAAAAAACc3EAfgAE///////////////+/////v////91cQB+AAcAAAAEEKaLJHh4d0UCHgAClAICAicCBAIFAgYCBwIIAgkCCgILApUCDQIIAggCCAIIAggCCAIIAggCCAIIAggCCAIIAggCCAIIAggCHwIDArNzcQB+AAAAAAACc3EAfgAE///////////////+/////v////91cQB+AAcAAAAEHsB0bHh4d0UCHgAClAICAmoCBAIFAgYCBwIIAgkCHAILApUCDQIIAggCCAIIAggCCAIIAggCCAIIAggCCAIIAggCCAIIAggCHwIDArRzcQB+AAAAAAACc3EAfgAE///////////////+/////v////91cQB+AAcAAAAEKsKx+Hh4d0UCHgAClAICAj4CBAIFAgYCBwIIAgkCCgILApUCDQIIAggCCAIIAggCCAIIAggCCAIIAggCCAIIAggCCAIIAggCHwIDArVzcQB+AAAAAAACc3EAfgAE///////////////+/////v////91cQB+AAcAAAAEAlAe6Xh4d0UCHgAClAICAk4CBAIFAgYCBwIIAgkClwILApUCDQIIAggCCAIIAggCCAIIAggCCAIIAggCCAIIAggCCAIIAggCHwIDArZzcQB+AAAAAAACc3EAfgAE///////////////+/////v////91cQB+AAcAAAADEmdreHh3RQIeAAKUAgICNAIEAgUCBgIHAggCCQIcAgsClQINAggCCAIIAggCCAIIAggCCAIIAggCCAIIAggCCAIIAggCCAIfAgMCt3NxAH4AAAAAAAJzcQB+AAT///////////////7////+/////3VxAH4ABwAAAARDRE3geHh3RQIeAAKUAgICKQIEAgUCBgIHAggCCQKXAgsClQINAggCCAIIAggCCAIIAggCCAIIAggCCAIIAggCCAIIAggCCAIfAgMCuHNxAH4AAAAAAAJzcQB+AAT///////////////7////+/////3VxAH4ABwAAAAMSmrd4eHdFAh4AApQCAgJ8AgQCBQIGAgcCCAIJAgoCCwKVAg0CCAIIAggCCAIIAggCCAIIAggCCAIIAggCCAIIAggCCAIIAh8CAwK5c3EAfgAAAAAAAnNxAH4ABP///////////////v////7/////dXEAfgAHAAAABARbkhB4eHdFAh4AApQCAgJAAgQCBQIGAgcCCAIJApcCCwKVAg0CCAIIAggCCAIIAggCCAIIAggCCAIIAggCCAIIAggCCAIIAh8CAwK6c3EAfgAAAAAAAnNxAH4ABP///////////////v////7/////dXEAfgAHAAAAAxJzNXh4d0UCHgAClAICAkkCBAIFAgYCBwIIAgkCCgILApUCDQIIAggCCAIIAggCCAIIAggCCAIIAggCCAIIAggCCAIIAggCHwIDArtzcQB+AAAAAAACc3EAfgAE///////////////+/////gAAAAF1cQB+AAcAAAAD/4leeHh3RQIeAAKUAgICQwIEAgUCBgIHAggCCQIKAgsClQINAggCCAIIAggCCAIIAggCCAIIAggCCAIIAggCCAIIAggCCAIfAgMCvHNxAH4AAAAAAAJzcQB+AAT///////////////7////+/////3VxAH4ABwAAAAQIvUgheHh3RQIeAAKUAgICawIEAgUCBgIHAggCCQIcAgsClQINAggCCAIIAggCCAIIAggCCAIIAggCCAIIAggCCAIIAggCCAIfAgMCvXNxAH4AAAAAAAJzcQB+AAT///////////////7////+/////3VxAH4ABwAAAAQVrLWfeHh3RQIeAAKUAgICQAIEAgUCBgIHAggCCQIcAgsClQINAggCCAIIAggCCAIIAggCCAIIAggCCAIIAggCCAIIAggCCAIfAgMCvnNxAH4AAAAAAAJzcQB+AAT///////////////7////+/////3VxAH4ABwAAAAQzvJaSeHh3RQIeAAKUAgICIAIEAgUCBgIHAggCCQIcAgsClQINAggCCAIIAggCCAIIAggCCAIIAggCCAIIAggCCAIIAggCCAIfAgMCv3NxAH4AAAAAAAJzcQB+AAT///////////////7////+/////3VxAH4ABwAAAAQiCqwxeHh3RQIeAAKUAgICNwIEAgUCBgIHAggCCQIKAgsClQINAggCCAIIAggCCAIIAggCCAIIAggCCAIIAggCCAIIAggCCAIfAgMCwHNxAH4AAAAAAAJzcQB+AAT///////////////7////+/////3VxAH4ABwAAAAQBBpRgeHh3RQIeAAKUAgICUAIEAgUCBgIHAggCCQIKAgsClQINAggCCAIIAggCCAIIAggCCAIIAggCCAIIAggCCAIIAggCCAIfAgMCwXNxAH4AAAAAAAJzcQB+AAT///////////////7////+AAAAAXVxAH4ABwAAAAO5cnx4eHdFAh4AApQCAgIgAgQCBQIGAgcCCAIJApcCCwKVAg0CCAIIAggCCAIIAggCCAIIAggCCAIIAggCCAIIAggCCAIIAh8CAwLCc3EAfgAAAAAAAnNxAH4ABP///////////////v////7/////dXEAfgAHAAAAAxKG63h4d0UCHgAClAICAmoCBAIFAgYCBwIIAgkCCgILApUCDQIIAggCCAIIAggCCAIIAggCCAIIAggCCAIIAggCCAIIAggCHwIDAsNzcQB+AAAAAAACc3EAfgAE///////////////+/////v////91cQB+AAcAAAAEBOHemXh4d0UCHgAClAICAiACBAIFAgYCBwIIAgkCCgILApUCDQIIAggCCAIIAggCCAIIAggCCAIIAggCCAIIAggCCAIIAggCHwIDAsRzcQB+AAAAAAACc3EAfgAE///////////////+/////v////91cQB+AAcAAAAEDgscSnh4d0UCHgAClAICAlQCBAIFAgYCBwIIAgkClwILApUCDQIIAggCCAIIAggCCAIIAggCCAIIAggCCAIIAggCCAIIAggCHwIDAsVzcQB+AAAAAAACc3EAfgAE///////////////+/////v////91cQB+AAcAAAADEm9GeHh3RQIeAAKUAgICUgIEAgUCBgIHAggCCQIcAgsClQINAggCCAIIAggCCAIIAggCCAIIAggCCAIIAggCCAIIAggCCAIfAgMCxnNxAH4AAAAAAAJzcQB+AAT///////////////7////+/////3VxAH4ABwAAAAQpII+FeHh3RQIeAAKUAgICOwIEAgUCBgIHAggCCQIcAgsClQINAggCCAIIAggCCAIIAggCCAIIAggCCAIIAggCCAIIAggCCAIfAgMCx3NxAH4AAAAAAAJzcQB+AAT///////////////7////+/////3VxAH4ABwAAAAQ5RS7+eHh3RQIeAAKUAgICVgIEAgUCBgIHAggCCQIcAgsClQINAggCCAIIAggCCAIIAggCCAIIAggCCAIIAggCCAIIAggCCAIfAgMCyHNxAH4AAAAAAAJzcQB+AAT///////////////7////+/////3VxAH4ABwAAAAQdsfpMeHh3RQIeAAKUAgICVAIEAgUCBgIHAggCCQIcAgsClQINAggCCAIIAggCCAIIAggCCAIIAggCCAIIAggCCAIIAggCCAIfAgMCyXNxAH4AAAAAAAJzcQB+AAT///////////////7////+/////3VxAH4ABwAAAAQx77UZeHh3RQIeAAKUAgICOwIEAgUCBgIHAggCCQKXAgsClQINAggCCAIIAggCCAIIAggCCAIIAggCCAIIAggCCAIIAggCCAIfAgMCynNxAH4AAAAAAAJzcQB+AAT///////////////7////+/////3VxAH4ABwAAAAMSoqh4eHdFAh4AApQCAgJAAgQCBQIGAgcCCAIJAgoCCwKVAg0CCAIIAggCCAIIAggCCAIIAggCCAIIAggCCAIIAggCCAIIAh8CAwLLc3EAfgAAAAAAAnNxAH4ABP///////////////v////7/////dXEAfgAHAAAAAzL3EXh4d0UCHgAClAICAkYCBAIFAgYCBwIIAgkCCgILApUCDQIIAggCCAIIAggCCAIIAggCCAIIAggCCAIIAggCCAIIAggCHwIDAsxzcQB+AAAAAAACc3EAfgAE///////////////+/////v////91cQB+AAcAAAAECivT53h4d0UCHgAClAICAlYCBAIFAgYCBwIIAgkCCgILApUCDQIIAggCCAIIAggCCAIIAggCCAIIAggCCAIIAggCCAIIAggCHwIDAs1zcQB+AAAAAAACc3EAfgAE///////////////+/////v////91cQB+AAcAAAAEFDr3g3h4d4oCHgAClAICAlICBAIFAgYCBwIIAgkClwILApUCDQIIAggCCAIIAggCCAIIAggCCAIIAggCCAIIAggCCAIIAggCHwIDAiwCHgAClAICAjcCBAIFAgYCBwIIAgkClwILApUCDQIIAggCCAIIAggCCAIIAggCCAIIAggCCAIIAggCCAIIAggCHwIDAs5zcQB+AAAAAAACc3EAfgAE///////////////+/////v////91cQB+AAcAAAADEmtYeHh3RQIeAAKUAgICNwIEAgUCBgIHAggCCQIcAgsClQINAggCCAIIAggCCAIIAggCCAIIAggCCAIIAggCCAIIAggCCAIfAgMCz3NxAH4AAAAAAAJzcQB+AAT///////////////7////+/////3VxAH4ABwAAAAQu/eCSeHh3RQIeAAKUAgICSQIEAgUCBgIHAggCCQIcAgsClQINAggCCAIIAggCCAIIAggCCAIIAggCCAIIAggCCAIIAggCCAIfAgMC0HNxAH4AAAAAAAJzcQB+AAT///////////////7////+/////3VxAH4ABwAAAAQ0OVToeHh3RQIeAAKUAgICSQIEAgUCBgIHAggCCQKXAgsClQINAggCCAIIAggCCAIIAggCCAIIAggCCAIIAggCCAIIAggCCAIfAgMC0XNxAH4AAAAAAAJzcQB+AAT///////////////7////+/////3VxAH4ABwAAAAMSnq94eHdFAh4AApQCAgJUAgQCBQIGAgcCCAIJAgoCCwKVAg0CCAIIAggCCAIIAggCCAIIAggCCAIIAggCCAIIAggCCAIIAh8CAwLSc3EAfgAAAAAAAnNxAH4ABP///////////////v////7/////dXEAfgAHAAAAA56yqnh4d0UCHgAClAICAlwCBAIFAgYCBwIIAgkCCgILApUCDQIIAggCCAIIAggCCAIIAggCCAIIAggCCAIIAggCCAIIAggCHwIDAtNzcQB+AAAAAAACc3EAfgAE///////////////+/////v////91cQB+AAcAAAAEBQSjQXh4d0UCHgAClAICAjsCBAIFAgYCBwIIAgkCCgILApUCDQIIAggCCAIIAggCCAIIAggCCAIIAggCCAIIAggCCAIIAggCHwIDAtRzcQB+AAAAAAACc3EAfgAE///////////////+/////gAAAAF1cQB+AAcAAAAEAloS0nh4d0UCHgAClAICAkMCBAIFAgYCBwIIAgkCHAILApUCDQIIAggCCAIIAggCCAIIAggCCAIIAggCCAIIAggCCAIIAggCHwIDAtVzcQB+AAAAAAACc3EAfgAE///////////////+/////v////91cQB+AAcAAAAEJngfcXh4d0UCHgAClAICAnwCBAIFAgYCBwIIAgkCHAILApUCDQIIAggCCAIIAggCCAIIAggCCAIIAggCCAIIAggCCAIIAggCHwIDAtZzcQB+AAAAAAACc3EAfgAE///////////////+/////v////91cQB+AAcAAAAEG7MeXHh4d0UCHgAClAICAlYCBAIFAgYCBwIIAgkClwILApUCDQIIAggCCAIIAggCCAIIAggCCAIIAggCCAIIAggCCAIIAggCHwIDAtdzcQB+AAAAAAACc3EAfgAE///////////////+/////v////91cQB+AAcAAAADEoL4eHh3igIeAAKUAgICYgIEAgUCBgIHAggCCQKXAgsClQINAggCCAIIAggCCAIIAggCCAIIAggCCAIIAggCCAIIAggCCAIfAgMCLAIeAAKUAgICJQIEAgUCBgIHAggCCQIcAgsClQINAggCCAIIAggCCAIIAggCCAIIAggCCAIIAggCCAIIAggCCAIfAgMC2HNxAH4AAAAAAAJzcQB+AAT///////////////7////+/////3VxAH4ABwAAAAQmLzLCeHh3RQIeAAKUAgICZgIEAgUCBgIHAggCCQIcAgsClQINAggCCAIIAggCCAIIAggCCAIIAggCCAIIAggCCAIIAggCCAIfAgMC2XNxAH4AAAAAAAJzcQB+AAT///////////////7////+/////3VxAH4ABwAAAAQqC0YheHh3RQIeAAKUAgICfAIEAgUCBgIHAggCCQKXAgsClQINAggCCAIIAggCCAIIAggCCAIIAggCCAIIAggCCAIIAggCCAIfAgMC2nNxAH4AAAAAAAJzcQB+AAT///////////////7////+/////3VxAH4ABwAAAAMSV794eHdFAh4AApQCAgJGAgQCBQIGAgcCCAIJAhwCCwKVAg0CCAIIAggCCAIIAggCCAIIAggCCAIIAggCCAIIAggCCAIIAh8CAwLbc3EAfgAAAAAAAnNxAH4ABP///////////////v////7/////dXEAfgAHAAAABClGhLZ4eHeKAh4AApQCAgJGAgQCBQIGAgcCCAIJApcCCwKVAg0CCAIIAggCCAIIAggCCAIIAggCCAIIAggCCAIIAggCCAIIAh8CAwIsAh4AApQCAgI0AgQCBQIGAgcCCAIJAgoCCwKVAg0CCAIIAggCCAIIAggCCAIIAggCCAIIAggCCAIIAggCCAIIAh8CAwLcc3EAfgAAAAAAAnNxAH4ABP///////////////v////4AAAABdXEAfgAHAAAABAYbWmp4eHdFAh4AApQCAgIlAgQCBQIGAgcCCAIJApcCCwKVAg0CCAIIAggCCAIIAggCCAIIAggCCAIIAggCCAIIAggCCAIIAh8CAwLdc3EAfgAAAAAAAnNxAH4ABP///////////////v////7/////dXEAfgAHAAAAAxJjf3h4d0UCHgAClAICAiMCBAIFAgYCBwIIAgkCCgILApUCDQIIAggCCAIIAggCCAIIAggCCAIIAggCCAIIAggCCAIIAggCHwIDAt5zcQB+AAAAAAACc3EAfgAE///////////////+/////v////91cQB+AAcAAAAEAvtLi3h4d0UCHgAClAICAmYCBAIFAgYCBwIIAgkClwILApUCDQIIAggCCAIIAggCCAIIAggCCAIIAggCCAIIAggCCAIIAggCHwIDAt9zcQB+AAAAAAACc3EAfgAE///////////////+/////v////91cQB+AAcAAAADEpbAeHh6AAAEAAIeAALgAAk1MjYwNTQ3MzYCAgIDAgQCBQIGAgcCCAIJAgoCCwKVAg0CCAIIAggCCAIIAggCCAIIAggCCAIIAggCCAIIAggCCAIIAiECAwKkAh4AAuACAgJiAgQCBQIGAgcCCAIJAgoCCwKVAg0CCAIIAggCCAIIAggCCAIIAggCCAIIAggCCAIIAggCCAIIAiECAwKlAh4AAuACAgJDAgQCBQIGAgcCCAIJApcCCwKVAg0CCAIIAggCCAIIAggCCAIIAggCCAIIAggCCAIIAggCCAIIAiECAwKjAh4AAuACAgIjAgQCBQIGAgcCCAIJAhwCCwKVAg0CCAIIAggCCAIIAggCCAIIAggCCAIIAggCCAIIAggCCAIIAiECAwKsAh4AAuACAgJ8AgQCBQIGAgcCCAIJApcCCwKVAg0CCAIIAggCCAIIAggCCAIIAggCCAIIAggCCAIIAggCCAIIAiECAwLaAh4AAuACAgJmAgQCBQIGAgcCCAIJAgoCCwKVAg0CCAIIAggCCAIIAggCCAIIAggCCAIIAggCCAIIAggCCAIIAiECAwKoAh4AAuACAgInAgQCBQIGAgcCCAIJAhwCCwKVAg0CCAIIAggCCAIIAggCCAIIAggCCAIIAggCCAIIAggCCAIIAiECAwKqAh4AAuACAgJcAgQCBQIGAgcCCAIJAhwCCwKVAg0CCAIIAggCCAIIAggCCAIIAggCCAIIAggCCAIIAggCCAIIAiECAwKtAh4AAuACAgJcAgQCBQIGAgcCCAIJApcCCwKVAg0CCAIIAggCCAIIAggCCAIIAggCCAIIAggCCAIIAggCCAIIAiECAwKuAh4AAuACAgJrAgQCBQIGAgcCCAIJAgoCCwKVAg0CCAIIAggCCAIIAggCCAIIAggCCAIIAggCCAIIAggCCAIIAiECAwKWAh4AAuACAgJQAgQCBQIGAgcCCAIJAgoCCwKVAg0CCAIIAggCCAIIAggCCAIIAggCCAIIAggCCAIIAggCCAIIAiECAwLBAh4AAuACAgIlAgQCBQIGAgcCCAIJAgoCCwKVAg0CCAIIAggCCAIIAggCCAIIAggCCAIIAggCCAIIAggCCAIIAiECAwKpAh4AAuACAgInAgQCBQIGAgcCCAIJAgoCCwKVAg0CCAIIAggCCAIIAggCCAIIAggCCAIIAggCCAIIAggCCAIIAiECAwKzAh4AAuACAgJQAgQCBQIGAgcCCAIJApcCCwKVAg0CCAIIAggCCAIIAggCCAIIAggCCAIIAggCCAIIAggCCAIIAiECAwKZAh4AAuACAgIjAgQCBQIGAgcCCAIJApcCCwKVAg0CCAIIAggCCAIIAggCCAIIAgh6AAAEAAIIAggCCAIIAggCCAIIAggCIQIDApgCHgAC4AICAlACBAIFAgYCBwIIAgkCHAILApUCDQIIAggCCAIIAggCCAIIAggCCAIIAggCCAIIAggCCAIIAggCIQIDAqsCHgAC4AICAnwCBAIFAgYCBwIIAgkCHAILApUCDQIIAggCCAIIAggCCAIIAggCCAIIAggCCAIIAggCCAIIAggCIQIDAtYCHgAC4AICAjQCBAIFAgYCBwIIAgkClwILApUCDQIIAggCCAIIAggCCAIIAggCCAIIAggCCAIIAggCCAIIAggCIQIDAqICHgAC4AICAjACBAIFAgYCBwIIAgkCCgILApUCDQIIAggCCAIIAggCCAIIAggCCAIIAggCCAIIAggCCAIIAggCIQIDAqcCHgAC4AICAjQCBAIFAgYCBwIIAgkCHAILApUCDQIIAggCCAIIAggCCAIIAggCCAIIAggCCAIIAggCCAIIAggCIQIDArcCHgAC4AICAkMCBAIFAgYCBwIIAgkCHAILApUCDQIIAggCCAIIAggCCAIIAggCCAIIAggCCAIIAggCCAIIAggCIQIDAtUCHgAC4AICAj4CBAIFAgYCBwIIAgkCCgILApUCDQIIAggCCAIIAggCCAIIAggCCAIIAggCCAIIAggCCAIIAggCIQIDArUCHgAC4AICAiUCBAIFAgYCBwIIAgkCHAILApUCDQIIAggCCAIIAggCCAIIAggCCAIIAggCCAIIAggCCAIIAggCIQIDAtgCHgAC4AICAmYCBAIFAgYCBwIIAgkCHAILApUCDQIIAggCCAIIAggCCAIIAggCCAIIAggCCAIIAggCCAIIAggCIQIDAtkCHgAC4AICAmICBAIFAgYCBwIIAgkClwILApUCDQIIAggCCAIIAggCCAIIAggCCAIIAggCCAIIAggCCAIIAggCIQIDAiwCHgAC4AICAgMCBAIFAgYCBwIIAgkClwILApUCDQIIAggCCAIIAggCCAIIAggCCAIIAggCCAIIAggCCAIIAggCIQIDAqYCHgAC4AICAiUCBAIFAgYCBwIIAgkClwILApUCDQIIAggCCAIIAggCCAIIAggCCAIIAggCCAIIAggCCAIIAggCIQIDAt0CHgAC4AICAmYCBAIFAgYCBwIIAgkClwILApUCDQIIAggCCAIIAggCCAIIAggCCAIIAggCCAIIAggCCAIIAggCIQIDAt8CHgAC4AICAlwCBAIFAgYCBwIIAgkCCgILApUCDQIIAggCCAIIAggCCAIIAggCCAIIAggCCAIIAggCCAIIAggCIQIDAtMCHgAC4AICAiMCBAIFAgYCBwIIAgkCCgILApUCDQIIAggCCAJ6AAAEAAgCCAIIAggCCAIIAggCCAIIAggCCAIIAggCCAIhAgMC3gIeAALgAgICIAIEAgUCBgIHAggCCQIKAgsClQINAggCCAIIAggCCAIIAggCCAIIAggCCAIIAggCCAIIAggCCAIhAgMCxAIeAALgAgICVAIEAgUCBgIHAggCCQKXAgsClQINAggCCAIIAggCCAIIAggCCAIIAggCCAIIAggCCAIIAggCCAIhAgMCxQIeAALgAgICAwIEAgUCBgIHAggCCQIcAgsClQINAggCCAIIAggCCAIIAggCCAIIAggCCAIIAggCCAIIAggCCAIhAgMCmwIeAALgAgICVAIEAgUCBgIHAggCCQIcAgsClQINAggCCAIIAggCCAIIAggCCAIIAggCCAIIAggCCAIIAggCCAIhAgMCyQIeAALgAgICKQIEAgUCBgIHAggCCQIKAgsClQINAggCCAIIAggCCAIIAggCCAIIAggCCAIIAggCCAIIAggCCAIhAgMCmgIeAALgAgICRgIEAgUCBgIHAggCCQIcAgsClQINAggCCAIIAggCCAIIAggCCAIIAggCCAIIAggCCAIIAggCCAIhAgMC2wIeAALgAgICNAIEAgUCBgIHAggCCQIKAgsClQINAggCCAIIAggCCAIIAggCCAIIAggCCAIIAggCCAIIAggCCAIhAgMC3AIeAALgAgICOwIEAgUCBgIHAggCCQKXAgsClQINAggCCAIIAggCCAIIAggCCAIIAggCCAIIAggCCAIIAggCCAIhAgMCygIeAALgAgICVgIEAgUCBgIHAggCCQKXAgsClQINAggCCAIIAggCCAIIAggCCAIIAggCCAIIAggCCAIIAggCCAIhAgMC1wIeAALgAgICRgIEAgUCBgIHAggCCQKXAgsClQINAggCCAIIAggCCAIIAggCCAIIAggCCAIIAggCCAIIAggCCAIhAgMCLAIeAALgAgICOwIEAgUCBgIHAggCCQIcAgsClQINAggCCAIIAggCCAIIAggCCAIIAggCCAIIAggCCAIIAggCCAIhAgMCxwIeAALgAgICYgIEAgUCBgIHAggCCQIcAgsClQINAggCCAIIAggCCAIIAggCCAIIAggCCAIIAggCCAIIAggCCAIhAgMCoAIeAALgAgICVgIEAgUCBgIHAggCCQIcAgsClQINAggCCAIIAggCCAIIAggCCAIIAggCCAIIAggCCAIIAggCCAIhAgMCyAIeAALgAgICTgIEAgUCBgIHAggCCQIKAgsClQINAggCCAIIAggCCAIIAggCCAIIAggCCAIIAggCCAIIAggCCAIhAgMCnAIeAALgAgICVgIEAgUCBgIHAggCCQIKAgt6AAAEAAKVAg0CCAIIAggCCAIIAggCCAIIAggCCAIIAggCCAIIAggCCAIIAiECAwLNAh4AAuACAgI3AgQCBQIGAgcCCAIJAhwCCwKVAg0CCAIIAggCCAIIAggCCAIIAggCCAIIAggCCAIIAggCCAIIAiECAwLPAh4AAuACAgI3AgQCBQIGAgcCCAIJApcCCwKVAg0CCAIIAggCCAIIAggCCAIIAggCCAIIAggCCAIIAggCCAIIAiECAwLOAh4AAuACAgJGAgQCBQIGAgcCCAIJAgoCCwKVAg0CCAIIAggCCAIIAggCCAIIAggCCAIIAggCCAIIAggCCAIIAiECAwLMAh4AAuACAgJJAgQCBQIGAgcCCAIJAhwCCwKVAg0CCAIIAggCCAIIAggCCAIIAggCCAIIAggCCAIIAggCCAIIAiECAwLQAh4AAuACAgJJAgQCBQIGAgcCCAIJApcCCwKVAg0CCAIIAggCCAIIAggCCAIIAggCCAIIAggCCAIIAggCCAIIAiECAwLRAh4AAuACAgJAAgQCBQIGAgcCCAIJAgoCCwKVAg0CCAIIAggCCAIIAggCCAIIAggCCAIIAggCCAIIAggCCAIIAiECAwLLAh4AAuACAgJOAgQCBQIGAgcCCAIJAhwCCwKVAg0CCAIIAggCCAIIAggCCAIIAggCCAIIAggCCAIIAggCCAIIAiECAwKxAh4AAuACAgI7AgQCBQIGAgcCCAIJAgoCCwKVAg0CCAIIAggCCAIIAggCCAIIAggCCAIIAggCCAIIAggCCAIIAiECAwLUAh4AAuACAgJSAgQCBQIGAgcCCAIJAgoCCwKVAg0CCAIIAggCCAIIAggCCAIIAggCCAIIAggCCAIIAggCCAIIAiECAwKyAh4AAuACAgJOAgQCBQIGAgcCCAIJApcCCwKVAg0CCAIIAggCCAIIAggCCAIIAggCCAIIAggCCAIIAggCCAIIAiECAwK2Ah4AAuACAgIpAgQCBQIGAgcCCAIJApcCCwKVAg0CCAIIAggCCAIIAggCCAIIAggCCAIIAggCCAIIAggCCAIIAiECAwK4Ah4AAuACAgIpAgQCBQIGAgcCCAIJAhwCCwKVAg0CCAIIAggCCAIIAggCCAIIAggCCAIIAggCCAIIAggCCAIIAiECAwKwAh4AAuACAgJUAgQCBQIGAgcCCAIJAgoCCwKVAg0CCAIIAggCCAIIAggCCAIIAggCCAIIAggCCAIIAggCCAIIAiECAwLSAh4AAuACAgJAAgQCBQIGAgcCCAIJApcCCwKVAg0CCAIIAggCCAIIAggCCAIIAggCCAIIAggCCAIIAggCCAIIAiECAwK6Ah4AAuACAgJDAgQCBQJ6AAAEAAYCBwIIAgkCCgILApUCDQIIAggCCAIIAggCCAIIAggCCAIIAggCCAIIAggCCAIIAggCIQIDArwCHgAC4AICAkkCBAIFAgYCBwIIAgkCCgILApUCDQIIAggCCAIIAggCCAIIAggCCAIIAggCCAIIAggCCAIIAggCIQIDArsCHgAC4AICAj4CBAIFAgYCBwIIAgkClwILApUCDQIIAggCCAIIAggCCAIIAggCCAIIAggCCAIIAggCCAIIAggCIQIDAp0CHgAC4AICAkACBAIFAgYCBwIIAgkCHAILApUCDQIIAggCCAIIAggCCAIIAggCCAIIAggCCAIIAggCCAIIAggCIQIDAr4CHgAC4AICAmsCBAIFAgYCBwIIAgkCHAILApUCDQIIAggCCAIIAggCCAIIAggCCAIIAggCCAIIAggCCAIIAggCIQIDAr0CHgAC4AICAicCBAIFAgYCBwIIAgkClwILApUCDQIIAggCCAIIAggCCAIIAggCCAIIAggCCAIIAggCCAIIAggCIQIDAiwCHgAC4AICAlICBAIFAgYCBwIIAgkClwILApUCDQIIAggCCAIIAggCCAIIAggCCAIIAggCCAIIAggCCAIIAggCIQIDAiwCHgAC4AICAjcCBAIFAgYCBwIIAgkCCgILApUCDQIIAggCCAIIAggCCAIIAggCCAIIAggCCAIIAggCCAIIAggCIQIDAsACHgAC4AICAiACBAIFAgYCBwIIAgkCHAILApUCDQIIAggCCAIIAggCCAIIAggCCAIIAggCCAIIAggCCAIIAggCIQIDAr8CHgAC4AICAmsCBAIFAgYCBwIIAgkClwILApUCDQIIAggCCAIIAggCCAIIAggCCAIIAggCCAIIAggCCAIIAggCIQIDAq8CHgAC4AICAiACBAIFAgYCBwIIAgkClwILApUCDQIIAggCCAIIAggCCAIIAggCCAIIAggCCAIIAggCCAIIAggCIQIDAsICHgAC4AICAj4CBAIFAgYCBwIIAgkCHAILApUCDQIIAggCCAIIAggCCAIIAggCCAIIAggCCAIIAggCCAIIAggCIQIDAp8CHgAC4AICAlICBAIFAgYCBwIIAgkCHAILApUCDQIIAggCCAIIAggCCAIIAggCCAIIAggCCAIIAggCCAIIAggCIQIDAsYCHgAC4AICAjACBAIFAgYCBwIIAgkClwILApUCDQIIAggCCAIIAggCCAIIAggCCAIIAggCCAIIAggCCAIIAggCIQIDAqECHgAC4AICAjACBAIFAgYCBwIIAgkCHAILApUCDQIIAggCCAIIAggCCAIIAggCCAIIAggCCAIIAggCCAIIAggCIQIDAp4CHgB31wLgAgICfAIEAgUCBgIHAggCCQIKAgsClQINAggCCAIIAggCCAIIAggCCAIIAggCCAIIAggCCAIIAggCCAIhAgMCuQIeAALhAAk1ODkyNTcxNjACAgIwAgQCBQIGAgcCCAIJAgoCCwKVAg0CCAIIAggCCAIIAggCCAIIAggCCAIIAggCCAIIAggCCAIIAh0CAwKnAh4AAuECAgIrAgQCBQIGAgcCCAIJAhwCCwKVAg0CCAIIAggCCAIIAggCCAIIAggCCAIIAggCCAIIAggCCAIIAh0CAwLic3EAfgAAAAAAAnNxAH4ABP///////////////v////7/////dXEAfgAHAAAABC70FP94eHoAAAQAAh4AAuECAgIrAgQCBQIGAgcCCAIJApcCCwKVAg0CCAIIAggCCAIIAggCCAIIAggCCAIIAggCCAIIAggCCAIIAh0CAwIsAh4AAuECAgJDAgQCBQIGAgcCCAIJApcCCwKVAg0CCAIIAggCCAIIAggCCAIIAggCCAIIAggCCAIIAggCCAIIAh0CAwKjAh4AAuECAgJDAgQCBQIGAgcCCAIJAhwCCwKVAg0CCAIIAggCCAIIAggCCAIIAggCCAIIAggCCAIIAggCCAIIAh0CAwLVAh4AAuECAgIDAgQCBQIGAgcCCAIJAgoCCwKVAg0CCAIIAggCCAIIAggCCAIIAggCCAIIAggCCAIIAggCCAIIAh0CAwKkAh4AAuECAgI0AgQCBQIGAgcCCAIJAhwCCwKVAg0CCAIIAggCCAIIAggCCAIIAggCCAIIAggCCAIIAggCCAIIAh0CAwK3Ah4AAuECAgJiAgQCBQIGAgcCCAIJAgoCCwKVAg0CCAIIAggCCAIIAggCCAIIAggCCAIIAggCCAIIAggCCAIIAh0CAwKlAh4AAuECAgI+AgQCBQIGAgcCCAIJAgoCCwKVAg0CCAIIAggCCAIIAggCCAIIAggCCAIIAggCCAIIAggCCAIIAh0CAwK1Ah4AAuECAgInAgQCBQIGAgcCCAIJAgoCCwKVAg0CCAIIAggCCAIIAggCCAIIAggCCAIIAggCCAIIAggCCAIIAh0CAwKzAh4AAuECAgI0AgQCBQIGAgcCCAIJApcCCwKVAg0CCAIIAggCCAIIAggCCAIIAggCCAIIAggCCAIIAggCCAIIAh0CAwKiAh4AAuECAgJ8AgQCBQIGAgcCCAIJAhwCCwKVAg0CCAIIAggCCAIIAggCCAIIAggCCAIIAggCCAIIAggCCAIIAh0CAwLWAh4AAuECAgJ8AgQCBQIGAgcCCAIJApcCCwKVAg0CCAIIAggCCAIIAggCCAIIAggCCAIIAggCCAIIAggCCAIIAh0CAwLaAh4AAuECAgIjAgQCBQIGAgcCCAIJAgoCCwKVAg0CCAIIAggCCAIIAggCCAIIAggCCAIIAggCCAIIAggCCAIIAh0CAwLeAh4AAuECAgJcAgQCBQIGAgcCCAIJAgoCCwKVAg0CCAIIAggCCAIIAggCCAIIAggCCAIIAggCCAIIAggCCAIIAh0CAwLTAh4AAuECAgJqAgQCBQIGAgcCCAIJAhwCCwKVAg0CCAIIAggCCAIIAggCCAIIAggCCAIIAggCCAIIAggCCAIIAh0CAwK0Ah4AAuECAgIgAgQCBQIGAgcCCAIJAhwCCwKVAg0CCAIIAggCCAIIAggCCAIIAggCCAIIAggCCAIIAnoAAAHuCAIIAggCHQIDAr8CHgAC4QICAmoCBAIFAgYCBwIIAgkClwILApUCDQIIAggCCAIIAggCCAIIAggCCAIIAggCCAIIAggCCAIIAggCHQIDAiwCHgAC4QICAkYCBAIFAgYCBwIIAgkClwILApUCDQIIAggCCAIIAggCCAIIAggCCAIIAggCCAIIAggCCAIIAggCHQIDAiwCHgAC4QICAlACBAIFAgYCBwIIAgkCCgILApUCDQIIAggCCAIIAggCCAIIAggCCAIIAggCCAIIAggCCAIIAggCHQIDAsECHgAC4QICAjQCBAIFAgYCBwIIAgkCCgILApUCDQIIAggCCAIIAggCCAIIAggCCAIIAggCCAIIAggCCAIIAggCHQIDAtwCHgAC4QICAikCBAIFAgYCBwIIAgkCCgILApUCDQIIAggCCAIIAggCCAIIAggCCAIIAggCCAIIAggCCAIIAggCHQIDApoCHgAC4QICAiACBAIFAgYCBwIIAgkClwILApUCDQIIAggCCAIIAggCCAIIAggCCAIIAggCCAIIAggCCAIIAggCHQIDAsICHgAC4QICAisCBAIFAgYCBwIIAgkCCgILApUCDQIIAggCCAIIAggCCAIIAggCCAIIAggCCAIIAggCCAIIAggCHQIDAuNzcQB+AAAAAAACc3EAfgAE///////////////+/////v////91cQB+AAcAAAAEATJrz3h4egAABAACHgAC4QICAkACBAIFAgYCBwIIAgkClwILApUCDQIIAggCCAIIAggCCAIIAggCCAIIAggCCAIIAggCCAIIAggCHQIDAroCHgAC4QICAkYCBAIFAgYCBwIIAgkCHAILApUCDQIIAggCCAIIAggCCAIIAggCCAIIAggCCAIIAggCCAIIAggCHQIDAtsCHgAC4QICAlYCBAIFAgYCBwIIAgkCHAILApUCDQIIAggCCAIIAggCCAIIAggCCAIIAggCCAIIAggCCAIIAggCHQIDAsgCHgAC4QICAmICBAIFAgYCBwIIAgkCHAILApUCDQIIAggCCAIIAggCCAIIAggCCAIIAggCCAIIAggCCAIIAggCHQIDAqACHgAC4QICAk4CBAIFAgYCBwIIAgkCCgILApUCDQIIAggCCAIIAggCCAIIAggCCAIIAggCCAIIAggCCAIIAggCHQIDApwCHgAC4QICAlYCBAIFAgYCBwIIAgkClwILApUCDQIIAggCCAIIAggCCAIIAggCCAIIAggCCAIIAggCCAIIAggCHQIDAtcCHgAC4QICAkkCBAIFAgYCBwIIAgkCCgILApUCDQIIAggCCAIIAggCCAIIAggCCAIIAggCCAIIAggCCAIIAggCHQIDArsCHgAC4QICAjsCBAIFAgYCBwIIAgkClwILApUCDQIIAggCCAIIAggCCAIIAggCCAIIAggCCAIIAggCCAIIAggCHQIDAsoCHgAC4QICAmICBAIFAgYCBwIIAgkClwILApUCDQIIAggCCAIIAggCCAIIAggCCAIIAggCCAIIAggCCAIIAggCHQIDAiwCHgAC4QICAmoCBAIFAgYCBwIIAgkCCgILApUCDQIIAggCCAIIAggCCAIIAggCCAIIAggCCAIIAggCCAIIAggCHQIDAsMCHgAC4QICAgMCBAIFAgYCBwIIAgkCHAILApUCDQIIAggCCAIIAggCCAIIAggCCAIIAggCCAIIAggCCAIIAggCHQIDApsCHgAC4QICAgMCBAIFAgYCBwIIAgkClwILApUCDQIIAggCCAIIAggCCAIIAggCCAIIAggCCAIIAggCCAIIAggCHQIDAqYCHgAC4QICAlQCBAIFAgYCBwIIAgkClwILApUCDQIIAggCCAIIAggCCAIIAggCCAIIAggCCAIIAggCCAIIAggCHQIDAsUCHgAC4QICAlwCBAIFAgYCBwIIAgkClwILApUCDQIIAggCCAIIAggCCAIIAggCCAIIAggCCAIIAggCCAIIAggCHQIDAq4CHgAC4QICAiACBAIFAgYCBwIIAgkCCgILApUCDQIIAggCCAIIAggCCAIIAggCCAIIAggCCAIIAggCegAABAAIAggCCAIdAgMCxAIeAALhAgICKQIEAgUCBgIHAggCCQIcAgsClQINAggCCAIIAggCCAIIAggCCAIIAggCCAIIAggCCAIIAggCCAIdAgMCsAIeAALhAgICawIEAgUCBgIHAggCCQIKAgsClQINAggCCAIIAggCCAIIAggCCAIIAggCCAIIAggCCAIIAggCCAIdAgMClgIeAALhAgICIwIEAgUCBgIHAggCCQIcAgsClQINAggCCAIIAggCCAIIAggCCAIIAggCCAIIAggCCAIIAggCCAIdAgMCrAIeAALhAgICXAIEAgUCBgIHAggCCQIcAgsClQINAggCCAIIAggCCAIIAggCCAIIAggCCAIIAggCCAIIAggCCAIdAgMCrQIeAALhAgICIwIEAgUCBgIHAggCCQKXAgsClQINAggCCAIIAggCCAIIAggCCAIIAggCCAIIAggCCAIIAggCCAIdAgMCmAIeAALhAgICNwIEAgUCBgIHAggCCQIcAgsClQINAggCCAIIAggCCAIIAggCCAIIAggCCAIIAggCCAIIAggCCAIdAgMCzwIeAALhAgICSQIEAgUCBgIHAggCCQIcAgsClQINAggCCAIIAggCCAIIAggCCAIIAggCCAIIAggCCAIIAggCCAIdAgMC0AIeAALhAgICQAIEAgUCBgIHAggCCQIKAgsClQINAggCCAIIAggCCAIIAggCCAIIAggCCAIIAggCCAIIAggCCAIdAgMCywIeAALhAgICUgIEAgUCBgIHAggCCQIKAgsClQINAggCCAIIAggCCAIIAggCCAIIAggCCAIIAggCCAIIAggCCAIdAgMCsgIeAALhAgICKQIEAgUCBgIHAggCCQKXAgsClQINAggCCAIIAggCCAIIAggCCAIIAggCCAIIAggCCAIIAggCCAIdAgMCuAIeAALhAgICTgIEAgUCBgIHAggCCQIcAgsClQINAggCCAIIAggCCAIIAggCCAIIAggCCAIIAggCCAIIAggCCAIdAgMCsQIeAALhAgICTgIEAgUCBgIHAggCCQKXAgsClQINAggCCAIIAggCCAIIAggCCAIIAggCCAIIAggCCAIIAggCCAIdAgMCtgIeAALhAgICOwIEAgUCBgIHAggCCQIcAgsClQINAggCCAIIAggCCAIIAggCCAIIAggCCAIIAggCCAIIAggCCAIdAgMCxwIeAALhAgICVAIEAgUCBgIHAggCCQIcAgsClQINAggCCAIIAggCCAIIAggCCAIIAggCCAIIAggCCAIIAggCCAIdAgMCyQIeAALhAgICZgIEAgUCBgIHAggCCQKXAgsClQINAggCCAIIAggCCAIIAggCCAIIegAABAACCAIIAggCCAIIAggCCAIIAh0CAwLfAh4AAuECAgI3AgQCBQIGAgcCCAIJAgoCCwKVAg0CCAIIAggCCAIIAggCCAIIAggCCAIIAggCCAIIAggCCAIIAh0CAwLAAh4AAuECAgJrAgQCBQIGAgcCCAIJApcCCwKVAg0CCAIIAggCCAIIAggCCAIIAggCCAIIAggCCAIIAggCCAIIAh0CAwKvAh4AAuECAgJrAgQCBQIGAgcCCAIJAhwCCwKVAg0CCAIIAggCCAIIAggCCAIIAggCCAIIAggCCAIIAggCCAIIAh0CAwK9Ah4AAuECAgJAAgQCBQIGAgcCCAIJAhwCCwKVAg0CCAIIAggCCAIIAggCCAIIAggCCAIIAggCCAIIAggCCAIIAh0CAwK+Ah4AAuECAgIlAgQCBQIGAgcCCAIJAhwCCwKVAg0CCAIIAggCCAIIAggCCAIIAggCCAIIAggCCAIIAggCCAIIAh0CAwLYAh4AAuECAgIlAgQCBQIGAgcCCAIJApcCCwKVAg0CCAIIAggCCAIIAggCCAIIAggCCAIIAggCCAIIAggCCAIIAh0CAwLdAh4AAuECAgIwAgQCBQIGAgcCCAIJApcCCwKVAg0CCAIIAggCCAIIAggCCAIIAggCCAIIAggCCAIIAggCCAIIAh0CAwKhAh4AAuECAgJDAgQCBQIGAgcCCAIJAgoCCwKVAg0CCAIIAggCCAIIAggCCAIIAggCCAIIAggCCAIIAggCCAIIAh0CAwK8Ah4AAuECAgJmAgQCBQIGAgcCCAIJAhwCCwKVAg0CCAIIAggCCAIIAggCCAIIAggCCAIIAggCCAIIAggCCAIIAh0CAwLZAh4AAuECAgJSAgQCBQIGAgcCCAIJApcCCwKVAg0CCAIIAggCCAIIAggCCAIIAggCCAIIAggCCAIIAggCCAIIAh0CAwIsAh4AAuECAgJ8AgQCBQIGAgcCCAIJAgoCCwKVAg0CCAIIAggCCAIIAggCCAIIAggCCAIIAggCCAIIAggCCAIIAh0CAwK5Ah4AAuECAgIwAgQCBQIGAgcCCAIJAhwCCwKVAg0CCAIIAggCCAIIAggCCAIIAggCCAIIAggCCAIIAggCCAIIAh0CAwKeAh4AAuECAgI+AgQCBQIGAgcCCAIJAhwCCwKVAg0CCAIIAggCCAIIAggCCAIIAggCCAIIAggCCAIIAggCCAIIAh0CAwKfAh4AAuECAgI+AgQCBQIGAgcCCAIJApcCCwKVAg0CCAIIAggCCAIIAggCCAIIAggCCAIIAggCCAIIAggCCAIIAh0CAwKdAh4AAuECAgJQAgQCBQIGAgcCCAIJAhwCCwKVAg0CCAIIAggCegAABAAIAggCCAIIAggCCAIIAggCCAIIAggCCAIIAggCHQIDAqsCHgAC4QICAicCBAIFAgYCBwIIAgkCHAILApUCDQIIAggCCAIIAggCCAIIAggCCAIIAggCCAIIAggCCAIIAggCHQIDAqoCHgAC4QICAlICBAIFAgYCBwIIAgkCHAILApUCDQIIAggCCAIIAggCCAIIAggCCAIIAggCCAIIAggCCAIIAggCHQIDAsYCHgAC4QICAmYCBAIFAgYCBwIIAgkCCgILApUCDQIIAggCCAIIAggCCAIIAggCCAIIAggCCAIIAggCCAIIAggCHQIDAqgCHgAC4QICAiUCBAIFAgYCBwIIAgkCCgILApUCDQIIAggCCAIIAggCCAIIAggCCAIIAggCCAIIAggCCAIIAggCHQIDAqkCHgAC4QICAlQCBAIFAgYCBwIIAgkCCgILApUCDQIIAggCCAIIAggCCAIIAggCCAIIAggCCAIIAggCCAIIAggCHQIDAtICHgAC4QICAlACBAIFAgYCBwIIAgkClwILApUCDQIIAggCCAIIAggCCAIIAggCCAIIAggCCAIIAggCCAIIAggCHQIDApkCHgAC4QICAjsCBAIFAgYCBwIIAgkCCgILApUCDQIIAggCCAIIAggCCAIIAggCCAIIAggCCAIIAggCCAIIAggCHQIDAtQCHgAC4QICAlYCBAIFAgYCBwIIAgkCCgILApUCDQIIAggCCAIIAggCCAIIAggCCAIIAggCCAIIAggCCAIIAggCHQIDAs0CHgAC4QICAkkCBAIFAgYCBwIIAgkClwILApUCDQIIAggCCAIIAggCCAIIAggCCAIIAggCCAIIAggCCAIIAggCHQIDAtECHgAC4QICAicCBAIFAgYCBwIIAgkClwILApUCDQIIAggCCAIIAggCCAIIAggCCAIIAggCCAIIAggCCAIIAggCHQIDAiwCHgAC4QICAkYCBAIFAgYCBwIIAgkCCgILApUCDQIIAggCCAIIAggCCAIIAggCCAIIAggCCAIIAggCCAIIAggCHQIDAswCHgAC4QICAjcCBAIFAgYCBwIIAgkClwILApUCDQIIAggCCAIIAggCCAIIAggCCAIIAggCCAIIAggCCAIIAggCHQIDAs4CHgAC5AAJNTg5MjUxMzYwAgICYgIEAgUCBgIHAggCCQIKAgsCDAINAggCCAIIAggCCAIIAggCCAIIAggCCAIIAggCCAIIAggCCAIYAgMCYwIeAALkAgICAwIEAgUCBgIHAggCCQIKAgsCDAINAggCCAIIAggCCAIIAggCCAIIAggCCAIIAggCCAIIAggCCAIYAgMCDgIeAALkAgICHgIEAgUCegAABAAGAgcCCAIJAhwCCwIMAg0CCAIIAggCCAIIAggCCAIIAggCCAIIAggCCAIIAggCCAIIAhgCAwIfAh4AAuQCAgJmAgQCBQIGAgcCCAIJAgoCCwIMAg0CCAIIAggCCAIIAggCCAIIAggCCAIIAggCCAIIAggCCAIIAhgCAwJnAh4AAuQCAgJAAgQCBQIGAgcCCAIJAiECCwIMAg0CCAIIAggCCAIIAggCCAIIAggCCAIIAggCCAIIAggCCAIIAhgCAwJBAh4AAuQCAgIlAgQCBQIGAgcCCAIJAgoCCwIMAg0CCAIIAggCCAIIAggCCAIIAggCCAIIAggCCAIIAggCCAIIAhgCAwImAh4AAuQCAgJCAgQCBQIGAgcCCAIJAgoCCwIMAg0CCAIIAggCCAIIAggCCAIIAggCCAIIAggCCAIIAggCCAIIAhgCAwJlAh4AAuQCAgIgAgQCBQIGAgcCCAIJAiECCwIMAg0CCAIIAggCCAIIAggCCAIIAggCCAIIAggCCAIIAggCCAIIAhgCAwIiAh4AAuQCAgJcAgQCBQIGAgcCCAIJAhwCCwIMAg0CCAIIAggCCAIIAggCCAIIAggCCAIIAggCCAIIAggCCAIIAhgCAwJpAh4AAuQCAgJrAgQCBQIGAgcCCAIJAgoCCwIMAg0CCAIIAggCCAIIAggCCAIIAggCCAIIAggCCAIIAggCCAIIAhgCAwJsAh4AAuQCAgJQAgQCBQIGAgcCCAIJAhwCCwIMAg0CCAIIAggCCAIIAggCCAIIAggCCAIIAggCCAIIAggCCAIIAhgCAwJoAh4AAuQCAgInAgQCBQIGAgcCCAIJAhwCCwIMAg0CCAIIAggCCAIIAggCCAIIAggCCAIIAggCCAIIAggCCAIIAhgCAwIoAh4AAuQCAgIjAgQCBQIGAgcCCAIJAhwCCwIMAg0CCAIIAggCCAIIAggCCAIIAggCCAIIAggCCAIIAggCCAIIAhgCAwIkAh4AAuQCAgJqAgQCBQIGAgcCCAIJAiECCwIMAg0CCAIIAggCCAIIAggCCAIIAggCCAIIAggCCAIIAggCCAIIAhgCAwIsAh4AAuQCAgJQAgQCBQIGAgcCCAIJAgoCCwIMAg0CCAIIAggCCAIIAggCCAIIAggCCAIIAggCCAIIAggCCAIIAhgCAwJtAh4AAuQCAgInAgQCBQIGAgcCCAIJAgoCCwIMAg0CCAIIAggCCAIIAggCCAIIAggCCAIIAggCCAIIAggCCAIIAhgCAwKNAh4AAuQCAgJcAgQCBQIGAgcCCAIJAgoCCwIMAg0CCAIIAggCCAIIAggCCAIIAggCCAIIAggCCAIIAggCCAIIAhgCAwJ6Ah4AegAABAAC5AICAisCBAIFAgYCBwIIAgkCHAILAgwCDQIIAggCCAIIAggCCAIIAggCCAIIAggCCAIIAggCCAIIAggCGAIDAn4CHgAC5AICAlQCBAIFAgYCBwIIAgkCIQILAgwCDQIIAggCCAIIAggCCAIIAggCCAIIAggCCAIIAggCCAIIAggCGAIDApACHgAC5AICAjACBAIFAgYCBwIIAgkCCgILAgwCDQIIAggCCAIIAggCCAIIAggCCAIIAggCCAIIAggCCAIIAggCGAIDApECHgAC5AICAj4CBAIFAgYCBwIIAgkCCgILAgwCDQIIAggCCAIIAggCCAIIAggCCAIIAggCCAIIAggCCAIIAggCGAIDAmACHgAC5AICAkMCBAIFAgYCBwIIAgkCHAILAgwCDQIIAggCCAIIAggCCAIIAggCCAIIAggCCAIIAggCCAIIAggCGAIDAkQCHgAC5AICAjsCBAIFAgYCBwIIAgkCIQILAgwCDQIIAggCCAIIAggCCAIIAggCCAIIAggCCAIIAggCCAIIAggCGAIDAl4CHgAC5AICAlYCBAIFAgYCBwIIAgkCIQILAgwCDQIIAggCCAIIAggCCAIIAggCCAIIAggCCAIIAggCCAIIAggCGAIDAmQCHgAC5AICAh4CBAIFAgYCBwIIAgkCCgILAgwCDQIIAggCCAIIAggCCAIIAggCCAIIAggCCAIIAggCCAIIAggCGAIDAj0CHgAC5AICAkYCBAIFAgYCBwIIAgkCIQILAgwCDQIIAggCCAIIAggCCAIIAggCCAIIAggCCAIIAggCCAIIAggCGAIDAiwCHgAC5AICAjQCBAIFAgYCBwIIAgkCHAILAgwCDQIIAggCCAIIAggCCAIIAggCCAIIAggCCAIIAggCCAIIAggCGAIDApICHgAC5AICAnwCBAIFAgYCBwIIAgkCHAILAgwCDQIIAggCCAIIAggCCAIIAggCCAIIAggCCAIIAggCCAIIAggCGAIDAn0CHgAC5AICAjcCBAIFAgYCBwIIAgkCCgILAgwCDQIIAggCCAIIAggCCAIIAggCCAIIAggCCAIIAggCCAIIAggCGAIDAowCHgAC5AICAjQCBAIFAgYCBwIIAgkCIQILAgwCDQIIAggCCAIIAggCCAIIAggCCAIIAggCCAIIAggCCAIIAggCGAIDAjUCHgAC5AICAisCBAIFAgYCBwIIAgkCCgILAgwCDQIIAggCCAIIAggCCAIIAggCCAIIAggCCAIIAggCCAIIAggCGAIDAogCHgAC5AICAkMCBAIFAgYCBwIIAgkCCgILAgwCDQIIAggCCAIIAggCCAIIAggCCAIIAggCCAIIAggCCAIIegAABAACCAIYAgMCWAIeAALkAgICSQIEAgUCBgIHAggCCQIKAgsCDAINAggCCAIIAggCCAIIAggCCAIIAggCCAIIAggCCAIIAggCCAIYAgMCWQIeAALkAgICIwIEAgUCBgIHAggCCQIhAgsCDAINAggCCAIIAggCCAIIAggCCAIIAggCCAIIAggCCAIIAggCCAIYAgMChwIeAALkAgICagIEAgUCBgIHAggCCQIcAgsCDAINAggCCAIIAggCCAIIAggCCAIIAggCCAIIAggCCAIIAggCCAIYAgMCiQIeAALkAgICIAIEAgUCBgIHAggCCQIcAgsCDAINAggCCAIIAggCCAIIAggCCAIIAggCCAIIAggCCAIIAggCCAIYAgMCWwIeAALkAgICQAIEAgUCBgIHAggCCQIcAgsCDAINAggCCAIIAggCCAIIAggCCAIIAggCCAIIAggCCAIIAggCCAIYAgMCWgIeAALkAgICawIEAgUCBgIHAggCCQIcAgsCDAINAggCCAIIAggCCAIIAggCCAIIAggCCAIIAggCCAIIAggCCAIYAgMCiwIeAALkAgICXAIEAgUCBgIHAggCCQIhAgsCDAINAggCCAIIAggCCAIIAggCCAIIAggCCAIIAggCCAIIAggCCAIYAgMCXQIeAALkAgICHgIEAgUCBgIHAggCCQIhAgsCDAINAggCCAIIAggCCAIIAggCCAIIAggCCAIIAggCCAIIAggCCAIYAgMCLAIeAALkAgICPgIEAgUCBgIHAggCCQIcAgsCDAINAggCCAIIAggCCAIIAggCCAIIAggCCAIIAggCCAIIAggCCAIYAgMCbgIeAALkAgICMAIEAgUCBgIHAggCCQIcAgsCDAINAggCCAIIAggCCAIIAggCCAIIAggCCAIIAggCCAIIAggCCAIYAgMCMQIeAALkAgICKQIEAgUCBgIHAggCCQIhAgsCDAINAggCCAIIAggCCAIIAggCCAIIAggCCAIIAggCCAIIAggCCAIYAgMCgwIeAALkAgICUgIEAgUCBgIHAggCCQIcAgsCDAINAggCCAIIAggCCAIIAggCCAIIAggCCAIIAggCCAIIAggCCAIYAgMCUwIeAALkAgICQgIEAgUCBgIHAggCCQIcAgsCDAINAggCCAIIAggCCAIIAggCCAIIAggCCAIIAggCCAIIAggCCAIYAgMCbwIeAALkAgICTgIEAgUCBgIHAggCCQIhAgsCDAINAggCCAIIAggCCAIIAggCCAIIAggCCAIIAggCCAIIAggCCAIYAgMCTwIeAALkAgICfAIEAgUCBgIHAggCCQIKAgsCDAINAggCCAIIAggCCAIIAggCCAIIAggCegAABAAIAggCCAIIAggCCAIIAhgCAwKFAh4AAuQCAgJWAgQCBQIGAgcCCAIJAgoCCwIMAg0CCAIIAggCCAIIAggCCAIIAggCCAIIAggCCAIIAggCCAIIAhgCAwJ/Ah4AAuQCAgJAAgQCBQIGAgcCCAIJAgoCCwIMAg0CCAIIAggCCAIIAggCCAIIAggCCAIIAggCCAIIAggCCAIIAhgCAwJLAh4AAuQCAgJmAgQCBQIGAgcCCAIJAiECCwIMAg0CCAIIAggCCAIIAggCCAIIAggCCAIIAggCCAIIAggCCAIIAhgCAwKAAh4AAuQCAgJGAgQCBQIGAgcCCAIJAgoCCwIMAg0CCAIIAggCCAIIAggCCAIIAggCCAIIAggCCAIIAggCCAIIAhgCAwJHAh4AAuQCAgIDAgQCBQIGAgcCCAIJAiECCwIMAg0CCAIIAggCCAIIAggCCAIIAggCCAIIAggCCAIIAggCCAIIAhgCAwJIAh4AAuQCAgIlAgQCBQIGAgcCCAIJAiECCwIMAg0CCAIIAggCCAIIAggCCAIIAggCCAIIAggCCAIIAggCCAIIAhgCAwJFAh4AAuQCAgJJAgQCBQIGAgcCCAIJAhwCCwIMAg0CCAIIAggCCAIIAggCCAIIAggCCAIIAggCCAIIAggCCAIIAhgCAwJKAh4AAuQCAgI3AgQCBQIGAgcCCAIJAhwCCwIMAg0CCAIIAggCCAIIAggCCAIIAggCCAIIAggCCAIIAggCCAIIAhgCAwKBAh4AAuQCAgI7AgQCBQIGAgcCCAIJAgoCCwIMAg0CCAIIAggCCAIIAggCCAIIAggCCAIIAggCCAIIAggCCAIIAhgCAwI8Ah4AAuQCAgJUAgQCBQIGAgcCCAIJAgoCCwIMAg0CCAIIAggCCAIIAggCCAIIAggCCAIIAggCCAIIAggCCAIIAhgCAwJ4Ah4AAuQCAgIpAgQCBQIGAgcCCAIJAhwCCwIMAg0CCAIIAggCCAIIAggCCAIIAggCCAIIAggCCAIIAggCCAIIAhgCAwJhAh4AAuQCAgIwAgQCBQIGAgcCCAIJAiECCwIMAg0CCAIIAggCCAIIAggCCAIIAggCCAIIAggCCAIIAggCCAIIAhgCAwJ5Ah4AAuQCAgJSAgQCBQIGAgcCCAIJAgoCCwIMAg0CCAIIAggCCAIIAggCCAIIAggCCAIIAggCCAIIAggCCAIIAhgCAwJfAh4AAuQCAgI+AgQCBQIGAgcCCAIJAiECCwIMAg0CCAIIAggCCAIIAggCCAIIAggCCAIIAggCCAIIAggCCAIIAhgCAwI/Ah4AAuQCAgJrAgQCBQIGAgcCCAIJAiECCwIMAg0CCAIIAggCCAIIegAABAACCAIIAggCCAIIAggCCAIIAggCCAIIAggCGAIDAnsCHgAC5AICAmICBAIFAgYCBwIIAgkCIQILAgwCDQIIAggCCAIIAggCCAIIAggCCAIIAggCCAIIAggCCAIIAggCGAIDAiwCHgAC5AICAk4CBAIFAgYCBwIIAgkCHAILAgwCDQIIAggCCAIIAggCCAIIAggCCAIIAggCCAIIAggCCAIIAggCGAIDAo8CHgAC5AICAkICBAIFAgYCBwIIAgkCIQILAgwCDQIIAggCCAIIAggCCAIIAggCCAIIAggCCAIIAggCCAIIAggCGAIDAiwCHgAC5AICAmYCBAIFAgYCBwIIAgkCHAILAgwCDQIIAggCCAIIAggCCAIIAggCCAIIAggCCAIIAggCCAIIAggCGAIDAnQCHgAC5AICAiUCBAIFAgYCBwIIAgkCHAILAgwCDQIIAggCCAIIAggCCAIIAggCCAIIAggCCAIIAggCCAIIAggCGAIDAjICHgAC5AICAkkCBAIFAgYCBwIIAgkCIQILAgwCDQIIAggCCAIIAggCCAIIAggCCAIIAggCCAIIAggCCAIIAggCGAIDAnYCHgAC5AICAjQCBAIFAgYCBwIIAgkCCgILAgwCDQIIAggCCAIIAggCCAIIAggCCAIIAggCCAIIAggCCAIIAggCGAIDAnUCHgAC5AICAkYCBAIFAgYCBwIIAgkCHAILAgwCDQIIAggCCAIIAggCCAIIAggCCAIIAggCCAIIAggCCAIIAggCGAIDAoQCHgAC5AICAjcCBAIFAgYCBwIIAgkCIQILAgwCDQIIAggCCAIIAggCCAIIAggCCAIIAggCCAIIAggCCAIIAggCGAIDAjgCHgAC5AICAiMCBAIFAgYCBwIIAgkCCgILAgwCDQIIAggCCAIIAggCCAIIAggCCAIIAggCCAIIAggCCAIIAggCGAIDAjoCHgAC5AICAlICBAIFAgYCBwIIAgkCIQILAgwCDQIIAggCCAIIAggCCAIIAggCCAIIAggCCAIIAggCCAIIAggCGAIDAiwCHgAC5AICAmoCBAIFAgYCBwIIAgkCCgILAgwCDQIIAggCCAIIAggCCAIIAggCCAIIAggCCAIIAggCCAIIAggCGAIDAoICHgAC5AICAikCBAIFAgYCBwIIAgkCCgILAgwCDQIIAggCCAIIAggCCAIIAggCCAIIAggCCAIIAggCCAIIAggCGAIDAioCHgAC5AICAicCBAIFAgYCBwIIAgkCIQILAgwCDQIIAggCCAIIAggCCAIIAggCCAIIAggCCAIIAggCCAIIAggCGAIDAiwCHgAC5AICAlACBAIFAgYCBwIIAgkCIQILAgwCegAABAANAggCCAIIAggCCAIIAggCCAIIAggCCAIIAggCCAIIAggCCAIYAgMCUQIeAALkAgICIAIEAgUCBgIHAggCCQIKAgsCDAINAggCCAIIAggCCAIIAggCCAIIAggCCAIIAggCCAIIAggCCAIYAgMCTQIeAALkAgICfAIEAgUCBgIHAggCCQIhAgsCDAINAggCCAIIAggCCAIIAggCCAIIAggCCAIIAggCCAIIAggCCAIYAgMCigIeAALkAgICAwIEAgUCBgIHAggCCQIcAgsCDAINAggCCAIIAggCCAIIAggCCAIIAggCCAIIAggCCAIIAggCCAIYAgMCLwIeAALkAgICVAIEAgUCBgIHAggCCQIcAgsCDAINAggCCAIIAggCCAIIAggCCAIIAggCCAIIAggCCAIIAggCCAIYAgMCVQIeAALkAgICYgIEAgUCBgIHAggCCQIcAgsCDAINAggCCAIIAggCCAIIAggCCAIIAggCCAIIAggCCAIIAggCCAIYAgMCcwIeAALkAgICVgIEAgUCBgIHAggCCQIcAgsCDAINAggCCAIIAggCCAIIAggCCAIIAggCCAIIAggCCAIIAggCCAIYAgMCVwIeAALkAgICOwIEAgUCBgIHAggCCQIcAgsCDAINAggCCAIIAggCCAIIAggCCAIIAggCCAIIAggCCAIIAggCCAIYAgMChgIeAALkAgICQwIEAgUCBgIHAggCCQIhAgsCDAINAggCCAIIAggCCAIIAggCCAIIAggCCAIIAggCCAIIAggCCAIYAgMCcQIeAALkAgICTgIEAgUCBgIHAggCCQIKAgsCDAINAggCCAIIAggCCAIIAggCCAIIAggCCAIIAggCCAIIAggCCAIYAgMCcgIeAALkAgICKwIEAgUCBgIHAggCCQIhAgsCDAINAggCCAIIAggCCAIIAggCCAIIAggCCAIIAggCCAIIAggCCAIYAgMCLAIeAALlAAk1ODkyNTM2ODACAgInAgQCBQIGAgcCCAIJAgoCCwIMAg0CCAIIAggCCAIIAggCCAIIAggCCAIIAggCCAIIAggCCAIIAhoCAwKNAh4AAuUCAgI7AgQCBQIGAgcCCAIJAiECCwIMAg0CCAIIAggCCAIIAggCCAIIAggCCAIIAggCCAIIAggCCAIIAhoCAwJeAh4AAuUCAgIeAgQCBQIGAgcCCAIJAgoCCwIMAg0CCAIIAggCCAIIAggCCAIIAggCCAIIAggCCAIIAggCCAIIAhoCAwI9Ah4AAuUCAgJAAgQCBQIGAgcCCAIJAiECCwIMAg0CCAIIAggCCAIIAggCCAIIAggCCAIIAggCCAIIAggCCAIIAhoCAwJBAh4AAuUCegAABAACAjACBAIFAgYCBwIIAgkCCgILAgwCDQIIAggCCAIIAggCCAIIAggCCAIIAggCCAIIAggCCAIIAggCGgIDApECHgAC5QICAnwCBAIFAgYCBwIIAgkCHAILAgwCDQIIAggCCAIIAggCCAIIAggCCAIIAggCCAIIAggCCAIIAggCGgIDAn0CHgAC5QICAisCBAIFAgYCBwIIAgkCHAILAgwCDQIIAggCCAIIAggCCAIIAggCCAIIAggCCAIIAggCCAIIAggCGgIDAn4CHgAC5QICAjQCBAIFAgYCBwIIAgkCHAILAgwCDQIIAggCCAIIAggCCAIIAggCCAIIAggCCAIIAggCCAIIAggCGgIDApICHgAC5QICAkYCBAIFAgYCBwIIAgkCIQILAgwCDQIIAggCCAIIAggCCAIIAggCCAIIAggCCAIIAggCCAIIAggCGgIDAiwCHgAC5QICAgMCBAIFAgYCBwIIAgkCCgILAgwCDQIIAggCCAIIAggCCAIIAggCCAIIAggCCAIIAggCCAIIAggCGgIDAg4CHgAC5QICAj4CBAIFAgYCBwIIAgkCCgILAgwCDQIIAggCCAIIAggCCAIIAggCCAIIAggCCAIIAggCCAIIAggCGgIDAmACHgAC5QICAkMCBAIFAgYCBwIIAgkCHAILAgwCDQIIAggCCAIIAggCCAIIAggCCAIIAggCCAIIAggCCAIIAggCGgIDAkQCHgAC5QICAjQCBAIFAgYCBwIIAgkCCgILAgwCDQIIAggCCAIIAggCCAIIAggCCAIIAggCCAIIAggCCAIIAggCGgIDAnUCHgAC5QICAkMCBAIFAgYCBwIIAgkCCgILAgwCDQIIAggCCAIIAggCCAIIAggCCAIIAggCCAIIAggCCAIIAggCGgIDAlgCHgAC5QICAjcCBAIFAgYCBwIIAgkCIQILAgwCDQIIAggCCAIIAggCCAIIAggCCAIIAggCCAIIAggCCAIIAggCGgIDAjgCHgAC5QICAkkCBAIFAgYCBwIIAgkCIQILAgwCDQIIAggCCAIIAggCCAIIAggCCAIIAggCCAIIAggCCAIIAggCGgIDAnYCHgAC5QICAisCBAIFAgYCBwIIAgkCCgILAgwCDQIIAggCCAIIAggCCAIIAggCCAIIAggCCAIIAggCCAIIAggCGgIDAogCHgAC5QICAlYCBAIFAgYCBwIIAgkCIQILAgwCDQIIAggCCAIIAggCCAIIAggCCAIIAggCCAIIAggCCAIIAggCGgIDAmQCHgAC5QICAkACBAIFAgYCBwIIAgkCHAILAgwCDQIIAggCCAIIAggCCAIIAggCCAIIAggCCAIIAggCCAIIAggCegAABAAaAgMCWgIeAALlAgICXAIEAgUCBgIHAggCCQIKAgsCDAINAggCCAIIAggCCAIIAggCCAIIAggCCAIIAggCCAIIAggCCAIaAgMCegIeAALlAgICVAIEAgUCBgIHAggCCQIhAgsCDAINAggCCAIIAggCCAIIAggCCAIIAggCCAIIAggCCAIIAggCCAIaAgMCkAIeAALlAgICagIEAgUCBgIHAggCCQIcAgsCDAINAggCCAIIAggCCAIIAggCCAIIAggCCAIIAggCCAIIAggCCAIaAgMCiQIeAALlAgICUgIEAgUCBgIHAggCCQIhAgsCDAINAggCCAIIAggCCAIIAggCCAIIAggCCAIIAggCCAIIAggCCAIaAgMCLAIeAALlAgICIwIEAgUCBgIHAggCCQIKAgsCDAINAggCCAIIAggCCAIIAggCCAIIAggCCAIIAggCCAIIAggCCAIaAgMCOgIeAALlAgICUAIEAgUCBgIHAggCCQIKAgsCDAINAggCCAIIAggCCAIIAggCCAIIAggCCAIIAggCCAIIAggCCAIaAgMCbQIeAALlAgICIAIEAgUCBgIHAggCCQIcAgsCDAINAggCCAIIAggCCAIIAggCCAIIAggCCAIIAggCCAIIAggCCAIaAgMCWwIeAALlAgICIAIEAgUCBgIHAggCCQIKAgsCDAINAggCCAIIAggCCAIIAggCCAIIAggCCAIIAggCCAIIAggCCAIaAgMCTQIeAALlAgICKQIEAgUCBgIHAggCCQIKAgsCDAINAggCCAIIAggCCAIIAggCCAIIAggCCAIIAggCCAIIAggCCAIaAgMCKgIeAALlAgICagIEAgUCBgIHAggCCQIKAgsCDAINAggCCAIIAggCCAIIAggCCAIIAggCCAIIAggCCAIIAggCCAIaAgMCggIeAALlAgICQwIEAgUCBgIHAggCCQIhAgsCDAINAggCCAIIAggCCAIIAggCCAIIAggCCAIIAggCCAIIAggCCAIaAgMCcQIeAALlAgICAwIEAgUCBgIHAggCCQIcAgsCDAINAggCCAIIAggCCAIIAggCCAIIAggCCAIIAggCCAIIAggCCAIaAgMCLwIeAALlAgICVAIEAgUCBgIHAggCCQIcAgsCDAINAggCCAIIAggCCAIIAggCCAIIAggCCAIIAggCCAIIAggCCAIaAgMCVQIeAALlAgICYgIEAgUCBgIHAggCCQIcAgsCDAINAggCCAIIAggCCAIIAggCCAIIAggCCAIIAggCCAIIAggCCAIaAgMCcwIeAALlAgICKwIEAgUCBgIHAggCCQIhAgsCDAINAggCCAIIAggCCAIIAggCCAIIAggCCAIIegAABAACCAIIAggCCAIIAhoCAwIsAh4AAuUCAgJGAgQCBQIGAgcCCAIJAhwCCwIMAg0CCAIIAggCCAIIAggCCAIIAggCCAIIAggCCAIIAggCCAIIAhoCAwKEAh4AAuUCAgJOAgQCBQIGAgcCCAIJAgoCCwIMAg0CCAIIAggCCAIIAggCCAIIAggCCAIIAggCCAIIAggCCAIIAhoCAwJyAh4AAuUCAgJWAgQCBQIGAgcCCAIJAhwCCwIMAg0CCAIIAggCCAIIAggCCAIIAggCCAIIAggCCAIIAggCCAIIAhoCAwJXAh4AAuUCAgI7AgQCBQIGAgcCCAIJAhwCCwIMAg0CCAIIAggCCAIIAggCCAIIAggCCAIIAggCCAIIAggCCAIIAhoCAwKGAh4AAuUCAgIlAgQCBQIGAgcCCAIJAiECCwIMAg0CCAIIAggCCAIIAggCCAIIAggCCAIIAggCCAIIAggCCAIIAhoCAwJFAh4AAuUCAgJmAgQCBQIGAgcCCAIJAiECCwIMAg0CCAIIAggCCAIIAggCCAIIAggCCAIIAggCCAIIAggCCAIIAhoCAwKAAh4AAuUCAgIjAgQCBQIGAgcCCAIJAhwCCwIMAg0CCAIIAggCCAIIAggCCAIIAggCCAIIAggCCAIIAggCCAIIAhoCAwIkAh4AAuUCAgIeAgQCBQIGAgcCCAIJAhwCCwIMAg0CCAIIAggCCAIIAggCCAIIAggCCAIIAggCCAIIAggCCAIIAhoCAwIfAh4AAuUCAgJ8AgQCBQIGAgcCCAIJAiECCwIMAg0CCAIIAggCCAIIAggCCAIIAggCCAIIAggCCAIIAggCCAIIAhoCAwKKAh4AAuUCAgJrAgQCBQIGAgcCCAIJAgoCCwIMAg0CCAIIAggCCAIIAggCCAIIAggCCAIIAggCCAIIAggCCAIIAhoCAwJsAh4AAuUCAgJAAgQCBQIGAgcCCAIJAgoCCwIMAg0CCAIIAggCCAIIAggCCAIIAggCCAIIAggCCAIIAggCCAIIAhoCAwJLAh4AAuUCAgJcAgQCBQIGAgcCCAIJAhwCCwIMAg0CCAIIAggCCAIIAggCCAIIAggCCAIIAggCCAIIAggCCAIIAhoCAwJpAh4AAuUCAgI+AgQCBQIGAgcCCAIJAiECCwIMAg0CCAIIAggCCAIIAggCCAIIAggCCAIIAggCCAIIAggCCAIIAhoCAwI/Ah4AAuUCAgI7AgQCBQIGAgcCCAIJAgoCCwIMAg0CCAIIAggCCAIIAggCCAIIAggCCAIIAggCCAIIAggCCAIIAhoCAwI8Ah4AAuUCAgJOAgQCBQIGAgcCCAIJAhwCCwIMAg0CCAIIAggCCAIIAggCegAABAAIAggCCAIIAggCCAIIAggCCAIIAggCGgIDAo8CHgAC5QICAicCBAIFAgYCBwIIAgkCIQILAgwCDQIIAggCCAIIAggCCAIIAggCCAIIAggCCAIIAggCCAIIAggCGgIDAiwCHgAC5QICAjACBAIFAgYCBwIIAgkCIQILAgwCDQIIAggCCAIIAggCCAIIAggCCAIIAggCCAIIAggCCAIIAggCGgIDAnkCHgAC5QICAlICBAIFAgYCBwIIAgkCCgILAgwCDQIIAggCCAIIAggCCAIIAggCCAIIAggCCAIIAggCCAIIAggCGgIDAl8CHgAC5QICAlACBAIFAgYCBwIIAgkCIQILAgwCDQIIAggCCAIIAggCCAIIAggCCAIIAggCCAIIAggCCAIIAggCGgIDAlECHgAC5QICAikCBAIFAgYCBwIIAgkCHAILAgwCDQIIAggCCAIIAggCCAIIAggCCAIIAggCCAIIAggCCAIIAggCGgIDAmECHgAC5QICAlQCBAIFAgYCBwIIAgkCCgILAgwCDQIIAggCCAIIAggCCAIIAggCCAIIAggCCAIIAggCCAIIAggCGgIDAngCHgAC5QICAkkCBAIFAgYCBwIIAgkCCgILAgwCDQIIAggCCAIIAggCCAIIAggCCAIIAggCCAIIAggCCAIIAggCGgIDAlkCHgAC5QICAiUCBAIFAgYCBwIIAgkCHAILAgwCDQIIAggCCAIIAggCCAIIAggCCAIIAggCCAIIAggCCAIIAggCGgIDAjICHgAC5QICAiMCBAIFAgYCBwIIAgkCIQILAgwCDQIIAggCCAIIAggCCAIIAggCCAIIAggCCAIIAggCCAIIAggCGgIDAocCHgAC5QICAlwCBAIFAgYCBwIIAgkCIQILAgwCDQIIAggCCAIIAggCCAIIAggCCAIIAggCCAIIAggCCAIIAggCGgIDAl0CHgAC5QICAmICBAIFAgYCBwIIAgkCIQILAgwCDQIIAggCCAIIAggCCAIIAggCCAIIAggCCAIIAggCCAIIAggCGgIDAiwCHgAC5QICAmsCBAIFAgYCBwIIAgkCHAILAgwCDQIIAggCCAIIAggCCAIIAggCCAIIAggCCAIIAggCCAIIAggCGgIDAosCHgAC5QICAgMCBAIFAgYCBwIIAgkCIQILAgwCDQIIAggCCAIIAggCCAIIAggCCAIIAggCCAIIAggCCAIIAggCGgIDAkgCHgAC5QICAh4CBAIFAgYCBwIIAgkCIQILAgwCDQIIAggCCAIIAggCCAIIAggCCAIIAggCCAIIAggCCAIIAggCGgIDAiwCHgAC5QICAjcCBAIFAgYCBwIIAgkCCgILAgwCDQIIegAABAACCAIIAggCCAIIAggCCAIIAggCCAIIAggCCAIIAggCCAIaAgMCjAIeAALlAgICZgIEAgUCBgIHAggCCQIcAgsCDAINAggCCAIIAggCCAIIAggCCAIIAggCCAIIAggCCAIIAggCCAIaAgMCdAIeAALlAgICTgIEAgUCBgIHAggCCQIhAgsCDAINAggCCAIIAggCCAIIAggCCAIIAggCCAIIAggCCAIIAggCCAIaAgMCTwIeAALlAgICPgIEAgUCBgIHAggCCQIcAgsCDAINAggCCAIIAggCCAIIAggCCAIIAggCCAIIAggCCAIIAggCCAIaAgMCbgIeAALlAgICKQIEAgUCBgIHAggCCQIhAgsCDAINAggCCAIIAggCCAIIAggCCAIIAggCCAIIAggCCAIIAggCCAIaAgMCgwIeAALlAgICawIEAgUCBgIHAggCCQIhAgsCDAINAggCCAIIAggCCAIIAggCCAIIAggCCAIIAggCCAIIAggCCAIaAgMCewIeAALlAgICfAIEAgUCBgIHAggCCQIKAgsCDAINAggCCAIIAggCCAIIAggCCAIIAggCCAIIAggCCAIIAggCCAIaAgMChQIeAALlAgICMAIEAgUCBgIHAggCCQIcAgsCDAINAggCCAIIAggCCAIIAggCCAIIAggCCAIIAggCCAIIAggCCAIaAgMCMQIeAALlAgICVgIEAgUCBgIHAggCCQIKAgsCDAINAggCCAIIAggCCAIIAggCCAIIAggCCAIIAggCCAIIAggCCAIaAgMCfwIeAALlAgICRgIEAgUCBgIHAggCCQIKAgsCDAINAggCCAIIAggCCAIIAggCCAIIAggCCAIIAggCCAIIAggCCAIaAgMCRwIeAALlAgICYgIEAgUCBgIHAggCCQIKAgsCDAINAggCCAIIAggCCAIIAggCCAIIAggCCAIIAggCCAIIAggCCAIaAgMCYwIeAALlAgICNAIEAgUCBgIHAggCCQIhAgsCDAINAggCCAIIAggCCAIIAggCCAIIAggCCAIIAggCCAIIAggCCAIaAgMCNQIeAALlAgICIAIEAgUCBgIHAggCCQIhAgsCDAINAggCCAIIAggCCAIIAggCCAIIAggCCAIIAggCCAIIAggCCAIaAgMCIgIeAALlAgICagIEAgUCBgIHAggCCQIhAgsCDAINAggCCAIIAggCCAIIAggCCAIIAggCCAIIAggCCAIIAggCCAIaAgMCLAIeAALlAgICNwIEAgUCBgIHAggCCQIcAgsCDAINAggCCAIIAggCCAIIAggCCAIIAggCCAIIAggCCAIIAggCCAIaAgMCgQIeAALlAgICUAIEAgUCBgIHAggCegAAA70JAhwCCwIMAg0CCAIIAggCCAIIAggCCAIIAggCCAIIAggCCAIIAggCCAIIAhoCAwJoAh4AAuUCAgJmAgQCBQIGAgcCCAIJAgoCCwIMAg0CCAIIAggCCAIIAggCCAIIAggCCAIIAggCCAIIAggCCAIIAhoCAwJnAh4AAuUCAgJSAgQCBQIGAgcCCAIJAhwCCwIMAg0CCAIIAggCCAIIAggCCAIIAggCCAIIAggCCAIIAggCCAIIAhoCAwJTAh4AAuUCAgInAgQCBQIGAgcCCAIJAhwCCwIMAg0CCAIIAggCCAIIAggCCAIIAggCCAIIAggCCAIIAggCCAIIAhoCAwIoAh4AAuUCAgIlAgQCBQIGAgcCCAIJAgoCCwIMAg0CCAIIAggCCAIIAggCCAIIAggCCAIIAggCCAIIAggCCAIIAhoCAwImAh4AAuUCAgJJAgQCBQIGAgcCCAIJAhwCCwIMAg0CCAIIAggCCAIIAggCCAIIAggCCAIIAggCCAIIAggCCAIIAhoCAwJKAh4AAuYACTQwODk1MTI5NgICAmoCBAIFAgYCBwIIAgkCHAILApUCDQIIAggCCAIIAggCCAIIAggCCAIIAggCCAIIAggCCAIIAggCAwIDArQCHgAC5gICAjsCBAIFAgYCBwIIAgkCHAILApUCDQIIAggCCAIIAggCCAIIAggCCAIIAggCCAIIAggCCAIIAggCAwIDAscCHgAC5gICAiACBAIFAgYCBwIIAgkCHAILApUCDQIIAggCCAIIAggCCAIIAggCCAIIAggCCAIIAggCCAIIAggCAwIDAr8CHgAC5gICAicCBAIFAgYCBwIIAgkCHAILApUCDQIIAggCCAIIAggCCAIIAggCCAIIAggCCAIIAggCCAIIAggCAwIDAqoCHgAC5gICAikCBAIFAgYCBwIIAgkCHAILApUCDQIIAggCCAIIAggCCAIIAggCCAIIAggCCAIIAggCCAIIAggCAwIDArACHgAC5gICAlwCBAIFAgYCBwIIAgkCHAILApUCDQIIAggCCAIIAggCCAIIAggCCAIIAggCCAIIAggCCAIIAggCAwIDAq0CHgAC5gICAmYCBAIFAgYCBwIIAgkCHAILApUCDQIIAggCCAIIAggCCAIIAggCCAIIAggCCAIIAggCCAIIAggCAwIDAtkCHgAC5gICAh4CBAIFAgYCBwIIAgkCHAILApUCDQIIAggCCAIIAggCCAIIAggCCAIIAggCCAIIAggCCAIIAggCAwIDAudzcQB+AAAAAAACc3EAfgAE///////////////+/////v////91cQB+AAcAAAAEL/7GXHh4egAAArICHgAC5gICAlICBAIFAgYCBwIIAgkCHAILApUCDQIIAggCCAIIAggCCAIIAggCCAIIAggCCAIIAggCCAIIAggCAwIDAsYCHgAC5gICAmICBAIFAgYCBwIIAgkCHAILApUCDQIIAggCCAIIAggCCAIIAggCCAIIAggCCAIIAggCCAIIAggCAwIDAqACHgAC5gICAlYCBAIFAgYCBwIIAgkCHAILApUCDQIIAggCCAIIAggCCAIIAggCCAIIAggCCAIIAggCCAIIAggCAwIDAsgCHgAC5gICAkMCBAIFAgYCBwIIAgkCHAILApUCDQIIAggCCAIIAggCCAIIAggCCAIIAggCCAIIAggCCAIIAggCAwIDAtUCHgAC5gICAkkCBAIFAgYCBwIIAgkCHAILApUCDQIIAggCCAIIAggCCAIIAggCCAIIAggCCAIIAggCCAIIAggCAwIDAtACHgAC5gICAjQCBAIFAgYCBwIIAgkCHAILApUCDQIIAggCCAIIAggCCAIIAggCCAIIAggCCAIIAggCCAIIAggCAwIDArcCHgAC5gICAjACBAIFAgYCBwIIAgkCHAILApUCDQIIAggCCAIIAggCCAIIAggCCAIIAggCCAIIAggCCAIIAggCAwIDAp4CHgAC5gICAisCBAIFAgYCBwIIAgkCHAILApUCDQIIAggCCAIIAggCCAIIAggCCAIIAggCCAIIAggCCAIIAggCAwIDAuICHgAC5gICAkYCBAIFAgYCBwIIAgkCHAILApUCDQIIAggCCAIIAggCCAIIAggCCAIIAggCCAIIAggCCAIIAggCAwIDAtsCHgAC5gICAkICBAIFAgYCBwIIAgkCHAILApUCDQIIAggCCAIIAggCCAIIAggCCAIIAggCCAIIAggCCAIIAggCAwIDAuhzcQB+AAAAAAACc3EAfgAE///////////////+/////v////91cQB+AAcAAAAEMPCBKHh4egAABAACHgAC6QAJNDA5ODA4MTYwAgICKwIEAgUCBgIHAggCCQIKAgsCDAINAggCCAIIAggCCAIIAggCCAIIAggCCAIIAggCCAIIAggCCAIEAgMCiAIeAALpAgICQgIEAgUCBgIHAggCCQIKAgsCDAINAggCCAIIAggCCAIIAggCCAIIAggCCAIIAggCCAIIAggCCAIEAgMCZQIeAALpAgICRgIEAgUCBgIHAggCCQIKAgsCDAINAggCCAIIAggCCAIIAggCCAIIAggCCAIIAggCCAIIAggCCAIEAgMCRwIeAALpAgICYgIEAgUCBgIHAggCCQIKAgsCDAINAggCCAIIAggCCAIIAggCCAIIAggCCAIIAggCCAIIAggCCAIEAgMCYwIeAALpAgICKQIEAgUCBgIHAggCCQIKAgsCDAINAggCCAIIAggCCAIIAggCCAIIAggCCAIIAggCCAIIAggCCAIEAgMCKgIeAALpAgICQwIEAgUCBgIHAggCCQIKAgsCDAINAggCCAIIAggCCAIIAggCCAIIAggCCAIIAggCCAIIAggCCAIEAgMCWAIeAALpAgICOwIEAgUCBgIHAggCCQIKAgsCDAINAggCCAIIAggCCAIIAggCCAIIAggCCAIIAggCCAIIAggCCAIEAgMCPAIeAALpAgICMAIEAgUCBgIHAggCCQIKAgsCDAINAggCCAIIAggCCAIIAggCCAIIAggCCAIIAggCCAIIAggCCAIEAgMCkQIeAALpAgICVgIEAgUCBgIHAggCCQIKAgsCDAINAggCCAIIAggCCAIIAggCCAIIAggCCAIIAggCCAIIAggCCAIEAgMCfwIeAALpAgICNAIEAgUCBgIHAggCCQIKAgsCDAINAggCCAIIAggCCAIIAggCCAIIAggCCAIIAggCCAIIAggCCAIEAgMCdQIeAALpAgICagIEAgUCBgIHAggCCQIKAgsCDAINAggCCAIIAggCCAIIAggCCAIIAggCCAIIAggCCAIIAggCCAIEAgMCggIeAALpAgICHgIEAgUCBgIHAggCCQIKAgsCDAINAggCCAIIAggCCAIIAggCCAIIAggCCAIIAggCCAIIAggCCAIEAgMCPQIeAALpAgICUgIEAgUCBgIHAggCCQIKAgsCDAINAggCCAIIAggCCAIIAggCCAIIAggCCAIIAggCCAIIAggCCAIEAgMCXwIeAALpAgICJwIEAgUCBgIHAggCCQIKAgsCDAINAggCCAIIAggCCAIIAggCCAIIAggCCAIIAggCCAIIAggCCAIEAgMCjQIeAALpAgICXAIEAgUCBgIHAggCCQIKAgsCDAINAggCCAIIAggCCAIIAggCCAIIegAABAACCAIIAggCCAIIAggCCAIIAgQCAwJ6Ah4AAukCAgIgAgQCBQIGAgcCCAIJAgoCCwIMAg0CCAIIAggCCAIIAggCCAIIAggCCAIIAggCCAIIAggCCAIIAgQCAwJNAh4AAukCAgJmAgQCBQIGAgcCCAIJAgoCCwIMAg0CCAIIAggCCAIIAggCCAIIAggCCAIIAggCCAIIAggCCAIIAgQCAwJnAh4AAukCAgJJAgQCBQIGAgcCCAIJAgoCCwIMAg0CCAIIAggCCAIIAggCCAIIAggCCAIIAggCCAIIAggCCAIIAgQCAwJZAh4AAuoACTUyNjA1NzA1NgICAjACBAIFAgYCBwIIAgkClwILApUCDQIIAggCCAIIAggCCAIIAggCCAIIAggCCAIIAggCCAIIAggCIwIDAqECHgAC6gICAj4CBAIFAgYCBwIIAgkClwILApUCDQIIAggCCAIIAggCCAIIAggCCAIIAggCCAIIAggCCAIIAggCIwIDAp0CHgAC6gICAmICBAIFAgYCBwIIAgkCHAILApUCDQIIAggCCAIIAggCCAIIAggCCAIIAggCCAIIAggCCAIIAggCIwIDAqACHgAC6gICAgMCBAIFAgYCBwIIAgkCHAILApUCDQIIAggCCAIIAggCCAIIAggCCAIIAggCCAIIAggCCAIIAggCIwIDApsCHgAC6gICAiUCBAIFAgYCBwIIAgkCHAILApUCDQIIAggCCAIIAggCCAIIAggCCAIIAggCCAIIAggCCAIIAggCIwIDAtgCHgAC6gICAmICBAIFAgYCBwIIAgkClwILApUCDQIIAggCCAIIAggCCAIIAggCCAIIAggCCAIIAggCCAIIAggCIwIDAiwCHgAC6gICAlACBAIFAgYCBwIIAgkClwILApUCDQIIAggCCAIIAggCCAIIAggCCAIIAggCCAIIAggCCAIIAggCIwIDApkCHgAC6gICAk4CBAIFAgYCBwIIAgkCCgILApUCDQIIAggCCAIIAggCCAIIAggCCAIIAggCCAIIAggCCAIIAggCIwIDApwCHgAC6gICAjACBAIFAgYCBwIIAgkCHAILApUCDQIIAggCCAIIAggCCAIIAggCCAIIAggCCAIIAggCCAIIAggCIwIDAp4CHgAC6gICAikCBAIFAgYCBwIIAgkCCgILApUCDQIIAggCCAIIAggCCAIIAggCCAIIAggCCAIIAggCCAIIAggCIwIDApoCHgAC6gICAmYCBAIFAgYCBwIIAgkClwILApUCDQIIAggCCAIIAggCCAIIAggCCAIIAggCCAIIAggCCAIIAggCIwIDAt8CHgAC6gICAikCBAIFAgYCBwIIAgkCHAILegAABAAClQINAggCCAIIAggCCAIIAggCCAIIAggCCAIIAggCCAIIAggCCAIjAgMCsAIeAALqAgICawIEAgUCBgIHAggCCQIcAgsClQINAggCCAIIAggCCAIIAggCCAIIAggCCAIIAggCCAIIAggCCAIjAgMCvQIeAALqAgICJQIEAgUCBgIHAggCCQKXAgsClQINAggCCAIIAggCCAIIAggCCAIIAggCCAIIAggCCAIIAggCCAIjAgMC3QIeAALqAgICawIEAgUCBgIHAggCCQKXAgsClQINAggCCAIIAggCCAIIAggCCAIIAggCCAIIAggCCAIIAggCCAIjAgMCrwIeAALqAgICNAIEAgUCBgIHAggCCQKXAgsClQINAggCCAIIAggCCAIIAggCCAIIAggCCAIIAggCCAIIAggCCAIjAgMCogIeAALqAgICTgIEAgUCBgIHAggCCQIcAgsClQINAggCCAIIAggCCAIIAggCCAIIAggCCAIIAggCCAIIAggCCAIjAgMCsQIeAALqAgICNwIEAgUCBgIHAggCCQIKAgsClQINAggCCAIIAggCCAIIAggCCAIIAggCCAIIAggCCAIIAggCCAIjAgMCwAIeAALqAgICSQIEAgUCBgIHAggCCQIKAgsClQINAggCCAIIAggCCAIIAggCCAIIAggCCAIIAggCCAIIAggCCAIjAgMCuwIeAALqAgICUgIEAgUCBgIHAggCCQIKAgsClQINAggCCAIIAggCCAIIAggCCAIIAggCCAIIAggCCAIIAggCCAIjAgMCsgIeAALqAgICZgIEAgUCBgIHAggCCQIcAgsClQINAggCCAIIAggCCAIIAggCCAIIAggCCAIIAggCCAIIAggCCAIjAgMC2QIeAALqAgICPgIEAgUCBgIHAggCCQIKAgsClQINAggCCAIIAggCCAIIAggCCAIIAggCCAIIAggCCAIIAggCCAIjAgMCtQIeAALqAgICNAIEAgUCBgIHAggCCQIcAgsClQINAggCCAIIAggCCAIIAggCCAIIAggCCAIIAggCCAIIAggCCAIjAgMCtwIeAALqAgICKQIEAgUCBgIHAggCCQKXAgsClQINAggCCAIIAggCCAIIAggCCAIIAggCCAIIAggCCAIIAggCCAIjAgMCuAIeAALqAgICTgIEAgUCBgIHAggCCQKXAgsClQINAggCCAIIAggCCAIIAggCCAIIAggCCAIIAggCCAIIAggCCAIjAgMCtgIeAALqAgICMAIEAgUCBgIHAggCCQIKAgsClQINAggCCAIIAggCCAIIAggCCAIIAggCCAIIAggCCAIIAggCCAIjAgMCpwIeAALqAgICIwIEAgUCegAABAAGAgcCCAIJApcCCwKVAg0CCAIIAggCCAIIAggCCAIIAggCCAIIAggCCAIIAggCCAIIAiMCAwKYAh4AAuoCAgJcAgQCBQIGAgcCCAIJApcCCwKVAg0CCAIIAggCCAIIAggCCAIIAggCCAIIAggCCAIIAggCCAIIAiMCAwKuAh4AAuoCAgI7AgQCBQIGAgcCCAIJAhwCCwKVAg0CCAIIAggCCAIIAggCCAIIAggCCAIIAggCCAIIAggCCAIIAiMCAwLHAh4AAuoCAgJrAgQCBQIGAgcCCAIJAgoCCwKVAg0CCAIIAggCCAIIAggCCAIIAggCCAIIAggCCAIIAggCCAIIAiMCAwKWAh4AAuoCAgIjAgQCBQIGAgcCCAIJAhwCCwKVAg0CCAIIAggCCAIIAggCCAIIAggCCAIIAggCCAIIAggCCAIIAiMCAwKsAh4AAuoCAgJUAgQCBQIGAgcCCAIJAhwCCwKVAg0CCAIIAggCCAIIAggCCAIIAggCCAIIAggCCAIIAggCCAIIAiMCAwLJAh4AAuoCAgJUAgQCBQIGAgcCCAIJApcCCwKVAg0CCAIIAggCCAIIAggCCAIIAggCCAIIAggCCAIIAggCCAIIAiMCAwLFAh4AAuoCAgIDAgQCBQIGAgcCCAIJApcCCwKVAg0CCAIIAggCCAIIAggCCAIIAggCCAIIAggCCAIIAggCCAIIAiMCAwKmAh4AAuoCAgJcAgQCBQIGAgcCCAIJAhwCCwKVAg0CCAIIAggCCAIIAggCCAIIAggCCAIIAggCCAIIAggCCAIIAiMCAwKtAh4AAuoCAgIgAgQCBQIGAgcCCAIJAgoCCwKVAg0CCAIIAggCCAIIAggCCAIIAggCCAIIAggCCAIIAggCCAIIAiMCAwLEAh4AAuoCAgJAAgQCBQIGAgcCCAIJAgoCCwKVAg0CCAIIAggCCAIIAggCCAIIAggCCAIIAggCCAIIAggCCAIIAiMCAwLLAh4AAuoCAgJWAgQCBQIGAgcCCAIJAhwCCwKVAg0CCAIIAggCCAIIAggCCAIIAggCCAIIAggCCAIIAggCCAIIAiMCAwLIAh4AAuoCAgJ8AgQCBQIGAgcCCAIJAgoCCwKVAg0CCAIIAggCCAIIAggCCAIIAggCCAIIAggCCAIIAggCCAIIAiMCAwK5Ah4AAuoCAgJAAgQCBQIGAgcCCAIJApcCCwKVAg0CCAIIAggCCAIIAggCCAIIAggCCAIIAggCCAIIAggCCAIIAiMCAwK6Ah4AAuoCAgJAAgQCBQIGAgcCCAIJAhwCCwKVAg0CCAIIAggCCAIIAggCCAIIAggCCAIIAggCCAIIAggCCAIIAiMCAwK+Ah4AegAABAAC6gICAjsCBAIFAgYCBwIIAgkClwILApUCDQIIAggCCAIIAggCCAIIAggCCAIIAggCCAIIAggCCAIIAggCIwIDAsoCHgAC6gICAlYCBAIFAgYCBwIIAgkClwILApUCDQIIAggCCAIIAggCCAIIAggCCAIIAggCCAIIAggCCAIIAggCIwIDAtcCHgAC6gICAkMCBAIFAgYCBwIIAgkCCgILApUCDQIIAggCCAIIAggCCAIIAggCCAIIAggCCAIIAggCCAIIAggCIwIDArwCHgAC6gICAjQCBAIFAgYCBwIIAgkCCgILApUCDQIIAggCCAIIAggCCAIIAggCCAIIAggCCAIIAggCCAIIAggCIwIDAtwCHgAC6gICAiMCBAIFAgYCBwIIAgkCCgILApUCDQIIAggCCAIIAggCCAIIAggCCAIIAggCCAIIAggCCAIIAggCIwIDAt4CHgAC6gICAlwCBAIFAgYCBwIIAgkCCgILApUCDQIIAggCCAIIAggCCAIIAggCCAIIAggCCAIIAggCCAIIAggCIwIDAtMCHgAC6gICAiACBAIFAgYCBwIIAgkCHAILApUCDQIIAggCCAIIAggCCAIIAggCCAIIAggCCAIIAggCCAIIAggCIwIDAr8CHgAC6gICAiACBAIFAgYCBwIIAgkClwILApUCDQIIAggCCAIIAggCCAIIAggCCAIIAggCCAIIAggCCAIIAggCIwIDAsICHgAC6gICAlACBAIFAgYCBwIIAgkCCgILApUCDQIIAggCCAIIAggCCAIIAggCCAIIAggCCAIIAggCCAIIAggCIwIDAsECHgAC6gICAicCBAIFAgYCBwIIAgkCCgILApUCDQIIAggCCAIIAggCCAIIAggCCAIIAggCCAIIAggCCAIIAggCIwIDArMCHgAC6gICAkkCBAIFAgYCBwIIAgkCHAILApUCDQIIAggCCAIIAggCCAIIAggCCAIIAggCCAIIAggCCAIIAggCIwIDAtACHgAC6gICAkMCBAIFAgYCBwIIAgkClwILApUCDQIIAggCCAIIAggCCAIIAggCCAIIAggCCAIIAggCCAIIAggCIwIDAqMCHgAC6gICAnwCBAIFAgYCBwIIAgkClwILApUCDQIIAggCCAIIAggCCAIIAggCCAIIAggCCAIIAggCCAIIAggCIwIDAtoCHgAC6gICAjcCBAIFAgYCBwIIAgkCHAILApUCDQIIAggCCAIIAggCCAIIAggCCAIIAggCCAIIAggCCAIIAggCIwIDAs8CHgAC6gICAnwCBAIFAgYCBwIIAgkCHAILApUCDQIIAggCCAIIAggCCAIIAggCCAIIAggCCAIIAggCCAIIegAABAACCAIjAgMC1gIeAALqAgICNwIEAgUCBgIHAggCCQKXAgsClQINAggCCAIIAggCCAIIAggCCAIIAggCCAIIAggCCAIIAggCCAIjAgMCzgIeAALqAgICVAIEAgUCBgIHAggCCQIKAgsClQINAggCCAIIAggCCAIIAggCCAIIAggCCAIIAggCCAIIAggCCAIjAgMC0gIeAALqAgICQwIEAgUCBgIHAggCCQIcAgsClQINAggCCAIIAggCCAIIAggCCAIIAggCCAIIAggCCAIIAggCCAIjAgMC1QIeAALqAgICAwIEAgUCBgIHAggCCQIKAgsClQINAggCCAIIAggCCAIIAggCCAIIAggCCAIIAggCCAIIAggCCAIjAgMCpAIeAALqAgICOwIEAgUCBgIHAggCCQIKAgsClQINAggCCAIIAggCCAIIAggCCAIIAggCCAIIAggCCAIIAggCCAIjAgMC1AIeAALqAgICVgIEAgUCBgIHAggCCQIKAgsClQINAggCCAIIAggCCAIIAggCCAIIAggCCAIIAggCCAIIAggCCAIjAgMCzQIeAALqAgICYgIEAgUCBgIHAggCCQIKAgsClQINAggCCAIIAggCCAIIAggCCAIIAggCCAIIAggCCAIIAggCCAIjAgMCpQIeAALqAgICUAIEAgUCBgIHAggCCQIcAgsClQINAggCCAIIAggCCAIIAggCCAIIAggCCAIIAggCCAIIAggCCAIjAgMCqwIeAALqAgICJwIEAgUCBgIHAggCCQIcAgsClQINAggCCAIIAggCCAIIAggCCAIIAggCCAIIAggCCAIIAggCCAIjAgMCqgIeAALqAgICPgIEAgUCBgIHAggCCQIcAgsClQINAggCCAIIAggCCAIIAggCCAIIAggCCAIIAggCCAIIAggCCAIjAgMCnwIeAALqAgICJwIEAgUCBgIHAggCCQKXAgsClQINAggCCAIIAggCCAIIAggCCAIIAggCCAIIAggCCAIIAggCCAIjAgMCLAIeAALqAgICSQIEAgUCBgIHAggCCQKXAgsClQINAggCCAIIAggCCAIIAggCCAIIAggCCAIIAggCCAIIAggCCAIjAgMC0QIeAALqAgICZgIEAgUCBgIHAggCCQIKAgsClQINAggCCAIIAggCCAIIAggCCAIIAggCCAIIAggCCAIIAggCCAIjAgMCqAIeAALqAgICJQIEAgUCBgIHAggCCQIKAgsClQINAggCCAIIAggCCAIIAggCCAIIAggCCAIIAggCCAIIAggCCAIjAgMCqQIeAALqAgICUgIEAgUCBgIHAggCCQKXAgsClQINAggCCAIIAggCCAIIAggCCAIIAggCegAABAAIAggCCAIIAggCCAIIAiMCAwIsAh4AAuoCAgJSAgQCBQIGAgcCCAIJAhwCCwKVAg0CCAIIAggCCAIIAggCCAIIAggCCAIIAggCCAIIAggCCAIIAiMCAwLGAh4AAusACTUyNjA1NTg5NgICAgMCBAIFAgYCBwIIAgkCCgILAgwCDQIIAggCCAIIAggCCAIIAggCCAIIAggCCAIIAggCCAIIAggCIgIDAg4CHgAC6wICAlwCBAIFAgYCBwIIAgkCHAILAgwCDQIIAggCCAIIAggCCAIIAggCCAIIAggCCAIIAggCCAIIAggCIgIDAmkCHgAC6wICAmICBAIFAgYCBwIIAgkCCgILAgwCDQIIAggCCAIIAggCCAIIAggCCAIIAggCCAIIAggCCAIIAggCIgIDAmMCHgAC6wICAmYCBAIFAgYCBwIIAgkCCgILAgwCDQIIAggCCAIIAggCCAIIAggCCAIIAggCCAIIAggCCAIIAggCIgIDAmcCHgAC6wICAlYCBAIFAgYCBwIIAgkCIQILAgwCDQIIAggCCAIIAggCCAIIAggCCAIIAggCCAIIAggCCAIIAggCIgIDAmQCHgAC6wICAj4CBAIFAgYCBwIIAgkCCgILAgwCDQIIAggCCAIIAggCCAIIAggCCAIIAggCCAIIAggCCAIIAggCIgIDAmACHgAC6wICAkMCBAIFAgYCBwIIAgkCHAILAgwCDQIIAggCCAIIAggCCAIIAggCCAIIAggCCAIIAggCCAIIAggCIgIDAkQCHgAC6wICAnwCBAIFAgYCBwIIAgkCHAILAgwCDQIIAggCCAIIAggCCAIIAggCCAIIAggCCAIIAggCCAIIAggCIgIDAn0CHgAC6wICAjQCBAIFAgYCBwIIAgkCHAILAgwCDQIIAggCCAIIAggCCAIIAggCCAIIAggCCAIIAggCCAIIAggCIgIDApICHgAC6wICAicCBAIFAgYCBwIIAgkCCgILAgwCDQIIAggCCAIIAggCCAIIAggCCAIIAggCCAIIAggCCAIIAggCIgIDAo0CHgAC6wICAlACBAIFAgYCBwIIAgkCCgILAgwCDQIIAggCCAIIAggCCAIIAggCCAIIAggCCAIIAggCCAIIAggCIgIDAm0CHgAC6wICAjACBAIFAgYCBwIIAgkCHAILAgwCDQIIAggCCAIIAggCCAIIAggCCAIIAggCCAIIAggCCAIIAggCIgIDAjECHgAC6wICAk4CBAIFAgYCBwIIAgkCCgILAgwCDQIIAggCCAIIAggCCAIIAggCCAIIAggCCAIIAggCCAIIAggCIgIDAnICHgAC6wICAikCBAIFAgYCBwIIAgkCCgILAgwCegAABAANAggCCAIIAggCCAIIAggCCAIIAggCCAIIAggCCAIIAggCCAIiAgMCKgIeAALrAgICXAIEAgUCBgIHAggCCQIKAgsCDAINAggCCAIIAggCCAIIAggCCAIIAggCCAIIAggCCAIIAggCCAIiAgMCegIeAALrAgICVAIEAgUCBgIHAggCCQIhAgsCDAINAggCCAIIAggCCAIIAggCCAIIAggCCAIIAggCCAIIAggCCAIiAgMCkAIeAALrAgICIAIEAgUCBgIHAggCCQIcAgsCDAINAggCCAIIAggCCAIIAggCCAIIAggCCAIIAggCCAIIAggCCAIiAgMCWwIeAALrAgICIwIEAgUCBgIHAggCCQIKAgsCDAINAggCCAIIAggCCAIIAggCCAIIAggCCAIIAggCCAIIAggCCAIiAgMCOgIeAALrAgICUgIEAgUCBgIHAggCCQIhAgsCDAINAggCCAIIAggCCAIIAggCCAIIAggCCAIIAggCCAIIAggCCAIiAgMCLAIeAALrAgICJQIEAgUCBgIHAggCCQIcAgsCDAINAggCCAIIAggCCAIIAggCCAIIAggCCAIIAggCCAIIAggCCAIiAgMCMgIeAALrAgICZgIEAgUCBgIHAggCCQIcAgsCDAINAggCCAIIAggCCAIIAggCCAIIAggCCAIIAggCCAIIAggCCAIiAgMCdAIeAALrAgICNAIEAgUCBgIHAggCCQIhAgsCDAINAggCCAIIAggCCAIIAggCCAIIAggCCAIIAggCCAIIAggCCAIiAgMCNQIeAALrAgICQwIEAgUCBgIHAggCCQIKAgsCDAINAggCCAIIAggCCAIIAggCCAIIAggCCAIIAggCCAIIAggCCAIiAgMCWAIeAALrAgICIwIEAgUCBgIHAggCCQIhAgsCDAINAggCCAIIAggCCAIIAggCCAIIAggCCAIIAggCCAIIAggCCAIiAgMChwIeAALrAgICfAIEAgUCBgIHAggCCQIKAgsCDAINAggCCAIIAggCCAIIAggCCAIIAggCCAIIAggCCAIIAggCCAIiAgMChQIeAALrAgICPgIEAgUCBgIHAggCCQIcAgsCDAINAggCCAIIAggCCAIIAggCCAIIAggCCAIIAggCCAIIAggCCAIiAgMCbgIeAALrAgICKQIEAgUCBgIHAggCCQIhAgsCDAINAggCCAIIAggCCAIIAggCCAIIAggCCAIIAggCCAIIAggCCAIiAgMCgwIeAALrAgICVAIEAgUCBgIHAggCCQIKAgsCDAINAggCCAIIAggCCAIIAggCCAIIAggCCAIIAggCCAIIAggCCAIiAgMCeAIeAALrAgICQAIEAgUCBgIHegAABAACCAIJAiECCwIMAg0CCAIIAggCCAIIAggCCAIIAggCCAIIAggCCAIIAggCCAIIAiICAwJBAh4AAusCAgI7AgQCBQIGAgcCCAIJAgoCCwIMAg0CCAIIAggCCAIIAggCCAIIAggCCAIIAggCCAIIAggCCAIIAiICAwI8Ah4AAusCAgJOAgQCBQIGAgcCCAIJAiECCwIMAg0CCAIIAggCCAIIAggCCAIIAggCCAIIAggCCAIIAggCCAIIAiICAwJPAh4AAusCAgJSAgQCBQIGAgcCCAIJAhwCCwIMAg0CCAIIAggCCAIIAggCCAIIAggCCAIIAggCCAIIAggCCAIIAiICAwJTAh4AAusCAgIgAgQCBQIGAgcCCAIJAiECCwIMAg0CCAIIAggCCAIIAggCCAIIAggCCAIIAggCCAIIAggCCAIIAiICAwIiAh4AAusCAgJQAgQCBQIGAgcCCAIJAhwCCwIMAg0CCAIIAggCCAIIAggCCAIIAggCCAIIAggCCAIIAggCCAIIAiICAwJoAh4AAusCAgInAgQCBQIGAgcCCAIJAhwCCwIMAg0CCAIIAggCCAIIAggCCAIIAggCCAIIAggCCAIIAggCCAIIAiICAwIoAh4AAusCAgJJAgQCBQIGAgcCCAIJAhwCCwIMAg0CCAIIAggCCAIIAggCCAIIAggCCAIIAggCCAIIAggCCAIIAiICAwJKAh4AAusCAgIlAgQCBQIGAgcCCAIJAgoCCwIMAg0CCAIIAggCCAIIAggCCAIIAggCCAIIAggCCAIIAggCCAIIAiICAwImAh4AAusCAgI3AgQCBQIGAgcCCAIJAhwCCwIMAg0CCAIIAggCCAIIAggCCAIIAggCCAIIAggCCAIIAggCCAIIAiICAwKBAh4AAusCAgJmAgQCBQIGAgcCCAIJAiECCwIMAg0CCAIIAggCCAIIAggCCAIIAggCCAIIAggCCAIIAggCCAIIAiICAwKAAh4AAusCAgIlAgQCBQIGAgcCCAIJAiECCwIMAg0CCAIIAggCCAIIAggCCAIIAggCCAIIAggCCAIIAggCCAIIAiICAwJFAh4AAusCAgIDAgQCBQIGAgcCCAIJAiECCwIMAg0CCAIIAggCCAIIAggCCAIIAggCCAIIAggCCAIIAggCCAIIAiICAwJIAh4AAusCAgJWAgQCBQIGAgcCCAIJAgoCCwIMAg0CCAIIAggCCAIIAggCCAIIAggCCAIIAggCCAIIAggCCAIIAiICAwJ/Ah4AAusCAgJrAgQCBQIGAgcCCAIJAiECCwIMAg0CCAIIAggCCAIIAggCCAIIAggCCAIIAggCCAIIAggCCAIIAiICAwJ7Ah4AAusCegAABAACAlQCBAIFAgYCBwIIAgkCHAILAgwCDQIIAggCCAIIAggCCAIIAggCCAIIAggCCAIIAggCCAIIAggCIgIDAlUCHgAC6wICAjsCBAIFAgYCBwIIAgkCHAILAgwCDQIIAggCCAIIAggCCAIIAggCCAIIAggCCAIIAggCCAIIAggCIgIDAoYCHgAC6wICAmICBAIFAgYCBwIIAgkCIQILAgwCDQIIAggCCAIIAggCCAIIAggCCAIIAggCCAIIAggCCAIIAggCIgIDAiwCHgAC6wICAjACBAIFAgYCBwIIAgkCIQILAgwCDQIIAggCCAIIAggCCAIIAggCCAIIAggCCAIIAggCCAIIAggCIgIDAnkCHgAC6wICAlICBAIFAgYCBwIIAgkCCgILAgwCDQIIAggCCAIIAggCCAIIAggCCAIIAggCCAIIAggCCAIIAggCIgIDAl8CHgAC6wICAj4CBAIFAgYCBwIIAgkCIQILAgwCDQIIAggCCAIIAggCCAIIAggCCAIIAggCCAIIAggCCAIIAggCIgIDAj8CHgAC6wICAlACBAIFAgYCBwIIAgkCIQILAgwCDQIIAggCCAIIAggCCAIIAggCCAIIAggCCAIIAggCCAIIAggCIgIDAlECHgAC6wICAicCBAIFAgYCBwIIAgkCIQILAgwCDQIIAggCCAIIAggCCAIIAggCCAIIAggCCAIIAggCCAIIAggCIgIDAiwCHgAC6wICAkkCBAIFAgYCBwIIAgkCIQILAgwCDQIIAggCCAIIAggCCAIIAggCCAIIAggCCAIIAggCCAIIAggCIgIDAnYCHgAC6wICAlwCBAIFAgYCBwIIAgkCIQILAgwCDQIIAggCCAIIAggCCAIIAggCCAIIAggCCAIIAggCCAIIAggCIgIDAl0CHgAC6wICAmsCBAIFAgYCBwIIAgkCHAILAgwCDQIIAggCCAIIAggCCAIIAggCCAIIAggCCAIIAggCCAIIAggCIgIDAosCHgAC6wICAkACBAIFAgYCBwIIAgkCHAILAgwCDQIIAggCCAIIAggCCAIIAggCCAIIAggCCAIIAggCCAIIAggCIgIDAloCHgAC6wICAjcCBAIFAgYCBwIIAgkCCgILAgwCDQIIAggCCAIIAggCCAIIAggCCAIIAggCCAIIAggCCAIIAggCIgIDAowCHgAC6wICAjQCBAIFAgYCBwIIAgkCCgILAgwCDQIIAggCCAIIAggCCAIIAggCCAIIAggCCAIIAggCCAIIAggCIgIDAnUCHgAC6wICAjcCBAIFAgYCBwIIAgkCIQILAgwCDQIIAggCCAIIAggCCAIIAggCCAIIAggCCAIIAggCCAIIAggCegAABAAiAgMCOAIeAALrAgICSQIEAgUCBgIHAggCCQIKAgsCDAINAggCCAIIAggCCAIIAggCCAIIAggCCAIIAggCCAIIAggCCAIiAgMCWQIeAALrAgICVgIEAgUCBgIHAggCCQIcAgsCDAINAggCCAIIAggCCAIIAggCCAIIAggCCAIIAggCCAIIAggCCAIiAgMCVwIeAALrAgICAwIEAgUCBgIHAggCCQIcAgsCDAINAggCCAIIAggCCAIIAggCCAIIAggCCAIIAggCCAIIAggCCAIiAgMCLwIeAALrAgICYgIEAgUCBgIHAggCCQIcAgsCDAINAggCCAIIAggCCAIIAggCCAIIAggCCAIIAggCCAIIAggCCAIiAgMCcwIeAALrAgICOwIEAgUCBgIHAggCCQIhAgsCDAINAggCCAIIAggCCAIIAggCCAIIAggCCAIIAggCCAIIAggCCAIiAgMCXgIeAALrAgICQwIEAgUCBgIHAggCCQIhAgsCDAINAggCCAIIAggCCAIIAggCCAIIAggCCAIIAggCCAIIAggCCAIiAgMCcQIeAALrAgICKQIEAgUCBgIHAggCCQIcAgsCDAINAggCCAIIAggCCAIIAggCCAIIAggCCAIIAggCCAIIAggCCAIiAgMCYQIeAALrAgICTgIEAgUCBgIHAggCCQIcAgsCDAINAggCCAIIAggCCAIIAggCCAIIAggCCAIIAggCCAIIAggCCAIiAgMCjwIeAALrAgICMAIEAgUCBgIHAggCCQIKAgsCDAINAggCCAIIAggCCAIIAggCCAIIAggCCAIIAggCCAIIAggCCAIiAgMCkQIeAALrAgICfAIEAgUCBgIHAggCCQIhAgsCDAINAggCCAIIAggCCAIIAggCCAIIAggCCAIIAggCCAIIAggCCAIiAgMCigIeAALrAgICIAIEAgUCBgIHAggCCQIKAgsCDAINAggCCAIIAggCCAIIAggCCAIIAggCCAIIAggCCAIIAggCCAIiAgMCTQIeAALrAgICQAIEAgUCBgIHAggCCQIKAgsCDAINAggCCAIIAggCCAIIAggCCAIIAggCCAIIAggCCAIIAggCCAIiAgMCSwIeAALrAgICawIEAgUCBgIHAggCCQIKAgsCDAINAggCCAIIAggCCAIIAggCCAIIAggCCAIIAggCCAIIAggCCAIiAgMCbAIeAALrAgICIwIEAgUCBgIHAggCCQIcAgsCDAINAggCCAIIAggCCAIIAggCCAIIAggCCAIIAggCCAIIAggCCAIiAgMCJAIeAALsAAk3OTU3NjE5NTICAgLtAAYyMDEzMTICBAIFAgYCBwIIAgkCIQILAgwCDQIIAggCdyMIAggCCAIIAggCCAIIAggCCAIIAggCCAIIAggCCAIqAgMC7nNxAH4AAAAAAAJzcQB+AAT///////////////7////+/////3VxAH4ABwAAAAMU5eR4eHoAAAQAAh4AAu8ACTUyODY3NzI4OAICAlACBAIFAgYCBwIIAgkCHAILAgwCDQIIAggCCAIIAggCCAIIAggCCAIIAggCCAIIAggCCAIIAggCFAIDAmgCHgAC7wICAmsCBAIFAgYCBwIIAgkCCgILAgwCDQIIAggCCAIIAggCCAIIAggCCAIIAggCCAIIAggCCAIIAggCFAIDAmwCHgAC7wICAmoCBAIFAgYCBwIIAgkCIQILAgwCDQIIAggCCAIIAggCCAIIAggCCAIIAggCCAIIAggCCAIIAggCFAIDAiwCHgAC7wICAj4CBAIFAgYCBwIIAgkCHAILAgwCDQIIAggCCAIIAggCCAIIAggCCAIIAggCCAIIAggCCAIIAggCFAIDAm4CHgAC7wICAlwCBAIFAgYCBwIIAgkCHAILAgwCDQIIAggCCAIIAggCCAIIAggCCAIIAggCCAIIAggCCAIIAggCFAIDAmkCHgAC7wICAmYCBAIFAgYCBwIIAgkCCgILAgwCDQIIAggCCAIIAggCCAIIAggCCAIIAggCCAIIAggCCAIIAggCFAIDAmcCHgAC7wICAlYCBAIFAgYCBwIIAgkCIQILAgwCDQIIAggCCAIIAggCCAIIAggCCAIIAggCCAIIAggCCAIIAggCFAIDAmQCHgAC7wICAjQCBAIFAgYCBwIIAgkCHAILAgwCDQIIAggCCAIIAggCCAIIAggCCAIIAggCCAIIAggCCAIIAggCFAIDApICHgAC7wICAj4CBAIFAgYCBwIIAgkCCgILAgwCDQIIAggCCAIIAggCCAIIAggCCAIIAggCCAIIAggCCAIIAggCFAIDAmACHgAC7wICAkICBAIFAgYCBwIIAgkCCgILAgwCDQIIAggCCAIIAggCCAIIAggCCAIIAggCCAIIAggCCAIIAggCFAIDAmUCHgAC7wICAnwCBAIFAgYCBwIIAgkCHAILAgwCDQIIAggCCAIIAggCCAIIAggCCAIIAggCCAIIAggCCAIIAggCFAIDAn0CHgAC7wICAmICBAIFAgYCBwIIAgkCCgILAgwCDQIIAggCCAIIAggCCAIIAggCCAIIAggCCAIIAggCCAIIAggCFAIDAmMCHgAC7wICAisCBAIFAgYCBwIIAgkCHAILAgwCDQIIAggCCAIIAggCCAIIAggCCAIIAggCCAIIAggCCAIIAggCFAIDAn4CHgAC7wICAiACBAIFAgYCBwIIAgkCHAILAgwCDQIIAggCCAIIAggCCAIIAggCCAIIAggCCAIIAggCCAIIAggCFAIDAlsCHgAC7wICAmsCBAIFAgYCBwIIAgkCHAILAgwCDQIIAggCCAIIAggCCAIIAggCCHoAAAQAAggCCAIIAggCCAIIAggCCAIUAgMCiwIeAALvAgICHgIEAgUCBgIHAggCCQIhAgsCDAINAggCCAIIAggCCAIIAggCCAIIAggCCAIIAggCCAIIAggCCAIUAgMCLAIeAALvAgICTgIEAgUCBgIHAggCCQIcAgsCDAINAggCCAIIAggCCAIIAggCCAIIAggCCAIIAggCCAIIAggCCAIUAgMCjwIeAALvAgICUAIEAgUCBgIHAggCCQIKAgsCDAINAggCCAIIAggCCAIIAggCCAIIAggCCAIIAggCCAIIAggCCAIUAgMCbQIeAALvAgICUgIEAgUCBgIHAggCCQIKAgsCDAINAggCCAIIAggCCAIIAggCCAIIAggCCAIIAggCCAIIAggCCAIUAgMCXwIeAALvAgICAwIEAgUCBgIHAggCCQIhAgsCDAINAggCCAIIAggCCAIIAggCCAIIAggCCAIIAggCCAIIAggCCAIUAgMCSAIeAALvAgICVAIEAgUCBgIHAggCCQIhAgsCDAINAggCCAIIAggCCAIIAggCCAIIAggCCAIIAggCCAIIAggCCAIUAgMCkAIeAALvAgICSQIEAgUCBgIHAggCCQIKAgsCDAINAggCCAIIAggCCAIIAggCCAIIAggCCAIIAggCCAIIAggCCAIUAgMCWQIeAALvAgICKwIEAgUCBgIHAggCCQIKAgsCDAINAggCCAIIAggCCAIIAggCCAIIAggCCAIIAggCCAIIAggCCAIUAgMCiAIeAALvAgICfAIEAgUCBgIHAggCCQIKAgsCDAINAggCCAIIAggCCAIIAggCCAIIAggCCAIIAggCCAIIAggCCAIUAgMChQIeAALvAgICQAIEAgUCBgIHAggCCQIcAgsCDAINAggCCAIIAggCCAIIAggCCAIIAggCCAIIAggCCAIIAggCCAIUAgMCWgIeAALvAgICGwIEAgUCBgIHAggCCQIhAgsCDAINAggCCAIIAggCCAIIAggCCAIIAggCCAIIAggCCAIIAggCCAIUAgMCLAIeAALvAgICIwIEAgUCBgIHAggCCQIhAgsCDAINAggCCAIIAggCCAIIAggCCAIIAggCCAIIAggCCAIIAggCCAIUAgMChwIeAALvAgICQgIEAgUCBgIHAggCCQIcAgsCDAINAggCCAIIAggCCAIIAggCCAIIAggCCAIIAggCCAIIAggCCAIUAgMCbwIeAALvAgICOwIEAgUCBgIHAggCCQIcAgsCDAINAggCCAIIAggCCAIIAggCCAIIAggCCAIIAggCCAIIAggCCAIUAgMChgIeAALvAgICagIEAgUCBgIHAggCCQIKAgsCDAINAggCCAIIAnoAAAQACAIIAggCCAIIAggCCAIIAggCCAIIAggCCAIIAhQCAwKCAh4AAu8CAgJMAgQCBQIGAgcCCAIJAiECCwIMAg0CCAIIAggCCAIIAggCCAIIAggCCAIIAggCCAIIAggCCAIIAhQCAwIsAh4AAu8CAgJOAgQCBQIGAgcCCAIJAiECCwIMAg0CCAIIAggCCAIIAggCCAIIAggCCAIIAggCCAIIAggCCAIIAhQCAwJPAh4AAu8CAgJSAgQCBQIGAgcCCAIJAhwCCwIMAg0CCAIIAggCCAIIAggCCAIIAggCCAIIAggCCAIIAggCCAIIAhQCAwJTAh4AAu8CAgJJAgQCBQIGAgcCCAIJAhwCCwIMAg0CCAIIAggCCAIIAggCCAIIAggCCAIIAggCCAIIAggCCAIIAhQCAwJKAh4AAu8CAgJiAgQCBQIGAgcCCAIJAiECCwIMAg0CCAIIAggCCAIIAggCCAIIAggCCAIIAggCCAIIAggCCAIIAhQCAwIsAh4AAu8CAgJmAgQCBQIGAgcCCAIJAiECCwIMAg0CCAIIAggCCAIIAggCCAIIAggCCAIIAggCCAIIAggCCAIIAhQCAwKAAh4AAu8CAgJGAgQCBQIGAgcCCAIJAgoCCwIMAg0CCAIIAggCCAIIAggCCAIIAggCCAIIAggCCAIIAggCCAIIAhQCAwJHAh4AAu8CAgJMAgQCBQIGAgcCCAIJAhwCCwIMAg0CCAIIAggCCAIIAggCCAIIAggCCAIIAggCCAIIAggCCAIIAhQCAwKOAh4AAu8CAgI7AgQCBQIGAgcCCAIJAgoCCwIMAg0CCAIIAggCCAIIAggCCAIIAggCCAIIAggCCAIIAggCCAIIAhQCAwI8Ah4AAu8CAgJrAgQCBQIGAgcCCAIJAiECCwIMAg0CCAIIAggCCAIIAggCCAIIAggCCAIIAggCCAIIAggCCAIIAhQCAwJ7Ah4AAu8CAgInAgQCBQIGAgcCCAIJAiECCwIMAg0CCAIIAggCCAIIAggCCAIIAggCCAIIAggCCAIIAggCCAIIAhQCAwIsAh4AAu8CAgIwAgQCBQIGAgcCCAIJAiECCwIMAg0CCAIIAggCCAIIAggCCAIIAggCCAIIAggCCAIIAggCCAIIAhQCAwJ5Ah4AAu8CAgItAgQCBQIGAgcCCAIJAhwCCwIMAg0CCAIIAggCCAIIAggCCAIIAggCCAIIAggCCAIIAggCCAIIAhQCAwIzAh4AAu8CAgJcAgQCBQIGAgcCCAIJAgoCCwIMAg0CCAIIAggCCAIIAggCCAIIAggCCAIIAggCCAIIAggCCAIIAhQCAwJ6Ah4AAu8CAgIlAgQCBQIGAgcCCAIJAhwCC3oAAAQAAgwCDQIIAggCCAIIAggCCAIIAggCCAIIAggCCAIIAggCCAIIAggCFAIDAjICHgAC7wICAisCBAIFAgYCBwIIAgkCIQILAgwCDQIIAggCCAIIAggCCAIIAggCCAIIAggCCAIIAggCCAIIAggCFAIDAiwCHgAC7wICAgMCBAIFAgYCBwIIAgkCHAILAgwCDQIIAggCCAIIAggCCAIIAggCCAIIAggCCAIIAggCCAIIAggCFAIDAi8CHgAC7wICAjkCBAIFAgYCBwIIAgkCIQILAgwCDQIIAggCCAIIAggCCAIIAggCCAIIAggCCAIIAggCCAIIAggCFAIDAiwCHgAC7wICAjQCBAIFAgYCBwIIAgkCCgILAgwCDQIIAggCCAIIAggCCAIIAggCCAIIAggCCAIIAggCCAIIAggCFAIDAnUCHgAC7wICAkwCBAIFAgYCBwIIAgkCCgILAgwCDQIIAggCCAIIAggCCAIIAggCCAIIAggCCAIIAggCCAIIAggCFAIDAnACHgAC7wICAk4CBAIFAgYCBwIIAgkCCgILAgwCDQIIAggCCAIIAggCCAIIAggCCAIIAggCCAIIAggCCAIIAggCFAIDAnICHgAC7wICAjcCBAIFAgYCBwIIAgkCIQILAgwCDQIIAggCCAIIAggCCAIIAggCCAIIAggCCAIIAggCCAIIAggCFAIDAjgCHgAC7wICAkYCBAIFAgYCBwIIAgkCHAILAgwCDQIIAggCCAIIAggCCAIIAggCCAIIAggCCAIIAggCCAIIAggCFAIDAoQCHgAC7wICAicCBAIFAgYCBwIIAgkCHAILAgwCDQIIAggCCAIIAggCCAIIAggCCAIIAggCCAIIAggCCAIIAggCFAIDAigCHgAC7wICAiACBAIFAgYCBwIIAgkCIQILAgwCDQIIAggCCAIIAggCCAIIAggCCAIIAggCCAIIAggCCAIIAggCFAIDAiICHgAC7wICAncCBAIFAgYCBwIIAgkCIQILAgwCDQIIAggCCAIIAggCCAIIAggCCAIIAggCCAIIAggCCAIIAggCFAIDAiwCHgAC7wICAiUCBAIFAgYCBwIIAgkCCgILAgwCDQIIAggCCAIIAggCCAIIAggCCAIIAggCCAIIAggCCAIIAggCFAIDAiYCHgAC7wICAi0CBAIFAgYCBwIIAgkCCgILAgwCDQIIAggCCAIIAggCCAIIAggCCAIIAggCCAIIAggCCAIIAggCFAIDAi4CHgAC7wICAnwCBAIFAgYCBwIIAgkCIQILAgwCDQIIAggCCAIIAggCCAIIAggCCAIIAggCCAIIAggCCAIIAggCFAIDAooCHgAC7wICAh4CBAIFAnoAAAQABgIHAggCCQIcAgsCDAINAggCCAIIAggCCAIIAggCCAIIAggCCAIIAggCCAIIAggCCAIUAgMCHwIeAALvAgICRgIEAgUCBgIHAggCCQIhAgsCDAINAggCCAIIAggCCAIIAggCCAIIAggCCAIIAggCCAIIAggCCAIUAgMCLAIeAALvAgICAwIEAgUCBgIHAggCCQIKAgsCDAINAggCCAIIAggCCAIIAggCCAIIAggCCAIIAggCCAIIAggCCAIUAgMCDgIeAALvAgICIwIEAgUCBgIHAggCCQIcAgsCDAINAggCCAIIAggCCAIIAggCCAIIAggCCAIIAggCCAIIAggCCAIUAgMCJAIeAALvAgICQwIEAgUCBgIHAggCCQIcAgsCDAINAggCCAIIAggCCAIIAggCCAIIAggCCAIIAggCCAIIAggCCAIUAgMCRAIeAALvAgICGwIEAgUCBgIHAggCCQIcAgsCDAINAggCCAIIAggCCAIIAggCCAIIAggCCAIIAggCCAIIAggCCAIUAgMCHQIeAALvAgICQAIEAgUCBgIHAggCCQIhAgsCDAINAggCCAIIAggCCAIIAggCCAIIAggCCAIIAggCCAIIAggCCAIUAgMCQQIeAALvAgICMAIEAgUCBgIHAggCCQIKAgsCDAINAggCCAIIAggCCAIIAggCCAIIAggCCAIIAggCCAIIAggCCAIUAgMCkQIeAALvAgICOwIEAgUCBgIHAggCCQIhAgsCDAINAggCCAIIAggCCAIIAggCCAIIAggCCAIIAggCCAIIAggCCAIUAgMCXgIeAALvAgICKQIEAgUCBgIHAggCCQIcAgsCDAINAggCCAIIAggCCAIIAggCCAIIAggCCAIIAggCCAIIAggCCAIUAgMCYQIeAALvAgICOQIEAgUCBgIHAggCCQIKAgsCDAINAggCCAIIAggCCAIIAggCCAIIAggCCAIIAggCCAIIAggCCAIUAgMCNgIeAALvAgICNwIEAgUCBgIHAggCCQIKAgsCDAINAggCCAIIAggCCAIIAggCCAIIAggCCAIIAggCCAIIAggCCAIUAgMCjAIeAALvAgICJwIEAgUCBgIHAggCCQIKAgsCDAINAggCCAIIAggCCAIIAggCCAIIAggCCAIIAggCCAIIAggCCAIUAgMCjQIeAALvAgICagIEAgUCBgIHAggCCQIcAgsCDAINAggCCAIIAggCCAIIAggCCAIIAggCCAIIAggCCAIIAggCCAIUAgMCiQIeAALvAgICNAIEAgUCBgIHAggCCQIhAgsCDAINAggCCAIIAggCCAIIAggCCAIIAggCCAIIAggCCAIIAggCCAIUAgMCNQIeAHoAAAQAAu8CAgJcAgQCBQIGAgcCCAIJAiECCwIMAg0CCAIIAggCCAIIAggCCAIIAggCCAIIAggCCAIIAggCCAIIAhQCAwJdAh4AAu8CAgIwAgQCBQIGAgcCCAIJAhwCCwIMAg0CCAIIAggCCAIIAggCCAIIAggCCAIIAggCCAIIAggCCAIIAhQCAwIxAh4AAu8CAgJDAgQCBQIGAgcCCAIJAgoCCwIMAg0CCAIIAggCCAIIAggCCAIIAggCCAIIAggCCAIIAggCCAIIAhQCAwJYAh4AAu8CAgIpAgQCBQIGAgcCCAIJAiECCwIMAg0CCAIIAggCCAIIAggCCAIIAggCCAIIAggCCAIIAggCCAIIAhQCAwKDAh4AAu8CAgJUAgQCBQIGAgcCCAIJAhwCCwIMAg0CCAIIAggCCAIIAggCCAIIAggCCAIIAggCCAIIAggCCAIIAhQCAwJVAh4AAu8CAgJ3AgQCBQIGAgcCCAIJAgoCCwIMAg0CCAIIAggCCAIIAggCCAIIAggCCAIIAggCCAIIAggCCAIIAhQCAwI2Ah4AAu8CAgIgAgQCBQIGAgcCCAIJAgoCCwIMAg0CCAIIAggCCAIIAggCCAIIAggCCAIIAggCCAIIAggCCAIIAhQCAwJNAh4AAu8CAgI5AgQCBQIGAgcCCAIJAhwCCwIMAg0CCAIIAggCCAIIAggCCAIIAggCCAIIAggCCAIIAggCCAIIAhQCAwIdAh4AAu8CAgI3AgQCBQIGAgcCCAIJAhwCCwIMAg0CCAIIAggCCAIIAggCCAIIAggCCAIIAggCCAIIAggCCAIIAhQCAwKBAh4AAu8CAgJAAgQCBQIGAgcCCAIJAgoCCwIMAg0CCAIIAggCCAIIAggCCAIIAggCCAIIAggCCAIIAggCCAIIAhQCAwJLAh4AAu8CAgItAgQCBQIGAgcCCAIJAiECCwIMAg0CCAIIAggCCAIIAggCCAIIAggCCAIIAggCCAIIAggCCAIIAhQCAwIsAh4AAu8CAgJCAgQCBQIGAgcCCAIJAiECCwIMAg0CCAIIAggCCAIIAggCCAIIAggCCAIIAggCCAIIAggCCAIIAhQCAwIsAh4AAu8CAgJUAgQCBQIGAgcCCAIJAgoCCwIMAg0CCAIIAggCCAIIAggCCAIIAggCCAIIAggCCAIIAggCCAIIAhQCAwJ4Ah4AAu8CAgIlAgQCBQIGAgcCCAIJAiECCwIMAg0CCAIIAggCCAIIAggCCAIIAggCCAIIAggCCAIIAggCCAIIAhQCAwJFAh4AAu8CAgJWAgQCBQIGAgcCCAIJAgoCCwIMAg0CCAIIAggCCAIIAggCCAIIAggCCAIIAggCCAIIAggCCHoAAAQAAggCFAIDAn8CHgAC7wICAiMCBAIFAgYCBwIIAgkCCgILAgwCDQIIAggCCAIIAggCCAIIAggCCAIIAggCCAIIAggCCAIIAggCFAIDAjoCHgAC7wICAh4CBAIFAgYCBwIIAgkCCgILAgwCDQIIAggCCAIIAggCCAIIAggCCAIIAggCCAIIAggCCAIIAggCFAIDAj0CHgAC7wICAlICBAIFAgYCBwIIAgkCIQILAgwCDQIIAggCCAIIAggCCAIIAggCCAIIAggCCAIIAggCCAIIAggCFAIDAiwCHgAC7wICAncCBAIFAgYCBwIIAgkCHAILAgwCDQIIAggCCAIIAggCCAIIAggCCAIIAggCCAIIAggCCAIIAggCFAIDAh0CHgAC7wICAj4CBAIFAgYCBwIIAgkCIQILAgwCDQIIAggCCAIIAggCCAIIAggCCAIIAggCCAIIAggCCAIIAggCFAIDAj8CHgAC7wICAkkCBAIFAgYCBwIIAgkCIQILAgwCDQIIAggCCAIIAggCCAIIAggCCAIIAggCCAIIAggCCAIIAggCFAIDAnYCHgAC7wICAlYCBAIFAgYCBwIIAgkCHAILAgwCDQIIAggCCAIIAggCCAIIAggCCAIIAggCCAIIAggCCAIIAggCFAIDAlcCHgAC7wICAkMCBAIFAgYCBwIIAgkCIQILAgwCDQIIAggCCAIIAggCCAIIAggCCAIIAggCCAIIAggCCAIIAggCFAIDAnECHgAC7wICAmYCBAIFAgYCBwIIAgkCHAILAgwCDQIIAggCCAIIAggCCAIIAggCCAIIAggCCAIIAggCCAIIAggCFAIDAnQCHgAC7wICAmICBAIFAgYCBwIIAgkCHAILAgwCDQIIAggCCAIIAggCCAIIAggCCAIIAggCCAIIAggCCAIIAggCFAIDAnMCHgAC7wICAhsCBAIFAgYCBwIIAgkCCgILAgwCDQIIAggCCAIIAggCCAIIAggCCAIIAggCCAIIAggCCAIIAggCFAIDAjYCHgAC7wICAikCBAIFAgYCBwIIAgkCCgILAgwCDQIIAggCCAIIAggCCAIIAggCCAIIAggCCAIIAggCCAIIAggCFAIDAioCHgAC7wICAlACBAIFAgYCBwIIAgkCIQILAgwCDQIIAggCCAIIAggCCAIIAggCCAIIAggCCAIIAggCCAIIAggCFAIDAlECHgAC8AAJNTI2MDUzNTc2AgICPgIEAgUCBgIHAggCCQIcAgsCDAINAggCCAIIAggCCAIIAggCCAIIAggCCAIIAggCCAIIAggCCAIgAgMCbgIeAALwAgICMAIEAgUCBgIHAggCCQIcAgsCDAINAggCCAIIAggCCHoAAAQAAggCCAIIAggCCAIIAggCCAIIAggCCAIIAiACAwIxAh4AAvACAgIpAgQCBQIGAgcCCAIJAgoCCwIMAg0CCAIIAggCCAIIAggCCAIIAggCCAIIAggCCAIIAggCCAIIAiACAwIqAh4AAvACAgJrAgQCBQIGAgcCCAIJAgoCCwIMAg0CCAIIAggCCAIIAggCCAIIAggCCAIIAggCCAIIAggCCAIIAiACAwJsAh4AAvACAgJOAgQCBQIGAgcCCAIJAgoCCwIMAg0CCAIIAggCCAIIAggCCAIIAggCCAIIAggCCAIIAggCCAIIAiACAwJyAh4AAvACAgInAgQCBQIGAgcCCAIJAhwCCwIMAg0CCAIIAggCCAIIAggCCAIIAggCCAIIAggCCAIIAggCCAIIAiACAwIoAh4AAvACAgIjAgQCBQIGAgcCCAIJAhwCCwIMAg0CCAIIAggCCAIIAggCCAIIAggCCAIIAggCCAIIAggCCAIIAiACAwIkAh4AAvACAgJQAgQCBQIGAgcCCAIJAhwCCwIMAg0CCAIIAggCCAIIAggCCAIIAggCCAIIAggCCAIIAggCCAIIAiACAwJoAh4AAvACAgIgAgQCBQIGAgcCCAIJAiECCwIMAg0CCAIIAggCCAIIAggCCAIIAggCCAIIAggCCAIIAggCCAIIAiACAwIiAh4AAvACAgIlAgQCBQIGAgcCCAIJAhwCCwIMAg0CCAIIAggCCAIIAggCCAIIAggCCAIIAggCCAIIAggCCAIIAiACAwIyAh4AAvACAgIDAgQCBQIGAgcCCAIJAgoCCwIMAg0CCAIIAggCCAIIAggCCAIIAggCCAIIAggCCAIIAggCCAIIAiACAwIOAh4AAvACAgI3AgQCBQIGAgcCCAIJAgoCCwIMAg0CCAIIAggCCAIIAggCCAIIAggCCAIIAggCCAIIAggCCAIIAiACAwKMAh4AAvACAgJiAgQCBQIGAgcCCAIJAgoCCwIMAg0CCAIIAggCCAIIAggCCAIIAggCCAIIAggCCAIIAggCCAIIAiACAwJjAh4AAvACAgJmAgQCBQIGAgcCCAIJAhwCCwIMAg0CCAIIAggCCAIIAggCCAIIAggCCAIIAggCCAIIAggCCAIIAiACAwJ0Ah4AAvACAgJJAgQCBQIGAgcCCAIJAgoCCwIMAg0CCAIIAggCCAIIAggCCAIIAggCCAIIAggCCAIIAggCCAIIAiACAwJZAh4AAvACAgI0AgQCBQIGAgcCCAIJAhwCCwIMAg0CCAIIAggCCAIIAggCCAIIAggCCAIIAggCCAIIAggCCAIIAiACAwKSAh4AAvACAgI+AgQCBQIGAgcCCAIJAgoCCwIMAnoAAAQADQIIAggCCAIIAggCCAIIAggCCAIIAggCCAIIAggCCAIIAggCIAIDAmACHgAC8AICAkYCBAIFAgYCBwIIAgkCIQILAgwCDQIIAggCCAIIAggCCAIIAggCCAIIAggCCAIIAggCCAIIAggCIAIDAiwCHgAC8AICAnwCBAIFAgYCBwIIAgkCHAILAgwCDQIIAggCCAIIAggCCAIIAggCCAIIAggCCAIIAggCCAIIAggCIAIDAn0CHgAC8AICAk4CBAIFAgYCBwIIAgkCHAILAgwCDQIIAggCCAIIAggCCAIIAggCCAIIAggCCAIIAggCCAIIAggCIAIDAo8CHgAC8AICAlYCBAIFAgYCBwIIAgkCIQILAgwCDQIIAggCCAIIAggCCAIIAggCCAIIAggCCAIIAggCCAIIAggCIAIDAmQCHgAC8AICAj4CBAIFAgYCBwIIAgkCIQILAgwCDQIIAggCCAIIAggCCAIIAggCCAIIAggCCAIIAggCCAIIAggCIAIDAj8CHgAC8AICAlICBAIFAgYCBwIIAgkCIQILAgwCDQIIAggCCAIIAggCCAIIAggCCAIIAggCCAIIAggCCAIIAggCIAIDAiwCHgAC8AICAlACBAIFAgYCBwIIAgkCIQILAgwCDQIIAggCCAIIAggCCAIIAggCCAIIAggCCAIIAggCCAIIAggCIAIDAlECHgAC8AICAikCBAIFAgYCBwIIAgkCHAILAgwCDQIIAggCCAIIAggCCAIIAggCCAIIAggCCAIIAggCCAIIAggCIAIDAmECHgAC8AICAjACBAIFAgYCBwIIAgkCCgILAgwCDQIIAggCCAIIAggCCAIIAggCCAIIAggCCAIIAggCCAIIAggCIAIDApECHgAC8AICAiMCBAIFAgYCBwIIAgkCCgILAgwCDQIIAggCCAIIAggCCAIIAggCCAIIAggCCAIIAggCCAIIAggCIAIDAjoCHgAC8AICAicCBAIFAgYCBwIIAgkCIQILAgwCDQIIAggCCAIIAggCCAIIAggCCAIIAggCCAIIAggCCAIIAggCIAIDAiwCHgAC8AICAjcCBAIFAgYCBwIIAgkCIQILAgwCDQIIAggCCAIIAggCCAIIAggCCAIIAggCCAIIAggCCAIIAggCIAIDAjgCHgAC8AICAkACBAIFAgYCBwIIAgkCCgILAgwCDQIIAggCCAIIAggCCAIIAggCCAIIAggCCAIIAggCCAIIAggCIAIDAksCHgAC8AICAjQCBAIFAgYCBwIIAgkCCgILAgwCDQIIAggCCAIIAggCCAIIAggCCAIIAggCCAIIAggCCAIIAggCIAIDAnUCHgAC8AICAlwCBAIFAgYCB3oAAAQAAggCCQIcAgsCDAINAggCCAIIAggCCAIIAggCCAIIAggCCAIIAggCCAIIAggCCAIgAgMCaQIeAALwAgICAwIEAgUCBgIHAggCCQIcAgsCDAINAggCCAIIAggCCAIIAggCCAIIAggCCAIIAggCCAIIAggCCAIgAgMCLwIeAALwAgICYgIEAgUCBgIHAggCCQIcAgsCDAINAggCCAIIAggCCAIIAggCCAIIAggCCAIIAggCCAIIAggCCAIgAgMCcwIeAALwAgICVAIEAgUCBgIHAggCCQIcAgsCDAINAggCCAIIAggCCAIIAggCCAIIAggCCAIIAggCCAIIAggCCAIgAgMCVQIeAALwAgICVgIEAgUCBgIHAggCCQIcAgsCDAINAggCCAIIAggCCAIIAggCCAIIAggCCAIIAggCCAIIAggCCAIgAgMCVwIeAALwAgICOwIEAgUCBgIHAggCCQIcAgsCDAINAggCCAIIAggCCAIIAggCCAIIAggCCAIIAggCCAIIAggCCAIgAgMChgIeAALwAgICfAIEAgUCBgIHAggCCQIhAgsCDAINAggCCAIIAggCCAIIAggCCAIIAggCCAIIAggCCAIIAggCCAIgAgMCigIeAALwAgICQwIEAgUCBgIHAggCCQIhAgsCDAINAggCCAIIAggCCAIIAggCCAIIAggCCAIIAggCCAIIAggCCAIgAgMCcQIeAALwAgICIAIEAgUCBgIHAggCCQIKAgsCDAINAggCCAIIAggCCAIIAggCCAIIAggCCAIIAggCCAIIAggCCAIgAgMCTQIeAALwAgICTgIEAgUCBgIHAggCCQIhAgsCDAINAggCCAIIAggCCAIIAggCCAIIAggCCAIIAggCCAIIAggCCAIgAgMCTwIeAALwAgICUgIEAgUCBgIHAggCCQIcAgsCDAINAggCCAIIAggCCAIIAggCCAIIAggCCAIIAggCCAIIAggCCAIgAgMCUwIeAALwAgICQAIEAgUCBgIHAggCCQIcAgsCDAINAggCCAIIAggCCAIIAggCCAIIAggCCAIIAggCCAIIAggCCAIgAgMCWgIeAALwAgICawIEAgUCBgIHAggCCQIhAgsCDAINAggCCAIIAggCCAIIAggCCAIIAggCCAIIAggCCAIIAggCCAIgAgMCewIeAALwAgICRgIEAgUCBgIHAggCCQIcAgsCDAINAggCCAIIAggCCAIIAggCCAIIAggCCAIIAggCCAIIAggCCAIgAgMChAIeAALwAgICSQIEAgUCBgIHAggCCQIhAgsCDAINAggCCAIIAggCCAIIAggCCAIIAggCCAIIAggCCAIIAggCCAIgAgMCdgIeAALwAnoAAAQAAgIlAgQCBQIGAgcCCAIJAiECCwIMAg0CCAIIAggCCAIIAggCCAIIAggCCAIIAggCCAIIAggCCAIIAiACAwJFAh4AAvACAgJWAgQCBQIGAgcCCAIJAgoCCwIMAg0CCAIIAggCCAIIAggCCAIIAggCCAIIAggCCAIIAggCCAIIAiACAwJ/Ah4AAvACAgJmAgQCBQIGAgcCCAIJAiECCwIMAg0CCAIIAggCCAIIAggCCAIIAggCCAIIAggCCAIIAggCCAIIAiACAwKAAh4AAvACAgJGAgQCBQIGAgcCCAIJAgoCCwIMAg0CCAIIAggCCAIIAggCCAIIAggCCAIIAggCCAIIAggCCAIIAiACAwJHAh4AAvACAgIDAgQCBQIGAgcCCAIJAiECCwIMAg0CCAIIAggCCAIIAggCCAIIAggCCAIIAggCCAIIAggCCAIIAiACAwJIAh4AAvACAgJcAgQCBQIGAgcCCAIJAgoCCwIMAg0CCAIIAggCCAIIAggCCAIIAggCCAIIAggCCAIIAggCCAIIAiACAwJ6Ah4AAvACAgJUAgQCBQIGAgcCCAIJAiECCwIMAg0CCAIIAggCCAIIAggCCAIIAggCCAIIAggCCAIIAggCCAIIAiACAwKQAh4AAvACAgI7AgQCBQIGAgcCCAIJAiECCwIMAg0CCAIIAggCCAIIAggCCAIIAggCCAIIAggCCAIIAggCCAIIAiACAwJeAh4AAvACAgIwAgQCBQIGAgcCCAIJAiECCwIMAg0CCAIIAggCCAIIAggCCAIIAggCCAIIAggCCAIIAggCCAIIAiACAwJ5Ah4AAvACAgJiAgQCBQIGAgcCCAIJAiECCwIMAg0CCAIIAggCCAIIAggCCAIIAggCCAIIAggCCAIIAggCCAIIAiACAwIsAh4AAvACAgJSAgQCBQIGAgcCCAIJAgoCCwIMAg0CCAIIAggCCAIIAggCCAIIAggCCAIIAggCCAIIAggCCAIIAiACAwJfAh4AAvACAgI7AgQCBQIGAgcCCAIJAgoCCwIMAg0CCAIIAggCCAIIAggCCAIIAggCCAIIAggCCAIIAggCCAIIAiACAwI8Ah4AAvACAgInAgQCBQIGAgcCCAIJAgoCCwIMAg0CCAIIAggCCAIIAggCCAIIAggCCAIIAggCCAIIAggCCAIIAiACAwKNAh4AAvACAgJQAgQCBQIGAgcCCAIJAgoCCwIMAg0CCAIIAggCCAIIAggCCAIIAggCCAIIAggCCAIIAggCCAIIAiACAwJtAh4AAvACAgJUAgQCBQIGAgcCCAIJAgoCCwIMAg0CCAIIAggCCAIIAggCCAIIAggCCAIIAggCCAIIAggCCAIIAnoAAAQAIAIDAngCHgAC8AICAkMCBAIFAgYCBwIIAgkCHAILAgwCDQIIAggCCAIIAggCCAIIAggCCAIIAggCCAIIAggCCAIIAggCIAIDAkQCHgAC8AICAkACBAIFAgYCBwIIAgkCIQILAgwCDQIIAggCCAIIAggCCAIIAggCCAIIAggCCAIIAggCCAIIAggCIAIDAkECHgAC8AICAiACBAIFAgYCBwIIAgkCHAILAgwCDQIIAggCCAIIAggCCAIIAggCCAIIAggCCAIIAggCCAIIAggCIAIDAlsCHgAC8AICAlwCBAIFAgYCBwIIAgkCIQILAgwCDQIIAggCCAIIAggCCAIIAggCCAIIAggCCAIIAggCCAIIAggCIAIDAl0CHgAC8AICAjcCBAIFAgYCBwIIAgkCHAILAgwCDQIIAggCCAIIAggCCAIIAggCCAIIAggCCAIIAggCCAIIAggCIAIDAoECHgAC8AICAmsCBAIFAgYCBwIIAgkCHAILAgwCDQIIAggCCAIIAggCCAIIAggCCAIIAggCCAIIAggCCAIIAggCIAIDAosCHgAC8AICAkMCBAIFAgYCBwIIAgkCCgILAgwCDQIIAggCCAIIAggCCAIIAggCCAIIAggCCAIIAggCCAIIAggCIAIDAlgCHgAC8AICAiMCBAIFAgYCBwIIAgkCIQILAgwCDQIIAggCCAIIAggCCAIIAggCCAIIAggCCAIIAggCCAIIAggCIAIDAocCHgAC8AICAiUCBAIFAgYCBwIIAgkCCgILAgwCDQIIAggCCAIIAggCCAIIAggCCAIIAggCCAIIAggCCAIIAggCIAIDAiYCHgAC8AICAnwCBAIFAgYCBwIIAgkCCgILAgwCDQIIAggCCAIIAggCCAIIAggCCAIIAggCCAIIAggCCAIIAggCIAIDAoUCHgAC8AICAkkCBAIFAgYCBwIIAgkCHAILAgwCDQIIAggCCAIIAggCCAIIAggCCAIIAggCCAIIAggCCAIIAggCIAIDAkoCHgAC8AICAmYCBAIFAgYCBwIIAgkCCgILAgwCDQIIAggCCAIIAggCCAIIAggCCAIIAggCCAIIAggCCAIIAggCIAIDAmcCHgAC8AICAikCBAIFAgYCBwIIAgkCIQILAgwCDQIIAggCCAIIAggCCAIIAggCCAIIAggCCAIIAggCCAIIAggCIAIDAoMCHgAC8AICAjQCBAIFAgYCBwIIAgkCIQILAgwCDQIIAggCCAIIAggCCAIIAggCCAIIAggCCAIIAggCCAIIAggCIAIDAjUCHgAC8QAJNTI2MDUxMjU2AgICZgIEAgUCBgIHAggCCQIcAgsCDAINAggCCAIIAggCCAIIAnoAAAQACAIIAggCCAIIAggCCAIIAggCCAIIAh4CAwJ0Ah4AAvECAgJJAgQCBQIGAgcCCAIJAgoCCwIMAg0CCAIIAggCCAIIAggCCAIIAggCCAIIAggCCAIIAggCCAIIAh4CAwJZAh4AAvECAgIlAgQCBQIGAgcCCAIJAhwCCwIMAg0CCAIIAggCCAIIAggCCAIIAggCCAIIAggCCAIIAggCCAIIAh4CAwIyAh4AAvECAgI3AgQCBQIGAgcCCAIJAgoCCwIMAg0CCAIIAggCCAIIAggCCAIIAggCCAIIAggCCAIIAggCCAIIAh4CAwKMAh4AAvECAgJiAgQCBQIGAgcCCAIJAhwCCwIMAg0CCAIIAggCCAIIAggCCAIIAggCCAIIAggCCAIIAggCCAIIAh4CAwJzAh4AAvECAgJDAgQCBQIGAgcCCAIJAiECCwIMAg0CCAIIAggCCAIIAggCCAIIAggCCAIIAggCCAIIAggCCAIIAh4CAwJxAh4AAvECAgJ8AgQCBQIGAgcCCAIJAiECCwIMAg0CCAIIAggCCAIIAggCCAIIAggCCAIIAggCCAIIAggCCAIIAh4CAwKKAh4AAvECAgIDAgQCBQIGAgcCCAIJAhwCCwIMAg0CCAIIAggCCAIIAggCCAIIAggCCAIIAggCCAIIAggCCAIIAh4CAwIvAh4AAvECAgI0AgQCBQIGAgcCCAIJAiECCwIMAg0CCAIIAggCCAIIAggCCAIIAggCCAIIAggCCAIIAggCCAIIAh4CAwI1Ah4AAvECAgI7AgQCBQIGAgcCCAIJAgoCCwIMAg0CCAIIAggCCAIIAggCCAIIAggCCAIIAggCCAIIAggCCAIIAh4CAwI8Ah4AAvECAgJUAgQCBQIGAgcCCAIJAgoCCwIMAg0CCAIIAggCCAIIAggCCAIIAggCCAIIAggCCAIIAggCCAIIAh4CAwJ4Ah4AAvECAgJOAgQCBQIGAgcCCAIJAhwCCwIMAg0CCAIIAggCCAIIAggCCAIIAggCCAIIAggCCAIIAggCCAIIAh4CAwKPAh4AAvECAgJqAgQCBQIGAgcCCAIJAiECCwIMAg0CCAIIAggCCAIIAggCCAIIAggCCAIIAggCCAIIAggCCAIIAh4CAwIsAh4AAvECAgIpAgQCBQIGAgcCCAIJAhwCCwIMAg0CCAIIAggCCAIIAggCCAIIAggCCAIIAggCCAIIAggCCAIIAh4CAwJhAh4AAvECAgJrAgQCBQIGAgcCCAIJAgoCCwIMAg0CCAIIAggCCAIIAggCCAIIAggCCAIIAggCCAIIAggCCAIIAh4CAwJsAh4AAvECAgInAgQCBQIGAgcCCAIJAhwCCwIMAg0CCHoAAAQAAggCCAIIAggCCAIIAggCCAIIAggCCAIIAggCCAIIAggCHgIDAigCHgAC8QICAiACBAIFAgYCBwIIAgkCIQILAgwCDQIIAggCCAIIAggCCAIIAggCCAIIAggCCAIIAggCCAIIAggCHgIDAiICHgAC8QICAjcCBAIFAgYCBwIIAgkCHAILAgwCDQIIAggCCAIIAggCCAIIAggCCAIIAggCCAIIAggCCAIIAggCHgIDAoECHgAC8QICAlACBAIFAgYCBwIIAgkCHAILAgwCDQIIAggCCAIIAggCCAIIAggCCAIIAggCCAIIAggCCAIIAggCHgIDAmgCHgAC8QICAiUCBAIFAgYCBwIIAgkCIQILAgwCDQIIAggCCAIIAggCCAIIAggCCAIIAggCCAIIAggCCAIIAggCHgIDAkUCHgAC8QICAkYCBAIFAgYCBwIIAgkCCgILAgwCDQIIAggCCAIIAggCCAIIAggCCAIIAggCCAIIAggCCAIIAggCHgIDAkcCHgAC8QICAkYCBAIFAgYCBwIIAgkCIQILAgwCDQIIAggCCAIIAggCCAIIAggCCAIIAggCCAIIAggCCAIIAggCHgIDAiwCHgAC8QICAkkCBAIFAgYCBwIIAgkCHAILAgwCDQIIAggCCAIIAggCCAIIAggCCAIIAggCCAIIAggCCAIIAggCHgIDAkoCHgAC8QICAiUCBAIFAgYCBwIIAgkCCgILAgwCDQIIAggCCAIIAggCCAIIAggCCAIIAggCCAIIAggCCAIIAggCHgIDAiYCHgAC8QICAjQCBAIFAgYCBwIIAgkCHAILAgwCDQIIAggCCAIIAggCCAIIAggCCAIIAggCCAIIAggCCAIIAggCHgIDApICHgAC8QICAgMCBAIFAgYCBwIIAgkCIQILAgwCDQIIAggCCAIIAggCCAIIAggCCAIIAggCCAIIAggCCAIIAggCHgIDAkgCHgAC8QICAmYCBAIFAgYCBwIIAgkCCgILAgwCDQIIAggCCAIIAggCCAIIAggCCAIIAggCCAIIAggCCAIIAggCHgIDAmcCHgAC8QICAlICBAIFAgYCBwIIAgkCHAILAgwCDQIIAggCCAIIAggCCAIIAggCCAIIAggCCAIIAggCCAIIAggCHgIDAlMCHgAC8QICAlYCBAIFAgYCBwIIAgkCIQILAgwCDQIIAggCCAIIAggCCAIIAggCCAIIAggCCAIIAggCCAIIAggCHgIDAmQCHgAC8QICAlICBAIFAgYCBwIIAgkCCgILAgwCDQIIAggCCAIIAggCCAIIAggCCAIIAggCCAIIAggCCAIIAggCHgIDAl8CHgAC8QICAmICBAIFAgYCBwIIAnoAAAQACQIhAgsCDAINAggCCAIIAggCCAIIAggCCAIIAggCCAIIAggCCAIIAggCCAIeAgMCLAIeAALxAgICKQIEAgUCBgIHAggCCQIhAgsCDAINAggCCAIIAggCCAIIAggCCAIIAggCCAIIAggCCAIIAggCCAIeAgMCgwIeAALxAgICJwIEAgUCBgIHAggCCQIKAgsCDAINAggCCAIIAggCCAIIAggCCAIIAggCCAIIAggCCAIIAggCCAIeAgMCjQIeAALxAgICPgIEAgUCBgIHAggCCQIcAgsCDAINAggCCAIIAggCCAIIAggCCAIIAggCCAIIAggCCAIIAggCCAIeAgMCbgIeAALxAgICMAIEAgUCBgIHAggCCQIcAgsCDAINAggCCAIIAggCCAIIAggCCAIIAggCCAIIAggCCAIIAggCCAIeAgMCMQIeAALxAgICUAIEAgUCBgIHAggCCQIKAgsCDAINAggCCAIIAggCCAIIAggCCAIIAggCCAIIAggCCAIIAggCCAIeAgMCbQIeAALxAgICQAIEAgUCBgIHAggCCQIcAgsCDAINAggCCAIIAggCCAIIAggCCAIIAggCCAIIAggCCAIIAggCCAIeAgMCWgIeAALxAgICawIEAgUCBgIHAggCCQIcAgsCDAINAggCCAIIAggCCAIIAggCCAIIAggCCAIIAggCCAIIAggCCAIeAgMCiwIeAALxAgICQwIEAgUCBgIHAggCCQIKAgsCDAINAggCCAIIAggCCAIIAggCCAIIAggCCAIIAggCCAIIAggCCAIeAgMCWAIeAALxAgICIwIEAgUCBgIHAggCCQIhAgsCDAINAggCCAIIAggCCAIIAggCCAIIAggCCAIIAggCCAIIAggCCAIeAgMChwIeAALxAgICXAIEAgUCBgIHAggCCQIhAgsCDAINAggCCAIIAggCCAIIAggCCAIIAggCCAIIAggCCAIIAggCCAIeAgMCXQIeAALxAgICfAIEAgUCBgIHAggCCQIKAgsCDAINAggCCAIIAggCCAIIAggCCAIIAggCCAIIAggCCAIIAggCCAIeAgMChQIeAALxAgICVgIEAgUCBgIHAggCCQIcAgsCDAINAggCCAIIAggCCAIIAggCCAIIAggCCAIIAggCCAIIAggCCAIeAgMCVwIeAALxAgICagIEAgUCBgIHAggCCQIcAgsCDAINAggCCAIIAggCCAIIAggCCAIIAggCCAIIAggCCAIIAggCCAIeAgMCiQIeAALxAgICIAIEAgUCBgIHAggCCQIcAgsCDAINAggCCAIIAggCCAIIAggCCAIIAggCCAIIAggCCAIIAggCCAIeAgMCWwIeAALxAgICO3oAAAQAAgQCBQIGAgcCCAIJAiECCwIMAg0CCAIIAggCCAIIAggCCAIIAggCCAIIAggCCAIIAggCCAIIAh4CAwJeAh4AAvECAgJcAgQCBQIGAgcCCAIJAgoCCwIMAg0CCAIIAggCCAIIAggCCAIIAggCCAIIAggCCAIIAggCCAIIAh4CAwJ6Ah4AAvECAgJUAgQCBQIGAgcCCAIJAiECCwIMAg0CCAIIAggCCAIIAggCCAIIAggCCAIIAggCCAIIAggCCAIIAh4CAwKQAh4AAvECAgIgAgQCBQIGAgcCCAIJAgoCCwIMAg0CCAIIAggCCAIIAggCCAIIAggCCAIIAggCCAIIAggCCAIIAh4CAwJNAh4AAvECAgJOAgQCBQIGAgcCCAIJAiECCwIMAg0CCAIIAggCCAIIAggCCAIIAggCCAIIAggCCAIIAggCCAIIAh4CAwJPAh4AAvECAgJDAgQCBQIGAgcCCAIJAhwCCwIMAg0CCAIIAggCCAIIAggCCAIIAggCCAIIAggCCAIIAggCCAIIAh4CAwJEAh4AAvECAgIwAgQCBQIGAgcCCAIJAgoCCwIMAg0CCAIIAggCCAIIAggCCAIIAggCCAIIAggCCAIIAggCCAIIAh4CAwKRAh4AAvECAgJrAgQCBQIGAgcCCAIJAiECCwIMAg0CCAIIAggCCAIIAggCCAIIAggCCAIIAggCCAIIAggCCAIIAh4CAwJ7Ah4AAvECAgI+AgQCBQIGAgcCCAIJAgoCCwIMAg0CCAIIAggCCAIIAggCCAIIAggCCAIIAggCCAIIAggCCAIIAh4CAwJgAh4AAvECAgJAAgQCBQIGAgcCCAIJAiECCwIMAg0CCAIIAggCCAIIAggCCAIIAggCCAIIAggCCAIIAggCCAIIAh4CAwJBAh4AAvECAgJiAgQCBQIGAgcCCAIJAgoCCwIMAg0CCAIIAggCCAIIAggCCAIIAggCCAIIAggCCAIIAggCCAIIAh4CAwJjAh4AAvECAgJWAgQCBQIGAgcCCAIJAgoCCwIMAg0CCAIIAggCCAIIAggCCAIIAggCCAIIAggCCAIIAggCCAIIAh4CAwJ/Ah4AAvECAgJmAgQCBQIGAgcCCAIJAiECCwIMAg0CCAIIAggCCAIIAggCCAIIAggCCAIIAggCCAIIAggCCAIIAh4CAwKAAh4AAvECAgIjAgQCBQIGAgcCCAIJAhwCCwIMAg0CCAIIAggCCAIIAggCCAIIAggCCAIIAggCCAIIAggCCAIIAh4CAwIkAh4AAvECAgJcAgQCBQIGAgcCCAIJAhwCCwIMAg0CCAIIAggCCAIIAggCCAIIAggCCAIIAggCCAIIAggCCAIIAh4CA3oAAAQAAmkCHgAC8QICAkACBAIFAgYCBwIIAgkCCgILAgwCDQIIAggCCAIIAggCCAIIAggCCAIIAggCCAIIAggCCAIIAggCHgIDAksCHgAC8QICAgMCBAIFAgYCBwIIAgkCCgILAgwCDQIIAggCCAIIAggCCAIIAggCCAIIAggCCAIIAggCCAIIAggCHgIDAg4CHgAC8QICAnwCBAIFAgYCBwIIAgkCHAILAgwCDQIIAggCCAIIAggCCAIIAggCCAIIAggCCAIIAggCCAIIAggCHgIDAn0CHgAC8QICAlQCBAIFAgYCBwIIAgkCHAILAgwCDQIIAggCCAIIAggCCAIIAggCCAIIAggCCAIIAggCCAIIAggCHgIDAlUCHgAC8QICAjACBAIFAgYCBwIIAgkCIQILAgwCDQIIAggCCAIIAggCCAIIAggCCAIIAggCCAIIAggCCAIIAggCHgIDAnkCHgAC8QICAj4CBAIFAgYCBwIIAgkCIQILAgwCDQIIAggCCAIIAggCCAIIAggCCAIIAggCCAIIAggCCAIIAggCHgIDAj8CHgAC8QICAmoCBAIFAgYCBwIIAgkCCgILAgwCDQIIAggCCAIIAggCCAIIAggCCAIIAggCCAIIAggCCAIIAggCHgIDAoICHgAC8QICAk4CBAIFAgYCBwIIAgkCCgILAgwCDQIIAggCCAIIAggCCAIIAggCCAIIAggCCAIIAggCCAIIAggCHgIDAnICHgAC8QICAlICBAIFAgYCBwIIAgkCIQILAgwCDQIIAggCCAIIAggCCAIIAggCCAIIAggCCAIIAggCCAIIAggCHgIDAiwCHgAC8QICAiMCBAIFAgYCBwIIAgkCCgILAgwCDQIIAggCCAIIAggCCAIIAggCCAIIAggCCAIIAggCCAIIAggCHgIDAjoCHgAC8QICAjsCBAIFAgYCBwIIAgkCHAILAgwCDQIIAggCCAIIAggCCAIIAggCCAIIAggCCAIIAggCCAIIAggCHgIDAoYCHgAC8QICAkYCBAIFAgYCBwIIAgkCHAILAgwCDQIIAggCCAIIAggCCAIIAggCCAIIAggCCAIIAggCCAIIAggCHgIDAoQCHgAC8QICAikCBAIFAgYCBwIIAgkCCgILAgwCDQIIAggCCAIIAggCCAIIAggCCAIIAggCCAIIAggCCAIIAggCHgIDAioCHgAC8QICAicCBAIFAgYCBwIIAgkCIQILAgwCDQIIAggCCAIIAggCCAIIAggCCAIIAggCCAIIAggCCAIIAggCHgIDAiwCHgAC8QICAlACBAIFAgYCBwIIAgkCIQILAgwCDQIIAggCCAIIAggCCAIIAggCCAIIAggCCAIIAnoAAAQACAIIAggCCAIeAgMCUQIeAALxAgICNAIEAgUCBgIHAggCCQIKAgsCDAINAggCCAIIAggCCAIIAggCCAIIAggCCAIIAggCCAIIAggCCAIeAgMCdQIeAALxAgICNwIEAgUCBgIHAggCCQIhAgsCDAINAggCCAIIAggCCAIIAggCCAIIAggCCAIIAggCCAIIAggCCAIeAgMCOAIeAALxAgICSQIEAgUCBgIHAggCCQIhAgsCDAINAggCCAIIAggCCAIIAggCCAIIAggCCAIIAggCCAIIAggCCAIeAgMCdgIeAALyAAk1Mjg2Nzk2MDgCAgJAAgQCBQIGAgcCCAIJAgoCCwIMAg0CCAIIAggCCAIIAggCCAIIAggCCAIIAggCCAIIAggCCAIIAhYCAwJLAh4AAvICAgJmAgQCBQIGAgcCCAIJAiECCwIMAg0CCAIIAggCCAIIAggCCAIIAggCCAIIAggCCAIIAggCCAIIAhYCAwKAAh4AAvICAgJGAgQCBQIGAgcCCAIJAgoCCwIMAg0CCAIIAggCCAIIAggCCAIIAggCCAIIAggCCAIIAggCCAIIAhYCAwJHAh4AAvICAgI3AgQCBQIGAgcCCAIJAhwCCwIMAg0CCAIIAggCCAIIAggCCAIIAggCCAIIAggCCAIIAggCCAIIAhYCAwKBAh4AAvICAgJiAgQCBQIGAgcCCAIJAiECCwIMAg0CCAIIAggCCAIIAggCCAIIAggCCAIIAggCCAIIAggCCAIIAhYCAwIsAh4AAvICAgI5AgQCBQIGAgcCCAIJAhwCCwIMAg0CCAIIAggCCAIIAggCCAIIAggCCAIIAggCCAIIAggCCAIIAhYCAwIdAh4AAvICAgI+AgQCBQIGAgcCCAIJAiECCwIMAg0CCAIIAggCCAIIAggCCAIIAggCCAIIAggCCAIIAggCCAIIAhYCAwI/Ah4AAvICAgIgAgQCBQIGAgcCCAIJAgoCCwIMAg0CCAIIAggCCAIIAggCCAIIAggCCAIIAggCCAIIAggCCAIIAhYCAwJNAh4AAvICAgJOAgQCBQIGAgcCCAIJAiECCwIMAg0CCAIIAggCCAIIAggCCAIIAggCCAIIAggCCAIIAggCCAIIAhYCAwJPAh4AAvICAgJMAgQCBQIGAgcCCAIJAiECCwIMAg0CCAIIAggCCAIIAggCCAIIAggCCAIIAggCCAIIAggCCAIIAhYCAwIsAh4AAvICAgJAAgQCBQIGAgcCCAIJAhwCCwIMAg0CCAIIAggCCAIIAggCCAIIAggCCAIIAggCCAIIAggCCAIIAhYCAwJaAh4AAvICAgJcAgQCBQIGAgcCCAIJAiECCwIMAg0CCAIIAnoAAAQACAIIAggCCAIIAggCCAIIAggCCAIIAggCCAIIAggCFgIDAl0CHgAC8gICAjsCBAIFAgYCBwIIAgkCHAILAgwCDQIIAggCCAIIAggCCAIIAggCCAIIAggCCAIIAggCCAIIAggCFgIDAoYCHgAC8gICAlACBAIFAgYCBwIIAgkCIQILAgwCDQIIAggCCAIIAggCCAIIAggCCAIIAggCCAIIAggCCAIIAggCFgIDAlECHgAC8gICAkYCBAIFAgYCBwIIAgkCHAILAgwCDQIIAggCCAIIAggCCAIIAggCCAIIAggCCAIIAggCCAIIAggCFgIDAoQCHgAC8gICAjcCBAIFAgYCBwIIAgkCCgILAgwCDQIIAggCCAIIAggCCAIIAggCCAIIAggCCAIIAggCCAIIAggCFgIDAowCHgAC8gICAjkCBAIFAgYCBwIIAgkCCgILAgwCDQIIAggCCAIIAggCCAIIAggCCAIIAggCCAIIAggCCAIIAggCFgIDAjYCHgAC8gICAisCBAIFAgYCBwIIAgkCCgILAgwCDQIIAggCCAIIAggCCAIIAggCCAIIAggCCAIIAggCCAIIAggCFgIDAogCHgAC8gICAiACBAIFAgYCBwIIAgkCHAILAgwCDQIIAggCCAIIAggCCAIIAggCCAIIAggCCAIIAggCCAIIAggCFgIDAlsCHgAC8gICAgMCBAIFAgYCBwIIAgkCHAILAgwCDQIIAggCCAIIAggCCAIIAggCCAIIAggCCAIIAggCCAIIAggCFgIDAi8CHgAC8gICAnwCBAIFAgYCBwIIAgkCIQILAgwCDQIIAggCCAIIAggCCAIIAggCCAIIAggCCAIIAggCCAIIAggCFgIDAooCHgAC8gICAlQCBAIFAgYCBwIIAgkCIQILAgwCDQIIAggCCAIIAggCCAIIAggCCAIIAggCCAIIAggCCAIIAggCFgIDApACHgAC8gICAikCBAIFAgYCBwIIAgkCHAILAgwCDQIIAggCCAIIAggCCAIIAggCCAIIAggCCAIIAggCCAIIAggCFgIDAmECHgAC8gICAncCBAIFAgYCBwIIAgkCIQILAgwCDQIIAggCCAIIAggCCAIIAggCCAIIAggCCAIIAggCCAIIAggCFgIDAiwCHgAC8gICAj4CBAIFAgYCBwIIAgkCCgILAgwCDQIIAggCCAIIAggCCAIIAggCCAIIAggCCAIIAggCCAIIAggCFgIDAmACHgAC8gICAkICBAIFAgYCBwIIAgkCCgILAgwCDQIIAggCCAIIAggCCAIIAggCCAIIAggCCAIIAggCCAIIAggCFgIDAmUCHgAC8gICAmICBAIFAgYCBwIIAgkCCnoAAAQAAgsCDAINAggCCAIIAggCCAIIAggCCAIIAggCCAIIAggCCAIIAggCCAIWAgMCYwIeAALyAgICVgIEAgUCBgIHAggCCQIhAgsCDAINAggCCAIIAggCCAIIAggCCAIIAggCCAIIAggCCAIIAggCCAIWAgMCZAIeAALyAgICIwIEAgUCBgIHAggCCQIcAgsCDAINAggCCAIIAggCCAIIAggCCAIIAggCCAIIAggCCAIIAggCCAIWAgMCJAIeAALyAgICNAIEAgUCBgIHAggCCQIcAgsCDAINAggCCAIIAggCCAIIAggCCAIIAggCCAIIAggCCAIIAggCCAIWAgMCkgIeAALyAgICHgIEAgUCBgIHAggCCQIcAgsCDAINAggCCAIIAggCCAIIAggCCAIIAggCCAIIAggCCAIIAggCCAIWAgMCHwIeAALyAgICJwIEAgUCBgIHAggCCQIKAgsCDAINAggCCAIIAggCCAIIAggCCAIIAggCCAIIAggCCAIIAggCCAIWAgMCjQIeAALyAgICZgIEAgUCBgIHAggCCQIKAgsCDAINAggCCAIIAggCCAIIAggCCAIIAggCCAIIAggCCAIIAggCCAIWAgMCZwIeAALyAgICdwIEAgUCBgIHAggCCQIcAgsCDAINAggCCAIIAggCCAIIAggCCAIIAggCCAIIAggCCAIIAggCCAIWAgMCHQIeAALyAgICMAIEAgUCBgIHAggCCQIcAgsCDAINAggCCAIIAggCCAIIAggCCAIIAggCCAIIAggCCAIIAggCCAIWAgMCMQIeAALyAgICUgIEAgUCBgIHAggCCQIhAgsCDAINAggCCAIIAggCCAIIAggCCAIIAggCCAIIAggCCAIIAggCCAIWAgMCLAIeAALyAgICYgIEAgUCBgIHAggCCQIcAgsCDAINAggCCAIIAggCCAIIAggCCAIIAggCCAIIAggCCAIIAggCCAIWAgMCcwIeAALyAgICGwIEAgUCBgIHAggCCQIKAgsCDAINAggCCAIIAggCCAIIAggCCAIIAggCCAIIAggCCAIIAggCCAIWAgMCNgIeAALyAgICKQIEAgUCBgIHAggCCQIKAgsCDAINAggCCAIIAggCCAIIAggCCAIIAggCCAIIAggCCAIIAggCCAIWAgMCKgIeAALyAgICZgIEAgUCBgIHAggCCQIcAgsCDAINAggCCAIIAggCCAIIAggCCAIIAggCCAIIAggCCAIIAggCCAIWAgMCdAIeAALyAgICSQIEAgUCBgIHAggCCQIhAgsCDAINAggCCAIIAggCCAIIAggCCAIIAggCCAIIAggCCAIIAggCCAIWAgMCdgIeAALyAgICfAIEAnoAAAQABQIGAgcCCAIJAgoCCwIMAg0CCAIIAggCCAIIAggCCAIIAggCCAIIAggCCAIIAggCCAIIAhYCAwKFAh4AAvICAgIbAgQCBQIGAgcCCAIJAiECCwIMAg0CCAIIAggCCAIIAggCCAIIAggCCAIIAggCCAIIAggCCAIIAhYCAwIsAh4AAvICAgIjAgQCBQIGAgcCCAIJAgoCCwIMAg0CCAIIAggCCAIIAggCCAIIAggCCAIIAggCCAIIAggCCAIIAhYCAwI6Ah4AAvICAgJ3AgQCBQIGAgcCCAIJAgoCCwIMAg0CCAIIAggCCAIIAggCCAIIAggCCAIIAggCCAIIAggCCAIIAhYCAwI2Ah4AAvICAgIeAgQCBQIGAgcCCAIJAgoCCwIMAg0CCAIIAggCCAIIAggCCAIIAggCCAIIAggCCAIIAggCCAIIAhYCAwI9Ah4AAvICAgJUAgQCBQIGAgcCCAIJAgoCCwIMAg0CCAIIAggCCAIIAggCCAIIAggCCAIIAggCCAIIAggCCAIIAhYCAwJ4Ah4AAvICAgJCAgQCBQIGAgcCCAIJAiECCwIMAg0CCAIIAggCCAIIAggCCAIIAggCCAIIAggCCAIIAggCCAIIAhYCAwIsAh4AAvICAgInAgQCBQIGAgcCCAIJAhwCCwIMAg0CCAIIAggCCAIIAggCCAIIAggCCAIIAggCCAIIAggCCAIIAhYCAwIoAh4AAvICAgJ8AgQCBQIGAgcCCAIJAhwCCwIMAg0CCAIIAggCCAIIAggCCAIIAggCCAIIAggCCAIIAggCCAIIAhYCAwJ9Ah4AAvICAgIgAgQCBQIGAgcCCAIJAiECCwIMAg0CCAIIAggCCAIIAggCCAIIAggCCAIIAggCCAIIAggCCAIIAhYCAwIiAh4AAvICAgIrAgQCBQIGAgcCCAIJAhwCCwIMAg0CCAIIAggCCAIIAggCCAIIAggCCAIIAggCCAIIAggCCAIIAhYCAwJ+Ah4AAvICAgJAAgQCBQIGAgcCCAIJAiECCwIMAg0CCAIIAggCCAIIAggCCAIIAggCCAIIAggCCAIIAggCCAIIAhYCAwJBAh4AAvICAgJWAgQCBQIGAgcCCAIJAgoCCwIMAg0CCAIIAggCCAIIAggCCAIIAggCCAIIAggCCAIIAggCCAIIAhYCAwJ/Ah4AAvICAgJJAgQCBQIGAgcCCAIJAhwCCwIMAg0CCAIIAggCCAIIAggCCAIIAggCCAIIAggCCAIIAggCCAIIAhYCAwJKAh4AAvICAgItAgQCBQIGAgcCCAIJAiECCwIMAg0CCAIIAggCCAIIAggCCAIIAggCCAIIAggCCAIIAggCCAIIAhYCAwIsAnoAAAQAHgAC8gICAlICBAIFAgYCBwIIAgkCHAILAgwCDQIIAggCCAIIAggCCAIIAggCCAIIAggCCAIIAggCCAIIAggCFgIDAlMCHgAC8gICAgMCBAIFAgYCBwIIAgkCIQILAgwCDQIIAggCCAIIAggCCAIIAggCCAIIAggCCAIIAggCCAIIAggCFgIDAkgCHgAC8gICAmoCBAIFAgYCBwIIAgkCCgILAgwCDQIIAggCCAIIAggCCAIIAggCCAIIAggCCAIIAggCCAIIAggCFgIDAoICHgAC8gICAicCBAIFAgYCBwIIAgkCIQILAgwCDQIIAggCCAIIAggCCAIIAggCCAIIAggCCAIIAggCCAIIAggCFgIDAiwCHgAC8gICAikCBAIFAgYCBwIIAgkCIQILAgwCDQIIAggCCAIIAggCCAIIAggCCAIIAggCCAIIAggCCAIIAggCFgIDAoMCHgAC8gICAlQCBAIFAgYCBwIIAgkCHAILAgwCDQIIAggCCAIIAggCCAIIAggCCAIIAggCCAIIAggCCAIIAggCFgIDAlUCHgAC8gICAmsCBAIFAgYCBwIIAgkCHAILAgwCDQIIAggCCAIIAggCCAIIAggCCAIIAggCCAIIAggCCAIIAggCFgIDAosCHgAC8gICAlYCBAIFAgYCBwIIAgkCHAILAgwCDQIIAggCCAIIAggCCAIIAggCCAIIAggCCAIIAggCCAIIAggCFgIDAlcCHgAC8gICAkMCBAIFAgYCBwIIAgkCCgILAgwCDQIIAggCCAIIAggCCAIIAggCCAIIAggCCAIIAggCCAIIAggCFgIDAlgCHgAC8gICAjcCBAIFAgYCBwIIAgkCIQILAgwCDQIIAggCCAIIAggCCAIIAggCCAIIAggCCAIIAggCCAIIAggCFgIDAjgCHgAC8gICAiMCBAIFAgYCBwIIAgkCIQILAgwCDQIIAggCCAIIAggCCAIIAggCCAIIAggCCAIIAggCCAIIAggCFgIDAocCHgAC8gICAh4CBAIFAgYCBwIIAgkCIQILAgwCDQIIAggCCAIIAggCCAIIAggCCAIIAggCCAIIAggCCAIIAggCFgIDAiwCHgAC8gICAkMCBAIFAgYCBwIIAgkCIQILAgwCDQIIAggCCAIIAggCCAIIAggCCAIIAggCCAIIAggCCAIIAggCFgIDAnECHgAC8gICAmoCBAIFAgYCBwIIAgkCHAILAgwCDQIIAggCCAIIAggCCAIIAggCCAIIAggCCAIIAggCCAIIAggCFgIDAokCHgAC8gICAjsCBAIFAgYCBwIIAgkCIQILAgwCDQIIAggCCAIIAggCCAIIAggCCAIIAggCCAIIAggCCHoAAAQAAggCCAIWAgMCXgIeAALyAgICSQIEAgUCBgIHAggCCQIKAgsCDAINAggCCAIIAggCCAIIAggCCAIIAggCCAIIAggCCAIIAggCCAIWAgMCWQIeAALyAgICawIEAgUCBgIHAggCCQIKAgsCDAINAggCCAIIAggCCAIIAggCCAIIAggCCAIIAggCCAIIAggCCAIWAgMCbAIeAALyAgICUgIEAgUCBgIHAggCCQIKAgsCDAINAggCCAIIAggCCAIIAggCCAIIAggCCAIIAggCCAIIAggCCAIWAgMCXwIeAALyAgICTgIEAgUCBgIHAggCCQIcAgsCDAINAggCCAIIAggCCAIIAggCCAIIAggCCAIIAggCCAIIAggCCAIWAgMCjwIeAALyAgICGwIEAgUCBgIHAggCCQIcAgsCDAINAggCCAIIAggCCAIIAggCCAIIAggCCAIIAggCCAIIAggCCAIWAgMCHQIeAALyAgICTAIEAgUCBgIHAggCCQIcAgsCDAINAggCCAIIAggCCAIIAggCCAIIAggCCAIIAggCCAIIAggCCAIWAgMCjgIeAALyAgICJQIEAgUCBgIHAggCCQIhAgsCDAINAggCCAIIAggCCAIIAggCCAIIAggCCAIIAggCCAIIAggCCAIWAgMCRQIeAALyAgICMAIEAgUCBgIHAggCCQIKAgsCDAINAggCCAIIAggCCAIIAggCCAIIAggCCAIIAggCCAIIAggCCAIWAgMCkQIeAALyAgICAwIEAgUCBgIHAggCCQIKAgsCDAINAggCCAIIAggCCAIIAggCCAIIAggCCAIIAggCCAIIAggCCAIWAgMCDgIeAALyAgICRgIEAgUCBgIHAggCCQIhAgsCDAINAggCCAIIAggCCAIIAggCCAIIAggCCAIIAggCCAIIAggCCAIWAgMCLAIeAALyAgICXAIEAgUCBgIHAggCCQIcAgsCDAINAggCCAIIAggCCAIIAggCCAIIAggCCAIIAggCCAIIAggCCAIWAgMCaQIeAALyAgICJQIEAgUCBgIHAggCCQIKAgsCDAINAggCCAIIAggCCAIIAggCCAIIAggCCAIIAggCCAIIAggCCAIWAgMCJgIeAALyAgICLQIEAgUCBgIHAggCCQIKAgsCDAINAggCCAIIAggCCAIIAggCCAIIAggCCAIIAggCCAIIAggCCAIWAgMCLgIeAALyAgICUAIEAgUCBgIHAggCCQIKAgsCDAINAggCCAIIAggCCAIIAggCCAIIAggCCAIIAggCCAIIAggCCAIWAgMCbQIeAALyAgICTgIEAgUCBgIHAggCCQIKAgsCDAINAggCCAIIAggCCAIIAggCCAIIAnoAAAQACAIIAggCCAIIAggCCAIIAhYCAwJyAh4AAvICAgI+AgQCBQIGAgcCCAIJAhwCCwIMAg0CCAIIAggCCAIIAggCCAIIAggCCAIIAggCCAIIAggCCAIIAhYCAwJuAh4AAvICAgIrAgQCBQIGAgcCCAIJAiECCwIMAg0CCAIIAggCCAIIAggCCAIIAggCCAIIAggCCAIIAggCCAIIAhYCAwIsAh4AAvICAgJMAgQCBQIGAgcCCAIJAgoCCwIMAg0CCAIIAggCCAIIAggCCAIIAggCCAIIAggCCAIIAggCCAIIAhYCAwJwAh4AAvICAgI0AgQCBQIGAgcCCAIJAgoCCwIMAg0CCAIIAggCCAIIAggCCAIIAggCCAIIAggCCAIIAggCCAIIAhYCAwJ1Ah4AAvICAgJCAgQCBQIGAgcCCAIJAhwCCwIMAg0CCAIIAggCCAIIAggCCAIIAggCCAIIAggCCAIIAggCCAIIAhYCAwJvAh4AAvICAgIlAgQCBQIGAgcCCAIJAhwCCwIMAg0CCAIIAggCCAIIAggCCAIIAggCCAIIAggCCAIIAggCCAIIAhYCAwIyAh4AAvICAgItAgQCBQIGAgcCCAIJAhwCCwIMAg0CCAIIAggCCAIIAggCCAIIAggCCAIIAggCCAIIAggCCAIIAhYCAwIzAh4AAvICAgI0AgQCBQIGAgcCCAIJAiECCwIMAg0CCAIIAggCCAIIAggCCAIIAggCCAIIAggCCAIIAggCCAIIAhYCAwI1Ah4AAvICAgI5AgQCBQIGAgcCCAIJAiECCwIMAg0CCAIIAggCCAIIAggCCAIIAggCCAIIAggCCAIIAggCCAIIAhYCAwIsAh4AAvICAgJcAgQCBQIGAgcCCAIJAgoCCwIMAg0CCAIIAggCCAIIAggCCAIIAggCCAIIAggCCAIIAggCCAIIAhYCAwJ6Ah4AAvICAgIwAgQCBQIGAgcCCAIJAiECCwIMAg0CCAIIAggCCAIIAggCCAIIAggCCAIIAggCCAIIAggCCAIIAhYCAwJ5Ah4AAvICAgJQAgQCBQIGAgcCCAIJAhwCCwIMAg0CCAIIAggCCAIIAggCCAIIAggCCAIIAggCCAIIAggCCAIIAhYCAwJoAh4AAvICAgJqAgQCBQIGAgcCCAIJAiECCwIMAg0CCAIIAggCCAIIAggCCAIIAggCCAIIAggCCAIIAggCCAIIAhYCAwIsAh4AAvICAgJrAgQCBQIGAgcCCAIJAiECCwIMAg0CCAIIAggCCAIIAggCCAIIAggCCAIIAggCCAIIAggCCAIIAhYCAwJ7Ah4AAvICAgJDAgQCBQIGAgcCCAIJAhwCCwIMAg0CCAIIAggCCHe1AggCCAIIAggCCAIIAggCCAIIAggCCAIIAggCFgIDAkQCHgAC8gICAjsCBAIFAgYCBwIIAgkCCgILAgwCDQIIAggCCAIIAggCCAIIAggCCAIIAggCCAIIAggCCAIIAggCFgIDAjwCHgAC8wAJNTI4NjczODA4AgICHgIEAgUCBgIHAggCCQIKAgsClQINAggCCAIIAggCCAIIAggCCAIIAggCCAIIAggCCAIIAggCCAITAgMC9HNxAH4AAAAAAAJzcQB+AAT///////////////7////+AAAAAXVxAH4ABwAAAAM2pbZ4eHoAAAIoAh4AAvMCAgIjAgQCBQIGAgcCCAIJAgoCCwKVAg0CCAIIAggCCAIIAggCCAIIAggCCAIIAggCCAIIAggCCAIIAhMCAwLeAh4AAvMCAgIgAgQCBQIGAgcCCAIJApcCCwKVAg0CCAIIAggCCAIIAggCCAIIAggCCAIIAggCCAIIAggCCAIIAhMCAwLCAh4AAvMCAgJ3AgQCBQIGAgcCCAIJApcCCwKVAg0CCAIIAggCCAIIAggCCAIIAggCCAIIAggCCAIIAggCCAIIAhMCAwIsAh4AAvMCAgInAgQCBQIGAgcCCAIJAgoCCwKVAg0CCAIIAggCCAIIAggCCAIIAggCCAIIAggCCAIIAggCCAIIAhMCAwKzAh4AAvMCAgJqAgQCBQIGAgcCCAIJAhwCCwKVAg0CCAIIAggCCAIIAggCCAIIAggCCAIIAggCCAIIAggCCAIIAhMCAwK0Ah4AAvMCAgJAAgQCBQIGAgcCCAIJApcCCwKVAg0CCAIIAggCCAIIAggCCAIIAggCCAIIAggCCAIIAggCCAIIAhMCAwK6Ah4AAvMCAgJWAgQCBQIGAgcCCAIJAhwCCwKVAg0CCAIIAggCCAIIAggCCAIIAggCCAIIAggCCAIIAggCCAIIAhMCAwLIAh4AAvMCAgIbAgQCBQIGAgcCCAIJAgoCCwKVAg0CCAIIAggCCAIIAggCCAIIAggCCAIIAggCCAIIAggCCAIIAhMCAwL1c3EAfgAAAAAAAnNxAH4ABP///////////////v////4AAAABdXEAfgAHAAAABAV5RUJ4eHoAAAFZAh4AAvMCAgJGAgQCBQIGAgcCCAIJApcCCwKVAg0CCAIIAggCCAIIAggCCAIIAggCCAIIAggCCAIIAggCCAIIAhMCAwIsAh4AAvMCAgJDAgQCBQIGAgcCCAIJAgoCCwKVAg0CCAIIAggCCAIIAggCCAIIAggCCAIIAggCCAIIAggCCAIIAhMCAwK8Ah4AAvMCAgIwAgQCBQIGAgcCCAIJAhwCCwKVAg0CCAIIAggCCAIIAggCCAIIAggCCAIIAggCCAIIAggCCAIIAhMCAwKeAh4AAvMCAgInAgQCBQIGAgcCCAIJAhwCCwKVAg0CCAIIAggCCAIIAggCCAIIAggCCAIIAggCCAIIAggCCAIIAhMCAwKqAh4AAvMCAgItAgQCBQIGAgcCCAIJAgoCCwKVAg0CCAIIAggCCAIIAggCCAIIAggCCAIIAggCCAIIAggCCAIIAhMCAwL2c3EAfgAAAAAAAnNxAH4ABP///////////////v////4AAAABdXEAfgAHAAAABALUOOx4eHoAAAOBAh4AAvMCAgIlAgQCBQIGAgcCCAIJAgoCCwKVAg0CCAIIAggCCAIIAggCCAIIAggCCAIIAggCCAIIAggCCAIIAhMCAwKpAh4AAvMCAgI5AgQCBQIGAgcCCAIJApcCCwKVAg0CCAIIAggCCAIIAggCCAIIAggCCAIIAggCCAIIAggCCAIIAhMCAwIsAh4AAvMCAgI+AgQCBQIGAgcCCAIJApcCCwKVAg0CCAIIAggCCAIIAggCCAIIAggCCAIIAggCCAIIAggCCAIIAhMCAwKdAh4AAvMCAgJSAgQCBQIGAgcCCAIJAhwCCwKVAg0CCAIIAggCCAIIAggCCAIIAggCCAIIAggCCAIIAggCCAIIAhMCAwLGAh4AAvMCAgIrAgQCBQIGAgcCCAIJApcCCwKVAg0CCAIIAggCCAIIAggCCAIIAggCCAIIAggCCAIIAggCCAIIAhMCAwIsAh4AAvMCAgIDAgQCBQIGAgcCCAIJAgoCCwKVAg0CCAIIAggCCAIIAggCCAIIAggCCAIIAggCCAIIAggCCAIIAhMCAwKkAh4AAvMCAgJ8AgQCBQIGAgcCCAIJApcCCwKVAg0CCAIIAggCCAIIAggCCAIIAggCCAIIAggCCAIIAggCCAIIAhMCAwLaAh4AAvMCAgJJAgQCBQIGAgcCCAIJAhwCCwKVAg0CCAIIAggCCAIIAggCCAIIAggCCAIIAggCCAIIAggCCAIIAhMCAwLQAh4AAvMCAgJDAgQCBQIGAgcCCAIJAhwCCwKVAg0CCAIIAggCCAIIAggCCAIIAggCCAIIAggCCAIIAggCCAIIAhMCAwLVAh4AAvMCAgJQAgQCBQIGAgcCCAIJApcCCwKVAg0CCAIIAggCCAIIAggCCAIIAggCCAIIAggCCAIIAggCCAIIAhMCAwKZAh4AAvMCAgI3AgQCBQIGAgcCCAIJApcCCwKVAg0CCAIIAggCCAIIAggCCAIIAggCCAIIAggCCAIIAggCCAIIAhMCAwLOAh4AAvMCAgJWAgQCBQIGAgcCCAIJAgoCCwKVAg0CCAIIAggCCAIIAggCCAIIAggCCAIIAggCCAIIAggCCAIIAhMCAwLNAh4AAvMCAgJMAgQCBQIGAgcCCAIJAhwCCwKVAg0CCAIIAggCCAIIAggCCAIIAggCCAIIAggCCAIIAggCCAIIAhMCAwL3c3EAfgAAAAAAAnNxAH4ABP///////////////v////7/////dXEAfgAHAAAABDvz0SR4eHoAAAEUAh4AAvMCAgJOAgQCBQIGAgcCCAIJAhwCCwKVAg0CCAIIAggCCAIIAggCCAIIAggCCAIIAggCCAIIAggCCAIIAhMCAwKxAh4AAvMCAgJmAgQCBQIGAgcCCAIJApcCCwKVAg0CCAIIAggCCAIIAggCCAIIAggCCAIIAggCCAIIAggCCAIIAhMCAwLfAh4AAvMCAgI5AgQCBQIGAgcCCAIJAgoCCwKVAg0CCAIIAggCCAIIAggCCAIIAggCCAIIAggCCAIIAggCCAIIAhMCAwL1Ah4AAvMCAgI5AgQCBQIGAgcCCAIJAhwCCwKVAg0CCAIIAggCCAIIAggCCAIIAggCCAIIAggCCAIIAggCCAIIAhMCAwL4c3EAfgAAAAAAAnNxAH4ABP///////////////v////7/////dXEAfgAHAAAABD4jPrh4eHdFAh4AAvMCAgItAgQCBQIGAgcCCAIJAhwCCwKVAg0CCAIIAggCCAIIAggCCAIIAggCCAIIAggCCAIIAggCCAIIAhMCAwL5c3EAfgAAAAAAAnNxAH4ABP///////////////v////7/////dXEAfgAHAAAABDWm++V4eHoAAAFZAh4AAvMCAgIlAgQCBQIGAgcCCAIJAhwCCwKVAg0CCAIIAggCCAIIAggCCAIIAggCCAIIAggCCAIIAggCCAIIAhMCAwLYAh4AAvMCAgI3AgQCBQIGAgcCCAIJAgoCCwKVAg0CCAIIAggCCAIIAggCCAIIAggCCAIIAggCCAIIAggCCAIIAhMCAwLAAh4AAvMCAgJiAgQCBQIGAgcCCAIJApcCCwKVAg0CCAIIAggCCAIIAggCCAIIAggCCAIIAggCCAIIAggCCAIIAhMCAwIsAh4AAvMCAgJrAgQCBQIGAgcCCAIJAhwCCwKVAg0CCAIIAggCCAIIAggCCAIIAggCCAIIAggCCAIIAggCCAIIAhMCAwK9Ah4AAvMCAgJMAgQCBQIGAgcCCAIJAgoCCwKVAg0CCAIIAggCCAIIAggCCAIIAggCCAIIAggCCAIIAggCCAIIAhMCAwL6c3EAfgAAAAAAAnNxAH4ABP///////////////v////4AAAABdXEAfgAHAAAABAPuMwZ4eHoAAAQAAh4AAvMCAgJOAgQCBQIGAgcCCAIJAgoCCwKVAg0CCAIIAggCCAIIAggCCAIIAggCCAIIAggCCAIIAggCCAIIAhMCAwKcAh4AAvMCAgJCAgQCBQIGAgcCCAIJApcCCwKVAg0CCAIIAggCCAIIAggCCAIIAggCCAIIAggCCAIIAggCCAIIAhMCAwIsAh4AAvMCAgJrAgQCBQIGAgcCCAIJAgoCCwKVAg0CCAIIAggCCAIIAggCCAIIAggCCAIIAggCCAIIAggCCAIIAhMCAwKWAh4AAvMCAgIeAgQCBQIGAgcCCAIJApcCCwKVAg0CCAIIAggCCAIIAggCCAIIAggCCAIIAggCCAIIAggCCAIIAhMCAwIsAh4AAvMCAgJqAgQCBQIGAgcCCAIJAgoCCwKVAg0CCAIIAggCCAIIAggCCAIIAggCCAIIAggCCAIIAggCCAIIAhMCAwLDAh4AAvMCAgJUAgQCBQIGAgcCCAIJApcCCwKVAg0CCAIIAggCCAIIAggCCAIIAggCCAIIAggCCAIIAggCCAIIAhMCAwLFAh4AAvMCAgIjAgQCBQIGAgcCCAIJApcCCwKVAg0CCAIIAggCCAIIAggCCAIIAggCCAIIAggCCAIIAggCCAIIAhMCAwKYAh4AAvMCAgI7AgQCBQIGAgcCCAIJAhwCCwKVAg0CCAIIAggCCAIIAggCCAIIAggCCAIIAggCCAIIAggCCAIIAhMCAwLHAh4AAvMCAgIDAgQCBQIGAgcCCAIJAhwCCwKVAg0CCAIIAggCCAIIAggCCAIIAggCCAIIAggCCAIIAggCCAIIAhMCAwKbAh4AAvMCAgJcAgQCBQIGAgcCCAIJAhwCCwKVAg0CCAIIAggCCAIIAggCCAIIAggCCAIIAggCCAIIAggCCAIIAhMCAwKtAh4AAvMCAgI0AgQCBQIGAgcCCAIJAhwCCwKVAg0CCAIIAggCCAIIAggCCAIIAggCCAIIAggCCAIIAggCCAIIAhMCAwK3Ah4AAvMCAgIpAgQCBQIGAgcCCAIJApcCCwKVAg0CCAIIAggCCAIIAggCCAIIAggCCAIIAggCCAIIAggCCAIIAhMCAwK4Ah4AAvMCAgIbAgQCBQIGAgcCCAIJApcCCwKVAg0CCAIIAggCCAIIAggCCAIIAggCCAIIAggCCAIIAggCCAIIAhMCAwIsAh4AAvMCAgIwAgQCBQIGAgcCCAIJAgoCCwKVAg0CCAIIAggCCAIIAggCCAIIAggCCAIIAggCCAIIAggCCAIIAhMCAwKnAh4AAvMCAgJ3AgQCBQIGAgcCCAIJAhwCCwKVAg0CCAIIAggCCAIIAggCCAIIAggCCAIIAggCCAIIAnoAAAQACAIIAggCEwIDAvgCHgAC8wICAmoCBAIFAgYCBwIIAgkClwILApUCDQIIAggCCAIIAggCCAIIAggCCAIIAggCCAIIAggCCAIIAggCEwIDAiwCHgAC8wICAlACBAIFAgYCBwIIAgkCCgILApUCDQIIAggCCAIIAggCCAIIAggCCAIIAggCCAIIAggCCAIIAggCEwIDAsECHgAC8wICAnwCBAIFAgYCBwIIAgkCHAILApUCDQIIAggCCAIIAggCCAIIAggCCAIIAggCCAIIAggCCAIIAggCEwIDAtYCHgAC8wICAiACBAIFAgYCBwIIAgkCHAILApUCDQIIAggCCAIIAggCCAIIAggCCAIIAggCCAIIAggCCAIIAggCEwIDAr8CHgAC8wICAlwCBAIFAgYCBwIIAgkCCgILApUCDQIIAggCCAIIAggCCAIIAggCCAIIAggCCAIIAggCCAIIAggCEwIDAtMCHgAC8wICAnwCBAIFAgYCBwIIAgkCCgILApUCDQIIAggCCAIIAggCCAIIAggCCAIIAggCCAIIAggCCAIIAggCEwIDArkCHgAC8wICAisCBAIFAgYCBwIIAgkCCgILApUCDQIIAggCCAIIAggCCAIIAggCCAIIAggCCAIIAggCCAIIAggCEwIDAuMCHgAC8wICAlYCBAIFAgYCBwIIAgkClwILApUCDQIIAggCCAIIAggCCAIIAggCCAIIAggCCAIIAggCCAIIAggCEwIDAtcCHgAC8wICAkACBAIFAgYCBwIIAgkCHAILApUCDQIIAggCCAIIAggCCAIIAggCCAIIAggCCAIIAggCCAIIAggCEwIDAr4CHgAC8wICAkYCBAIFAgYCBwIIAgkCHAILApUCDQIIAggCCAIIAggCCAIIAggCCAIIAggCCAIIAggCCAIIAggCEwIDAtsCHgAC8wICAjQCBAIFAgYCBwIIAgkCCgILApUCDQIIAggCCAIIAggCCAIIAggCCAIIAggCCAIIAggCCAIIAggCEwIDAtwCHgAC8wICAlACBAIFAgYCBwIIAgkCHAILApUCDQIIAggCCAIIAggCCAIIAggCCAIIAggCCAIIAggCCAIIAggCEwIDAqsCHgAC8wICAj4CBAIFAgYCBwIIAgkCHAILApUCDQIIAggCCAIIAggCCAIIAggCCAIIAggCCAIIAggCCAIIAggCEwIDAp8CHgAC8wICAicCBAIFAgYCBwIIAgkClwILApUCDQIIAggCCAIIAggCCAIIAggCCAIIAggCCAIIAggCCAIIAggCEwIDAiwCHgAC8wICAmYCBAIFAgYCBwIIAgkCCgILApUCDQIIAggCCAIIAggCCAIIAggCCHoAAAQAAggCCAIIAggCCAIIAggCCAITAgMCqAIeAALzAgICdwIEAgUCBgIHAggCCQIKAgsClQINAggCCAIIAggCCAIIAggCCAIIAggCCAIIAggCCAIIAggCCAITAgMC9QIeAALzAgICUgIEAgUCBgIHAggCCQKXAgsClQINAggCCAIIAggCCAIIAggCCAIIAggCCAIIAggCCAIIAggCCAITAgMCLAIeAALzAgICQwIEAgUCBgIHAggCCQKXAgsClQINAggCCAIIAggCCAIIAggCCAIIAggCCAIIAggCCAIIAggCCAITAgMCowIeAALzAgICYgIEAgUCBgIHAggCCQIKAgsClQINAggCCAIIAggCCAIIAggCCAIIAggCCAIIAggCCAIIAggCCAITAgMCpQIeAALzAgICRgIEAgUCBgIHAggCCQIKAgsClQINAggCCAIIAggCCAIIAggCCAIIAggCCAIIAggCCAIIAggCCAITAgMCzAIeAALzAgICNwIEAgUCBgIHAggCCQIcAgsClQINAggCCAIIAggCCAIIAggCCAIIAggCCAIIAggCCAIIAggCCAITAgMCzwIeAALzAgICSQIEAgUCBgIHAggCCQKXAgsClQINAggCCAIIAggCCAIIAggCCAIIAggCCAIIAggCCAIIAggCCAITAgMC0QIeAALzAgICKwIEAgUCBgIHAggCCQIcAgsClQINAggCCAIIAggCCAIIAggCCAIIAggCCAIIAggCCAIIAggCCAITAgMC4gIeAALzAgICOwIEAgUCBgIHAggCCQIKAgsClQINAggCCAIIAggCCAIIAggCCAIIAggCCAIIAggCCAIIAggCCAITAgMC1AIeAALzAgICKQIEAgUCBgIHAggCCQIcAgsClQINAggCCAIIAggCCAIIAggCCAIIAggCCAIIAggCCAIIAggCCAITAgMCsAIeAALzAgICVAIEAgUCBgIHAggCCQIKAgsClQINAggCCAIIAggCCAIIAggCCAIIAggCCAIIAggCCAIIAggCCAITAgMC0gIeAALzAgICawIEAgUCBgIHAggCCQKXAgsClQINAggCCAIIAggCCAIIAggCCAIIAggCCAIIAggCCAIIAggCCAITAgMCrwIeAALzAgICLQIEAgUCBgIHAggCCQKXAgsClQINAggCCAIIAggCCAIIAggCCAIIAggCCAIIAggCCAIIAggCCAITAgMCLAIeAALzAgICTgIEAgUCBgIHAggCCQKXAgsClQINAggCCAIIAggCCAIIAggCCAIIAggCCAIIAggCCAIIAggCCAITAgMCtgIeAALzAgICUgIEAgUCBgIHAggCCQIKAgsClQINAggCCAIIAnoAAAQACAIIAggCCAIIAggCCAIIAggCCAIIAggCCAIIAhMCAwKyAh4AAvMCAgJJAgQCBQIGAgcCCAIJAgoCCwKVAg0CCAIIAggCCAIIAggCCAIIAggCCAIIAggCCAIIAggCCAIIAhMCAwK7Ah4AAvMCAgJmAgQCBQIGAgcCCAIJAhwCCwKVAg0CCAIIAggCCAIIAggCCAIIAggCCAIIAggCCAIIAggCCAIIAhMCAwLZAh4AAvMCAgIDAgQCBQIGAgcCCAIJApcCCwKVAg0CCAIIAggCCAIIAggCCAIIAggCCAIIAggCCAIIAggCCAIIAhMCAwKmAh4AAvMCAgIwAgQCBQIGAgcCCAIJApcCCwKVAg0CCAIIAggCCAIIAggCCAIIAggCCAIIAggCCAIIAggCCAIIAhMCAwKhAh4AAvMCAgJiAgQCBQIGAgcCCAIJAhwCCwKVAg0CCAIIAggCCAIIAggCCAIIAggCCAIIAggCCAIIAggCCAIIAhMCAwKgAh4AAvMCAgIlAgQCBQIGAgcCCAIJApcCCwKVAg0CCAIIAggCCAIIAggCCAIIAggCCAIIAggCCAIIAggCCAIIAhMCAwLdAh4AAvMCAgJCAgQCBQIGAgcCCAIJAhwCCwKVAg0CCAIIAggCCAIIAggCCAIIAggCCAIIAggCCAIIAggCCAIIAhMCAwLoAh4AAvMCAgIpAgQCBQIGAgcCCAIJAgoCCwKVAg0CCAIIAggCCAIIAggCCAIIAggCCAIIAggCCAIIAggCCAIIAhMCAwKaAh4AAvMCAgIgAgQCBQIGAgcCCAIJAgoCCwKVAg0CCAIIAggCCAIIAggCCAIIAggCCAIIAggCCAIIAggCCAIIAhMCAwLEAh4AAvMCAgI7AgQCBQIGAgcCCAIJApcCCwKVAg0CCAIIAggCCAIIAggCCAIIAggCCAIIAggCCAIIAggCCAIIAhMCAwLKAh4AAvMCAgJUAgQCBQIGAgcCCAIJAhwCCwKVAg0CCAIIAggCCAIIAggCCAIIAggCCAIIAggCCAIIAggCCAIIAhMCAwLJAh4AAvMCAgJcAgQCBQIGAgcCCAIJApcCCwKVAg0CCAIIAggCCAIIAggCCAIIAggCCAIIAggCCAIIAggCCAIIAhMCAwKuAh4AAvMCAgIeAgQCBQIGAgcCCAIJAhwCCwKVAg0CCAIIAggCCAIIAggCCAIIAggCCAIIAggCCAIIAggCCAIIAhMCAwLnAh4AAvMCAgJAAgQCBQIGAgcCCAIJAgoCCwKVAg0CCAIIAggCCAIIAggCCAIIAggCCAIIAggCCAIIAggCCAIIAhMCAwLLAh4AAvMCAgIbAgQCBQIGAgcCCAIJAhwCC3oAAAGFApUCDQIIAggCCAIIAggCCAIIAggCCAIIAggCCAIIAggCCAIIAggCEwIDAvgCHgAC8wICAiMCBAIFAgYCBwIIAgkCHAILApUCDQIIAggCCAIIAggCCAIIAggCCAIIAggCCAIIAggCCAIIAggCEwIDAqwCHgAC8wICAjQCBAIFAgYCBwIIAgkClwILApUCDQIIAggCCAIIAggCCAIIAggCCAIIAggCCAIIAggCCAIIAggCEwIDAqICHgAC8wICAkwCBAIFAgYCBwIIAgkClwILApUCDQIIAggCCAIIAggCCAIIAggCCAIIAggCCAIIAggCCAIIAggCEwIDAiwCHgAC8wICAj4CBAIFAgYCBwIIAgkCCgILApUCDQIIAggCCAIIAggCCAIIAggCCAIIAggCCAIIAggCCAIIAggCEwIDArUCHgAC8wICAkICBAIFAgYCBwIIAgkCCgILApUCDQIIAggCCAIIAggCCAIIAggCCAIIAggCCAIIAggCCAIIAggCEwIDAvtzcQB+AAAAAAACc3EAfgAE///////////////+/////gAAAAF1cQB+AAcAAAAEAaNwu3h4egAABAACHgAC/AAJNTI4Njc2MTI4AgICUAIEAgUCBgIHAggCCQIcAgsClQINAggCCAIIAggCCAIIAggCCAIIAggCCAIIAggCCAIIAggCCAACAwKrAh4AAvwCAgJmAgQCBQIGAgcCCAIJAgoCCwKVAg0CCAIIAggCCAIIAggCCAIIAggCCAIIAggCCAIIAggCCAIIAAIDAqgCHgAC/AICAmsCBAIFAgYCBwIIAgkCCgILApUCDQIIAggCCAIIAggCCAIIAggCCAIIAggCCAIIAggCCAIIAggAAgMClgIeAAL8AgICGwIEAgUCBgIHAggCCQKXAgsClQINAggCCAIIAggCCAIIAggCCAIIAggCCAIIAggCCAIIAggCCAACAwIsAh4AAvwCAgIeAgQCBQIGAgcCCAIJApcCCwKVAg0CCAIIAggCCAIIAggCCAIIAggCCAIIAggCCAIIAggCCAIIAAIDAiwCHgAC/AICAlwCBAIFAgYCBwIIAgkCHAILApUCDQIIAggCCAIIAggCCAIIAggCCAIIAggCCAIIAggCCAIIAggAAgMCrQIeAAL8AgICJwIEAgUCBgIHAggCCQKXAgsClQINAggCCAIIAggCCAIIAggCCAIIAggCCAIIAggCCAIIAggCCAACAwIsAh4AAvwCAgJiAgQCBQIGAgcCCAIJAgoCCwKVAg0CCAIIAggCCAIIAggCCAIIAggCCAIIAggCCAIIAggCCAIIAAIDAqUCHgAC/AICAkICBAIFAgYCBwIIAgkCHAILApUCDQIIAggCCAIIAggCCAIIAggCCAIIAggCCAIIAggCCAIIAggAAgMC6AIeAAL8AgICIwIEAgUCBgIHAggCCQKXAgsClQINAggCCAIIAggCCAIIAggCCAIIAggCCAIIAggCCAIIAggCCAACAwKYAh4AAvwCAgJMAgQCBQIGAgcCCAIJAgoCCwKVAg0CCAIIAggCCAIIAggCCAIIAggCCAIIAggCCAIIAggCCAIIAAIDAvoCHgAC/AICAmICBAIFAgYCBwIIAgkCHAILApUCDQIIAggCCAIIAggCCAIIAggCCAIIAggCCAIIAggCCAIIAggAAgMCoAIeAAL8AgICMAIEAgUCBgIHAggCCQKXAgsClQINAggCCAIIAggCCAIIAggCCAIIAggCCAIIAggCCAIIAggCCAACAwKhAh4AAvwCAgJOAgQCBQIGAgcCCAIJAgoCCwKVAg0CCAIIAggCCAIIAggCCAIIAggCCAIIAggCCAIIAggCCAIIAAIDApwCHgAC/AICAj4CBAIFAgYCBwIIAgkCHAILApUCDQIIAggCCAIIAggCCAIIAggCCAIIAggCCAIIAggCCAIIegAABAACCAACAwKfAh4AAvwCAgIDAgQCBQIGAgcCCAIJApcCCwKVAg0CCAIIAggCCAIIAggCCAIIAggCCAIIAggCCAIIAggCCAIIAAIDAqYCHgAC/AICAi0CBAIFAgYCBwIIAgkClwILApUCDQIIAggCCAIIAggCCAIIAggCCAIIAggCCAIIAggCCAIIAggAAgMCLAIeAAL8AgICXAIEAgUCBgIHAggCCQIKAgsClQINAggCCAIIAggCCAIIAggCCAIIAggCCAIIAggCCAIIAggCCAACAwLTAh4AAvwCAgJUAgQCBQIGAgcCCAIJAgoCCwKVAg0CCAIIAggCCAIIAggCCAIIAggCCAIIAggCCAIIAggCCAIIAAIDAtICHgAC/AICAjQCBAIFAgYCBwIIAgkCCgILApUCDQIIAggCCAIIAggCCAIIAggCCAIIAggCCAIIAggCCAIIAggAAgMC3AIeAAL8AgICJQIEAgUCBgIHAggCCQKXAgsClQINAggCCAIIAggCCAIIAggCCAIIAggCCAIIAggCCAIIAggCCAACAwLdAh4AAvwCAgIrAgQCBQIGAgcCCAIJAhwCCwKVAg0CCAIIAggCCAIIAggCCAIIAggCCAIIAggCCAIIAggCCAIIAAIDAuICHgAC/AICAkMCBAIFAgYCBwIIAgkClwILApUCDQIIAggCCAIIAggCCAIIAggCCAIIAggCCAIIAggCCAIIAggAAgMCowIeAAL8AgICZgIEAgUCBgIHAggCCQIcAgsClQINAggCCAIIAggCCAIIAggCCAIIAggCCAIIAggCCAIIAggCCAACAwLZAh4AAvwCAgJ3AgQCBQIGAgcCCAIJAhwCCwKVAg0CCAIIAggCCAIIAggCCAIIAggCCAIIAggCCAIIAggCCAIIAAIDAvgCHgAC/AICAnwCBAIFAgYCBwIIAgkCHAILApUCDQIIAggCCAIIAggCCAIIAggCCAIIAggCCAIIAggCCAIIAggAAgMC1gIeAAL8AgICVAIEAgUCBgIHAggCCQIcAgsClQINAggCCAIIAggCCAIIAggCCAIIAggCCAIIAggCCAIIAggCCAACAwLJAh4AAvwCAgJSAgQCBQIGAgcCCAIJAhwCCwKVAg0CCAIIAggCCAIIAggCCAIIAggCCAIIAggCCAIIAggCCAIIAAIDAsYCHgAC/AICAjkCBAIFAgYCBwIIAgkClwILApUCDQIIAggCCAIIAggCCAIIAggCCAIIAggCCAIIAggCCAIIAggAAgMCLAIeAAL8AgICRgIEAgUCBgIHAggCCQIKAgsClQINAggCCAIIAggCCAIIAggCCAIIAggCCAIIAggCCAIIAggCCAACegAABAADAswCHgAC/AICAjcCBAIFAgYCBwIIAgkClwILApUCDQIIAggCCAIIAggCCAIIAggCCAIIAggCCAIIAggCCAIIAggAAgMCzgIeAAL8AgICQwIEAgUCBgIHAggCCQIKAgsClQINAggCCAIIAggCCAIIAggCCAIIAggCCAIIAggCCAIIAggCCAACAwK8Ah4AAvwCAgJJAgQCBQIGAgcCCAIJAhwCCwKVAg0CCAIIAggCCAIIAggCCAIIAggCCAIIAggCCAIIAggCCAIIAAIDAtACHgAC/AICAlYCBAIFAgYCBwIIAgkCHAILApUCDQIIAggCCAIIAggCCAIIAggCCAIIAggCCAIIAggCCAIIAggAAgMCyAIeAAL8AgICQAIEAgUCBgIHAggCCQIKAgsClQINAggCCAIIAggCCAIIAggCCAIIAggCCAIIAggCCAIIAggCCAACAwLLAh4AAvwCAgI7AgQCBQIGAgcCCAIJApcCCwKVAg0CCAIIAggCCAIIAggCCAIIAggCCAIIAggCCAIIAggCCAIIAAIDAsoCHgAC/AICAiACBAIFAgYCBwIIAgkCCgILApUCDQIIAggCCAIIAggCCAIIAggCCAIIAggCCAIIAggCCAIIAggAAgMCxAIeAAL8AgICKQIEAgUCBgIHAggCCQIcAgsClQINAggCCAIIAggCCAIIAggCCAIIAggCCAIIAggCCAIIAggCCAACAwKwAh4AAvwCAgIgAgQCBQIGAgcCCAIJAhwCCwKVAg0CCAIIAggCCAIIAggCCAIIAggCCAIIAggCCAIIAggCCAIIAAIDAr8CHgAC/AICAlACBAIFAgYCBwIIAgkCCgILApUCDQIIAggCCAIIAggCCAIIAggCCAIIAggCCAIIAggCCAIIAggAAgMCwQIeAAL8AgICawIEAgUCBgIHAggCCQKXAgsClQINAggCCAIIAggCCAIIAggCCAIIAggCCAIIAggCCAIIAggCCAACAwKvAh4AAvwCAgJCAgQCBQIGAgcCCAIJAgoCCwKVAg0CCAIIAggCCAIIAggCCAIIAggCCAIIAggCCAIIAggCCAIIAAIDAvsCHgAC/AICAkACBAIFAgYCBwIIAgkCHAILApUCDQIIAggCCAIIAggCCAIIAggCCAIIAggCCAIIAggCCAIIAggAAgMCvgIeAAL8AgICGwIEAgUCBgIHAggCCQIcAgsClQINAggCCAIIAggCCAIIAggCCAIIAggCCAIIAggCCAIIAggCCAACAwL4Ah4AAvwCAgJMAgQCBQIGAgcCCAIJApcCCwKVAg0CCAIIAggCCAIIAggCCAIIAggCCAIIAggCCAIIAggCCAIIAAIDAiwCegAABAAeAAL8AgICPgIEAgUCBgIHAggCCQIKAgsClQINAggCCAIIAggCCAIIAggCCAIIAggCCAIIAggCCAIIAggCCAACAwK1Ah4AAvwCAgJqAgQCBQIGAgcCCAIJApcCCwKVAg0CCAIIAggCCAIIAggCCAIIAggCCAIIAggCCAIIAggCCAIIAAIDAiwCHgAC/AICAkkCBAIFAgYCBwIIAgkCCgILApUCDQIIAggCCAIIAggCCAIIAggCCAIIAggCCAIIAggCCAIIAggAAgMCuwIeAAL8AgICTgIEAgUCBgIHAggCCQKXAgsClQINAggCCAIIAggCCAIIAggCCAIIAggCCAIIAggCCAIIAggCCAACAwK2Ah4AAvwCAgJSAgQCBQIGAgcCCAIJAgoCCwKVAg0CCAIIAggCCAIIAggCCAIIAggCCAIIAggCCAIIAggCCAIIAAIDArICHgAC/AICAjQCBAIFAgYCBwIIAgkClwILApUCDQIIAggCCAIIAggCCAIIAggCCAIIAggCCAIIAggCCAIIAggAAgMCogIeAAL8AgICXAIEAgUCBgIHAggCCQKXAgsClQINAggCCAIIAggCCAIIAggCCAIIAggCCAIIAggCCAIIAggCCAACAwKuAh4AAvwCAgInAgQCBQIGAgcCCAIJAhwCCwKVAg0CCAIIAggCCAIIAggCCAIIAggCCAIIAggCCAIIAggCCAIIAAIDAqoCHgAC/AICAiUCBAIFAgYCBwIIAgkCCgILApUCDQIIAggCCAIIAggCCAIIAggCCAIIAggCCAIIAggCCAIIAggAAgMCqQIeAAL8AgICIwIEAgUCBgIHAggCCQIcAgsClQINAggCCAIIAggCCAIIAggCCAIIAggCCAIIAggCCAIIAggCCAACAwKsAh4AAvwCAgIpAgQCBQIGAgcCCAIJAgoCCwKVAg0CCAIIAggCCAIIAggCCAIIAggCCAIIAggCCAIIAggCCAIIAAIDApoCHgAC/AICAlACBAIFAgYCBwIIAgkClwILApUCDQIIAggCCAIIAggCCAIIAggCCAIIAggCCAIIAggCCAIIAggAAgMCmQIeAAL8AgICPgIEAgUCBgIHAggCCQKXAgsClQINAggCCAIIAggCCAIIAggCCAIIAggCCAIIAggCCAIIAggCCAACAwKdAh4AAvwCAgIDAgQCBQIGAgcCCAIJAhwCCwKVAg0CCAIIAggCCAIIAggCCAIIAggCCAIIAggCCAIIAggCCAIIAAIDApsCHgAC/AICAkICBAIFAgYCBwIIAgkClwILApUCDQIIAggCCAIIAggCCAIIAggCCAIIAggCCAIIAggCCAIIAggAAgMCLAIeAAL8egAABAACAgIwAgQCBQIGAgcCCAIJAhwCCwKVAg0CCAIIAggCCAIIAggCCAIIAggCCAIIAggCCAIIAggCCAIIAAIDAp4CHgAC/AICAmICBAIFAgYCBwIIAgkClwILApUCDQIIAggCCAIIAggCCAIIAggCCAIIAggCCAIIAggCCAIIAggAAgMCLAIeAAL8AgICHgIEAgUCBgIHAggCCQIcAgsClQINAggCCAIIAggCCAIIAggCCAIIAggCCAIIAggCCAIIAggCCAACAwLnAh4AAvwCAgItAgQCBQIGAgcCCAIJAgoCCwKVAg0CCAIIAggCCAIIAggCCAIIAggCCAIIAggCCAIIAggCCAIIAAIDAvYCHgAC/AICAmYCBAIFAgYCBwIIAgkClwILApUCDQIIAggCCAIIAggCCAIIAggCCAIIAggCCAIIAggCCAIIAggAAgMC3wIeAAL8AgICIwIEAgUCBgIHAggCCQIKAgsClQINAggCCAIIAggCCAIIAggCCAIIAggCCAIIAggCCAIIAggCCAACAwLeAh4AAvwCAgJGAgQCBQIGAgcCCAIJApcCCwKVAg0CCAIIAggCCAIIAggCCAIIAggCCAIIAggCCAIIAggCCAIIAAIDAiwCHgAC/AICAiUCBAIFAgYCBwIIAgkCHAILApUCDQIIAggCCAIIAggCCAIIAggCCAIIAggCCAIIAggCCAIIAggAAgMC2AIeAAL8AgICOwIEAgUCBgIHAggCCQIKAgsClQINAggCCAIIAggCCAIIAggCCAIIAggCCAIIAggCCAIIAggCCAACAwLUAh4AAvwCAgIbAgQCBQIGAgcCCAIJAgoCCwKVAg0CCAIIAggCCAIIAggCCAIIAggCCAIIAggCCAIIAggCCAIIAAIDAvUCHgAC/AICAisCBAIFAgYCBwIIAgkClwILApUCDQIIAggCCAIIAggCCAIIAggCCAIIAggCCAIIAggCCAIIAggAAgMCLAIeAAL8AgICAwIEAgUCBgIHAggCCQIKAgsClQINAggCCAIIAggCCAIIAggCCAIIAggCCAIIAggCCAIIAggCCAACAwKkAh4AAvwCAgJ3AgQCBQIGAgcCCAIJApcCCwKVAg0CCAIIAggCCAIIAggCCAIIAggCCAIIAggCCAIIAggCCAIIAAIDAiwCHgAC/AICAkMCBAIFAgYCBwIIAgkCHAILApUCDQIIAggCCAIIAggCCAIIAggCCAIIAggCCAIIAggCCAIIAggAAgMC1QIeAAL8AgICLQIEAgUCBgIHAggCCQIcAgsClQINAggCCAIIAggCCAIIAggCCAIIAggCCAIIAggCCAIIAggCCAACAwL5Ah4AAvwCAgJ8egAABAACBAIFAgYCBwIIAgkClwILApUCDQIIAggCCAIIAggCCAIIAggCCAIIAggCCAIIAggCCAIIAggAAgMC2gIeAAL8AgICHgIEAgUCBgIHAggCCQIKAgsClQINAggCCAIIAggCCAIIAggCCAIIAggCCAIIAggCCAIIAggCCAACAwL0Ah4AAvwCAgI7AgQCBQIGAgcCCAIJAhwCCwKVAg0CCAIIAggCCAIIAggCCAIIAggCCAIIAggCCAIIAggCCAIIAAIDAscCHgAC/AICAkkCBAIFAgYCBwIIAgkClwILApUCDQIIAggCCAIIAggCCAIIAggCCAIIAggCCAIIAggCCAIIAggAAgMC0QIeAAL8AgICVgIEAgUCBgIHAggCCQIKAgsClQINAggCCAIIAggCCAIIAggCCAIIAggCCAIIAggCCAIIAggCCAACAwLNAh4AAvwCAgI3AgQCBQIGAgcCCAIJAhwCCwKVAg0CCAIIAggCCAIIAggCCAIIAggCCAIIAggCCAIIAggCCAIIAAIDAs8CHgAC/AICAjkCBAIFAgYCBwIIAgkCHAILApUCDQIIAggCCAIIAggCCAIIAggCCAIIAggCCAIIAggCCAIIAggAAgMC+AIeAAL8AgICRgIEAgUCBgIHAggCCQIcAgsClQINAggCCAIIAggCCAIIAggCCAIIAggCCAIIAggCCAIIAggCCAACAwLbAh4AAvwCAgJSAgQCBQIGAgcCCAIJApcCCwKVAg0CCAIIAggCCAIIAggCCAIIAggCCAIIAggCCAIIAggCCAIIAAIDAiwCHgAC/AICAnwCBAIFAgYCBwIIAgkCCgILApUCDQIIAggCCAIIAggCCAIIAggCCAIIAggCCAIIAggCCAIIAggAAgMCuQIeAAL8AgICVAIEAgUCBgIHAggCCQKXAgsClQINAggCCAIIAggCCAIIAggCCAIIAggCCAIIAggCCAIIAggCCAACAwLFAh4AAvwCAgJWAgQCBQIGAgcCCAIJApcCCwKVAg0CCAIIAggCCAIIAggCCAIIAggCCAIIAggCCAIIAggCCAIIAAIDAtcCHgAC/AICAmoCBAIFAgYCBwIIAgkCCgILApUCDQIIAggCCAIIAggCCAIIAggCCAIIAggCCAIIAggCCAIIAggAAgMCwwIeAAL8AgICdwIEAgUCBgIHAggCCQIKAgsClQINAggCCAIIAggCCAIIAggCCAIIAggCCAIIAggCCAIIAggCCAACAwL1Ah4AAvwCAgJqAgQCBQIGAgcCCAIJAhwCCwKVAg0CCAIIAggCCAIIAggCCAIIAggCCAIIAggCCAIIAggCCAIIAAIDArQCHgAC/AICAjcCBAIFegAABAACBgIHAggCCQIKAgsClQINAggCCAIIAggCCAIIAggCCAIIAggCCAIIAggCCAIIAggCCAACAwLAAh4AAvwCAgIgAgQCBQIGAgcCCAIJApcCCwKVAg0CCAIIAggCCAIIAggCCAIIAggCCAIIAggCCAIIAggCCAIIAAIDAsICHgAC/AICAkwCBAIFAgYCBwIIAgkCHAILApUCDQIIAggCCAIIAggCCAIIAggCCAIIAggCCAIIAggCCAIIAggAAgMC9wIeAAL8AgICKwIEAgUCBgIHAggCCQIKAgsClQINAggCCAIIAggCCAIIAggCCAIIAggCCAIIAggCCAIIAggCCAACAwLjAh4AAvwCAgJrAgQCBQIGAgcCCAIJAhwCCwKVAg0CCAIIAggCCAIIAggCCAIIAggCCAIIAggCCAIIAggCCAIIAAIDAr0CHgAC/AICAkACBAIFAgYCBwIIAgkClwILApUCDQIIAggCCAIIAggCCAIIAggCCAIIAggCCAIIAggCCAIIAggAAgMCugIeAAL8AgICMAIEAgUCBgIHAggCCQIKAgsClQINAggCCAIIAggCCAIIAggCCAIIAggCCAIIAggCCAIIAggCCAACAwKnAh4AAvwCAgI0AgQCBQIGAgcCCAIJAhwCCwKVAg0CCAIIAggCCAIIAggCCAIIAggCCAIIAggCCAIIAggCCAIIAAIDArcCHgAC/AICAikCBAIFAgYCBwIIAgkClwILApUCDQIIAggCCAIIAggCCAIIAggCCAIIAggCCAIIAggCCAIIAggAAgMCuAIeAAL8AgICJwIEAgUCBgIHAggCCQIKAgsClQINAggCCAIIAggCCAIIAggCCAIIAggCCAIIAggCCAIIAggCCAACAwKzAh4AAvwCAgJOAgQCBQIGAgcCCAIJAhwCCwKVAg0CCAIIAggCCAIIAggCCAIIAggCCAIIAggCCAIIAggCCAIIAAIDArECHgAC/AICAjkCBAIFAgYCBwIIAgkCCgILApUCDQIIAggCCAIIAggCCAIIAggCCAIIAggCCAIIAggCCAIIAggAAgMC9QIeAAL9AAk1Mjg2Nzg0NDgCAgJCAgQCBQIGAgcCCAIJAgoCCwKVAg0CCAIIAggCCAIIAggCCAIIAggCCAIIAggCCAIIAggCCAIIAhUCAwL7Ah4AAv0CAgI+AgQCBQIGAgcCCAIJAgoCCwKVAg0CCAIIAggCCAIIAggCCAIIAggCCAIIAggCCAIIAggCCAIIAhUCAwK1Ah4AAv0CAgI0AgQCBQIGAgcCCAIJAhwCCwKVAg0CCAIIAggCCAIIAggCCAIIAggCCAIIAggCCAIIAggCCAIIAhUCAwK3Ah4AegAABAAC/QICAisCBAIFAgYCBwIIAgkCHAILApUCDQIIAggCCAIIAggCCAIIAggCCAIIAggCCAIIAggCCAIIAggCFQIDAuICHgAC/QICAmICBAIFAgYCBwIIAgkCCgILApUCDQIIAggCCAIIAggCCAIIAggCCAIIAggCCAIIAggCCAIIAggCFQIDAqUCHgAC/QICAkMCBAIFAgYCBwIIAgkClwILApUCDQIIAggCCAIIAggCCAIIAggCCAIIAggCCAIIAggCCAIIAggCFQIDAqMCHgAC/QICAnwCBAIFAgYCBwIIAgkCHAILApUCDQIIAggCCAIIAggCCAIIAggCCAIIAggCCAIIAggCCAIIAggCFQIDAtYCHgAC/QICAmsCBAIFAgYCBwIIAgkCCgILApUCDQIIAggCCAIIAggCCAIIAggCCAIIAggCCAIIAggCCAIIAggCFQIDApYCHgAC/QICAmYCBAIFAgYCBwIIAgkCCgILApUCDQIIAggCCAIIAggCCAIIAggCCAIIAggCCAIIAggCCAIIAggCFQIDAqgCHgAC/QICAhsCBAIFAgYCBwIIAgkClwILApUCDQIIAggCCAIIAggCCAIIAggCCAIIAggCCAIIAggCCAIIAggCFQIDAiwCHgAC/QICAh4CBAIFAgYCBwIIAgkClwILApUCDQIIAggCCAIIAggCCAIIAggCCAIIAggCCAIIAggCCAIIAggCFQIDAiwCHgAC/QICAicCBAIFAgYCBwIIAgkClwILApUCDQIIAggCCAIIAggCCAIIAggCCAIIAggCCAIIAggCCAIIAggCFQIDAiwCHgAC/QICAlwCBAIFAgYCBwIIAgkCHAILApUCDQIIAggCCAIIAggCCAIIAggCCAIIAggCCAIIAggCCAIIAggCFQIDAq0CHgAC/QICAiMCBAIFAgYCBwIIAgkClwILApUCDQIIAggCCAIIAggCCAIIAggCCAIIAggCCAIIAggCCAIIAggCFQIDApgCHgAC/QICAlACBAIFAgYCBwIIAgkCHAILApUCDQIIAggCCAIIAggCCAIIAggCCAIIAggCCAIIAggCCAIIAggCFQIDAqsCHgAC/QICAjACBAIFAgYCBwIIAgkClwILApUCDQIIAggCCAIIAggCCAIIAggCCAIIAggCCAIIAggCCAIIAggCFQIDAqECHgAC/QICAnwCBAIFAgYCBwIIAgkCCgILApUCDQIIAggCCAIIAggCCAIIAggCCAIIAggCCAIIAggCCAIIAggCFQIDArkCHgAC/QICAlICBAIFAgYCBwIIAgkClwILApUCDQIIAggCCAIIAggCCAIIAggCCAIIAggCCAIIAggCCAIIegAABAACCAIVAgMCLAIeAAL9AgICSQIEAgUCBgIHAggCCQIKAgsClQINAggCCAIIAggCCAIIAggCCAIIAggCCAIIAggCCAIIAggCCAIVAgMCuwIeAAL9AgICdwIEAgUCBgIHAggCCQIKAgsClQINAggCCAIIAggCCAIIAggCCAIIAggCCAIIAggCCAIIAggCCAIVAgMC9QIeAAL9AgICPgIEAgUCBgIHAggCCQIcAgsClQINAggCCAIIAggCCAIIAggCCAIIAggCCAIIAggCCAIIAggCCAIVAgMCnwIeAAL9AgICIAIEAgUCBgIHAggCCQIcAgsClQINAggCCAIIAggCCAIIAggCCAIIAggCCAIIAggCCAIIAggCCAIVAgMCvwIeAAL9AgICagIEAgUCBgIHAggCCQKXAgsClQINAggCCAIIAggCCAIIAggCCAIIAggCCAIIAggCCAIIAggCCAIVAgMCLAIeAAL9AgICQgIEAgUCBgIHAggCCQIcAgsClQINAggCCAIIAggCCAIIAggCCAIIAggCCAIIAggCCAIIAggCCAIVAgMC6AIeAAL9AgICUAIEAgUCBgIHAggCCQIKAgsClQINAggCCAIIAggCCAIIAggCCAIIAggCCAIIAggCCAIIAggCCAIVAgMCwQIeAAL9AgICKwIEAgUCBgIHAggCCQIKAgsClQINAggCCAIIAggCCAIIAggCCAIIAggCCAIIAggCCAIIAggCCAIVAgMC4wIeAAL9AgICQAIEAgUCBgIHAggCCQIcAgsClQINAggCCAIIAggCCAIIAggCCAIIAggCCAIIAggCCAIIAggCCAIVAgMCvgIeAAL9AgICawIEAgUCBgIHAggCCQIcAgsClQINAggCCAIIAggCCAIIAggCCAIIAggCCAIIAggCCAIIAggCCAIVAgMCvQIeAAL9AgICQAIEAgUCBgIHAggCCQIKAgsClQINAggCCAIIAggCCAIIAggCCAIIAggCCAIIAggCCAIIAggCCAIVAgMCywIeAAL9AgICTAIEAgUCBgIHAggCCQKXAgsClQINAggCCAIIAggCCAIIAggCCAIIAggCCAIIAggCCAIIAggCCAIVAgMCLAIeAAL9AgICOQIEAgUCBgIHAggCCQIcAgsClQINAggCCAIIAggCCAIIAggCCAIIAggCCAIIAggCCAIIAggCCAIVAgMC+AIeAAL9AgICUgIEAgUCBgIHAggCCQIKAgsClQINAggCCAIIAggCCAIIAggCCAIIAggCCAIIAggCCAIIAggCCAIVAgMCsgIeAAL9AgICVAIEAgUCBgIHAggCCQIKAgsClQINAggCCAIIAggCCAIIAggCCAIIAggCegAABAAIAggCCAIIAggCCAIIAhUCAwLSAh4AAv0CAgJOAgQCBQIGAgcCCAIJApcCCwKVAg0CCAIIAggCCAIIAggCCAIIAggCCAIIAggCCAIIAggCCAIIAhUCAwK2Ah4AAv0CAgJUAgQCBQIGAgcCCAIJAhwCCwKVAg0CCAIIAggCCAIIAggCCAIIAggCCAIIAggCCAIIAggCCAIIAhUCAwLJAh4AAv0CAgIpAgQCBQIGAgcCCAIJAhwCCwKVAg0CCAIIAggCCAIIAggCCAIIAggCCAIIAggCCAIIAggCCAIIAhUCAwKwAh4AAv0CAgIgAgQCBQIGAgcCCAIJAgoCCwKVAg0CCAIIAggCCAIIAggCCAIIAggCCAIIAggCCAIIAggCCAIIAhUCAwLEAh4AAv0CAgJWAgQCBQIGAgcCCAIJAgoCCwKVAg0CCAIIAggCCAIIAggCCAIIAggCCAIIAggCCAIIAggCCAIIAhUCAwLNAh4AAv0CAgJJAgQCBQIGAgcCCAIJApcCCwKVAg0CCAIIAggCCAIIAggCCAIIAggCCAIIAggCCAIIAggCCAIIAhUCAwLRAh4AAv0CAgI3AgQCBQIGAgcCCAIJAhwCCwKVAg0CCAIIAggCCAIIAggCCAIIAggCCAIIAggCCAIIAggCCAIIAhUCAwLPAh4AAv0CAgJWAgQCBQIGAgcCCAIJAhwCCwKVAg0CCAIIAggCCAIIAggCCAIIAggCCAIIAggCCAIIAggCCAIIAhUCAwLIAh4AAv0CAgJiAgQCBQIGAgcCCAIJAhwCCwKVAg0CCAIIAggCCAIIAggCCAIIAggCCAIIAggCCAIIAggCCAIIAhUCAwKgAh4AAv0CAgIpAgQCBQIGAgcCCAIJAgoCCwKVAg0CCAIIAggCCAIIAggCCAIIAggCCAIIAggCCAIIAggCCAIIAhUCAwKaAh4AAv0CAgI7AgQCBQIGAgcCCAIJApcCCwKVAg0CCAIIAggCCAIIAggCCAIIAggCCAIIAggCCAIIAggCCAIIAhUCAwLKAh4AAv0CAgJGAgQCBQIGAgcCCAIJApcCCwKVAg0CCAIIAggCCAIIAggCCAIIAggCCAIIAggCCAIIAggCCAIIAhUCAwIsAh4AAv0CAgIDAgQCBQIGAgcCCAIJApcCCwKVAg0CCAIIAggCCAIIAggCCAIIAggCCAIIAggCCAIIAggCCAIIAhUCAwKmAh4AAv0CAgIjAgQCBQIGAgcCCAIJAgoCCwKVAg0CCAIIAggCCAIIAggCCAIIAggCCAIIAggCCAIIAggCCAIIAhUCAwLeAh4AAv0CAgIeAgQCBQIGAgcCCAIJAgoCCwKVAg0CCAIIAggCCAIIegAABAACCAIIAggCCAIIAggCCAIIAggCCAIIAggCFQIDAvQCHgAC/QICAi0CBAIFAgYCBwIIAgkClwILApUCDQIIAggCCAIIAggCCAIIAggCCAIIAggCCAIIAggCCAIIAggCFQIDAiwCHgAC/QICAncCBAIFAgYCBwIIAgkCHAILApUCDQIIAggCCAIIAggCCAIIAggCCAIIAggCCAIIAggCCAIIAggCFQIDAvgCHgAC/QICAmYCBAIFAgYCBwIIAgkCHAILApUCDQIIAggCCAIIAggCCAIIAggCCAIIAggCCAIIAggCCAIIAggCFQIDAtkCHgAC/QICAhsCBAIFAgYCBwIIAgkCCgILApUCDQIIAggCCAIIAggCCAIIAggCCAIIAggCCAIIAggCCAIIAggCFQIDAvUCHgAC/QICAiUCBAIFAgYCBwIIAgkClwILApUCDQIIAggCCAIIAggCCAIIAggCCAIIAggCCAIIAggCCAIIAggCFQIDAt0CHgAC/QICAkMCBAIFAgYCBwIIAgkCHAILApUCDQIIAggCCAIIAggCCAIIAggCCAIIAggCCAIIAggCCAIIAggCFQIDAtUCHgAC/QICAisCBAIFAgYCBwIIAgkClwILApUCDQIIAggCCAIIAggCCAIIAggCCAIIAggCCAIIAggCCAIIAggCFQIDAiwCHgAC/QICAncCBAIFAgYCBwIIAgkClwILApUCDQIIAggCCAIIAggCCAIIAggCCAIIAggCCAIIAggCCAIIAggCFQIDAiwCHgAC/QICAjACBAIFAgYCBwIIAgkCCgILApUCDQIIAggCCAIIAggCCAIIAggCCAIIAggCCAIIAggCCAIIAggCFQIDAqcCHgAC/QICAhsCBAIFAgYCBwIIAgkCHAILApUCDQIIAggCCAIIAggCCAIIAggCCAIIAggCCAIIAggCCAIIAggCFQIDAvgCHgAC/QICAicCBAIFAgYCBwIIAgkCCgILApUCDQIIAggCCAIIAggCCAIIAggCCAIIAggCCAIIAggCCAIIAggCFQIDArMCHgAC/QICAgMCBAIFAgYCBwIIAgkCCgILApUCDQIIAggCCAIIAggCCAIIAggCCAIIAggCCAIIAggCCAIIAggCFQIDAqQCHgAC/QICAnwCBAIFAgYCBwIIAgkClwILApUCDQIIAggCCAIIAggCCAIIAggCCAIIAggCCAIIAggCCAIIAggCFQIDAtoCHgAC/QICAi0CBAIFAgYCBwIIAgkCCgILApUCDQIIAggCCAIIAggCCAIIAggCCAIIAggCCAIIAggCCAIIAggCFQIDAvYCHgAC/QICAjQCBAIFAgYCBwIIAgkClwILApUCegAABAANAggCCAIIAggCCAIIAggCCAIIAggCCAIIAggCCAIIAggCCAIVAgMCogIeAAL9AgICXAIEAgUCBgIHAggCCQKXAgsClQINAggCCAIIAggCCAIIAggCCAIIAggCCAIIAggCCAIIAggCCAIVAgMCrgIeAAL9AgICJwIEAgUCBgIHAggCCQIcAgsClQINAggCCAIIAggCCAIIAggCCAIIAggCCAIIAggCCAIIAggCCAIVAgMCqgIeAAL9AgICJQIEAgUCBgIHAggCCQIKAgsClQINAggCCAIIAggCCAIIAggCCAIIAggCCAIIAggCCAIIAggCCAIVAgMCqQIeAAL9AgICHgIEAgUCBgIHAggCCQIcAgsClQINAggCCAIIAggCCAIIAggCCAIIAggCCAIIAggCCAIIAggCCAIVAgMC5wIeAAL9AgICUAIEAgUCBgIHAggCCQKXAgsClQINAggCCAIIAggCCAIIAggCCAIIAggCCAIIAggCCAIIAggCCAIVAgMCmQIeAAL9AgICIwIEAgUCBgIHAggCCQIcAgsClQINAggCCAIIAggCCAIIAggCCAIIAggCCAIIAggCCAIIAggCCAIVAgMCrAIeAAL9AgICPgIEAgUCBgIHAggCCQKXAgsClQINAggCCAIIAggCCAIIAggCCAIIAggCCAIIAggCCAIIAggCCAIVAgMCnQIeAAL9AgICQgIEAgUCBgIHAggCCQKXAgsClQINAggCCAIIAggCCAIIAggCCAIIAggCCAIIAggCCAIIAggCCAIVAgMCLAIeAAL9AgICQwIEAgUCBgIHAggCCQIKAgsClQINAggCCAIIAggCCAIIAggCCAIIAggCCAIIAggCCAIIAggCCAIVAgMCvAIeAAL9AgICMAIEAgUCBgIHAggCCQIcAgsClQINAggCCAIIAggCCAIIAggCCAIIAggCCAIIAggCCAIIAggCCAIVAgMCngIeAAL9AgICOQIEAgUCBgIHAggCCQIKAgsClQINAggCCAIIAggCCAIIAggCCAIIAggCCAIIAggCCAIIAggCCAIVAgMC9QIeAAL9AgICagIEAgUCBgIHAggCCQIcAgsClQINAggCCAIIAggCCAIIAggCCAIIAggCCAIIAggCCAIIAggCCAIVAgMCtAIeAAL9AgICNwIEAgUCBgIHAggCCQIKAgsClQINAggCCAIIAggCCAIIAggCCAIIAggCCAIIAggCCAIIAggCCAIVAgMCwAIeAAL9AgICIAIEAgUCBgIHAggCCQKXAgsClQINAggCCAIIAggCCAIIAggCCAIIAggCCAIIAggCCAIIAggCCAIVAgMCwgIeAAL9AgICQAIEAgUCBgIHegAABAACCAIJApcCCwKVAg0CCAIIAggCCAIIAggCCAIIAggCCAIIAggCCAIIAggCCAIIAhUCAwK6Ah4AAv0CAgJrAgQCBQIGAgcCCAIJApcCCwKVAg0CCAIIAggCCAIIAggCCAIIAggCCAIIAggCCAIIAggCCAIIAhUCAwKvAh4AAv0CAgJJAgQCBQIGAgcCCAIJAhwCCwKVAg0CCAIIAggCCAIIAggCCAIIAggCCAIIAggCCAIIAggCCAIIAhUCAwLQAh4AAv0CAgIpAgQCBQIGAgcCCAIJApcCCwKVAg0CCAIIAggCCAIIAggCCAIIAggCCAIIAggCCAIIAggCCAIIAhUCAwK4Ah4AAv0CAgJOAgQCBQIGAgcCCAIJAhwCCwKVAg0CCAIIAggCCAIIAggCCAIIAggCCAIIAggCCAIIAggCCAIIAhUCAwKxAh4AAv0CAgJMAgQCBQIGAgcCCAIJAhwCCwKVAg0CCAIIAggCCAIIAggCCAIIAggCCAIIAggCCAIIAggCCAIIAhUCAwL3Ah4AAv0CAgI5AgQCBQIGAgcCCAIJApcCCwKVAg0CCAIIAggCCAIIAggCCAIIAggCCAIIAggCCAIIAggCCAIIAhUCAwIsAh4AAv0CAgJSAgQCBQIGAgcCCAIJAhwCCwKVAg0CCAIIAggCCAIIAggCCAIIAggCCAIIAggCCAIIAggCCAIIAhUCAwLGAh4AAv0CAgI7AgQCBQIGAgcCCAIJAgoCCwKVAg0CCAIIAggCCAIIAggCCAIIAggCCAIIAggCCAIIAggCCAIIAhUCAwLUAh4AAv0CAgJGAgQCBQIGAgcCCAIJAgoCCwKVAg0CCAIIAggCCAIIAggCCAIIAggCCAIIAggCCAIIAggCCAIIAhUCAwLMAh4AAv0CAgI3AgQCBQIGAgcCCAIJApcCCwKVAg0CCAIIAggCCAIIAggCCAIIAggCCAIIAggCCAIIAggCCAIIAhUCAwLOAh4AAv0CAgJGAgQCBQIGAgcCCAIJAhwCCwKVAg0CCAIIAggCCAIIAggCCAIIAggCCAIIAggCCAIIAggCCAIIAhUCAwLbAh4AAv0CAgItAgQCBQIGAgcCCAIJAhwCCwKVAg0CCAIIAggCCAIIAggCCAIIAggCCAIIAggCCAIIAggCCAIIAhUCAwL5Ah4AAv0CAgJWAgQCBQIGAgcCCAIJApcCCwKVAg0CCAIIAggCCAIIAggCCAIIAggCCAIIAggCCAIIAggCCAIIAhUCAwLXAh4AAv0CAgJiAgQCBQIGAgcCCAIJApcCCwKVAg0CCAIIAggCCAIIAggCCAIIAggCCAIIAggCCAIIAggCCAIIAhUCAwIsAh4AAv0CegAABAACAlQCBAIFAgYCBwIIAgkClwILApUCDQIIAggCCAIIAggCCAIIAggCCAIIAggCCAIIAggCCAIIAggCFQIDAsUCHgAC/QICAk4CBAIFAgYCBwIIAgkCCgILApUCDQIIAggCCAIIAggCCAIIAggCCAIIAggCCAIIAggCCAIIAggCFQIDApwCHgAC/QICAmoCBAIFAgYCBwIIAgkCCgILApUCDQIIAggCCAIIAggCCAIIAggCCAIIAggCCAIIAggCCAIIAggCFQIDAsMCHgAC/QICAgMCBAIFAgYCBwIIAgkCHAILApUCDQIIAggCCAIIAggCCAIIAggCCAIIAggCCAIIAggCCAIIAggCFQIDApsCHgAC/QICAjsCBAIFAgYCBwIIAgkCHAILApUCDQIIAggCCAIIAggCCAIIAggCCAIIAggCCAIIAggCCAIIAggCFQIDAscCHgAC/QICAlwCBAIFAgYCBwIIAgkCCgILApUCDQIIAggCCAIIAggCCAIIAggCCAIIAggCCAIIAggCCAIIAggCFQIDAtMCHgAC/QICAmYCBAIFAgYCBwIIAgkClwILApUCDQIIAggCCAIIAggCCAIIAggCCAIIAggCCAIIAggCCAIIAggCFQIDAt8CHgAC/QICAjQCBAIFAgYCBwIIAgkCCgILApUCDQIIAggCCAIIAggCCAIIAggCCAIIAggCCAIIAggCCAIIAggCFQIDAtwCHgAC/QICAkwCBAIFAgYCBwIIAgkCCgILApUCDQIIAggCCAIIAggCCAIIAggCCAIIAggCCAIIAggCCAIIAggCFQIDAvoCHgAC/QICAiUCBAIFAgYCBwIIAgkCHAILApUCDQIIAggCCAIIAggCCAIIAggCCAIIAggCCAIIAggCCAIIAggCFQIDAtgCHgAC/gAJNTg5MjU2MDAwAgICagIEAgUCBgIHAggCCQIKAgsCDAINAggCCAIIAggCCAIIAggCCAIIAggCCAIIAggCCAIIAggCCAIcAgMCggIeAAL+AgICKQIEAgUCBgIHAggCCQIhAgsCDAINAggCCAIIAggCCAIIAggCCAIIAggCCAIIAggCCAIIAggCCAIcAgMCgwIeAAL+AgICTgIEAgUCBgIHAggCCQIhAgsCDAINAggCCAIIAggCCAIIAggCCAIIAggCCAIIAggCCAIIAggCCAIcAgMCTwIeAAL+AgICIAIEAgUCBgIHAggCCQIKAgsCDAINAggCCAIIAggCCAIIAggCCAIIAggCCAIIAggCCAIIAggCCAIcAgMCTQIeAAL+AgICUgIEAgUCBgIHAggCCQIcAgsCDAINAggCCAIIAggCCAIIAggCCAIIAggCCAIIegAABAACCAIIAggCCAIIAhwCAwJTAh4AAv4CAgJUAgQCBQIGAgcCCAIJAhwCCwIMAg0CCAIIAggCCAIIAggCCAIIAggCCAIIAggCCAIIAggCCAIIAhwCAwJVAh4AAv4CAgJrAgQCBQIGAgcCCAIJAiECCwIMAg0CCAIIAggCCAIIAggCCAIIAggCCAIIAggCCAIIAggCCAIIAhwCAwJ7Ah4AAv4CAgJGAgQCBQIGAgcCCAIJAhwCCwIMAg0CCAIIAggCCAIIAggCCAIIAggCCAIIAggCCAIIAggCCAIIAhwCAwKEAh4AAv4CAgI7AgQCBQIGAgcCCAIJAhwCCwIMAg0CCAIIAggCCAIIAggCCAIIAggCCAIIAggCCAIIAggCCAIIAhwCAwKGAh4AAv4CAgJ8AgQCBQIGAgcCCAIJAgoCCwIMAg0CCAIIAggCCAIIAggCCAIIAggCCAIIAggCCAIIAggCCAIIAhwCAwKFAh4AAv4CAgJWAgQCBQIGAgcCCAIJAhwCCwIMAg0CCAIIAggCCAIIAggCCAIIAggCCAIIAggCCAIIAggCCAIIAhwCAwJXAh4AAv4CAgIlAgQCBQIGAgcCCAIJAiECCwIMAg0CCAIIAggCCAIIAggCCAIIAggCCAIIAggCCAIIAggCCAIIAhwCAwJFAh4AAv4CAgJWAgQCBQIGAgcCCAIJAgoCCwIMAg0CCAIIAggCCAIIAggCCAIIAggCCAIIAggCCAIIAggCCAIIAhwCAwJ/Ah4AAv4CAgI3AgQCBQIGAgcCCAIJAhwCCwIMAg0CCAIIAggCCAIIAggCCAIIAggCCAIIAggCCAIIAggCCAIIAhwCAwKBAh4AAv4CAgJmAgQCBQIGAgcCCAIJAiECCwIMAg0CCAIIAggCCAIIAggCCAIIAggCCAIIAggCCAIIAggCCAIIAhwCAwKAAh4AAv4CAgJGAgQCBQIGAgcCCAIJAgoCCwIMAg0CCAIIAggCCAIIAggCCAIIAggCCAIIAggCCAIIAggCCAIIAhwCAwJHAh4AAv4CAgJJAgQCBQIGAgcCCAIJAhwCCwIMAg0CCAIIAggCCAIIAggCCAIIAggCCAIIAggCCAIIAggCCAIIAhwCAwJKAh4AAv4CAgJAAgQCBQIGAgcCCAIJAgoCCwIMAg0CCAIIAggCCAIIAggCCAIIAggCCAIIAggCCAIIAggCCAIIAhwCAwJLAh4AAv4CAgInAgQCBQIGAgcCCAIJAgoCCwIMAg0CCAIIAggCCAIIAggCCAIIAggCCAIIAggCCAIIAggCCAIIAhwCAwKNAh4AAv4CAgJOAgQCBQIGAgcCCAIJAhwCCwIMAg0CCAIIAggCCAIIAggCegAABAAIAggCCAIIAggCCAIIAggCCAIIAggCHAIDAo8CHgAC/gICAjsCBAIFAgYCBwIIAgkCIQILAgwCDQIIAggCCAIIAggCCAIIAggCCAIIAggCCAIIAggCCAIIAggCHAIDAl4CHgAC/gICAlICBAIFAgYCBwIIAgkCCgILAgwCDQIIAggCCAIIAggCCAIIAggCCAIIAggCCAIIAggCCAIIAggCHAIDAl8CHgAC/gICAiMCBAIFAgYCBwIIAgkCIQILAgwCDQIIAggCCAIIAggCCAIIAggCCAIIAggCCAIIAggCCAIIAggCHAIDAocCHgAC/gICAjACBAIFAgYCBwIIAgkCCgILAgwCDQIIAggCCAIIAggCCAIIAggCCAIIAggCCAIIAggCCAIIAggCHAIDApECHgAC/gICAkYCBAIFAgYCBwIIAgkCIQILAgwCDQIIAggCCAIIAggCCAIIAggCCAIIAggCCAIIAggCCAIIAggCHAIDAiwCHgAC/gICAikCBAIFAgYCBwIIAgkCHAILAgwCDQIIAggCCAIIAggCCAIIAggCCAIIAggCCAIIAggCCAIIAggCHAIDAmECHgAC/gICAjQCBAIFAgYCBwIIAgkCHAILAgwCDQIIAggCCAIIAggCCAIIAggCCAIIAggCCAIIAggCCAIIAggCHAIDApICHgAC/gICAj4CBAIFAgYCBwIIAgkCCgILAgwCDQIIAggCCAIIAggCCAIIAggCCAIIAggCCAIIAggCCAIIAggCHAIDAmACHgAC/gICAkMCBAIFAgYCBwIIAgkCCgILAgwCDQIIAggCCAIIAggCCAIIAggCCAIIAggCCAIIAggCCAIIAggCHAIDAlgCHgAC/gICAkkCBAIFAgYCBwIIAgkCCgILAgwCDQIIAggCCAIIAggCCAIIAggCCAIIAggCCAIIAggCCAIIAggCHAIDAlkCHgAC/gICAlYCBAIFAgYCBwIIAgkCIQILAgwCDQIIAggCCAIIAggCCAIIAggCCAIIAggCCAIIAggCCAIIAggCHAIDAmQCHgAC/gICAlwCBAIFAgYCBwIIAgkCIQILAgwCDQIIAggCCAIIAggCCAIIAggCCAIIAggCCAIIAggCCAIIAggCHAIDAl0CHgAC/gICAmICBAIFAgYCBwIIAgkCIQILAgwCDQIIAggCCAIIAggCCAIIAggCCAIIAggCCAIIAggCCAIIAggCHAIDAiwCHgAC/gICAisCBAIFAgYCBwIIAgkCCgILAgwCDQIIAggCCAIIAggCCAIIAggCCAIIAggCCAIIAggCCAIIAggCHAIDAogCHgAC/gICAkACBAIFAgYCBwIIAgkCHAILAgwCDQIIegAABAACCAIIAggCCAIIAggCCAIIAggCCAIIAggCCAIIAggCCAIcAgMCWgIeAAL+AgICIAIEAgUCBgIHAggCCQIcAgsCDAINAggCCAIIAggCCAIIAggCCAIIAggCCAIIAggCCAIIAggCCAIcAgMCWwIeAAL+AgICawIEAgUCBgIHAggCCQIcAgsCDAINAggCCAIIAggCCAIIAggCCAIIAggCCAIIAggCCAIIAggCCAIcAgMCiwIeAAL+AgICAwIEAgUCBgIHAggCCQIhAgsCDAINAggCCAIIAggCCAIIAggCCAIIAggCCAIIAggCCAIIAggCCAIcAgMCSAIeAAL+AgICagIEAgUCBgIHAggCCQIcAgsCDAINAggCCAIIAggCCAIIAggCCAIIAggCCAIIAggCCAIIAggCCAIcAgMCiQIeAAL+AgICVAIEAgUCBgIHAggCCQIhAgsCDAINAggCCAIIAggCCAIIAggCCAIIAggCCAIIAggCCAIIAggCCAIcAgMCkAIeAAL+AgICUAIEAgUCBgIHAggCCQIKAgsCDAINAggCCAIIAggCCAIIAggCCAIIAggCCAIIAggCCAIIAggCCAIcAgMCbQIeAAL+AgICNwIEAgUCBgIHAggCCQIKAgsCDAINAggCCAIIAggCCAIIAggCCAIIAggCCAIIAggCCAIIAggCCAIcAgMCjAIeAAL+AgICPgIEAgUCBgIHAggCCQIcAgsCDAINAggCCAIIAggCCAIIAggCCAIIAggCCAIIAggCCAIIAggCCAIcAgMCbgIeAAL+AgICUAIEAgUCBgIHAggCCQIcAgsCDAINAggCCAIIAggCCAIIAggCCAIIAggCCAIIAggCCAIIAggCCAIcAgMCaAIeAAL+AgICIAIEAgUCBgIHAggCCQIhAgsCDAINAggCCAIIAggCCAIIAggCCAIIAggCCAIIAggCCAIIAggCCAIcAgMCIgIeAAL+AgICQwIEAgUCBgIHAggCCQIhAgsCDAINAggCCAIIAggCCAIIAggCCAIIAggCCAIIAggCCAIIAggCCAIcAgMCcQIeAAL+AgICKwIEAgUCBgIHAggCCQIhAgsCDAINAggCCAIIAggCCAIIAggCCAIIAggCCAIIAggCCAIIAggCCAIcAgMCLAIeAAL+AgICAwIEAgUCBgIHAggCCQIcAgsCDAINAggCCAIIAggCCAIIAggCCAIIAggCCAIIAggCCAIIAggCCAIcAgMCLwIeAAL+AgICKQIEAgUCBgIHAggCCQIKAgsCDAINAggCCAIIAggCCAIIAggCCAIIAggCCAIIAggCCAIIAggCCAIcAgMCKgIeAAL+AgICMAIEAgUCBgIHAggCegAABAAJAhwCCwIMAg0CCAIIAggCCAIIAggCCAIIAggCCAIIAggCCAIIAggCCAIIAhwCAwIxAh4AAv4CAgJiAgQCBQIGAgcCCAIJAhwCCwIMAg0CCAIIAggCCAIIAggCCAIIAggCCAIIAggCCAIIAggCCAIIAhwCAwJzAh4AAv4CAgJOAgQCBQIGAgcCCAIJAgoCCwIMAg0CCAIIAggCCAIIAggCCAIIAggCCAIIAggCCAIIAggCCAIIAhwCAwJyAh4AAv4CAgJiAgQCBQIGAgcCCAIJAgoCCwIMAg0CCAIIAggCCAIIAggCCAIIAggCCAIIAggCCAIIAggCCAIIAhwCAwJjAh4AAv4CAgIjAgQCBQIGAgcCCAIJAhwCCwIMAg0CCAIIAggCCAIIAggCCAIIAggCCAIIAggCCAIIAggCCAIIAhwCAwIkAh4AAv4CAgI0AgQCBQIGAgcCCAIJAiECCwIMAg0CCAIIAggCCAIIAggCCAIIAggCCAIIAggCCAIIAggCCAIIAhwCAwI1Ah4AAv4CAgJ8AgQCBQIGAgcCCAIJAiECCwIMAg0CCAIIAggCCAIIAggCCAIIAggCCAIIAggCCAIIAggCCAIIAhwCAwKKAh4AAv4CAgJqAgQCBQIGAgcCCAIJAiECCwIMAg0CCAIIAggCCAIIAggCCAIIAggCCAIIAggCCAIIAggCCAIIAhwCAwIsAh4AAv4CAgJmAgQCBQIGAgcCCAIJAgoCCwIMAg0CCAIIAggCCAIIAggCCAIIAggCCAIIAggCCAIIAggCCAIIAhwCAwJnAh4AAv4CAgInAgQCBQIGAgcCCAIJAhwCCwIMAg0CCAIIAggCCAIIAggCCAIIAggCCAIIAggCCAIIAggCCAIIAhwCAwIoAh4AAv4CAgJcAgQCBQIGAgcCCAIJAhwCCwIMAg0CCAIIAggCCAIIAggCCAIIAggCCAIIAggCCAIIAggCCAIIAhwCAwJpAh4AAv4CAgJrAgQCBQIGAgcCCAIJAgoCCwIMAg0CCAIIAggCCAIIAggCCAIIAggCCAIIAggCCAIIAggCCAIIAhwCAwJsAh4AAv4CAgIlAgQCBQIGAgcCCAIJAgoCCwIMAg0CCAIIAggCCAIIAggCCAIIAggCCAIIAggCCAIIAggCCAIIAhwCAwImAh4AAv4CAgJSAgQCBQIGAgcCCAIJAiECCwIMAg0CCAIIAggCCAIIAggCCAIIAggCCAIIAggCCAIIAggCCAIIAhwCAwIsAh4AAv4CAgI7AgQCBQIGAgcCCAIJAgoCCwIMAg0CCAIIAggCCAIIAggCCAIIAggCCAIIAggCCAIIAggCCAIIAhwCAwI8Ah4AAv4CAgJQegAABAACBAIFAgYCBwIIAgkCIQILAgwCDQIIAggCCAIIAggCCAIIAggCCAIIAggCCAIIAggCCAIIAggCHAIDAlECHgAC/gICAjACBAIFAgYCBwIIAgkCIQILAgwCDQIIAggCCAIIAggCCAIIAggCCAIIAggCCAIIAggCCAIIAggCHAIDAnkCHgAC/gICAj4CBAIFAgYCBwIIAgkCIQILAgwCDQIIAggCCAIIAggCCAIIAggCCAIIAggCCAIIAggCCAIIAggCHAIDAj8CHgAC/gICAicCBAIFAgYCBwIIAgkCIQILAgwCDQIIAggCCAIIAggCCAIIAggCCAIIAggCCAIIAggCCAIIAggCHAIDAiwCHgAC/gICAnwCBAIFAgYCBwIIAgkCHAILAgwCDQIIAggCCAIIAggCCAIIAggCCAIIAggCCAIIAggCCAIIAggCHAIDAn0CHgAC/gICAkACBAIFAgYCBwIIAgkCIQILAgwCDQIIAggCCAIIAggCCAIIAggCCAIIAggCCAIIAggCCAIIAggCHAIDAkECHgAC/gICAisCBAIFAgYCBwIIAgkCHAILAgwCDQIIAggCCAIIAggCCAIIAggCCAIIAggCCAIIAggCCAIIAggCHAIDAn4CHgAC/gICAjQCBAIFAgYCBwIIAgkCCgILAgwCDQIIAggCCAIIAggCCAIIAggCCAIIAggCCAIIAggCCAIIAggCHAIDAnUCHgAC/gICAkMCBAIFAgYCBwIIAgkCHAILAgwCDQIIAggCCAIIAggCCAIIAggCCAIIAggCCAIIAggCCAIIAggCHAIDAkQCHgAC/gICAlQCBAIFAgYCBwIIAgkCCgILAgwCDQIIAggCCAIIAggCCAIIAggCCAIIAggCCAIIAggCCAIIAggCHAIDAngCHgAC/gICAiUCBAIFAgYCBwIIAgkCHAILAgwCDQIIAggCCAIIAggCCAIIAggCCAIIAggCCAIIAggCCAIIAggCHAIDAjICHgAC/gICAgMCBAIFAgYCBwIIAgkCCgILAgwCDQIIAggCCAIIAggCCAIIAggCCAIIAggCCAIIAggCCAIIAggCHAIDAg4CHgAC/gICAmYCBAIFAgYCBwIIAgkCHAILAgwCDQIIAggCCAIIAggCCAIIAggCCAIIAggCCAIIAggCCAIIAggCHAIDAnQCHgAC/gICAjcCBAIFAgYCBwIIAgkCIQILAgwCDQIIAggCCAIIAggCCAIIAggCCAIIAggCCAIIAggCCAIIAggCHAIDAjgCHgAC/gICAkkCBAIFAgYCBwIIAgkCIQILAgwCDQIIAggCCAIIAggCCAIIAggCCAIIAggCCAIIAggCCAIIAggCHAIDegAABAACdgIeAAL+AgICXAIEAgUCBgIHAggCCQIKAgsCDAINAggCCAIIAggCCAIIAggCCAIIAggCCAIIAggCCAIIAggCCAIcAgMCegIeAAL+AgICIwIEAgUCBgIHAggCCQIKAgsCDAINAggCCAIIAggCCAIIAggCCAIIAggCCAIIAggCCAIIAggCCAIcAgMCOgIeAAL/AAk1ODkyNTAyMDACAgJDAgQCBQIGAgcCCAIJApcCCwKVAg0CCAIIAggCCAIIAggCCAIIAggCCAIIAggCCAIIAggCCAIIAhcCAwKjAh4AAv8CAgI0AgQCBQIGAgcCCAIJAhwCCwKVAg0CCAIIAggCCAIIAggCCAIIAggCCAIIAggCCAIIAggCCAIIAhcCAwK3Ah4AAv8CAgJiAgQCBQIGAgcCCAIJAgoCCwKVAg0CCAIIAggCCAIIAggCCAIIAggCCAIIAggCCAIIAggCCAIIAhcCAwKlAh4AAv8CAgJCAgQCBQIGAgcCCAIJAgoCCwKVAg0CCAIIAggCCAIIAggCCAIIAggCCAIIAggCCAIIAggCCAIIAhcCAwL7Ah4AAv8CAgIrAgQCBQIGAgcCCAIJAhwCCwKVAg0CCAIIAggCCAIIAggCCAIIAggCCAIIAggCCAIIAggCCAIIAhcCAwLiAh4AAv8CAgJ8AgQCBQIGAgcCCAIJAhwCCwKVAg0CCAIIAggCCAIIAggCCAIIAggCCAIIAggCCAIIAggCCAIIAhcCAwLWAh4AAv8CAgIbAgQCBQIGAgcCCAIJApcCCwKVAg0CCAIIAggCCAIIAggCCAIIAggCCAIIAggCCAIIAggCCAIIAhcCAwIsAh4AAv8CAgI+AgQCBQIGAgcCCAIJAgoCCwKVAg0CCAIIAggCCAIIAggCCAIIAggCCAIIAggCCAIIAggCCAIIAhcCAwK1Ah4AAv8CAgJrAgQCBQIGAgcCCAIJAgoCCwKVAg0CCAIIAggCCAIIAggCCAIIAggCCAIIAggCCAIIAggCCAIIAhcCAwKWAh4AAv8CAgI+AgQCBQIGAgcCCAIJAhwCCwKVAg0CCAIIAggCCAIIAggCCAIIAggCCAIIAggCCAIIAggCCAIIAhcCAwKfAh4AAv8CAgJQAgQCBQIGAgcCCAIJAhwCCwKVAg0CCAIIAggCCAIIAggCCAIIAggCCAIIAggCCAIIAggCCAIIAhcCAwKrAh4AAv8CAgIjAgQCBQIGAgcCCAIJApcCCwKVAg0CCAIIAggCCAIIAggCCAIIAggCCAIIAggCCAIIAggCCAIIAhcCAwKYAh4AAv8CAgJmAgQCBQIGAgcCCAIJAgoCCwKVAg0CCAIIAggCCAIIAggCCAIIegAABAACCAIIAggCCAIIAggCCAIIAggCFwIDAqgCHgAC/wICAicCBAIFAgYCBwIIAgkClwILApUCDQIIAggCCAIIAggCCAIIAggCCAIIAggCCAIIAggCCAIIAggCFwIDAiwCHgAC/wICAh4CBAIFAgYCBwIIAgkClwILApUCDQIIAggCCAIIAggCCAIIAggCCAIIAggCCAIIAggCCAIIAggCFwIDAiwCHgAC/wICAlwCBAIFAgYCBwIIAgkCHAILApUCDQIIAggCCAIIAggCCAIIAggCCAIIAggCCAIIAggCCAIIAggCFwIDAq0CHgAC/wICAgMCBAIFAgYCBwIIAgkClwILApUCDQIIAggCCAIIAggCCAIIAggCCAIIAggCCAIIAggCCAIIAggCFwIDAqYCHgAC/wICAjQCBAIFAgYCBwIIAgkCCgILApUCDQIIAggCCAIIAggCCAIIAggCCAIIAggCCAIIAggCCAIIAggCFwIDAtwCHgAC/wICAlYCBAIFAgYCBwIIAgkClwILApUCDQIIAggCCAIIAggCCAIIAggCCAIIAggCCAIIAggCCAIIAggCFwIDAtcCHgAC/wICAkYCBAIFAgYCBwIIAgkCHAILApUCDQIIAggCCAIIAggCCAIIAggCCAIIAggCCAIIAggCCAIIAggCFwIDAtsCHgAC/wICAmICBAIFAgYCBwIIAgkCHAILApUCDQIIAggCCAIIAggCCAIIAggCCAIIAggCCAIIAggCCAIIAggCFwIDAqACHgAC/wICAk4CBAIFAgYCBwIIAgkCCgILApUCDQIIAggCCAIIAggCCAIIAggCCAIIAggCCAIIAggCCAIIAggCFwIDApwCHgAC/wICAncCBAIFAgYCBwIIAgkCHAILApUCDQIIAggCCAIIAggCCAIIAggCCAIIAggCCAIIAggCCAIIAggCFwIDAvgCHgAC/wICAlwCBAIFAgYCBwIIAgkCCgILApUCDQIIAggCCAIIAggCCAIIAggCCAIIAggCCAIIAggCCAIIAggCFwIDAtMCHgAC/wICAiUCBAIFAgYCBwIIAgkClwILApUCDQIIAggCCAIIAggCCAIIAggCCAIIAggCCAIIAggCCAIIAggCFwIDAt0CHgAC/wICAkwCBAIFAgYCBwIIAgkCCgILApUCDQIIAggCCAIIAggCCAIIAggCCAIIAggCCAIIAggCCAIIAggCFwIDAvoCHgAC/wICAmYCBAIFAgYCBwIIAgkCHAILApUCDQIIAggCCAIIAggCCAIIAggCCAIIAggCCAIIAggCCAIIAggCFwIDAtkCHgAC/wICAi0CBAIFAgYCBwIIAgkClwILApUCDQIIAggCegAABAAIAggCCAIIAggCCAIIAggCCAIIAggCCAIIAggCCAIXAgMCLAIeAAL/AgICQAIEAgUCBgIHAggCCQIKAgsClQINAggCCAIIAggCCAIIAggCCAIIAggCCAIIAggCCAIIAggCCAIXAgMCywIeAAL/AgICNwIEAgUCBgIHAggCCQKXAgsClQINAggCCAIIAggCCAIIAggCCAIIAggCCAIIAggCCAIIAggCCAIXAgMCzgIeAAL/AgICRgIEAgUCBgIHAggCCQIKAgsClQINAggCCAIIAggCCAIIAggCCAIIAggCCAIIAggCCAIIAggCCAIXAgMCzAIeAAL/AgICTgIEAgUCBgIHAggCCQKXAgsClQINAggCCAIIAggCCAIIAggCCAIIAggCCAIIAggCCAIIAggCCAIXAgMCtgIeAAL/AgICTAIEAgUCBgIHAggCCQKXAgsClQINAggCCAIIAggCCAIIAggCCAIIAggCCAIIAggCCAIIAggCCAIXAgMCLAIeAAL/AgICUgIEAgUCBgIHAggCCQIcAgsClQINAggCCAIIAggCCAIIAggCCAIIAggCCAIIAggCCAIIAggCCAIXAgMCxgIeAAL/AgICIAIEAgUCBgIHAggCCQIKAgsClQINAggCCAIIAggCCAIIAggCCAIIAggCCAIIAggCCAIIAggCCAIXAgMCxAIeAAL/AgICOwIEAgUCBgIHAggCCQIKAgsClQINAggCCAIIAggCCAIIAggCCAIIAggCCAIIAggCCAIIAggCCAIXAgMC1AIeAAL/AgICVAIEAgUCBgIHAggCCQIcAgsClQINAggCCAIIAggCCAIIAggCCAIIAggCCAIIAggCCAIIAggCCAIXAgMCyQIeAAL/AgICOQIEAgUCBgIHAggCCQKXAgsClQINAggCCAIIAggCCAIIAggCCAIIAggCCAIIAggCCAIIAggCCAIXAgMCLAIeAAL/AgICSQIEAgUCBgIHAggCCQIcAgsClQINAggCCAIIAggCCAIIAggCCAIIAggCCAIIAggCCAIIAggCCAIXAgMC0AIeAAL/AgICQwIEAgUCBgIHAggCCQIKAgsClQINAggCCAIIAggCCAIIAggCCAIIAggCCAIIAggCCAIIAggCCAIXAgMCvAIeAAL/AgICMAIEAgUCBgIHAggCCQKXAgsClQINAggCCAIIAggCCAIIAggCCAIIAggCCAIIAggCCAIIAggCCAIXAgMCoQIeAAL/AgICQgIEAgUCBgIHAggCCQIcAgsClQINAggCCAIIAggCCAIIAggCCAIIAggCCAIIAggCCAIIAggCCAIXAgMC6AIeAAL/AgICKQIEAgUCBgIHAggCCQIcegAABAACCwKVAg0CCAIIAggCCAIIAggCCAIIAggCCAIIAggCCAIIAggCCAIIAhcCAwKwAh4AAv8CAgJrAgQCBQIGAgcCCAIJApcCCwKVAg0CCAIIAggCCAIIAggCCAIIAggCCAIIAggCCAIIAggCCAIIAhcCAwKvAh4AAv8CAgJSAgQCBQIGAgcCCAIJAgoCCwKVAg0CCAIIAggCCAIIAggCCAIIAggCCAIIAggCCAIIAggCCAIIAhcCAwKyAh4AAv8CAgJAAgQCBQIGAgcCCAIJAhwCCwKVAg0CCAIIAggCCAIIAggCCAIIAggCCAIIAggCCAIIAggCCAIIAhcCAwK+Ah4AAv8CAgJJAgQCBQIGAgcCCAIJAgoCCwKVAg0CCAIIAggCCAIIAggCCAIIAggCCAIIAggCCAIIAggCCAIIAhcCAwK7Ah4AAv8CAgJQAgQCBQIGAgcCCAIJAgoCCwKVAg0CCAIIAggCCAIIAggCCAIIAggCCAIIAggCCAIIAggCCAIIAhcCAwLBAh4AAv8CAgIgAgQCBQIGAgcCCAIJAhwCCwKVAg0CCAIIAggCCAIIAggCCAIIAggCCAIIAggCCAIIAggCCAIIAhcCAwK/Ah4AAv8CAgJqAgQCBQIGAgcCCAIJApcCCwKVAg0CCAIIAggCCAIIAggCCAIIAggCCAIIAggCCAIIAggCCAIIAhcCAwIsAh4AAv8CAgIrAgQCBQIGAgcCCAIJApcCCwKVAg0CCAIIAggCCAIIAggCCAIIAggCCAIIAggCCAIIAggCCAIIAhcCAwIsAh4AAv8CAgJ8AgQCBQIGAgcCCAIJApcCCwKVAg0CCAIIAggCCAIIAggCCAIIAggCCAIIAggCCAIIAggCCAIIAhcCAwLaAh4AAv8CAgIbAgQCBQIGAgcCCAIJAhwCCwKVAg0CCAIIAggCCAIIAggCCAIIAggCCAIIAggCCAIIAggCCAIIAhcCAwL4Ah4AAv8CAgJDAgQCBQIGAgcCCAIJAhwCCwKVAg0CCAIIAggCCAIIAggCCAIIAggCCAIIAggCCAIIAggCCAIIAhcCAwLVAh4AAv8CAgI0AgQCBQIGAgcCCAIJApcCCwKVAg0CCAIIAggCCAIIAggCCAIIAggCCAIIAggCCAIIAggCCAIIAhcCAwKiAh4AAv8CAgIwAgQCBQIGAgcCCAIJAgoCCwKVAg0CCAIIAggCCAIIAggCCAIIAggCCAIIAggCCAIIAggCCAIIAhcCAwKnAh4AAv8CAgIDAgQCBQIGAgcCCAIJAgoCCwKVAg0CCAIIAggCCAIIAggCCAIIAggCCAIIAggCCAIIAggCCAIIAhcCAwKkAh4AAv8CAgJcAgQCegAABAAFAgYCBwIIAgkClwILApUCDQIIAggCCAIIAggCCAIIAggCCAIIAggCCAIIAggCCAIIAggCFwIDAq4CHgAC/wICAi0CBAIFAgYCBwIIAgkCCgILApUCDQIIAggCCAIIAggCCAIIAggCCAIIAggCCAIIAggCCAIIAggCFwIDAvYCHgAC/wICAlACBAIFAgYCBwIIAgkClwILApUCDQIIAggCCAIIAggCCAIIAggCCAIIAggCCAIIAggCCAIIAggCFwIDApkCHgAC/wICAiUCBAIFAgYCBwIIAgkCCgILApUCDQIIAggCCAIIAggCCAIIAggCCAIIAggCCAIIAggCCAIIAggCFwIDAqkCHgAC/wICAh4CBAIFAgYCBwIIAgkCHAILApUCDQIIAggCCAIIAggCCAIIAggCCAIIAggCCAIIAggCCAIIAggCFwIDAucCHgAC/wICAiMCBAIFAgYCBwIIAgkCHAILApUCDQIIAggCCAIIAggCCAIIAggCCAIIAggCCAIIAggCCAIIAggCFwIDAqwCHgAC/wICAicCBAIFAgYCBwIIAgkCHAILApUCDQIIAggCCAIIAggCCAIIAggCCAIIAggCCAIIAggCCAIIAggCFwIDAqoCHgAC/wICAiUCBAIFAgYCBwIIAgkCHAILApUCDQIIAggCCAIIAggCCAIIAggCCAIIAggCCAIIAggCCAIIAggCFwIDAtgCHgAC/wICAi0CBAIFAgYCBwIIAgkCHAILApUCDQIIAggCCAIIAggCCAIIAggCCAIIAggCCAIIAggCCAIIAggCFwIDAvkCHgAC/wICAmICBAIFAgYCBwIIAgkClwILApUCDQIIAggCCAIIAggCCAIIAggCCAIIAggCCAIIAggCCAIIAggCFwIDAiwCHgAC/wICAgMCBAIFAgYCBwIIAgkCHAILApUCDQIIAggCCAIIAggCCAIIAggCCAIIAggCCAIIAggCCAIIAggCFwIDApsCHgAC/wICAhsCBAIFAgYCBwIIAgkCCgILApUCDQIIAggCCAIIAggCCAIIAggCCAIIAggCCAIIAggCCAIIAggCFwIDAvUCHgAC/wICAikCBAIFAgYCBwIIAgkCCgILApUCDQIIAggCCAIIAggCCAIIAggCCAIIAggCCAIIAggCCAIIAggCFwIDApoCHgAC/wICAjsCBAIFAgYCBwIIAgkClwILApUCDQIIAggCCAIIAggCCAIIAggCCAIIAggCCAIIAggCCAIIAggCFwIDAsoCHgAC/wICAlYCBAIFAgYCBwIIAgkCHAILApUCDQIIAggCCAIIAggCCAIIAggCCAIIAggCCAIIAggCCAIIAggCFwIDAsgCegAABAAeAAL/AgICRgIEAgUCBgIHAggCCQKXAgsClQINAggCCAIIAggCCAIIAggCCAIIAggCCAIIAggCCAIIAggCCAIXAgMCLAIeAAL/AgICHgIEAgUCBgIHAggCCQIKAgsClQINAggCCAIIAggCCAIIAggCCAIIAggCCAIIAggCCAIIAggCCAIXAgMC9AIeAAL/AgICZgIEAgUCBgIHAggCCQKXAgsClQINAggCCAIIAggCCAIIAggCCAIIAggCCAIIAggCCAIIAggCCAIXAgMC3wIeAAL/AgICIwIEAgUCBgIHAggCCQIKAgsClQINAggCCAIIAggCCAIIAggCCAIIAggCCAIIAggCCAIIAggCCAIXAgMC3gIeAAL/AgICdwIEAgUCBgIHAggCCQKXAgsClQINAggCCAIIAggCCAIIAggCCAIIAggCCAIIAggCCAIIAggCCAIXAgMCLAIeAAL/AgICOQIEAgUCBgIHAggCCQIcAgsClQINAggCCAIIAggCCAIIAggCCAIIAggCCAIIAggCCAIIAggCCAIXAgMC+AIeAAL/AgICNwIEAgUCBgIHAggCCQIcAgsClQINAggCCAIIAggCCAIIAggCCAIIAggCCAIIAggCCAIIAggCCAIXAgMCzwIeAAL/AgICVgIEAgUCBgIHAggCCQIKAgsClQINAggCCAIIAggCCAIIAggCCAIIAggCCAIIAggCCAIIAggCCAIXAgMCzQIeAAL/AgICKQIEAgUCBgIHAggCCQKXAgsClQINAggCCAIIAggCCAIIAggCCAIIAggCCAIIAggCCAIIAggCCAIXAgMCuAIeAAL/AgICOwIEAgUCBgIHAggCCQIcAgsClQINAggCCAIIAggCCAIIAggCCAIIAggCCAIIAggCCAIIAggCCAIXAgMCxwIeAAL/AgICVAIEAgUCBgIHAggCCQIKAgsClQINAggCCAIIAggCCAIIAggCCAIIAggCCAIIAggCCAIIAggCCAIXAgMC0gIeAAL/AgICTAIEAgUCBgIHAggCCQIcAgsClQINAggCCAIIAggCCAIIAggCCAIIAggCCAIIAggCCAIIAggCCAIXAgMC9wIeAAL/AgICVAIEAgUCBgIHAggCCQKXAgsClQINAggCCAIIAggCCAIIAggCCAIIAggCCAIIAggCCAIIAggCCAIXAgMCxQIeAAL/AgICagIEAgUCBgIHAggCCQIKAgsClQINAggCCAIIAggCCAIIAggCCAIIAggCCAIIAggCCAIIAggCCAIXAgMCwwIeAAL/AgICdwIEAgUCBgIHAggCCQIKAgsClQINAggCCAIIAggCCAIIAggCCAIIAggCCAIIAggCCAIIegAABAACCAIIAhcCAwL1Ah4AAv8CAgJSAgQCBQIGAgcCCAIJApcCCwKVAg0CCAIIAggCCAIIAggCCAIIAggCCAIIAggCCAIIAggCCAIIAhcCAwIsAh4AAv8CAgJJAgQCBQIGAgcCCAIJApcCCwKVAg0CCAIIAggCCAIIAggCCAIIAggCCAIIAggCCAIIAggCCAIIAhcCAwLRAh4AAv8CAgI+AgQCBQIGAgcCCAIJApcCCwKVAg0CCAIIAggCCAIIAggCCAIIAggCCAIIAggCCAIIAggCCAIIAhcCAwKdAh4AAv8CAgJAAgQCBQIGAgcCCAIJApcCCwKVAg0CCAIIAggCCAIIAggCCAIIAggCCAIIAggCCAIIAggCCAIIAhcCAwK6Ah4AAv8CAgI5AgQCBQIGAgcCCAIJAgoCCwKVAg0CCAIIAggCCAIIAggCCAIIAggCCAIIAggCCAIIAggCCAIIAhcCAwL1Ah4AAv8CAgIrAgQCBQIGAgcCCAIJAgoCCwKVAg0CCAIIAggCCAIIAggCCAIIAggCCAIIAggCCAIIAggCCAIIAhcCAwLjAh4AAv8CAgIwAgQCBQIGAgcCCAIJAhwCCwKVAg0CCAIIAggCCAIIAggCCAIIAggCCAIIAggCCAIIAggCCAIIAhcCAwKeAh4AAv8CAgJCAgQCBQIGAgcCCAIJApcCCwKVAg0CCAIIAggCCAIIAggCCAIIAggCCAIIAggCCAIIAggCCAIIAhcCAwIsAh4AAv8CAgJ8AgQCBQIGAgcCCAIJAgoCCwKVAg0CCAIIAggCCAIIAggCCAIIAggCCAIIAggCCAIIAggCCAIIAhcCAwK5Ah4AAv8CAgJOAgQCBQIGAgcCCAIJAhwCCwKVAg0CCAIIAggCCAIIAggCCAIIAggCCAIIAggCCAIIAggCCAIIAhcCAwKxAh4AAv8CAgIgAgQCBQIGAgcCCAIJApcCCwKVAg0CCAIIAggCCAIIAggCCAIIAggCCAIIAggCCAIIAggCCAIIAhcCAwLCAh4AAv8CAgJrAgQCBQIGAgcCCAIJAhwCCwKVAg0CCAIIAggCCAIIAggCCAIIAggCCAIIAggCCAIIAggCCAIIAhcCAwK9Ah4AAv8CAgJqAgQCBQIGAgcCCAIJAhwCCwKVAg0CCAIIAggCCAIIAggCCAIIAggCCAIIAggCCAIIAggCCAIIAhcCAwK0Ah4AAv8CAgInAgQCBQIGAgcCCAIJAgoCCwKVAg0CCAIIAggCCAIIAggCCAIIAggCCAIIAggCCAIIAggCCAIIAhcCAwKzAh4AAv8CAgI3AgQCBQIGAgcCCAIJAgoCCwKVAg0CCAIIAggCCAIIAggCCAIIAggCegAABAAIAggCCAIIAggCCAIIAggCFwIDAsACHgAEAAEACTU4OTI1NDg0MAICAkACBAIFAgYCBwIIAgkClwILApUCDQIIAggCCAIIAggCCAIIAggCCAIIAggCCAIIAggCCAIIAggCGwIDAroCHgAEAAECAgJGAgQCBQIGAgcCCAIJApcCCwKVAg0CCAIIAggCCAIIAggCCAIIAggCCAIIAggCCAIIAggCCAIIAhsCAwIsAh4ABAABAgICfAIEAgUCBgIHAggCCQIKAgsClQINAggCCAIIAggCCAIIAggCCAIIAggCCAIIAggCCAIIAggCCAIbAgMCuQIeAAQAAQICAlYCBAIFAgYCBwIIAgkCHAILApUCDQIIAggCCAIIAggCCAIIAggCCAIIAggCCAIIAggCCAIIAggCGwIDAsgCHgAEAAECAgJWAgQCBQIGAgcCCAIJApcCCwKVAg0CCAIIAggCCAIIAggCCAIIAggCCAIIAggCCAIIAggCCAIIAhsCAwLXAh4ABAABAgICQAIEAgUCBgIHAggCCQIcAgsClQINAggCCAIIAggCCAIIAggCCAIIAggCCAIIAggCCAIIAggCCAIbAgMCvgIeAAQAAQICAjQCBAIFAgYCBwIIAgkCCgILApUCDQIIAggCCAIIAggCCAIIAggCCAIIAggCCAIIAggCCAIIAggCGwIDAtwCHgAEAAECAgJDAgQCBQIGAgcCCAIJAgoCCwKVAg0CCAIIAggCCAIIAggCCAIIAggCCAIIAggCCAIIAggCCAIIAhsCAwK8Ah4ABAABAgICKwIEAgUCBgIHAggCCQIKAgsClQINAggCCAIIAggCCAIIAggCCAIIAggCCAIIAggCCAIIAggCCAIbAgMC4wIeAAQAAQICAkYCBAIFAgYCBwIIAgkCHAILApUCDQIIAggCCAIIAggCCAIIAggCCAIIAggCCAIIAggCCAIIAggCGwIDAtsCHgAEAAECAgInAgQCBQIGAgcCCAIJAgoCCwKVAg0CCAIIAggCCAIIAggCCAIIAggCCAIIAggCCAIIAggCCAIIAhsCAwKzAh4ABAABAgICagIEAgUCBgIHAggCCQKXAgsClQINAggCCAIIAggCCAIIAggCCAIIAggCCAIIAggCCAIIAggCCAIbAgMCLAIeAAQAAQICAiMCBAIFAgYCBwIIAgkCCgILApUCDQIIAggCCAIIAggCCAIIAggCCAIIAggCCAIIAggCCAIIAggCGwIDAt4CHgAEAAECAgJDAgQCBQIGAgcCCAIJAhwCCwKVAg0CCAIIAggCCAIIAggCCAIIAggCCAIIAggCCAIIAggCCAIIAhsCAwLVAh4ABAABAgICUAIEegAABAACBQIGAgcCCAIJAgoCCwKVAg0CCAIIAggCCAIIAggCCAIIAggCCAIIAggCCAIIAggCCAIIAhsCAwLBAh4ABAABAgICIAIEAgUCBgIHAggCCQKXAgsClQINAggCCAIIAggCCAIIAggCCAIIAggCCAIIAggCCAIIAggCCAIbAgMCwgIeAAQAAQICAiACBAIFAgYCBwIIAgkCHAILApUCDQIIAggCCAIIAggCCAIIAggCCAIIAggCCAIIAggCCAIIAggCGwIDAr8CHgAEAAECAgJqAgQCBQIGAgcCCAIJAhwCCwKVAg0CCAIIAggCCAIIAggCCAIIAggCCAIIAggCCAIIAggCCAIIAhsCAwK0Ah4ABAABAgICfAIEAgUCBgIHAggCCQIcAgsClQINAggCCAIIAggCCAIIAggCCAIIAggCCAIIAggCCAIIAggCCAIbAgMC1gIeAAQAAQICAlwCBAIFAgYCBwIIAgkCCgILApUCDQIIAggCCAIIAggCCAIIAggCCAIIAggCCAIIAggCCAIIAggCGwIDAtMCHgAEAAECAgIeAgQCBQIGAgcCCAIJAgoCCwKVAg0CCAIIAggCCAIIAggCCAIIAggCCAIIAggCCAIIAggCCAIIAhsCAwL0Ah4ABAABAgICQAIEAgUCBgIHAggCCQIKAgsClQINAggCCAIIAggCCAIIAggCCAIIAggCCAIIAggCCAIIAggCCAIbAgMCywIeAAQAAQICAiMCBAIFAgYCBwIIAgkCHAILApUCDQIIAggCCAIIAggCCAIIAggCCAIIAggCCAIIAggCCAIIAggCGwIDAqwCHgAEAAECAgJcAgQCBQIGAgcCCAIJAhwCCwKVAg0CCAIIAggCCAIIAggCCAIIAggCCAIIAggCCAIIAggCCAIIAhsCAwKtAh4ABAABAgICNAIEAgUCBgIHAggCCQIcAgsClQINAggCCAIIAggCCAIIAggCCAIIAggCCAIIAggCCAIIAggCCAIbAgMCtwIeAAQAAQICAjQCBAIFAgYCBwIIAgkClwILApUCDQIIAggCCAIIAggCCAIIAggCCAIIAggCCAIIAggCCAIIAggCGwIDAqICHgAEAAECAgI+AgQCBQIGAgcCCAIJAgoCCwKVAg0CCAIIAggCCAIIAggCCAIIAggCCAIIAggCCAIIAggCCAIIAhsCAwK1Ah4ABAABAgICMAIEAgUCBgIHAggCCQIKAgsClQINAggCCAIIAggCCAIIAggCCAIIAggCCAIIAggCCAIIAggCCAIbAgMCpwIeAAQAAQICAiMCBAIFAgYCBwIIAgkClwILApUCDQIIAggCCAIIAggCCAIIAggCCAIIAggCCAIIegAABAACCAIIAggCCAIbAgMCmAIeAAQAAQICAmoCBAIFAgYCBwIIAgkCCgILApUCDQIIAggCCAIIAggCCAIIAggCCAIIAggCCAIIAggCCAIIAggCGwIDAsMCHgAEAAECAgIgAgQCBQIGAgcCCAIJAgoCCwKVAg0CCAIIAggCCAIIAggCCAIIAggCCAIIAggCCAIIAggCCAIIAhsCAwLEAh4ABAABAgICVAIEAgUCBgIHAggCCQKXAgsClQINAggCCAIIAggCCAIIAggCCAIIAggCCAIIAggCCAIIAggCCAIbAgMCxQIeAAQAAQICAh4CBAIFAgYCBwIIAgkClwILApUCDQIIAggCCAIIAggCCAIIAggCCAIIAggCCAIIAggCCAIIAggCGwIDAiwCHgAEAAECAgJOAgQCBQIGAgcCCAIJAgoCCwKVAg0CCAIIAggCCAIIAggCCAIIAggCCAIIAggCCAIIAggCCAIIAhsCAwKcAh4ABAABAgICOwIEAgUCBgIHAggCCQIcAgsClQINAggCCAIIAggCCAIIAggCCAIIAggCCAIIAggCCAIIAggCCAIbAgMCxwIeAAQAAQICAjsCBAIFAgYCBwIIAgkClwILApUCDQIIAggCCAIIAggCCAIIAggCCAIIAggCCAIIAggCCAIIAggCGwIDAsoCHgAEAAECAgJrAgQCBQIGAgcCCAIJAgoCCwKVAg0CCAIIAggCCAIIAggCCAIIAggCCAIIAggCCAIIAggCCAIIAhsCAwKWAh4ABAABAgICXAIEAgUCBgIHAggCCQKXAgsClQINAggCCAIIAggCCAIIAggCCAIIAggCCAIIAggCCAIIAggCCAIbAgMCrgIeAAQAAQICAlQCBAIFAgYCBwIIAgkCHAILApUCDQIIAggCCAIIAggCCAIIAggCCAIIAggCCAIIAggCCAIIAggCGwIDAskCHgAEAAECAgIDAgQCBQIGAgcCCAIJAhwCCwKVAg0CCAIIAggCCAIIAggCCAIIAggCCAIIAggCCAIIAggCCAIIAhsCAwKbAh4ABAABAgICHgIEAgUCBgIHAggCCQIcAgsClQINAggCCAIIAggCCAIIAggCCAIIAggCCAIIAggCCAIIAggCCAIbAgMC5wIeAAQAAQICAiUCBAIFAgYCBwIIAgkCHAILApUCDQIIAggCCAIIAggCCAIIAggCCAIIAggCCAIIAggCCAIIAggCGwIDAtgCHgAEAAECAgJmAgQCBQIGAgcCCAIJAhwCCwKVAg0CCAIIAggCCAIIAggCCAIIAggCCAIIAggCCAIIAggCCAIIAhsCAwLZAh4ABAABAgICAwIEAgUCBgIHAggCCQKXAgsClQINegAABAACCAIIAggCCAIIAggCCAIIAggCCAIIAggCCAIIAggCCAIIAhsCAwKmAh4ABAABAgICNwIEAgUCBgIHAggCCQIKAgsClQINAggCCAIIAggCCAIIAggCCAIIAggCCAIIAggCCAIIAggCCAIbAgMCwAIeAAQAAQICAmICBAIFAgYCBwIIAgkClwILApUCDQIIAggCCAIIAggCCAIIAggCCAIIAggCCAIIAggCCAIIAggCGwIDAiwCHgAEAAECAgJiAgQCBQIGAgcCCAIJAhwCCwKVAg0CCAIIAggCCAIIAggCCAIIAggCCAIIAggCCAIIAggCCAIIAhsCAwKgAh4ABAABAgICMAIEAgUCBgIHAggCCQKXAgsClQINAggCCAIIAggCCAIIAggCCAIIAggCCAIIAggCCAIIAggCCAIbAgMCoQIeAAQAAQICAiUCBAIFAgYCBwIIAgkClwILApUCDQIIAggCCAIIAggCCAIIAggCCAIIAggCCAIIAggCCAIIAggCGwIDAt0CHgAEAAECAgJrAgQCBQIGAgcCCAIJAhwCCwKVAg0CCAIIAggCCAIIAggCCAIIAggCCAIIAggCCAIIAggCCAIIAhsCAwK9Ah4ABAABAgICKQIEAgUCBgIHAggCCQIKAgsClQINAggCCAIIAggCCAIIAggCCAIIAggCCAIIAggCCAIIAggCCAIbAgMCmgIeAAQAAQICAlACBAIFAgYCBwIIAgkClwILApUCDQIIAggCCAIIAggCCAIIAggCCAIIAggCCAIIAggCCAIIAggCGwIDApkCHgAEAAECAgJrAgQCBQIGAgcCCAIJApcCCwKVAg0CCAIIAggCCAIIAggCCAIIAggCCAIIAggCCAIIAggCCAIIAhsCAwKvAh4ABAABAgICVAIEAgUCBgIHAggCCQIKAgsClQINAggCCAIIAggCCAIIAggCCAIIAggCCAIIAggCCAIIAggCCAIbAgMC0gIeAAQAAQICAjsCBAIFAgYCBwIIAgkCCgILApUCDQIIAggCCAIIAggCCAIIAggCCAIIAggCCAIIAggCCAIIAggCGwIDAtQCHgAEAAECAgJOAgQCBQIGAgcCCAIJAhwCCwKVAg0CCAIIAggCCAIIAggCCAIIAggCCAIIAggCCAIIAggCCAIIAhsCAwKxAh4ABAABAgICKQIEAgUCBgIHAggCCQIcAgsClQINAggCCAIIAggCCAIIAggCCAIIAggCCAIIAggCCAIIAggCCAIbAgMCsAIeAAQAAQICAikCBAIFAgYCBwIIAgkClwILApUCDQIIAggCCAIIAggCCAIIAggCCAIIAggCCAIIAggCCAIIAggCGwIDArgCHgAEegAABAAAAQICAmYCBAIFAgYCBwIIAgkClwILApUCDQIIAggCCAIIAggCCAIIAggCCAIIAggCCAIIAggCCAIIAggCGwIDAt8CHgAEAAECAgJOAgQCBQIGAgcCCAIJApcCCwKVAg0CCAIIAggCCAIIAggCCAIIAggCCAIIAggCCAIIAggCCAIIAhsCAwK2Ah4ABAABAgICUgIEAgUCBgIHAggCCQIKAgsClQINAggCCAIIAggCCAIIAggCCAIIAggCCAIIAggCCAIIAggCCAIbAgMCsgIeAAQAAQICAkkCBAIFAgYCBwIIAgkCCgILApUCDQIIAggCCAIIAggCCAIIAggCCAIIAggCCAIIAggCCAIIAggCGwIDArsCHgAEAAECAgIDAgQCBQIGAgcCCAIJAgoCCwKVAg0CCAIIAggCCAIIAggCCAIIAggCCAIIAggCCAIIAggCCAIIAhsCAwKkAh4ABAABAgICYgIEAgUCBgIHAggCCQIKAgsClQINAggCCAIIAggCCAIIAggCCAIIAggCCAIIAggCCAIIAggCCAIbAgMCpQIeAAQAAQICAkYCBAIFAgYCBwIIAgkCCgILApUCDQIIAggCCAIIAggCCAIIAggCCAIIAggCCAIIAggCCAIIAggCGwIDAswCHgAEAAECAgJWAgQCBQIGAgcCCAIJAgoCCwKVAg0CCAIIAggCCAIIAggCCAIIAggCCAIIAggCCAIIAggCCAIIAhsCAwLNAh4ABAABAgICfAIEAgUCBgIHAggCCQKXAgsClQINAggCCAIIAggCCAIIAggCCAIIAggCCAIIAggCCAIIAggCCAIbAgMC2gIeAAQAAQICAisCBAIFAgYCBwIIAgkClwILApUCDQIIAggCCAIIAggCCAIIAggCCAIIAggCCAIIAggCCAIIAggCGwIDAiwCHgAEAAECAgI3AgQCBQIGAgcCCAIJAhwCCwKVAg0CCAIIAggCCAIIAggCCAIIAggCCAIIAggCCAIIAggCCAIIAhsCAwLPAh4ABAABAgICSQIEAgUCBgIHAggCCQIcAgsClQINAggCCAIIAggCCAIIAggCCAIIAggCCAIIAggCCAIIAggCCAIbAgMC0AIeAAQAAQICAkkCBAIFAgYCBwIIAgkClwILApUCDQIIAggCCAIIAggCCAIIAggCCAIIAggCCAIIAggCCAIIAggCGwIDAtECHgAEAAECAgJDAgQCBQIGAgcCCAIJApcCCwKVAg0CCAIIAggCCAIIAggCCAIIAggCCAIIAggCCAIIAggCCAIIAhsCAwKjAh4ABAABAgICKwIEAgUCBgIHAggCCQIcAgsClQINAggCCAIIAggCCAIIAggCCAIIegAABAACCAIIAggCCAIIAggCCAIIAhsCAwLiAh4ABAABAgICUAIEAgUCBgIHAggCCQIcAgsClQINAggCCAIIAggCCAIIAggCCAIIAggCCAIIAggCCAIIAggCCAIbAgMCqwIeAAQAAQICAjcCBAIFAgYCBwIIAgkClwILApUCDQIIAggCCAIIAggCCAIIAggCCAIIAggCCAIIAggCCAIIAggCGwIDAs4CHgAEAAECAgI+AgQCBQIGAgcCCAIJAhwCCwKVAg0CCAIIAggCCAIIAggCCAIIAggCCAIIAggCCAIIAggCCAIIAhsCAwKfAh4ABAABAgICJwIEAgUCBgIHAggCCQIcAgsClQINAggCCAIIAggCCAIIAggCCAIIAggCCAIIAggCCAIIAggCCAIbAgMCqgIeAAQAAQICAicCBAIFAgYCBwIIAgkClwILApUCDQIIAggCCAIIAggCCAIIAggCCAIIAggCCAIIAggCCAIIAggCGwIDAiwCHgAEAAECAgIwAgQCBQIGAgcCCAIJAhwCCwKVAg0CCAIIAggCCAIIAggCCAIIAggCCAIIAggCCAIIAggCCAIIAhsCAwKeAh4ABAABAgICZgIEAgUCBgIHAggCCQIKAgsClQINAggCCAIIAggCCAIIAggCCAIIAggCCAIIAggCCAIIAggCCAIbAgMCqAIeAAQAAQICAiUCBAIFAgYCBwIIAgkCCgILApUCDQIIAggCCAIIAggCCAIIAggCCAIIAggCCAIIAggCCAIIAggCGwIDAqkCHgAEAAECAgI+AgQCBQIGAgcCCAIJApcCCwKVAg0CCAIIAggCCAIIAggCCAIIAggCCAIIAggCCAIIAggCCAIIAhsCAwKdAh4ABAABAgICUgIEAgUCBgIHAggCCQKXAgsClQINAggCCAIIAggCCAIIAggCCAIIAggCCAIIAggCCAIIAggCCAIbAgMCLAIeAAQAAQICAlICBAIFAgYCBwIIAgkCHAILApUCDQIIAggCCAIIAggCCAIIAggCCAIIAggCCAIIAggCCAIIAggCGwIDAsYCHgAEAQEACTQwOTgwOTMyMAICAlwCBAIFAgYCBwIIAgkCCgILApUCDQIIAggCCAIIAggCCAIIAggCCAIIAggCCAIIAggCCAIIAggCBQIDAtMCHgAEAQECAgIeAgQCBQIGAgcCCAIJAgoCCwKVAg0CCAIIAggCCAIIAggCCAIIAggCCAIIAggCCAIIAggCCAIIAgUCAwL0Ah4ABAEBAgICZgIEAgUCBgIHAggCCQIKAgsClQINAggCCAIIAggCCAIIAggCCAIIAggCCAIIAggCCAIIAggCCAIFAgMCqAIeAAQBAQICAiACegAABAAEAgUCBgIHAggCCQIKAgsClQINAggCCAIIAggCCAIIAggCCAIIAggCCAIIAggCCAIIAggCCAIFAgMCxAIeAAQBAQICAjsCBAIFAgYCBwIIAgkCCgILApUCDQIIAggCCAIIAggCCAIIAggCCAIIAggCCAIIAggCCAIIAggCBQIDAtQCHgAEAQECAgInAgQCBQIGAgcCCAIJAgoCCwKVAg0CCAIIAggCCAIIAggCCAIIAggCCAIIAggCCAIIAggCCAIIAgUCAwKzAh4ABAEBAgICNAIEAgUCBgIHAggCCQIKAgsClQINAggCCAIIAggCCAIIAggCCAIIAggCCAIIAggCCAIIAggCCAIFAgMC3AIeAAQBAQICAikCBAIFAgYCBwIIAgkCCgILApUCDQIIAggCCAIIAggCCAIIAggCCAIIAggCCAIIAggCCAIIAggCBQIDApoCHgAEAQECAgJGAgQCBQIGAgcCCAIJAgoCCwKVAg0CCAIIAggCCAIIAggCCAIIAggCCAIIAggCCAIIAggCCAIIAgUCAwLMAh4ABAEBAgICQgIEAgUCBgIHAggCCQIKAgsClQINAggCCAIIAggCCAIIAggCCAIIAggCCAIIAggCCAIIAggCCAIFAgMC+wIeAAQBAQICAkMCBAIFAgYCBwIIAgkCCgILApUCDQIIAggCCAIIAggCCAIIAggCCAIIAggCCAIIAggCCAIIAggCBQIDArwCHgAEAQECAgIrAgQCBQIGAgcCCAIJAgoCCwKVAg0CCAIIAggCCAIIAggCCAIIAggCCAIIAggCCAIIAggCCAIIAgUCAwLjAh4ABAEBAgICYgIEAgUCBgIHAggCCQIKAgsClQINAggCCAIIAggCCAIIAggCCAIIAggCCAIIAggCCAIIAggCCAIFAgMCpQIeAAQBAQICAjACBAIFAgYCBwIIAgkCCgILApUCDQIIAggCCAIIAggCCAIIAggCCAIIAggCCAIIAggCCAIIAggCBQIDAqcCHgAEAQECAgJWAgQCBQIGAgcCCAIJAgoCCwKVAg0CCAIIAggCCAIIAggCCAIIAggCCAIIAggCCAIIAggCCAIIAgUCAwLNAh4ABAEBAgICSQIEAgUCBgIHAggCCQIKAgsClQINAggCCAIIAggCCAIIAggCCAIIAggCCAIIAggCCAIIAggCCAIFAgMCuwIeAAQBAQICAlICBAIFAgYCBwIIAgkCCgILApUCDQIIAggCCAIIAggCCAIIAggCCAIIAggCCAIIAggCCAIIAggCBQIDArICHgAEAQECAgJqAgQCBQIGAgcCCAIJAgoCCwKVAg0CCAIIAggCCAIIAggCCAIIAggCCAIIAggCegAABAAIAggCCAIIAggCBQIDAsMCHgAEAgEACTQwODk1MDEzNgICAjQCBAIFAgYCBwIIAgkCHAILAgwCDQIIAggCCAIIAggCCAIIAggCCAIIAggCCAIIAggCCAIIAggCAgIDApICHgAEAgECAgJmAgQCBQIGAgcCCAIJAhwCCwIMAg0CCAIIAggCCAIIAggCCAIIAggCCAIIAggCCAIIAggCCAIIAgICAwJ0Ah4ABAIBAgICSQIEAgUCBgIHAggCCQIcAgsCDAINAggCCAIIAggCCAIIAggCCAIIAggCCAIIAggCCAIIAggCCAICAgMCSgIeAAQCAQICAlYCBAIFAgYCBwIIAgkCHAILAgwCDQIIAggCCAIIAggCCAIIAggCCAIIAggCCAIIAggCCAIIAggCAgIDAlcCHgAEAgECAgJGAgQCBQIGAgcCCAIJAhwCCwIMAg0CCAIIAggCCAIIAggCCAIIAggCCAIIAggCCAIIAggCCAIIAgICAwKEAh4ABAIBAgICKwIEAgUCBgIHAggCCQIcAgsCDAINAggCCAIIAggCCAIIAggCCAIIAggCCAIIAggCCAIIAggCCAICAgMCfgIeAAQCAQICAh4CBAIFAgYCBwIIAgkCHAILAgwCDQIIAggCCAIIAggCCAIIAggCCAIIAggCCAIIAggCCAIIAggCAgIDAh8CHgAEAgECAgJDAgQCBQIGAgcCCAIJAhwCCwIMAg0CCAIIAggCCAIIAggCCAIIAggCCAIIAggCCAIIAggCCAIIAgICAwJEAh4ABAIBAgICMAIEAgUCBgIHAggCCQIcAgsCDAINAggCCAIIAggCCAIIAggCCAIIAggCCAIIAggCCAIIAggCCAICAgMCMQIeAAQCAQICAmICBAIFAgYCBwIIAgkCHAILAgwCDQIIAggCCAIIAggCCAIIAggCCAIIAggCCAIIAggCCAIIAggCAgIDAnMCHgAEAgECAgI7AgQCBQIGAgcCCAIJAhwCCwIMAg0CCAIIAggCCAIIAggCCAIIAggCCAIIAggCCAIIAggCCAIIAgICAwKGAh4ABAIBAgICKQIEAgUCBgIHAggCCQIcAgsCDAINAggCCAIIAggCCAIIAggCCAIIAggCCAIIAggCCAIIAggCCAICAgMCYQIeAAQCAQICAicCBAIFAgYCBwIIAgkCHAILAgwCDQIIAggCCAIIAggCCAIIAggCCAIIAggCCAIIAggCCAIIAggCAgIDAigCHgAEAgECAgJqAgQCBQIGAgcCCAIJAhwCCwIMAg0CCAIIAggCCAIIAggCCAIIAggCCAIIAggCCAIIAggCCAIIAgICAwKJAh4ABAIBAgICQgIEAgUCBgIHegAABAACCAIJAhwCCwIMAg0CCAIIAggCCAIIAggCCAIIAggCCAIIAggCCAIIAggCCAIIAgICAwJvAh4ABAIBAgICUgIEAgUCBgIHAggCCQIcAgsCDAINAggCCAIIAggCCAIIAggCCAIIAggCCAIIAggCCAIIAggCCAICAgMCUwIeAAQCAQICAiACBAIFAgYCBwIIAgkCHAILAgwCDQIIAggCCAIIAggCCAIIAggCCAIIAggCCAIIAggCCAIIAggCAgIDAlsCHgAEAgECAgJcAgQCBQIGAgcCCAIJAhwCCwIMAg0CCAIIAggCCAIIAggCCAIIAggCCAIIAggCCAIIAggCCAIIAgICAwJpAh4ABAMBAAk1ODkyNTI1MjACAgIgAgQCBQIGAgcCCAIJApcCCwKVAg0CCAIIAggCCAIIAggCCAIIAggCCAIIAggCCAIIAggCCAIIAhkCAwLCAh4ABAMBAgICUAIEAgUCBgIHAggCCQIKAgsClQINAggCCAIIAggCCAIIAggCCAIIAggCCAIIAggCCAIIAggCCAIZAgMCwQIeAAQDAQICAh4CBAIFAgYCBwIIAgkCCgILApUCDQIIAggCCAIIAggCCAIIAggCCAIIAggCCAIIAggCCAIIAggCGQIDAvQCHgAEAwECAgJ8AgQCBQIGAgcCCAIJAhwCCwKVAg0CCAIIAggCCAIIAggCCAIIAggCCAIIAggCCAIIAggCCAIIAhkCAwLWAh4ABAMBAgICIAIEAgUCBgIHAggCCQIcAgsClQINAggCCAIIAggCCAIIAggCCAIIAggCCAIIAggCCAIIAggCCAIZAgMCvwIeAAQDAQICAiMCBAIFAgYCBwIIAgkCCgILApUCDQIIAggCCAIIAggCCAIIAggCCAIIAggCCAIIAggCCAIIAggCGQIDAt4CHgAEAwECAgJcAgQCBQIGAgcCCAIJAgoCCwKVAg0CCAIIAggCCAIIAggCCAIIAggCCAIIAggCCAIIAggCCAIIAhkCAwLTAh4ABAMBAgICagIEAgUCBgIHAggCCQIcAgsClQINAggCCAIIAggCCAIIAggCCAIIAggCCAIIAggCCAIIAggCCAIZAgMCtAIeAAQDAQICAmoCBAIFAgYCBwIIAgkClwILApUCDQIIAggCCAIIAggCCAIIAggCCAIIAggCCAIIAggCCAIIAggCGQIDAiwCHgAEAwECAgInAgQCBQIGAgcCCAIJAgoCCwKVAg0CCAIIAggCCAIIAggCCAIIAggCCAIIAggCCAIIAggCCAIIAhkCAwKzAh4ABAMBAgICKwIEAgUCBgIHAggCCQKXAgsClQINAggCCAIIAggCCAIIAggCCAIIAggCegAABAAIAggCCAIIAggCCAIIAhkCAwIsAh4ABAMBAgICfAIEAgUCBgIHAggCCQKXAgsClQINAggCCAIIAggCCAIIAggCCAIIAggCCAIIAggCCAIIAggCCAIZAgMC2gIeAAQDAQICAkMCBAIFAgYCBwIIAgkClwILApUCDQIIAggCCAIIAggCCAIIAggCCAIIAggCCAIIAggCCAIIAggCGQIDAqMCHgAEAwECAgI0AgQCBQIGAgcCCAIJAhwCCwKVAg0CCAIIAggCCAIIAggCCAIIAggCCAIIAggCCAIIAggCCAIIAhkCAwK3Ah4ABAMBAgICAwIEAgUCBgIHAggCCQIKAgsClQINAggCCAIIAggCCAIIAggCCAIIAggCCAIIAggCCAIIAggCCAIZAgMCpAIeAAQDAQICAiMCBAIFAgYCBwIIAgkCHAILApUCDQIIAggCCAIIAggCCAIIAggCCAIIAggCCAIIAggCCAIIAggCGQIDAqwCHgAEAwECAgI0AgQCBQIGAgcCCAIJApcCCwKVAg0CCAIIAggCCAIIAggCCAIIAggCCAIIAggCCAIIAggCCAIIAhkCAwKiAh4ABAMBAgICPgIEAgUCBgIHAggCCQIKAgsClQINAggCCAIIAggCCAIIAggCCAIIAggCCAIIAggCCAIIAggCCAIZAgMCtQIeAAQDAQICAkICBAIFAgYCBwIIAgkCCgILApUCDQIIAggCCAIIAggCCAIIAggCCAIIAggCCAIIAggCCAIIAggCGQIDAvsCHgAEAwECAgJDAgQCBQIGAgcCCAIJAhwCCwKVAg0CCAIIAggCCAIIAggCCAIIAggCCAIIAggCCAIIAggCCAIIAhkCAwLVAh4ABAMBAgICMAIEAgUCBgIHAggCCQIKAgsClQINAggCCAIIAggCCAIIAggCCAIIAggCCAIIAggCCAIIAggCCAIZAgMCpwIeAAQDAQICAisCBAIFAgYCBwIIAgkCHAILApUCDQIIAggCCAIIAggCCAIIAggCCAIIAggCCAIIAggCCAIIAggCGQIDAuICHgAEAwECAgJiAgQCBQIGAgcCCAIJAgoCCwKVAg0CCAIIAggCCAIIAggCCAIIAggCCAIIAggCCAIIAggCCAIIAhkCAwKlAh4ABAMBAgICMAIEAgUCBgIHAggCCQIcAgsClQINAggCCAIIAggCCAIIAggCCAIIAggCCAIIAggCCAIIAggCCAIZAgMCngIeAAQDAQICAicCBAIFAgYCBwIIAgkCHAILApUCDQIIAggCCAIIAggCCAIIAggCCAIIAggCCAIIAggCCAIIAggCGQIDAqoCHgAEAwECAgJQAgQCBQIGAgcCCAIJAhwCegAABAALApUCDQIIAggCCAIIAggCCAIIAggCCAIIAggCCAIIAggCCAIIAggCGQIDAqsCHgAEAwECAgJQAgQCBQIGAgcCCAIJApcCCwKVAg0CCAIIAggCCAIIAggCCAIIAggCCAIIAggCCAIIAggCCAIIAhkCAwKZAh4ABAMBAgICJwIEAgUCBgIHAggCCQKXAgsClQINAggCCAIIAggCCAIIAggCCAIIAggCCAIIAggCCAIIAggCCAIZAgMCLAIeAAQDAQICAj4CBAIFAgYCBwIIAgkCHAILApUCDQIIAggCCAIIAggCCAIIAggCCAIIAggCCAIIAggCCAIIAggCGQIDAp8CHgAEAwECAgJmAgQCBQIGAgcCCAIJAgoCCwKVAg0CCAIIAggCCAIIAggCCAIIAggCCAIIAggCCAIIAggCCAIIAhkCAwKoAh4ABAMBAgICJQIEAgUCBgIHAggCCQIKAgsClQINAggCCAIIAggCCAIIAggCCAIIAggCCAIIAggCCAIIAggCCAIZAgMCqQIeAAQDAQICAlICBAIFAgYCBwIIAgkClwILApUCDQIIAggCCAIIAggCCAIIAggCCAIIAggCCAIIAggCCAIIAggCGQIDAiwCHgAEAwECAgJSAgQCBQIGAgcCCAIJAhwCCwKVAg0CCAIIAggCCAIIAggCCAIIAggCCAIIAggCCAIIAggCCAIIAhkCAwLGAh4ABAMBAgICQAIEAgUCBgIHAggCCQKXAgsClQINAggCCAIIAggCCAIIAggCCAIIAggCCAIIAggCCAIIAggCCAIZAgMCugIeAAQDAQICAisCBAIFAgYCBwIIAgkCCgILApUCDQIIAggCCAIIAggCCAIIAggCCAIIAggCCAIIAggCCAIIAggCGQIDAuMCHgAEAwECAgJ8AgQCBQIGAgcCCAIJAgoCCwKVAg0CCAIIAggCCAIIAggCCAIIAggCCAIIAggCCAIIAggCCAIIAhkCAwK5Ah4ABAMBAgICNwIEAgUCBgIHAggCCQIKAgsClQINAggCCAIIAggCCAIIAggCCAIIAggCCAIIAggCCAIIAggCCAIZAgMCwAIeAAQDAQICAjACBAIFAgYCBwIIAgkClwILApUCDQIIAggCCAIIAggCCAIIAggCCAIIAggCCAIIAggCCAIIAggCGQIDAqECHgAEAwECAgI+AgQCBQIGAgcCCAIJApcCCwKVAg0CCAIIAggCCAIIAggCCAIIAggCCAIIAggCCAIIAggCCAIIAhkCAwKdAh4ABAMBAgICQAIEAgUCBgIHAggCCQIcAgsClQINAggCCAIIAggCCAIIAggCCAIIAggCCAIIAggCCAIIAggCCAIZAgMCegAABAC+Ah4ABAMBAgICawIEAgUCBgIHAggCCQIcAgsClQINAggCCAIIAggCCAIIAggCCAIIAggCCAIIAggCCAIIAggCCAIZAgMCvQIeAAQDAQICAkICBAIFAgYCBwIIAgkClwILApUCDQIIAggCCAIIAggCCAIIAggCCAIIAggCCAIIAggCCAIIAggCGQIDAiwCHgAEAwECAgJDAgQCBQIGAgcCCAIJAgoCCwKVAg0CCAIIAggCCAIIAggCCAIIAggCCAIIAggCCAIIAggCCAIIAhkCAwK8Ah4ABAMBAgICQgIEAgUCBgIHAggCCQIcAgsClQINAggCCAIIAggCCAIIAggCCAIIAggCCAIIAggCCAIIAggCCAIZAgMC6AIeAAQDAQICAmsCBAIFAgYCBwIIAgkClwILApUCDQIIAggCCAIIAggCCAIIAggCCAIIAggCCAIIAggCCAIIAggCGQIDAq8CHgAEAwECAgIpAgQCBQIGAgcCCAIJAhwCCwKVAg0CCAIIAggCCAIIAggCCAIIAggCCAIIAggCCAIIAggCCAIIAhkCAwKwAh4ABAMBAgICVAIEAgUCBgIHAggCCQIKAgsClQINAggCCAIIAggCCAIIAggCCAIIAggCCAIIAggCCAIIAggCCAIZAgMC0gIeAAQDAQICAlICBAIFAgYCBwIIAgkCCgILApUCDQIIAggCCAIIAggCCAIIAggCCAIIAggCCAIIAggCCAIIAggCGQIDArICHgAEAwECAgJOAgQCBQIGAgcCCAIJAhwCCwKVAg0CCAIIAggCCAIIAggCCAIIAggCCAIIAggCCAIIAggCCAIIAhkCAwKxAh4ABAMBAgICZgIEAgUCBgIHAggCCQKXAgsClQINAggCCAIIAggCCAIIAggCCAIIAggCCAIIAggCCAIIAggCCAIZAgMC3wIeAAQDAQICAk4CBAIFAgYCBwIIAgkClwILApUCDQIIAggCCAIIAggCCAIIAggCCAIIAggCCAIIAggCCAIIAggCGQIDArYCHgAEAwECAgJJAgQCBQIGAgcCCAIJAgoCCwKVAg0CCAIIAggCCAIIAggCCAIIAggCCAIIAggCCAIIAggCCAIIAhkCAwK7Ah4ABAMBAgICRgIEAgUCBgIHAggCCQIKAgsClQINAggCCAIIAggCCAIIAggCCAIIAggCCAIIAggCCAIIAggCCAIZAgMCzAIeAAQDAQICAkkCBAIFAgYCBwIIAgkCHAILApUCDQIIAggCCAIIAggCCAIIAggCCAIIAggCCAIIAggCCAIIAggCGQIDAtACHgAEAwECAgJAAgQCBQIGAgcCCAIJAgoCCwKVAg0CCAIIAggCCAIIAggCegAABAAIAggCCAIIAggCCAIIAggCCAIIAggCGQIDAssCHgAEAwECAgJJAgQCBQIGAgcCCAIJApcCCwKVAg0CCAIIAggCCAIIAggCCAIIAggCCAIIAggCCAIIAggCCAIIAhkCAwLRAh4ABAMBAgICNwIEAgUCBgIHAggCCQKXAgsClQINAggCCAIIAggCCAIIAggCCAIIAggCCAIIAggCCAIIAggCCAIZAgMCzgIeAAQDAQICAjcCBAIFAgYCBwIIAgkCHAILApUCDQIIAggCCAIIAggCCAIIAggCCAIIAggCCAIIAggCCAIIAggCGQIDAs8CHgAEAwECAgIpAgQCBQIGAgcCCAIJApcCCwKVAg0CCAIIAggCCAIIAggCCAIIAggCCAIIAggCCAIIAggCCAIIAhkCAwK4Ah4ABAMBAgICOwIEAgUCBgIHAggCCQIKAgsClQINAggCCAIIAggCCAIIAggCCAIIAggCCAIIAggCCAIIAggCCAIZAgMC1AIeAAQDAQICAlYCBAIFAgYCBwIIAgkCCgILApUCDQIIAggCCAIIAggCCAIIAggCCAIIAggCCAIIAggCCAIIAggCGQIDAs0CHgAEAwECAgJqAgQCBQIGAgcCCAIJAgoCCwKVAg0CCAIIAggCCAIIAggCCAIIAggCCAIIAggCCAIIAggCCAIIAhkCAwLDAh4ABAMBAgICIAIEAgUCBgIHAggCCQIKAgsClQINAggCCAIIAggCCAIIAggCCAIIAggCCAIIAggCCAIIAggCCAIZAgMCxAIeAAQDAQICAmsCBAIFAgYCBwIIAgkCCgILApUCDQIIAggCCAIIAggCCAIIAggCCAIIAggCCAIIAggCCAIIAggCGQIDApYCHgAEAwECAgI7AgQCBQIGAgcCCAIJApcCCwKVAg0CCAIIAggCCAIIAggCCAIIAggCCAIIAggCCAIIAggCCAIIAhkCAwLKAh4ABAMBAgICXAIEAgUCBgIHAggCCQKXAgsClQINAggCCAIIAggCCAIIAggCCAIIAggCCAIIAggCCAIIAggCCAIZAgMCrgIeAAQDAQICAlQCBAIFAgYCBwIIAgkClwILApUCDQIIAggCCAIIAggCCAIIAggCCAIIAggCCAIIAggCCAIIAggCGQIDAsUCHgAEAwECAgIjAgQCBQIGAgcCCAIJApcCCwKVAg0CCAIIAggCCAIIAggCCAIIAggCCAIIAggCCAIIAggCCAIIAhkCAwKYAh4ABAMBAgICVAIEAgUCBgIHAggCCQIcAgsClQINAggCCAIIAggCCAIIAggCCAIIAggCCAIIAggCCAIIAggCCAIZAgMCyQIeAAQDAQICAlwCBAIFAgYCegAABAAHAggCCQIcAgsClQINAggCCAIIAggCCAIIAggCCAIIAggCCAIIAggCCAIIAggCCAIZAgMCrQIeAAQDAQICAh4CBAIFAgYCBwIIAgkClwILApUCDQIIAggCCAIIAggCCAIIAggCCAIIAggCCAIIAggCCAIIAggCGQIDAiwCHgAEAwECAgIeAgQCBQIGAgcCCAIJAhwCCwKVAg0CCAIIAggCCAIIAggCCAIIAggCCAIIAggCCAIIAggCCAIIAhkCAwLnAh4ABAMBAgICAwIEAgUCBgIHAggCCQKXAgsClQINAggCCAIIAggCCAIIAggCCAIIAggCCAIIAggCCAIIAggCCAIZAgMCpgIeAAQDAQICAmYCBAIFAgYCBwIIAgkCHAILApUCDQIIAggCCAIIAggCCAIIAggCCAIIAggCCAIIAggCCAIIAggCGQIDAtkCHgAEAwECAgJWAgQCBQIGAgcCCAIJApcCCwKVAg0CCAIIAggCCAIIAggCCAIIAggCCAIIAggCCAIIAggCCAIIAhkCAwLXAh4ABAMBAgICYgIEAgUCBgIHAggCCQKXAgsClQINAggCCAIIAggCCAIIAggCCAIIAggCCAIIAggCCAIIAggCCAIZAgMCLAIeAAQDAQICAgMCBAIFAgYCBwIIAgkCHAILApUCDQIIAggCCAIIAggCCAIIAggCCAIIAggCCAIIAggCCAIIAggCGQIDApsCHgAEAwECAgIlAgQCBQIGAgcCCAIJAhwCCwKVAg0CCAIIAggCCAIIAggCCAIIAggCCAIIAggCCAIIAggCCAIIAhkCAwLYAh4ABAMBAgICJQIEAgUCBgIHAggCCQKXAgsClQINAggCCAIIAggCCAIIAggCCAIIAggCCAIIAggCCAIIAggCCAIZAgMC3QIeAAQDAQICAmICBAIFAgYCBwIIAgkCHAILApUCDQIIAggCCAIIAggCCAIIAggCCAIIAggCCAIIAggCCAIIAggCGQIDAqACHgAEAwECAgI7AgQCBQIGAgcCCAIJAhwCCwKVAg0CCAIIAggCCAIIAggCCAIIAggCCAIIAggCCAIIAggCCAIIAhkCAwLHAh4ABAMBAgICVgIEAgUCBgIHAggCCQIcAgsClQINAggCCAIIAggCCAIIAggCCAIIAggCCAIIAggCCAIIAggCCAIZAgMCyAIeAAQDAQICAk4CBAIFAgYCBwIIAgkCCgILApUCDQIIAggCCAIIAggCCAIIAggCCAIIAggCCAIIAggCCAIIAggCGQIDApwCHgAEAwECAgJGAgQCBQIGAgcCCAIJAhwCCwKVAg0CCAIIAggCCAIIAggCCAIIAggCCAIIAggCCAIIAggCd9sIAggCGQIDAtsCHgAEAwECAgJGAgQCBQIGAgcCCAIJApcCCwKVAg0CCAIIAggCCAIIAggCCAIIAggCCAIIAggCCAIIAggCCAIIAhkCAwIsAh4ABAMBAgICKQIEAgUCBgIHAggCCQIKAgsClQINAggCCAIIAggCCAIIAggCCAIIAggCCAIIAggCCAIIAggCCAIZAgMCmgIeAAQDAQICAjQCBAIFAgYCBwIIAgkCCgILApUCDQIIAggCCAIIAggCCAIIAggCCAIIAggCCAIIAggCCAIIAggCGQIDAtw=]]></xxe4awand>
</file>

<file path=customXml/item35.xml><?xml version="1.0" encoding="utf-8"?>
<xxe4awand xmlns="http://www.excel4apps.com"><![CDATA[rO0ABXfZCMCtii8ABEM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xxe4awand>
</file>

<file path=customXml/item36.xml><?xml version="1.0" encoding="utf-8"?>
<xxe4awand xmlns="http://www.excel4apps.com"><![CDATA[rO0ABXfZCMCtii8ABLc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v////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AAT///////////////7////+/////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xxe4awand>
</file>

<file path=customXml/item37.xml><?xml version="1.0" encoding="utf-8"?>
<xxe4awand xmlns="http://www.excel4apps.com"><![CDATA[rO0ABXfZCMCtii8ABMY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xxe4awand>
</file>

<file path=customXml/item38.xml><?xml version="1.0" encoding="utf-8"?>
<xxe4awand xmlns="http://www.excel4apps.com"><![CDATA[rO0ABXfZCMCtii8ABKsEAh4AAERjb20uZXhjZWw0YXBwcy53YW5kLm9yYWNsZS5n
bHdhbmQuY2FsY3VsYXRpb25zLmdldGJhbGFuY2UuR2V0QmFsYW5jZQIBAAk0ODYw
NzEzMDQCAgABMAIDAAYyMDE4MDI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UaEtnh4d00CHgACAQICAhsABjIwMTcxMAIEAgUCBgIHAggCCQIKAgsCDAIN
AggCCAIIAggCCAIIAggCCAIIAggCCAIIAggCCAIIAggCCAIDAgMCHHNxAH4AAAAA
AAJzcQB+AAT///////////////7////+/////3VxAH4ABwAAAARDRE3geHh3TQIeAAIBAgICHQAGMjAxNzEyAgQCBQIGAgcCCAIJAgoCCwIMAg0CCAIIAggCCAIIAggCCAIIAggCCAIIAggCCAIIAggCCAIIAgMCAwIec3EAfgAAAAAAAnNxAH4ABP///////////////v////7/////dXEAfgAHAAAABCQ0bfR4eHdNAh4AAgECAgIfAAYyMDE3MDMCBAIFAgYCBwIIAgkCCgILAgwCDQIIAggCCAIIAggCCAIIAggCCAIIAggCCAIIAggCCAIIAggCAwIDAiBzcQB+AAAAAAACc3EAfgAE///////////////+/////v////91cQB+AAcAAAAEJngfcXh4d00CHgACAQICAiEABjIwMTcwNwIEAgUCBgIHAggCCQIKAgsCDAINAggCCAIIAggCCAIIAggCCAIIAggCCAIIAggCCAIIAggCCAIDAgMCInNxAH4AAAAAAAJzcQB+AAT///////////////7////+/////3VxAH4ABwAAAAQukYUreHh3TQIeAAIBAgICIwAGMjAxNzA1AgQCBQIGAgcCCAIJAgoCCwIMAg0CCAIIAggCCAIIAggCCAIIAggCCAIIAggCCAIIAggCCAIIAgMCAwIkc3EAfgAAAAAAAnNxAH4ABP///////////////v////7/////dXEAfgAHAAAABComTwt4eHdNAh4AAgECAgIlAAYyMDE3MDkCBAIFAgYCBwIIAgkCCgILAgwCDQIIAggCCAIIAggCCAIIAggCCAIIAggCCAIIAggCCAIIAggCAwIDAiZzcQB+AAAAAAACc3EAfgAE///////////////+/////v////91cQB+AAcAAAAEOUUu/nh4d00CHgACAQICAicABjIwMTcwMQIEAgUCBgIHAggCCQIKAgsCDAINAggCCAIIAggCCAIIAggCCAIIAggCCAIIAggCCAIIAggCCAIDAgMCKHNxAH4AAAAAAAJzcQB+AAT///////////////7////+/////3VxAH4ABwAAAAQdsfpMeHh3TQIeAAIBAgICKQAGMjAxODAzAgQCBQIGAgcCCAIJAgoCCwIMAg0CCAIIAggCCAIIAggCCAIIAggCCAIIAggCCAIIAggCCAIIAgMCAwIqc3EAfgAAAAAAAnNxAH4ABP///////////////v////7/////dXEAfgAHAAAABCrCsfh4eHdNAh4AAgECAgIrAAYyMDE4MDECBAIFAgYCBwIIAgkCCgILAgwCDQIIAggCCAIIAggCCAIIAggCCAIIAggCCAIIAggCCAIIAggCAwIDAixzcQB+AAAAAAACc3EAfgAE///////////////+/////v////91cQB+AAcAAAAEKSCPhXh4d00CHgACAQICAi0ABjIwMTcxMQIEAgUCBgIHAggCCQIKAgsCDAINAggCCAIIAggCCAIIAggCCAIIAggCCAIIAggCCAIIAggCCAIDAgMCLnNxAH4AAAAAAAJzcQB+AAT///////////////7////+/////3VxAH4ABwAAAAQcI3yQeHh3TQIeAAIBAgICLwAGMjAxNzAyAgQCBQIGAgcCCAIJAgoCCwIMAg0CCAIIAggCCAIIAggCCAIIAggCCAIIAggCCAIIAggCCAIIAgMCAwIwc3EAfgAAAAAAAnNxAH4ABP///////////////v////7/////dXEAfgAHAAAABCIKrDF4eHdNAh4AAgECAgIxAAYyMDE3MDYCBAIFAgYCBwIIAgkCCgILAgwCDQIIAggCCAIIAggCCAIIAggCCAIIAggCCAIIAggCCAIIAggCAwIDAjJzcQB+AAAAAAACc3EAfgAE///////////////+/////v////91cQB+AAcAAAAEKgtGIXh4d00CHgACAQICAjMABjIwMTcwNAIEAgUCBgIHAggCCQIKAgsCDAINAggCCAIIAggCCAIIAggCCAIIAggCCAIIAggCCAIIAggCCAIDAgMCNHNxAH4AAAAAAAJzcQB+AAT///////////////7////+/////3VxAH4ABwAAAAQp4OUTeHh3TQIeAAIBAgICNQAGMjAxNzA4AgQCBQIGAgcCCAIJAgoCCwIMAg0CCAIIAggCCAIIAggCCAIIAggCCAIIAggCCAIIAggCCAIIAgMCAwI2c3EAfgAAAAAAAnNxAH4ABP///////////////v////7/////dXEAfgAHAAAABDQ5VOh4eHdYAh4AAjcACTQ3NDI0ODk2OAICAjECBAIFAgYCBwIIAgkCOAAGMTkxMDE1AgsCDAINAggCCAIIAggCCAIIAggCCAIIAggCCAIIAggCCAIIAggCCAIbAgMCOXNxAH4AAAAAAAJzcQB+AAT///////////////7////+/////3VxAH4ABwAAAAMSlsB4eHdNAh4AAjcCAgI6AAYyMDE2MDUCBAIFAgYCBwIIAgkCOAILAgwCDQIIAggCCAIIAggCCAIIAggCCAIIAggCCAIIAggCCAIIAggCGwIDAjtzcQB+AAAAAAACc3EAfgAE///////////////+/////v////91cQB+AAcAAAADEmN/eHh3TQIeAAI3AgICPAAGMjAxNjA2AgQCBQIGAgcCCAIJAgoCCwIMAg0CCAIIAggCCAIIAggCCAIIAggCCAIIAggCCAIIAggCCAIIAhsCAwI9c3EAfgAAAAAAAnNxAH4ABP///////////////v////7/////dXEAfgAHAAAABCsQC1F4eHdNAh4AAjcCAgI+AAYyMDE2MTICBAIFAgYCBwIIAgkCCgILAgwCDQIIAggCCAIIAggCCAIIAggCCAIIAggCCAIIAggCCAIIAggCGwIDAj9zcQB+AAAAAAACc3EAfgAE///////////////+/////v////91cQB+AAcAAAAEFay1n3h4d0UCHgACNwICAh0CBAIFAgYCBwIIAgkCOAILAgwCDQIIAggCCAIIAggCCAIIAggCCAIIAggCCAIIAggCCAIIAggCGwIDAkBzcQB+AAAAAAACc3EAfgAE///////////////+/////gAAAAB1cQB+AAcAAAAAeHh3RQIeAAI3AgICPgIEAgUCBgIHAggCCQI4AgsCDAINAggCCAIIAggCCAIIAggCCAIIAggCCAIIAggCCAIIAggCCAIbAgMCQXNxAH4AAAAAAAJzcQB+AAT///////////////7////+/////3VxAH4ABwAAAAMSfwZ4eHeaAh4AAjcCAgIhAgQCBQIGAgcCCAIJAgoCCwIMAg0CCAIIAggCCAIIAggCCAIIAggCCAIIAggCCAIIAggCCAIIAhsCAwIiAh4AAjcCAgJCAAYyMDE2MDgCBAIFAgYCBwIIAgkCQwAGMTkxMDAwAgsCDAINAggCCAIIAggCCAIIAggCCAIIAggCCAIIAggCCAIIAggCCAIbAgMCRHNxAH4AAAAAAAJzcQB+AAT///////////////7////+/////3VxAH4ABwAAAAOesqp4eHdFAh4AAjcCAgIlAgQCBQIGAgcCCAIJAkMCCwIMAg0CCAIIAggCCAIIAggCCAIIAggCCAIIAggCCAIIAggCCAIIAhsCAwJFc3EAfgAAAAAAAnNxAH4ABP///////////////v////4AAAABdXEAfgAHAAAABAJaEtJ4eHdFAh4AAjcCAgIhAgQCBQIGAgcCCAIJAjgCCwIMAg0CCAIIAggCCAIIAggCCAIIAggCCAIIAggCCAIIAggCCAIIAhsCAwJGc3EAfgAAAAAAAnNxAH4ABP///////////////v////7/////dXEAfgAHAAAAAxKat3h4d0UCHgACNwICAjwCBAIFAgYCBwIIAgkCOAILAgwCDQIIAggCCAIIAggCCAIIAggCCAIIAggCCAIIAggCCAIIAggCGwIDAkdzcQB+AAAAAAACc3EAfgAE///////////////+/////v////91cQB+AAcAAAADEmdreHh3RQIeAAI3AgICOgIEAgUCBgIHAggCCQIKAgsCDAINAggCCAIIAggCCAIIAggCCAIIAggCCAIIAggCCAIIAggCCAIbAgMCSHNxAH4AAAAAAAJzcQB+AAT///////////////7////+/////3VxAH4ABwAAAAQmLzLCeHh3RQIeAAI3AgICKwIEAgUCBgIHAggCCQJDAgsCDAINAggCCAIIAggCCAIIAggCCAIIAggCCAIIAggCCAIIAggCCAIbAgMCSXNxAH4AAAAAAAJzcQB+AAT///////////////7////+/////3VxAH4ABwAAAAQQposkeHh3TQIeAAI3AgICSgAGMjAxNjA3AgQCBQIGAgcCCAIJAkMCCwIMAg0CCAIIAggCCAIIAggCCAIIAggCCAIIAggCCAIIAggCCAIIAhsCAwJLc3EAfgAAAAAAAnNxAH4ABP///////////////v////7/////dXEAfgAHAAAABAEGlGB4eHeKAh4AAjcCAgIxAgQCBQIGAgcCCAIJAgoCCwIMAg0CCAIIAggCCAIIAggCCAIIAggCCAIIAggCCAIIAggCCAIIAhsCAwIyAh4AAjcCAgI1AgQCBQIGAgcCCAIJAkMCCwIMAg0CCAIIAggCCAIIAggCCAIIAggCCAIIAggCCAIIAggCCAIIAhsCAwJMc3EAfgAAAAAAAnNxAH4ABP///////////////v////4AAAABdXEAfgAHAAAAA/+JXnh4d4oCHgACNwICAi0CBAIFAgYCBwIIAgkCCgILAgwCDQIIAggCCAIIAggCCAIIAggCCAIIAggCCAIIAggCCAIIAggCGwIDAi4CHgACNwICAjoCBAIFAgYCBwIIAgkCQwILAgwCDQIIAggCCAIIAggCCAIIAggCCAIIAggCCAIIAggCCAIIAggCGwIDAk1zcQB+AAAAAAACc3EAfgAE///////////////+/////v////91cQB+AAcAAAAEAc1Kd3h4d0UCHgACNwICAkoCBAIFAgYCBwIIAgkCOAILAgwCDQIIAggCCAIIAggCCAIIAggCCAIIAggCCAIIAggCCAIIAggCGwIDAk5zcQB+AAAAAAACc3EAfgAE///////////////+/////v////91cQB+AAcAAAADEmtYeHh3RQIeAAI3AgICNQIEAgUCBgIHAggCCQI4AgsCDAINAggCCAIIAggCCAIIAggCCAIIAggCCAIIAggCCAIIAggCCAIbAgMCT3NxAH4AAAAAAAJzcQB+AAT///////////////7////+/////3VxAH4ABwAAAAMSnq94eHdNAh4AAjcCAgJQAAYyMDE2MTACBAIFAgYCBwIIAgkCCgILAgwCDQIIAggCCAIIAggCCAIIAggCCAIIAggCCAIIAggCCAIIAggCGwIDAlFzcQB+AAAAAAACc3EAfgAE///////////////+/////v////91cQB+AAcAAAAENJhHI3h4d0UCHgACNwICAgMCBAIFAgYCBwIIAgkCQwILAgwCDQIIAggCCAIIAggCCAIIAggCCAIIAggCCAIIAggCCAIIAggCGwIDAlJzcQB+AAAAAAACc3EAfgAE///////////////+/////v////91cQB+AAcAAAAECivT53h4d0UCHgACNwICAicCBAIFAgYCBwIIAgkCQwILAgwCDQIIAggCCAIIAggCCAIIAggCCAIIAggCCAIIAggCCAIIAggCGwIDAlNzcQB+AAAAAAACc3EAfgAE///////////////+/////v////91cQB+AAcAAAAEFDr3g3h4d00CHgACNwICAlQABjIwMTYxMQIEAgUCBgIHAggCCQJDAgsCDAINAggCCAIIAggCCAIIAggCCAIIAggCCAIIAggCCAIIAggCCAIbAgMCVXNxAH4AAAAAAAJzcQB+AAT///////////////7////+/////3VxAH4ABwAAAAQlkNH7eHh3RQIeAAI3AgICUAIEAgUCBgIHAggCCQI4AgsCDAINAggCCAIIAggCCAIIAggCCAIIAggCCAIIAggCCAIIAggCCAIbAgMCVnNxAH4AAAAAAAJzcQB+AAT///////////////7////+/////3VxAH4ABwAAAAMSdyV4eHeKAh4AAjcCAgIjAgQCBQIGAgcCCAIJAgoCCwIMAg0CCAIIAggCCAIIAggCCAIIAggCCAIIAggCCAIIAggCCAIIAhsCAwIkAh4AAjcCAgIdAgQCBQIGAgcCCAIJAkMCCwIMAg0CCAIIAggCCAIIAggCCAIIAggCCAIIAggCCAIIAggCCAIIAhsCAwJXc3EAfgAAAAAAAnNxAH4ABP///////////////v////7/////dXEAfgAHAAAABBa3qKJ4eHdNAh4AAjcCAgJYAAYyMDE2MDQCBAIFAgYCBwIIAgkCOAILAgwCDQIIAggCCAIIAggCCAIIAggCCAIIAggCCAIIAggCCAIIAggCGwIDAllzcQB+AAAAAAACc3EAfgAE///////////////+/////v////91cQB+AAcAAAADEl+UeHh3RQIeAAI3AgICIwIEAgUCBgIHAggCCQI4AgsCDAINAggCCAIIAggCCAIIAggCCAIIAggCCAIIAggCCAIIAggCCAIbAgMCWnNxAH4AAAAAAAJzcQB+AAT///////////////7////+/////3VxAH4ABwAAAAMSksp4eHdNAh4AAjcCAgJbAAYyMDE2MDICBAIFAgYCBwIIAgkCQwILAgwCDQIIAggCCAIIAggCCAIIAggCCAIIAggCCAIIAggCCAIIAggCGwIDAlxzcQB+AAAAAAACc3EAfgAE///////////////+/////v////91cQB+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AAAAAAACc3EAfgAE///////////////+/////v////91cQB+AAcAAAAELv3gknh4d0UCHgACNwICAlgCBAIFAgYCBwIIAgkCCgILAgwCDQIIAggCCAIIAggCCAIIAggCCAIIAggCCAIIAggCCAIIAggCGwIDAl5zcQB+AAAAAAACc3EAfgAE///////////////+/////v////91cQB+AAcAAAAEI8Z4/Xh4d4oCHgACNwICAisCBAIFAgYCBwIIAgkCOAILAgwCDQIIAggCCAIIAggCCAIIAggCCAIIAggCCAIIAggCCAIIAggCGwIDAkACHgACNwICAjECBAIFAgYCBwIIAgkCQwILAgwCDQIIAggCCAIIAggCCAIIAggCCAIIAggCCAIIAggCCAIIAggCGwIDAl9zcQB+AAAAAAACc3EAfgAE///////////////+/////v////91cQB+AAcAAAAEAW1K0nh4d5ICHgACNwICAisCBAIFAgYCBwIIAgkCCgILAgwCDQIIAggCCAIIAggCCAIIAggCCAIIAggCCAIIAggCCAIIAggCGwIDAiwCHgACNwICAmAABjIwMTYwMwIEAgUCBgIHAggCCQJDAgsCDAINAggCCAIIAggCCAIIAggCCAIIAggCCAIIAggCCAIIAggCCAIbAgMCYXNxAH4AAAAAAAJzcQB+AAT///////////////7////+/////3VxAH4ABwAAAAQC+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AAT///////////////7////+/////3VxAH4ABwAAAAMSgvh4eHdNAh4AAjcCAgJjAAYyMDE2MDkCBAIFAgYCBwIIAgkCOAILAgwCDQIIAggCCAIIAggCCAIIAggCCAIIAggCCAIIAggCCAIIAggCGwIDAmRzcQB+AAAAAAACc3EAfgAE///////////////+/////v////91cQB+AAcAAAADEnM1eHh3RQIeAAI3AgICHwIEAgUCBgIHAggCCQJDAgsCDAINAggCCAIIAggCCAIIAggCCAIIAggCCAIIAggCCAIIAggCCAIbAgMCZXNxAH4AAAAAAAJzcQB+AAT///////////////7////+/////3VxAH4ABwAAAAQIvUgheHh3RQIeAAI3AgICGwIEAgUCBgIHAggCCQJDAgsCDAINAggCCAIIAggCCAIIAggCCAIIAggCCAIIAggCCAIIAggCCAIbAgMCZnNxAH4AAAAAAAJzcQB+AAT///////////////7////+AAAAAXVxAH4ABwAAAAQGG1pqeHh3RQIeAAI3AgICIwIEAgUCBgIHAggCCQJDAgsCDAINAggCCAIIAggCCAIIAggCCAIIAggCCAIIAggCCAIIAggCCAIbAgMCZ3NxAH4AAAAAAAJzcQB+AAT///////////////7////+/////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AAT///////////////7////+/////3VxAH4ABwAAAAQCUB7peHh3RQIeAAI3AgICWwIEAgUCBgIHAggCCQIKAgsCDAINAggCCAIIAggCCAIIAggCCAIIAggCCAIIAggCCAIIAggCCAIbAgMCaXNxAH4AAAAAAAJzcQB+AAT///////////////7////+/////3VxAH4ABwAAAAQbsx5ceHh3igIeAAI3AgICGwIEAgUCBgIHAggCCQIKAgsCDAINAggCCAIIAggCCAIIAggCCAIIAggCCAIIAggCCAIIAggCCAIbAgMCHAIeAAI3AgICHwIEAgUCBgIHAggCCQI4AgsCDAINAggCCAIIAggCCAIIAggCCAIIAggCCAIIAggCCAIIAggCCAIbAgMCanNxAH4AAAAAAAJzcQB+AAT///////////////7////+/////3VxAH4ABwAAAAMSit94eHdFAh4AAjcCAgJbAgQCBQIGAgcCCAIJAjgCCwIMAg0CCAIIAggCCAIIAggCCAIIAggCCAIIAggCCAIIAggCCAIIAhsCAwJrc3EAfgAAAAAAAnNxAH4ABP///////////////v////7/////dXEAfgAHAAAAAxJXv3h4d0UCHgACNwICAmMCBAIFAgYCBwIIAgkCCgILAgwCDQIIAggCCAIIAggCCAIIAggCCAIIAggCCAIIAggCCAIIAggCGwIDAmxzcQB+AAAAAAACc3EAfgAE///////////////+/////v////91cQB+AAcAAAAEM7yWknh4d0UCHgACNwICAlACBAIFAgYCBwIIAgkCQwILAgwCDQIIAggCCAIIAggCCAIIAggCCAIIAggCCAIIAggCCAIIAggCGwIDAm1zcQB+AAAAAAACc3EAfgAE///////////////+/////gAAAAF1cQB+AAcAAAADuXJ8eHh3RQIeAAI3AgICLwIEAgUCBgIHAggCCQI4AgsCDAINAggCCAIIAggCCAIIAggCCAIIAggCCAIIAggCCAIIAggCCAIbAgMCbnNxAH4AAAAAAAJzcQB+AAT///////////////7////+/////3VxAH4ABwAAAAMShut4eHdFAh4AAjcCAgItAgQCBQIGAgcCCAIJAkMCCwIMAg0CCAIIAggCCAIIAggCCAIIAggCCAIIAggCCAIIAggCCAIIAhsCAwJvc3EAfgAAAAAAAnNxAH4ABP///////////////v////7/////dXEAfgAHAAAABB7AdGx4eHdFAh4AAjcCAgIzAgQCBQIGAgcCCAIJAkMCCwIMAg0CCAIIAggCCAIIAggCCAIIAggCCAIIAggCCAIIAggCCAIIAhsCAwJwc3EAfgAAAAAAAnNxAH4ABP///////////////v////7/////dXEAfgAHAAAABAUEo0F4eHdFAh4AAjcCAgJCAgQCBQIGAgcCCAIJAgoCCwIMAg0CCAIIAggCCAIIAggCCAIIAggCCAIIAggCCAIIAggCCAIIAhsCAwJxc3EAfgAAAAAAAnNxAH4ABP///////////////v////7/////dXEAfgAHAAAABDHvtRl4eHeKAh4AAjcCAgIlAgQCBQIGAgcCCAIJAgoCCwIMAg0CCAIIAggCCAIIAggCCAIIAggCCAIIAggCCAIIAggCCAIIAhsCAwImAh4AAjcCAgIbAgQCBQIGAgcCCAIJAjgCCwIMAg0CCAIIAggCCAIIAggCCAIIAggCCAIIAggCCAIIAggCCAIIAhsCAwJyc3EAfgAAAAAAAnNxAH4ABP///////////////v////7/////dXEAfgAHAAAAAxKmonh4d0UCHgACNwICAj4CBAIFAgYCBwIIAgkCQwILAgwCDQIIAggCCAIIAggCCAIIAggCCAIIAggCCAIIAggCCAIIAggCGwIDAnNzcQB+AAAAAAACc3EAfgAE///////////////+/////v////91cQB+AAcAAAAEHRCpdHh4d0UCHgACNwICAmACBAIFAgYCBwIIAgkCOAILAgwCDQIIAggCCAIIAggCCAIIAggCCAIIAggCCAIIAggCCAIIAggCGwIDAnRzcQB+AAAAAAACc3EAfgAE///////////////+/////v////91cQB+AAcAAAADElupeHh3RQIeAAI3AgICMwIEAgUCBgIHAggCCQI4AgsCDAINAggCCAIIAggCCAIIAggCCAIIAggCCAIIAggCCAIIAggCCAIbAgMCdXNxAH4AAAAAAAJzcQB+AAT///////////////7////+/////3VxAH4ABwAAAAMSjtR4eHdFAh4AAjcCAgJgAgQCBQIGAgcCCAIJAgoCCwIMAg0CCAIIAggCCAIIAggCCAIIAggCCAIIAggCCAIIAggCCAIIAhsCAwJ2c3EAfgAAAAAAAnNxAH4ABP///////////////v////7/////dXEAfgAHAAAABB6uCU94eHdFAh4AAjcCAgIlAgQCBQIGAgcCCAIJAjgCCwIMAg0CCAIIAggCCAIIAggCCAIIAggCCAIIAggCCAIIAggCCAIIAhsCAwJ3c3EAfgAAAAAAAnNxAH4ABP///////////////v////7/////dXEAfgAHAAAAAxKiqHh4d0UCHgACNwICAjwCBAIFAgYCBwIIAgkCQwILAgwCDQIIAggCCAIIAggCCAIIAggCCAIIAggCCAIIAggCCAIIAggCGwIDAnhzcQB+AAAAAAACc3EAfgAE///////////////+/////v////91cQB+AAcAAAAEAWTK8nh4d0UCHgACNwICAiECBAIFAgYCBwIIAgkCQwILAgwCDQIIAggCCAIIAggCCAIIAggCCAIIAggCCAIIAggCCAIIAggCGwIDAnlzcQB+AAAAAAACc3EAfgAE///////////////+/////v////91cQB+AAcAAAADTrgKeHh3igIeAAI3AgICHQIEAgUCBgIHAggCCQIKAgsCDAINAggCCAIIAggCCAIIAggCCAIIAggCCAIIAggCCAIIAggCCAIbAgMCHgIeAAI3AgICVAIEAgUCBgIHAggCCQIKAgsCDAINAggCCAIIAggCCAIIAggCCAIIAggCCAIIAggCCAIIAggCCAIbAgMCenNxAH4AAAAAAAJzcQB+AAT///////////////7////+/////3VxAH4ABwAAAAQL0RJ0eHh3igIeAAI3AgICJwIEAgUCBgIHAggCCQIKAgsCDAINAggCCAIIAggCCAIIAggCCAIIAggCCAIIAggCCAIIAggCCAIbAgMCKAIeAAI3AgICVAIEAgUCBgIHAggCCQI4AgsCDAINAggCCAIIAggCCAIIAggCCAIIAggCCAIIAggCCAIIAggCCAIbAgMCe3NxAH4AAAAAAAJzcQB+AAT///////////////7////+/////3VxAH4ABwAAAAMSexV4eHdFAh4AAjcCAgJCAgQCBQIGAgcCCAIJAjgCCwIMAg0CCAIIAggCCAIIAggCCAIIAggCCAIIAggCCAIIAggCCAIIAhsCAwJ8c3EAfgAAAAAAAnNxAH4ABP///////////////v////7/////dXEAfgAHAAAAAxJvRnh4d0UCHgACNwICAmMCBAIFAgYCBwIIAgkCQwILAgwCDQIIAggCCAIIAggCCAIIAggCCAIIAggCCAIIAggCCAIIAggCGwIDAn1zcQB+AAAAAAACc3EAfgAE///////////////+/////v////91cQB+AAcAAAADMvcReHh3igIeAAI3AgICMwIEAgUCBgIHAggCCQIKAgsCDAINAggCCAIIAggCCAIIAggCCAIIAggCCAIIAggCCAIIAggCCAIbAgMCNAIeAAI3AgICLwIEAgUCBgIHAggCCQJDAgsCDAINAggCCAIIAggCCAIIAggCCAIIAggCCAIIAggCCAIIAggCCAIbAgMCfnNxAH4AAAAAAAJzcQB+AAT///////////////7////+/////3VxAH4ABwAAAAQOCxxKeHh6AAAEAAIeAAJ/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AAAAAAACc3EAfgAE///////////////+/////v////91cQB+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AgICUAIEAgUCBgIHAggCCQJDAgsCDAINAggCCAIIAggCCAIIAggCCAIIAggCCAIIAggCCAIIAggCCAIZAgMCbQIeAAJ/AgICMwIEAgUCBgIHAggCCQIKAgsCDAINAggCCAIIAggCCAIIAggCCAIIAggCCAIIAggCCAIIAggCCAIZAgMCNAIeAAJ/AgICYAIEAgUCBgIHAggCCQJDAgsCDAINAggCCAIIAggCCAIIAggCCAIIAggCCAIIAggCCAIIAggCCAIZAgMCYQIeAAJ/AgICOgIEAgUCBgIHAggCCQJDAgsCDAINAggCCAIIAggCCAIIAggCCAIIAggCCAIIAggCCAIIAggCCAIZAgMCTQIeAAJ/AgICKQIEAgUCBgIHAggCCQIKAgsCDAINAggCCAIIAggCCAIIAggCCAIIAggCCAIIAggCCAIIAggCCAIZAgMCKgIeAAJ/AgICMwIEAgUCBgIHAggCCQJDAgsCDAINAggCCAIIAggCCAIIAggCCAIIAggCCAIIAggCCAIIAggCCAIZAgMCcAIeAAJ/AgICGwIEAgUCBgIHAggCCQI4AgsCDAINAggCCAIIAggCCAIIAggCCAIIAggCCAIIAggCCAIIAggCCAIZAgMCcgIeAAJ/AgICYAIEAgUCBgIHAggCCQIKAgsCDAINAggCCAIIAggCCAIIAggCCAIIAggCCAIIAggCCAIIAggCCAIZAgMCdgIeAAJ/AgICUAIEAgUCBgIHAggCCQIKAgsCDAINAggCCAIIAggCCAIIAggCCAIIAggCCAIIAggCCAIIAggCCAIZAgMCUQIeAAJ/AgICYAIEAgUCBgIHAggCCQI4AgsCDAINAggCCAIIAggCCAIIAggCCAIIAggCCAIIAggCCAIIAggCCAIZAgMCdAIeAAJ/AgICHQIEAgUCBgIHAggCCQJDAgsCDAINAggCCAIIAggCCAIIAggCCAIIAggCCAIIAggCCAIIAggCCAIZAgMCVwIeAAJ/AgICVAIEAgUCBgIHAggCCQJDAgsCDAINAggCCAIIAggCCAIIAggCCAIIAggCCAIIAggCCAIIAggCCAIZAgMCVQIeAAJ/AgICHwIEAgUCBgIHAggCCQI4AgsCDAINAggCCAIIAggCCAIIAggCCAIIAggCCAIIAggCCAIIAggCCAIZAgMCagIeAAJ/AgICGwIEAgUCBgIHAggCCQIKAgsCDAINAggCCAIIAggCCAIIAggCCAIIAggCCAIIAggCCAIIAggCCAIZAgMCHAIeAAJ/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AgQCBQIGAgcCCAIJAgoCCwIMAg0CCAIIAggCCAIIAggCCAIIAggCCAIIAggCCAIIAggCCAIIAhkCAwI/Ah4AAn8CAgI+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AAAAAAACc3EAfgAE///////////////+/////v////91cQB+AAcAAAAEUn6jGnh4d0UCHgACgQICAi8CBAIFAgYCBwIIAgkCCgILAoICDQIIAggCCAIIAggCCAIIAggCCAIIAggCCAIIAggCCAIIAggCAgIDAoRzcQB+AAAAAAACc3EAfgAE///////////////+/////v////91cQB+AAcAAAAESYtTyXh4d0UCHgACgQICAiUCBAIFAgYCBwIIAgkCCgILAoICDQIIAggCCAIIAggCCAIIAggCCAIIAggCCAIIAggCCAIIAggCAgIDAoVzcQB+AAAAAAACc3EAfgAE///////////////+/////v////91cQB+AAcAAAAEcQZZSXh4d0UCHgACgQICAi0CBAIFAgYCBwIIAgkCCgILAoICDQIIAggCCAIIAggCCAIIAggCCAIIAggCCAIIAggCCAIIAggCAgIDAoZzcQB+AAAAAAACc3EAfgAE///////////////+/////v////91cQB+AAcAAAAEMNCqs3h4d0UCHgACgQICAisCBAIFAgYCBwIIAgkCCgILAoICDQIIAggCCAIIAggCCAIIAggCCAIIAggCCAIIAggCCAIIAggCAgIDAodzcQB+AAAAAAACc3EAfgAE///////////////+/////v////91cQB+AAcAAAAETu7o2nh4d0UCHgACgQICAiECBAIFAgYCBwIIAgkCCgILAoICDQIIAggCCAIIAggCCAIIAggCCAIIAggCCAIIAggCCAIIAggCAgIDAohzcQB+AAAAAAACc3EAfgAE///////////////+/////v////91cQB+AAcAAAAEXtRi+Hh4d0UCHgACgQICAjMCBAIFAgYCBwIIAgkCCgILAoICDQIIAggCCAIIAggCCAIIAggCCAIIAggCCAIIAggCCAIIAggCAgIDAolzcQB+AAAAAAACc3EAfgAE///////////////+/////v////91cQB+AAcAAAAEWnDZd3h4d0UCHgACgQICAiMCBAIFAgYCBwIIAgkCCgILAoICDQIIAggCCAIIAggCCAIIAggCCAIIAggCCAIIAggCCAIIAggCAgIDAopzcQB+AAAAAAACc3EAfgAE///////////////+/////v////91cQB+AAcAAAAEWf3l8nh4d0UCHgACgQICAh0CBAIFAgYCBwIIAgkCCgILAoICDQIIAggCCAIIAggCCAIIAggCCAIIAggCCAIIAggCCAIIAggCAgIDAotzcQB+AAAAAAACc3EAfgAE///////////////+/////v////91cQB+AAcAAAAEQjS8fHh4d0UCHgACgQICAicCBAIFAgYCBwIIAgkCCgILAoICDQIIAggCCAIIAggCCAIIAggCCAIIAggCCAIIAggCCAIIAggCAgIDAoxzcQB+AAAAAAACc3EAfgAE///////////////+/////v////91cQB+AAcAAAAEPRU7dnh4d0UCHgACgQICAgMCBAIFAgYCBwIIAgkCCgILAoICDQIIAggCCAIIAggCCAIIAggCCAIIAggCCAIIAggCCAIIAggCAgIDAo1zcQB+AAAAAAACc3EAfgAE///////////////+/////v////91cQB+AAcAAAAETypx+Xh4d0UCHgACgQICAhsCBAIFAgYCBwIIAgkCCgILAoICDQIIAggCCAIIAggCCAIIAggCCAIIAggCCAIIAggCCAIIAggCAgIDAo5zcQB+AAAAAAACc3EAfgAE///////////////+/////v////91cQB+AAcAAAAEgtyI8Xh4d0UCHgACgQICAh8CBAIFAgYCBwIIAgkCCgILAoICDQIIAggCCAIIAggCCAIIAggCCAIIAggCCAIIAggCCAIIAggCAgIDAo9zcQB+AAAAAAACc3EAfgAE///////////////+/////v////91cQB+AAcAAAAEU2ObJnh4d0UCHgACgQICAjUCBAIFAgYCBwIIAgkCCgILAoICDQIIAggCCAIIAggCCAIIAggCCAIIAggCCAIIAggCCAIIAggCAgIDApBzcQB+AAAAAAACc3EAfgAE///////////////+/////v////91cQB+AAcAAAAEZTFBq3h4d0UCHgACgQICAjECBAIFAgYCBwIIAgkCCgILAoICDQIIAggCCAIIAggCCAIIAggCCAIIAggCCAIIAggCCAIIAggCAgIDApFzcQB+AAAAAAACc3EAfgAE///////////////+/////v////91cQB+AAcAAAAEWAsHLHh4d1gCHgACkgAJNDc0MjUwMTI4AgICIwIEAgUCBgIHAggCCQKTAAYxOTEwMjUCCwKCAg0CCAIIAggCCAIIAggCCAIIAggCCAIIAggCCAIIAggCCAIIAhwCAwKUc3EAfgAAAAAAAnNxAH4ABP///////////////v////7/////dXEAfgAHAAAAAwRWK3h4d0UCHgACkgICAisCBAIFAgYCBwIIAgkCQwILAoICDQIIAggCCAIIAggCCAIIAggCCAIIAggCCAIIAggCCAIIAggCHAIDApVzcQB+AAAAAAACc3EAfgAE///////////////+/////v////91cQB+AAcAAAAEJnGjV3h4d4oCHgACkgICAjUCBAIFAgYCBwIIAgkCCgILAoICDQIIAggCCAIIAggCCAIIAggCCAIIAggCCAIIAggCCAIIAggCHAIDApACHgACkgICAkoCBAIFAgYCBwIIAgkCCgILAoICDQIIAggCCAIIAggCCAIIAggCCAIIAggCCAIIAggCCAIIAggCHAIDApZzcQB+AAAAAAACc3EAfgAE///////////////+/////v////91cQB+AAcAAAAEWi+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AAAAAAACc3EAfgAE///////////////+/////v////91cQB+AAcAAAAEAr0/pHh4d0UCHgACkgICAjECBAIFAgYCBwIIAgkCkwILAoICDQIIAggCCAIIAggCCAIIAggCCAIIAggCCAIIAggCCAIIAggCHAIDAphzcQB+AAAAAAACc3EAfgAE///////////////+/////v////91cQB+AAcAAAADBEN6eHh3RQIeAAKSAgICJQIEAgUCBgIHAggCCQJDAgsCggINAggCCAIIAggCCAIIAggCCAIIAggCCAIIAggCCAIIAggCCAIcAgMCmXNxAH4AAAAAAAJzcQB+AAT///////////////7////+AAAAAXVxAH4ABwAAAAQCjrCgeHh3RQIeAAKSAgICJwIEAgUCBgIHAggCCQJDAgsCggINAggCCAIIAggCCAIIAggCCAIIAggCCAIIAggCCAIIAggCCAIcAgMCmnNxAH4AAAAAAAJzcQB+AAT///////////////7////+/////3VxAH4ABwAAAAQo6Ya2eHh3RQIeAAKSAgICUAIEAgUCBgIHAggCCQKTAgsCggINAggCCAIIAggCCAIIAggCCAIIAggCCAIIAggCCAIIAggCCAIcAgMCm3NxAH4AAAAAAAJzcQB+AAT///////////////7////+/////3VxAH4ABwAAAAMFP694eHdFAh4AApICAgI6AgQCBQIGAgcCCAIJApMCCwKCAg0CCAIIAggCCAIIAggCCAIIAggCCAIIAggCCAIIAggCCAIIAhwCAwKcc3EAfgAAAAAAAnNxAH4ABP///////////////v////7/////dXEAfgAHAAAAAwuCrXh4d4oCHgACkgICAiUCBAIFAgYCBwIIAgkCCgILAoICDQIIAggCCAIIAggCCAIIAggCCAIIAggCCAIIAggCCAIIAggCHAIDAoUCHgACkgICAkICBAIFAgYCBwIIAgkCCgILAoICDQIIAggCCAIIAggCCAIIAggCCAIIAggCCAIIAggCCAIIAggCHAIDAp1zcQB+AAAAAAACc3EAfgAE///////////////+/////v////91cQB+AAcAAAAEXVdQyXh4d0UCHgACkgICAi8CBAIFAgYCBwIIAgkCQwILAoICDQIIAggCCAIIAggCCAIIAggCCAIIAggCCAIIAggCCAIIAggCHAIDAp5zcQB+AAAAAAACc3EAfgAE///////////////+/////v////91cQB+AAcAAAAEG0cx03h4d0UCHgACkgICAhsCBAIFAgYCBwIIAgkCkwILAoICDQIIAggCCAIIAggCCAIIAggCCAIIAggCCAIIAggCCAIIAggCHAIDAp9zcQB+AAAAAAACc3EAfgAE///////////////+/////v////91cQB+AAcAAAADA9yreHh3RQIeAAKSAgICYwIEAgUCBgIHAggCCQJDAgsCggINAggCCAIIAggCCAIIAggCCAIIAggCCAIIAggCCAIIAggCCAIcAgMCoHNxAH4AAAAAAAJzcQB+AAT///////////////7////+/////3VxAH4ABwAAAAQCG6dueHh3RQIeAAKSAgICIQIEAgUCBgIHAggCCQKTAgsCggINAggCCAIIAggCCAIIAggCCAIIAggCCAIIAggCCAIIAggCCAIcAgMCoXNxAH4AAAAAAAJzcQB+AAT///////////////7////+/////3VxAH4ABwAAAAMENDh4eHeKAh4AApICAgIrAgQCBQIGAgcCCAIJAgoCCwKCAg0CCAIIAggCCAIIAggCCAIIAggCCAIIAggCCAIIAggCCAIIAhwCAwKHAh4AApICAgI8AgQCBQIGAgcCCAIJApMCCwKCAg0CCAIIAggCCAIIAggCCAIIAggCCAIIAggCCAIIAggCCAIIAhwCAwKic3EAfgAAAAAAAnNxAH4ABP///////////////v////7/////dXEAfgAHAAAAAwqAVHh4d0UCHgACkgICAlsCBAIFAgYCBwIIAgkCkwILAoICDQIIAggCCAIIAggCCAIIAggCCAIIAggCCAIIAggCCAIIAggCHAIDAqNzcQB+AAAAAAACc3EAfgAE///////////////+/////v////91cQB+AAcAAAADEhXLeHh3RQIeAAKSAgICYwIEAgUCBgIHAggCCQIKAgsCggINAggCCAIIAggCCAIIAggCCAIIAggCCAIIAggCCAIIAggCCAIcAgMCpHNxAH4AAAAAAAJzcQB+AAT///////////////7////+/////3VxAH4ABwAAAARhMQgUeHh3igIeAAKSAgICIwIEAgUCBgIHAggCCQIKAgsCggINAggCCAIIAggCCAIIAggCCAIIAggCCAIIAggCCAIIAggCCAIcAgMCigIeAAKSAgICWAIEAgUCBgIHAggCCQIKAgsCggINAggCCAIIAggCCAIIAggCCAIIAggCCAIIAggCCAIIAggCCAIcAgMCpXNxAH4AAAAAAAJzcQB+AAT///////////////7////+/////3VxAH4ABwAAAARIcHiveHh3RQIeAAKSAgICWwIEAgUCBgIHAggCCQJDAgsCggINAggCCAIIAggCCAIIAggCCAIIAggCCAIIAggCCAIIAggCCAIcAgMCpnNxAH4AAAAAAAJzcQB+AAT///////////////7////+/////3VxAH4ABwAAAAQIJf+xeHh3RQIeAAKSAgICHwIEAgUCBgIHAggCCQJDAgsCggINAggCCAIIAggCCAIIAggCCAIIAggCCAIIAggCCAIIAggCCAIcAgMCp3NxAH4AAAAAAAJzcQB+AAT///////////////7////+/////3VxAH4ABwAAAAQQ/fIjeHh3RQIeAAKSAgICYAIEAgUCBgIHAggCCQKTAgsCggINAggCCAIIAggCCAIIAggCCAIIAggCCAIIAggCCAIIAggCCAIcAgMCqHNxAH4AAAAAAAJzcQB+AAT///////////////7////+/////3VxAH4ABwAAAAMOg914eHdFAh4AApICAgI+AgQCBQIGAgcCCAIJAgoCCwKCAg0CCAIIAggCCAIIAggCCAIIAggCCAIIAggCCAIIAggCCAIIAhwCAwKpc3EAfgAAAAAAAnNxAH4ABP///////////////v////7/////dXEAfgAHAAAABCij2ll4eHeKAh4AApICAgIvAgQCBQIGAgcCCAIJAgoCCwKCAg0CCAIIAggCCAIIAggCCAIIAggCCAIIAggCCAIIAggCCAIIAhwCAwKEAh4AApICAgIzAgQCBQIGAgcCCAIJApMCCwKCAg0CCAIIAggCCAIIAggCCAIIAggCCAIIAggCCAIIAggCCAIIAhwCAwKqc3EAfgAAAAAAAnNxAH4ABP///////////////v////7/////dXEAfgAHAAAAAwR0jXh4d0UCHgACkgICAkoCBAIFAgYCBwIIAgkCQwILAoICDQIIAggCCAIIAggCCAIIAggCCAIIAggCCAIIAggCCAIIAggCHAIDAqtzcQB+AAAAAAACc3EAfgAE///////////////+/////v////91cQB+AAcAAAAEAzaSmXh4d0UCHgACkgICAjwCBAIFAgYCBwIIAgkCCgILAoICDQIIAggCCAIIAggCCAIIAggCCAIIAggCCAIIAggCCAIIAggCHAIDAqxzcQB+AAAAAAACc3EAfgAE///////////////+/////v////91cQB+AAcAAAAEVIhLm3h4d0UCHgACkgICAiUCBAIFAgYCBwIIAgkCkwILAoICDQIIAggCCAIIAggCCAIIAggCCAIIAggCCAIIAggCCAIIAggCHAIDAq1zcQB+AAAAAAACc3EAfgAE///////////////+/////v////91cQB+AAcAAAADBA6ueHh3RQIeAAKSAgICJwIEAgUCBgIHAggCCQKTAgsCggINAggCCAIIAggCCAIIAggCCAIIAggCCAIIAggCCAIIAggCCAIcAgMCrnNxAH4AAAAAAAJzcQB+AAT///////////////7////+/////3VxAH4ABwAAAAMFZP94eHeKAh4AApICAgIdAgQCBQIGAgcCCAIJApMCCwKCAg0CCAIIAggCCAIIAggCCAIIAggCCAIIAggCCAIIAggCCAIIAhwCAwJAAh4AApICAgJCAgQCBQIGAgcCCAIJApMCCwKCAg0CCAIIAggCCAIIAggCCAIIAggCCAIIAggCCAIIAggCCAIIAhwCAwKvc3EAfgAAAAAAAnNxAH4ABP///////////////v////7/////dXEAfgAHAAAAAwi2nHh4d0UCHgACkgICAlQCBAIFAgYCBwIIAgkCkwILAoICDQIIAggCCAIIAggCCAIIAggCCAIIAggCCAIIAggCCAIIAggCHAIDArBzcQB+AAAAAAACc3EAfgAE///////////////+/////v////91cQB+AAcAAAADBmgreHh3RQIeAAKSAgICNQIEAgUCBgIHAggCCQJDAgsCggINAggCCAIIAggCCAIIAggCCAIIAggCCAIIAggCCAIIAggCCAIcAgMCsXNxAH4AAAAAAAJzcQB+AAT///////////////7////+/////3VxAH4ABwAAAAMylNZ4eHdFAh4AApICAgItAgQCBQIGAgcCCAIJAkMCCwKCAg0CCAIIAggCCAIIAggCCAIIAggCCAIIAggCCAIIAggCCAIIAhwCAwKyc3EAfgAAAAAAAnNxAH4ABP///////////////v////7/////dXEAfgAHAAAABES6V7x4eHeKAh4AApICAgIfAgQCBQIGAgcCCAIJAgoCCwKCAg0CCAIIAggCCAIIAggCCAIIAggCCAIIAggCCAIIAggCCAIIAhwCAwKPAh4AApICAgJbAgQCBQIGAgcCCAIJAgoCCwKCAg0CCAIIAggCCAIIAggCCAIIAggCCAIIAggCCAIIAggCCAIIAhwCAwKzc3EAfgAAAAAAAnNxAH4ABP///////////////v////7/////dXEAfgAHAAAABDc49U94eHdFAh4AApICAgJYAgQCBQIGAgcCCAIJAkMCCwKCAg0CCAIIAggCCAIIAggCCAIIAggCCAIIAggCCAIIAggCCAIIAhwCAwK0c3EAfgAAAAAAAnNxAH4ABP///////////////v////7/////dXEAfgAHAAAABATkMA94eHdFAh4AApICAgJQAgQCBQIGAgcCCAIJAkMCCwKCAg0CCAIIAggCCAIIAggCCAIIAggCCAIIAggCCAIIAggCCAIIAhwCAwK1c3EAfgAAAAAAAnNxAH4ABP///////////////v////7/////dXEAfgAHAAAAA7xcsnh4d0UCHgACkgICAh0CBAIFAgYCBwIIAgkCQwILAoICDQIIAggCCAIIAggCCAIIAggCCAIIAggCCAIIAggCCAIIAggCHAIDArZzcQB+AAAAAAACc3EAfgAE///////////////+/////v////91cQB+AAcAAAAENEm+I3h4d4oCHgACkgICAhsCBAIFAgYCBwIIAgkCCgILAoICDQIIAggCCAIIAggCCAIIAggCCAIIAggCCAIIAggCCAIIAggCHAIDAo4CHgACkgICAlQCBAIFAgYCBwIIAgkCQwILAoICDQIIAggCCAIIAggCCAIIAggCCAIIAggCCAIIAggCCAIIAggCHAIDArdzcQB+AAAAAAACc3EAfgAE///////////////+/////v////91cQB+AAcAAAAETEMOFXh4d0UCHgACkgICAmMCBAIFAgYCBwIIAgkCkwILAoICDQIIAggCCAIIAggCCAIIAggCCAIIAggCCAIIAggCCAIIAggCHAIDArhzcQB+AAAAAAACc3EAfgAE///////////////+/////v////91cQB+AAcAAAADB43UeHh3RQIeAAKSAgICIwIEAgUCBgIHAggCCQJDAgsCggINAggCCAIIAggCCAIIAggCCAIIAggCCAIIAggCCAIIAggCCAIcAgMCuXNxAH4AAAAAAAJzcQB+AAT///////////////7////+/////3VxAH4ABwAAAAQGIRiFeHh3RQIeAAKSAgICMQIEAgUCBgIHAggCCQJDAgsCggINAggCCAIIAggCCAIIAggCCAIIAggCCAIIAggCCAIIAggCCAIcAgMCunNxAH4AAAAAAAJzcQB+AAT///////////////7////+/////3VxAH4ABwAAAAQD3U0geHh3RQIeAAKSAgICOgIEAgUCBgIHAggCCQJDAgsCggINAggCCAIIAggCCAIIAggCCAIIAggCCAIIAggCCAIIAggCCAIcAgMCu3NxAH4AAAAAAAJzcQB+AAT///////////////7////+/////3VxAH4ABwAAAAQENonjeHh3RQIeAAKSAgICLwIEAgUCBgIHAggCCQKTAgsCggINAggCCAIIAggCCAIIAggCCAIIAggCCAIIAggCCAIIAggCCAIcAgMCvHNxAH4AAAAAAAJzcQB+AAT///////////////7////+/////3VxAH4ABwAAAAME+2h4eHdFAh4AApICAgJQAgQCBQIGAgcCCAIJAgoCCwKCAg0CCAIIAggCCAIIAggCCAIIAggCCAIIAggCCAIIAggCCAIIAhwCAwK9c3EAfgAAAAAAAnNxAH4ABP///////////////v////7/////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c3EAfgAAAAAAAnNxAH4ABP///////////////v////7/////dXEAfgAHAAAABD37VuJ4eHdFAh4AApICAgI+AgQCBQIGAgcCCAIJAkMCCwKCAg0CCAIIAggCCAIIAggCCAIIAggCCAIIAggCCAIIAggCCAIIAhwCAwK/c3EAfgAAAAAAAnNxAH4ABP///////////////v////7/////dXEAfgAHAAAABDuLiL14eHdFAh4AApICAgI8AgQCBQIGAgcCCAIJAkMCCwKCAg0CCAIIAggCCAIIAggCCAIIAggCCAIIAggCCAIIAggCCAIIAhwCAwLAc3EAfgAAAAAAAnNxAH4ABP///////////////v////7/////dXEAfgAHAAAABAOri614eHdFAh4AApICAgJUAgQCBQIGAgcCCAIJAgoCCwKCAg0CCAIIAggCCAIIAggCCAIIAggCCAIIAggCCAIIAggCCAIIAhwCAwLBc3EAfgAAAAAAAnNxAH4ABP///////////////v////7/////dXEAfgAHAAAABBJUFap4eHdFAh4AApICAgIfAgQCBQIGAgcCCAIJApMCCwKCAg0CCAIIAggCCAIIAggCCAIIAggCCAIIAggCCAIIAggCCAIIAhwCAwLCc3EAfgAAAAAAAnNxAH4ABP///////////////v////7/////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AAAAAAACc3EAfgAE///////////////+/////v////91cQB+AAcAAAAETCsLgHh4d0UCHgACkgICAjUCBAIFAgYCBwIIAgkCkwILAoICDQIIAggCCAIIAggCCAIIAggCCAIIAggCCAIIAggCCAIIAggCHAIDAsRzcQB+AAAAAAACc3EAfgAE///////////////+/////v////91cQB+AAcAAAADBCUJeHh3RQIeAAKSAgICGwIEAgUCBgIHAggCCQJDAgsCggINAggCCAIIAggCCAIIAggCCAIIAggCCAIIAggCCAIIAggCCAIcAgMCxXNxAH4AAAAAAAJzcQB+AAT///////////////7////+AAAAAXVxAH4ABwAAAAQJDRX9eHh3RQIeAAKSAgICIQIEAgUCBgIHAggCCQJDAgsCggINAggCCAIIAggCCAIIAggCCAIIAggCCAIIAggCCAIIAggCCAIcAgMCxnNxAH4AAAAAAAJzcQB+AAT///////////////7////+/////3VxAH4ABwAAAAQCCvb0eHh3RQIeAAKSAgICPgIEAgUCBgIHAggCCQKTAgsCggINAggCCAIIAggCCAIIAggCCAIIAggCCAIIAggCCAIIAggCCAIcAgMCx3NxAH4AAAAAAAJzcQB+AAT///////////////7////+/////3VxAH4ABwAAAAMG3JN4eHdFAh4AApICAgJKAgQCBQIGAgcCCAIJApMCCwKCAg0CCAIIAggCCAIIAggCCAIIAggCCAIIAggCCAIIAggCCAIIAhwCAwLIc3EAfgAAAAAAAnNxAH4ABP///////////////v////7/////dXEAfgAHAAAAAwmef3h4d0UCHgACkgICAmACBAIFAgYCBwIIAgkCQwILAoICDQIIAggCCAIIAggCCAIIAggCCAIIAggCCAIIAggCCAIIAggCHAIDAslzcQB+AAAAAAACc3EAfgAE///////////////+/////v////91cQB+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AAAAAAACc3EAfgAE///////////////+/////v////91cQB+AAcAAAAECfBqRnh4d0UCHgACkgICAlgCBAIFAgYCBwIIAgkCkwILAoICDQIIAggCCAIIAggCCAIIAggCCAIIAggCCAIIAggCCAIIAggCHAIDAstzcQB+AAAAAAACc3EAfgAE///////////////+/////v////91cQB+AAcAAAADDMb+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AAAAAAACc3EAfgAE///////////////+/////v////91cQB+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AAT///////////////7////+/////3VxAH4ABwAAAAQHGT+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v////7/////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AAAAAAACc3EAfgAE///////////////+/////v////91cQB+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Ah4AAtMCAgJQAgQCBQIGAgcCCAIJAgoCCwKCAg0CCAIIAggCCAIIAggCCAIIAggCCAIIAggCCAIIAggCCAIIAhoCAwK9Ah4AAtMCAgItAgQCBQIGAgcCCAIJAgoCCwKCAg0CCAIIAggCCAIIAggCCAIIAggCCAIIAggCCAIIAggCCAIIAhoCAwKGAh4AAtMCAgI+AgQCBQIGAgcCCAIJAkMCCwKCAg0CCAIIAggCCAIIAggCCAIIAggCCAIIAggCCAIIAggCCAIIAhoCAwK/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AgQCBQIGAgcCCAIJAjgCCwIMAg0CCAIIAggCCAIIAggCCAIIAggCCAIIAggCCAIIAggCCAIIAh0CAwJBAh4AAtQCAgI6AgQCBQIGAgcCCAIJAjgCCwIMAg0CCAIIAggCCAIIAggCCAIIAggCCAIIAggCCAIIAggCCAIIAh0CAwI7Ah4AAtQCAgI+AgQCBQIGAgcCCAIJAgoCCwIMAg0CCAIIAggCCAIIAggCCAIIAggCCAIIAggCCAIIAggCCAIIAh0CAwI/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v////7/////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v////7/////dXEAfgAHAAAABAHuetZ4eHoAAAL/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AAAAAAACc3EAfgAE///////////////+/////v////91cQB+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AAT///////////////7////+/////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v////7/////dXEAfgAHAAAABF0aA9N4eHoAAAQAAh4AAtgCAgIjAgQCBQIGAgcCCAIJAgoCCwKCAg0CCAIIAggCCAIIAggCCAIIAggCCAIIAggCCAIIAggCCAIIAgECAwKKAh4AAtgCAgIhAgQCBQIGAgcCCAIJApMCCwKCAg0CCAIIAggCCAIIAggCCAIIAggCCAIIAggCCAIIAggCCAIIAgECAwKhAh4AAtgCAgI+AgQCBQIGAgcCCAIJAkMCCwKCAg0CCAIIAggCCAIIAggCCAIIAggCCAIIAggCCAIIAggCCAIIAgECAwK/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v////7/////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AAAAAAACc3EAfgAE///////////////+/////v////91cQB+AAcAAAAELvQU/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v////7/////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AAT///////////////7////+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AAT///////////////7////+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AAAAAAACc3EAfgAE///////////////+/////v////91cQB+AAcAAAAEL/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AgQCBQIGAgcCCAIJAjgCCwIMAg0CCAIIAggCCAIIAggCCAIIAggCCAIIAggCCAIIAggCCAIIAhcCAwJBAh4AAusCAgI8AgQCBQIGAgcCCAIJAgoCCwIMAg0CCAIIAggCCAIIAggCCAIIAggCCAIIAggCCAIIAggCCAIIAhcCAwI9Ah4AAusCAgI+AgQCBQIGAgcCCAIJAgoCCwIMAg0CCAIIAggCCAIIAggCCAIIAggCCAIIAggCCAIIAggCCAIIAhcCAwI/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xxe4awand>
</file>

<file path=customXml/item39.xml><?xml version="1.0" encoding="utf-8"?>
<xxe4awand xmlns="http://www.excel4apps.com"><![CDATA[rO0ABXfaCMCtii8CAgSl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xxe4awand>
</file>

<file path=customXml/item4.xml><?xml version="1.0" encoding="utf-8"?>
<xxe4awand xmlns="http://www.excel4apps.com"><![CDATA[rO0ABXfZCMCtii8CKgL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5kCHgACAQICAmUCBAIFAgYCBwIIAgkCCgILAgwCDQIIAggCCAIIAggCCAIIAggCCAIIAggCCAIIAggCCAIIAggCEwIDAi4CHgACkAAJNDUzNjUyNjMyAgICJQIEAgUCBgIHAggCCQIfAgsCkQACSUQCDQIIAggCCAIIAggCCAIIAggCCAIIAggCCAIIAggCCAIIAggCKQIDApJzcQB+AAAAAAACc3EAfgAE///////////////+/////v////91cQB+AAcAAAAEBQSjQXh4d0UCHgACkAICAkMCBAIFAgYCBwIIAgkCHAILApECDQIIAggCCAIIAggCCAIIAggCCAIIAggCCAIIAggCCAIIAggCKQIDApNzcQB+AAAAAAACc3EAfgAE///////////////+/////v////91cQB+AAcAAAAEIgqsMXh4d0UCHgACkAICAicCBAIFAgYCBwIIAgkCHwILApECDQIIAggCCAIIAggCCAIIAggCCAIIAggCCAIIAggCCAIIAggCKQIDApRzcQB+AAAAAAACc3EAfgAE///////////////+/////gAAAAF1cQB+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v////4AAAABdXEAfgAHAAAABAGjcLt4eHdFAh4AApACAgIyAgQCBQIGAgcCCAIJAh8CCwKRAg0CCAIIAggCCAIIAggCCAIIAggCCAIIAggCCAIIAggCCAIIAikCAwKXc3EAfgAAAAAAAnNxAH4ABP///////////////v////7/////dXEAfgAHAAAABAJQHul4eHdFAh4AApACAgIbAgQCBQIGAgcCCAIJAhwCCwKRAg0CCAIIAggCCAIIAggCCAIIAggCCAIIAggCCAIIAggCCAIIAikCAwKYc3EAfgAAAAAAAnNxAH4ABP///////////////v////7/////dXEAfgAHAAAABENETeB4eHdFAh4AApACAgJIAgQCBQIGAgcCCAIJApUCCwKRAg0CCAIIAggCCAIIAggCCAIIAggCCAIIAggCCAIIAggCCAIIAikCAwKZc3EAfgAAAAAAAnNxAH4ABP///////////////v////7/////dXEAfgAHAAAAAxKK33h4d0UCHgACkAICAjQCBAIFAgYCBwIIAgkCHAILApECDQIIAggCCAIIAggCCAIIAggCCAIIAggCCAIIAggCCAIIAggCKQIDAppzcQB+AAAAAAACc3EAfgAE///////////////+/////v////91cQB+AAcAAAAEG7MeXHh4d0UCHgACkAICAiMCBAIFAgYCBwIIAgkCHAILApECDQIIAggCCAIIAggCCAIIAggCCAIIAggCCAIIAggCCAIIAggCKQIDAptzcQB+AAAAAAACc3EAfgAE///////////////+/////v////91cQB+AAcAAAAELvQU/3h4d4oCHgACkAICAmUCBAIFAgYCBwIIAgkClQILApECDQIIAggCCAIIAggCCAIIAggCCAIIAggCCAIIAggCCAIIAggCKQIDAi4CHgACkAICAiECBAIFAgYCBwIIAgkCHwILApECDQIIAggCCAIIAggCCAIIAggCCAIIAggCCAIIAggCCAIIAggCKQIDApxzcQB+AAAAAAACc3EAfgAE///////////////+/////v////91cQB+AAcAAAAEFreoonh4d0UCHgACkAICAmgCBAIFAgYCBwIIAgkClQILApECDQIIAggCCAIIAggCCAIIAggCCAIIAggCCAIIAggCCAIIAggCKQIDAp1zcQB+AAAAAAACc3EAfgAE///////////////+/////v////91cQB+AAcAAAADElupeHh3RQIeAAKQAgICPgIEAgUCBgIHAggCCQIcAgsCkQINAggCCAIIAggCCAIIAggCCAIIAggCCAIIAggCCAIIAggCCAIpAgMCnnNxAH4AAAAAAAJzcQB+AAT///////////////7////+/////3VxAH4ABwAAAAQ5RS7+eHh3RQIeAAKQAgICQAIEAgUCBgIHAggCCQIfAgsCkQINAggCCAIIAggCCAIIAggCCAIIAggCCAIIAggCCAIIAggCCAIpAgMCn3NxAH4AAAAAAAJzcQB+AAT///////////////7////+/////3VxAH4ABwAAAAQdEKl0eHh3RQIeAAKQAgICMAIEAgUCBgIHAggCCQKVAgsCkQINAggCCAIIAggCCAIIAggCCAIIAggCCAIIAggCCAIIAggCCAIpAgMCoHNxAH4AAAAAAAJzcQB+AAT///////////////7////+/////3VxAH4ABwAAAAMSb0Z4eHdFAh4AApACAgIlAgQCBQIGAgcCCAIJAhwCCwKRAg0CCAIIAggCCAIIAggCCAIIAggCCAIIAggCCAIIAggCCAIIAikCAwKhc3EAfgAAAAAAAnNxAH4ABP///////////////v////7/////dXEAfgAHAAAABCng5RN4eHdFAh4AApACAgJMAgQCBQIGAgcCCAIJAh8CCwKRAg0CCAIIAggCCAIIAggCCAIIAggCCAIIAggCCAIIAggCCAIIAikCAwKic3EAfgAAAAAAAnNxAH4ABP///////////////v////7/////dXEAfgAHAAAAAzL3EXh4d0UCHgACkAICAkMCBAIFAgYCBwIIAgkCHwILApECDQIIAggCCAIIAggCCAIIAggCCAIIAggCCAIIAggCCAIIAggCKQIDAqNzcQB+AAAAAAACc3EAfgAE///////////////+/////v////91cQB+AAcAAAAEDgscSnh4d4oCHgACkAICAmoCBAIFAgYCBwIIAgkClQILApECDQIIAggCCAIIAggCCAIIAggCCAIIAggCCAIIAggCCAIIAggCKQIDAioCHgACkAICAjgCBAIFAgYCBwIIAgkCHAILApECDQIIAggCCAIIAggCCAIIAggCCAIIAggCCAIIAggCCAIIAggCKQIDAqRzcQB+AAAAAAACc3EAfgAE///////////////+/////v////91cQB+AAcAAAAEKUaEtnh4d0UCHgACkAICAiECBAIFAgYCBwIIAgkCHAILApECDQIIAggCCAIIAggCCAIIAggCCAIIAggCCAIIAggCCAIIAggCKQIDAqVzcQB+AAAAAAACc3EAfgAE///////////////+/////v////91cQB+AAcAAAAEJDRt9Hh4d0UCHgACkAICAgMCBAIFAgYCBwIIAgkClQILApECDQIIAggCCAIIAggCCAIIAggCCAIIAggCCAIIAggCCAIIAggCKQIDAqZzcQB+AAAAAAACc3EAfgAE///////////////+/////v////91cQB+AAcAAAADEoL4eHh3RQIeAAKQAgICRQIEAgUCBgIHAggCCQIfAgsCkQINAggCCAIIAggCCAIIAggCCAIIAggCCAIIAggCCAIIAggCCAIpAgMCp3NxAH4AAAAAAAJzcQB+AAT///////////////7////+/////3VxAH4ABwAAAAQBZMryeHh3RQIeAAKQAgICOgIEAgUCBgIHAggCCQIfAgsCkQINAggCCAIIAggCCAIIAggCCAIIAggCCAIIAggCCAIIAggCCAIpAgMCqHNxAH4AAAAAAAJzcQB+AAT///////////////7////+AAAAAXVxAH4ABwAAAAQC1DjseHh3RQIeAAKQAgICGwIEAgUCBgIHAggCCQIfAgsCkQINAggCCAIIAggCCAIIAggCCAIIAggCCAIIAggCCAIIAggCCAIpAgMCqXNxAH4AAAAAAAJzcQB+AAT///////////////7////+AAAAAXVxAH4ABwAAAAQGG1pqeHh3RQIeAAKQAgICQAIEAgUCBgIHAggCCQIcAgsCkQINAggCCAIIAggCCAIIAggCCAIIAggCCAIIAggCCAIIAggCCAIpAgMCqnNxAH4AAAAAAAJzcQB+AAT///////////////7////+/////3VxAH4ABwAAAAQVrLWfeHh3RQIeAAKQAgICUAIEAgUCBgIHAggCCQKVAgsCkQINAggCCAIIAggCCAIIAggCCAIIAggCCAIIAggCCAIIAggCCAIpAgMCq3NxAH4AAAAAAAJzcQB+AAT///////////////7////+/////3VxAH4ABwAAAAMSY394eHdFAh4AApACAgJFAgQCBQIGAgcCCAIJAhwCCwKRAg0CCAIIAggCCAIIAggCCAIIAggCCAIIAggCCAIIAggCCAIIAikCAwKsc3EAfgAAAAAAAnNxAH4ABP///////////////v////7/////dXEAfgAHAAAABCsQC1F4eHeKAh4AApACAgJ8AgQCBQIGAgcCCAIJAh8CCwKRAg0CCAIIAggCCAIIAggCCAIIAggCCAIIAggCCAIIAggCCAIIAikCAwKoAh4AApACAgJ5AgQCBQIGAgcCCAIJAh8CCwKRAg0CCAIIAggCCAIIAggCCAIIAggCCAIIAggCCAIIAggCCAIIAikCAwKtc3EAfgAAAAAAAnNxAH4ABP///////////////v////7/////dXEAfgAHAAAABAEGlGB4eHdFAh4AApACAgI8AgQCBQIGAgcCCAIJAhwCCwKRAg0CCAIIAggCCAIIAggCCAIIAggCCAIIAggCCAIIAggCCAIIAikCAwKuc3EAfgAAAAAAAnNxAH4ABP///////////////v////7/////dXEAfgAHAAAABCoLRiF4eHeKAh4AApACAgJTAgQCBQIGAgcCCAIJApUCCwKRAg0CCAIIAggCCAIIAggCCAIIAggCCAIIAggCCAIIAggCCAIIAikCAwIqAh4AApACAgJUAgQCBQIGAgcCCAIJApUCCwKRAg0CCAIIAggCCAIIAggCCAIIAggCCAIIAggCCAIIAggCCAIIAikCAwKvc3EAfgAAAAAAAnNxAH4ABP///////////////v////7/////dXEAfgAHAAAAAxKat3h4d0UCHgACkAICAnkCBAIFAgYCBwIIAgkCHAILApECDQIIAggCCAIIAggCCAIIAggCCAIIAggCCAIIAggCCAIIAggCKQIDArBzcQB+AAAAAAACc3EAfgAE///////////////+/////v////91cQB+AAcAAAAELv3gknh4d0UCHgACkAICAicCBAIFAgYCBwIIAgkClQILApECDQIIAggCCAIIAggCCAIIAggCCAIIAggCCAIIAggCCAIIAggCKQIDArFzcQB+AAAAAAACc3EAfgAE///////////////+/////v////91cQB+AAcAAAADEncleHh3RQIeAAKQAgICMAIEAgUCBgIHAggCCQIfAgsCkQINAggCCAIIAggCCAIIAggCCAIIAggCCAIIAggCCAIIAggCCAIpAgMCsnNxAH4AAAAAAAJzcQB+AAT///////////////7////+/////3VxAH4ABwAAAAOesqp4eHdFAh4AApACAgI6AgQCBQIGAgcCCAIJAhwCCwKRAg0CCAIIAggCCAIIAggCCAIIAggCCAIIAggCCAIIAggCCAIIAikCAwKzc3EAfgAAAAAAAnNxAH4ABP///////////////v////7/////dXEAfgAHAAAABDWm++V4eHdFAh4AApACAgIDAgQCBQIGAgcCCAIJAh8CCwKRAg0CCAIIAggCCAIIAggCCAIIAggCCAIIAggCCAIIAggCCAIIAikCAwK0c3EAfgAAAAAAAnNxAH4ABP///////////////v////7/////dXEAfgAHAAAABBQ694N4eHdFAh4AApACAgJCAgQCBQIGAgcCCAIJAhwCCwKRAg0CCAIIAggCCAIIAggCCAIIAggCCAIIAggCCAIIAggCCAIIAikCAwK1c3EAfgAAAAAAAnNxAH4ABP///////////////v////7/////dXEAfgAHAAAABBwjfJB4eHdFAh4AApACAgI2AgQCBQIGAgcCCAIJApUCCwKRAg0CCAIIAggCCAIIAggCCAIIAggCCAIIAggCCAIIAggCCAIIAikCAwK2c3EAfgAAAAAAAnNxAH4ABP///////////////v////7/////dXEAfgAHAAAAAxKer3h4d0UCHgACkAICAjwCBAIFAgYCBwIIAgkCHwILApECDQIIAggCCAIIAggCCAIIAggCCAIIAggCCAIIAggCCAIIAggCKQIDArdzcQB+AAAAAAACc3EAfgAE///////////////+/////v////91cQB+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AAAAAAACc3EAfgAE///////////////+/////v////91cQB+AAcAAAADEl+UeHh3RQIeAAKQAgICNAIEAgUCBgIHAggCCQIfAgsCkQINAggCCAIIAggCCAIIAggCCAIIAggCCAIIAggCCAIIAggCCAIpAgMCuXNxAH4AAAAAAAJzcQB+AAT///////////////7////+/////3VxAH4ABwAAAAQEW5IQeHh3RQIeAAKQAgICIwIEAgUCBgIHAggCCQIfAgsCkQINAggCCAIIAggCCAIIAggCCAIIAggCCAIIAggCCAIIAggCCAIpAgMCunNxAH4AAAAAAAJzcQB+AAT///////////////7////+/////3VxAH4ABwAAAAQBMmvPeHh3igIeAAKQAgICLQIEAgUCBgIHAggCCQIfAgsCkQINAggCCAIIAggCCAIIAggCCAIIAggCCAIIAggCCAIIAggCCAIpAgMCLgIeAAKQAgICTAIEAgUCBgIHAggCCQKVAgsCkQINAggCCAIIAggCCAIIAggCCAIIAggCCAIIAggCCAIIAggCCAIpAgMCu3NxAH4AAAAAAAJzcQB+AAT///////////////7////+/////3VxAH4ABwAAAAMSczV4eHdFAh4AApACAgJYAgQCBQIGAgcCCAIJAhwCCwKRAg0CCAIIAggCCAIIAggCCAIIAggCCAIIAggCCAIIAggCCAIIAikCAwK8c3EAfgAAAAAAAnNxAH4ABP///////////////v////7/////dXEAfgAHAAAABComTwt4eHdFAh4AApACAgJqAgQCBQIGAgcCCAIJAh8CCwKRAg0CCAIIAggCCAIIAggCCAIIAggCCAIIAggCCAIIAggCCAIIAikCAwK9c3EAfgAAAAAAAnNxAH4ABP///////////////v////4AAAABdXEAfgAHAAAAAzaltnh4d0UCHgACkAICAmgCBAIFAgYCBwIIAgkCHwILApECDQIIAggCCAIIAggCCAIIAggCCAIIAggCCAIIAggCCAIIAggCKQIDAr5zcQB+AAAAAAACc3EAfgAE///////////////+/////v////91cQB+AAcAAAAEAvtLi3h4d0UCHgACkAICAkMCBAIFAgYCBwIIAgkClQILApECDQIIAggCCAIIAggCCAIIAggCCAIIAggCCAIIAggCCAIIAggCKQIDAr9zcQB+AAAAAAACc3EAfgAE///////////////+/////v////91cQB+AAcAAAADEobreHh3igIeAAKQAgICLQIEAgUCBgIHAggCCQKVAgsCkQINAggCCAIIAggCCAIIAggCCAIIAggCCAIIAggCCAIIAggCCAIpAgMCLgIeAAKQAgICKwIEAgUCBgIHAggCCQIcAgsCkQINAggCCAIIAggCCAIIAggCCAIIAggCCAIIAggCCAIIAggCCAIpAgMCwHNxAH4AAAAAAAJzcQB+AAT///////////////7////+/////3VxAH4ABwAAAAQqwrH4eHh3RQIeAAKQAgICQgIEAgUCBgIHAggCCQIfAgsCkQINAggCCAIIAggCCAIIAggCCAIIAggCCAIIAggCCAIIAggCCAIpAgMCwXNxAH4AAAAAAAJzcQB+AAT///////////////7////+/////3VxAH4ABwAAAAQewHRseHh3RQIeAAKQAgICNAIEAgUCBgIHAggCCQKVAgsCkQINAggCCAIIAggCCAIIAggCCAIIAggCCAIIAggCCAIIAggCCAIpAgMCwnNxAH4AAAAAAAJzcQB+AAT///////////////7////+/////3VxAH4ABwAAAAMSV794eHdFAh4AApACAgJIAgQCBQIGAgcCCAIJAhwCCwKRAg0CCAIIAggCCAIIAggCCAIIAggCCAIIAggCCAIIAggCCAIIAikCAwLDc3EAfgAAAAAAAnNxAH4ABP///////////////v////7/////dXEAfgAHAAAABCZ4H3F4eHdFAh4AApACAgJOAgQCBQIGAgcCCAIJAh8CCwKRAg0CCAIIAggCCAIIAggCCAIIAggCCAIIAggCCAIIAggCCAIIAikCAwLEc3EAfgAAAAAAAnNxAH4ABP///////////////v////7/////dXEAfgAHAAAABCWQ0ft4eHeKAh4AApACAgIjAgQCBQIGAgcCCAIJApUCCwKRAg0CCAIIAggCCAIIAggCCAIIAggCCAIIAggCCAIIAggCCAIIAikCAwIqAh4AApACAgJYAgQCBQIGAgcCCAIJAh8CCwKRAg0CCAIIAggCCAIIAggCCAIIAggCCAIIAggCCAIIAggCCAIIAikCAwLFc3EAfgAAAAAAAnNxAH4ABP///////////////v////7/////dXEAfgAHAAAABALXZ1R4eHeKAh4AApACAgJlAgQCBQIGAgcCCAIJAhwCCwKRAg0CCAIIAggCCAIIAggCCAIIAggCCAIIAggCCAIIAggCCAIIAikCAwIuAh4AApACAgIlAgQCBQIGAgcCCAIJApUCCwKRAg0CCAIIAggCCAIIAggCCAIIAggCCAIIAggCCAIIAggCCAIIAikCAwLGc3EAfgAAAAAAAnNxAH4ABP///////////////v////7/////dXEAfgAHAAAAAxKO1Hh4d0UCHgACkAICAisCBAIFAgYCBwIIAgkCHwILApECDQIIAggCCAIIAggCCAIIAggCCAIIAggCCAIIAggCCAIIAggCKQIDAsdzcQB+AAAAAAACc3EAfgAE///////////////+/////v////91cQB+AAcAAAAEBOHemXh4d0UCHgACkAICAmgCBAIFAgYCBwIIAgkCHAILApECDQIIAggCCAIIAggCCAIIAggCCAIIAggCCAIIAggCCAIIAggCKQIDAshzcQB+AAAAAAACc3EAfgAE///////////////+/////v////91cQB+AAcAAAAEHq4JT3h4d0UCHgACkAICAjACBAIFAgYCBwIIAgkCHAILApECDQIIAggCCAIIAggCCAIIAggCCAIIAggCCAIIAggCCAIIAggCKQIDAslzcQB+AAAAAAACc3EAfgAE///////////////+/////v////91cQB+AAcAAAAEMe+1GXh4d0UCHgACkAICAmoCBAIFAgYCBwIIAgkCHAILApECDQIIAggCCAIIAggCCAIIAggCCAIIAggCCAIIAggCCAIIAggCKQIDAspzcQB+AAAAAAACc3EAfgAE///////////////+/////v////91cQB+AAcAAAAEL/7GXHh4d0UCHgACkAICAgMCBAIFAgYCBwIIAgkCHAILApECDQIIAggCCAIIAggCCAIIAggCCAIIAggCCAIIAggCCAIIAggCKQIDAstzcQB+AAAAAAACc3EAfgAE///////////////+/////v////91cQB+AAcAAAAEHbH6THh4d0UCHgACkAICAk4CBAIFAgYCBwIIAgkCHAILApECDQIIAggCCAIIAggCCAIIAggCCAIIAggCCAIIAggCCAIIAggCKQIDAsxzcQB+AAAAAAACc3EAfgAE///////////////+/////v////91cQB+AAcAAAAEC9ESdHh4d0UCHgACkAICAlACBAIFAgYCBwIIAgkCHAILApECDQIIAggCCAIIAggCCAIIAggCCAIIAggCCAIIAggCCAIIAggCKQIDAs1zcQB+AAAAAAACc3EAfgAE///////////////+/////v////91cQB+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AAAAAAACc3EAfgAE///////////////+/////v////91cQB+AAcAAAADEqKoeHh3igIeAAKQAgICZQIEAgUCBgIHAggCCQIfAgsCkQINAggCCAIIAggCCAIIAggCCAIIAggCCAIIAggCCAIIAggCCAIpAgMCLgIeAAKQAgICVAIEAgUCBgIHAggCCQIfAgsCkQINAggCCAIIAggCCAIIAggCCAIIAggCCAIIAggCCAIIAggCCAIpAgMCz3NxAH4AAAAAAAJzcQB+AAT///////////////7////+/////3VxAH4ABwAAAANOuAp4eHdFAh4AApACAgI8AgQCBQIGAgcCCAIJApUCCwKRAg0CCAIIAggCCAIIAggCCAIIAggCCAIIAggCCAIIAggCCAIIAikCAwLQc3EAfgAAAAAAAnNxAH4ABP///////////////v////7/////dXEAfgAHAAAAAxKWwHh4d0UCHgACkAICAlQCBAIFAgYCBwIIAgkCHAILApECDQIIAggCCAIIAggCCAIIAggCCAIIAggCCAIIAggCCAIIAggCKQIDAtFzcQB+AAAAAAACc3EAfgAE///////////////+/////v////91cQB+AAcAAAAELpGFK3h4d0UCHgACkAICAkACBAIFAgYCBwIIAgkClQILApECDQIIAggCCAIIAggCCAIIAggCCAIIAggCCAIIAggCCAIIAggCKQIDAtJzcQB+AAAAAAACc3EAfgAE///////////////+/////v////91cQB+AAcAAAADEn8GeHh3RQIeAAKQAgICNgIEAgUCBgIHAggCCQIfAgsCkQINAggCCAIIAggCCAIIAggCCAIIAggCCAIIAggCCAIIAggCCAIpAgMC03NxAH4AAAAAAAJzcQB+AAT///////////////7////+AAAAAXVxAH4ABwAAAAP/iV54eHdFAh4AApACAgIpAgQCBQIGAgcCCAIJAh8CCwKRAg0CCAIIAggCCAIIAggCCAIIAggCCAIIAggCCAIIAggCCAIIAikCAwLUc3EAfgAAAAAAAnNxAH4ABP///////////////v////7/////dXEAfgAHAAAABBCmiyR4eHdFAh4AApACAgJOAgQCBQIGAgcCCAIJApUCCwKRAg0CCAIIAggCCAIIAggCCAIIAggCCAIIAggCCAIIAggCCAIIAikCAwLVc3EAfgAAAAAAAnNxAH4ABP///////////////v////7/////dXEAfgAHAAAAAxJ7FXh4d4oCHgACkAICAlMCBAIFAgYCBwIIAgkCHAILApECDQIIAggCCAIIAggCCAIIAggCCAIIAggCCAIIAggCCAIIAggCKQIDArMCHgACkAICAjYCBAIFAgYCBwIIAgkCHAILApECDQIIAggCCAIIAggCCAIIAggCCAIIAggCCAIIAggCCAIIAggCKQIDAtZzcQB+AAAAAAACc3EAfgAE///////////////+/////v////91cQB+AAcAAAAENDlU6Hh4d0UCHgACkAICAkUCBAIFAgYCBwIIAgkClQILApECDQIIAggCCAIIAggCCAIIAggCCAIIAggCCAIIAggCCAIIAggCKQIDAtdzcQB+AAAAAAACc3EAfgAE///////////////+/////v////91cQB+AAcAAAADEmdreHh3RQIeAAKQAgICOAIEAgUCBgIHAggCCQIfAgsCkQINAggCCAIIAggCCAIIAggCCAIIAggCCAIIAggCCAIIAggCCAIpAgMC2HNxAH4AAAAAAAJzcQB+AAT///////////////7////+/////3VxAH4ABwAAAAQKK9PneHh3RQIeAAKQAgICeQIEAgUCBgIHAggCCQKVAgsCkQINAggCCAIIAggCCAIIAggCCAIIAggCCAIIAggCCAIIAggCCAIpAgMC2XNxAH4AAAAAAAJzcQB+AAT///////////////7////+/////3VxAH4ABwAAAAMSa1h4eHeKAh4AApACAgI6AgQCBQIGAgcCCAIJApUCCwKRAg0CCAIIAggCCAIIAggCCAIIAggCCAIIAggCCAIIAggCCAIIAikCAwIqAh4AApACAgI+AgQCBQIGAgcCCAIJAh8CCwKRAg0CCAIIAggCCAIIAggCCAIIAggCCAIIAggCCAIIAggCCAIIAikCAwLac3EAfgAAAAAAAnNxAH4ABP///////////////v////4AAAABdXEAfgAHAAAABAJaEtJ4eHdFAh4AApACAgInAgQCBQIGAgcCCAIJAhwCCwKRAg0CCAIIAggCCAIIAggCCAIIAggCCAIIAggCCAIIAggCCAIIAikCAwLbc3EAfgAAAAAAAnNxAH4ABP///////////////v////7/////dXEAfgAHAAAABDSYRyN4eHeKAh4AApACAgJTAgQCBQIGAgcCCAIJAh8CCwKRAg0CCAIIAggCCAIIAggCCAIIAggCCAIIAggCCAIIAggCCAIIAikCAwKoAh4AApACAgIbAgQCBQIGAgcCCAIJApUCCwKRAg0CCAIIAggCCAIIAggCCAIIAggCCAIIAggCCAIIAggCCAIIAikCAwLcc3EAfgAAAAAAAnNxAH4ABP///////////////v////7/////dXEAfgAHAAAAAxKmonh4d0UCHgACkAICAjICBAIFAgYCBwIIAgkCHAILApECDQIIAggCCAIIAggCCAIIAggCCAIIAggCCAIIAggCCAIIAggCKQIDAt1zcQB+AAAAAAACc3EAfgAE///////////////+/////v////91cQB+AAcAAAAEI8Z4/Xh4d4oCHgACkAICAkICBAIFAgYCBwIIAgkClQILApECDQIIAggCCAIIAggCCAIIAggCCAIIAggCCAIIAggCCAIIAggCKQIDAioCHgACkAICAlACBAIFAgYCBwIIAgkCHwILApECDQIIAggCCAIIAggCCAIIAggCCAIIAggCCAIIAggCCAIIAggCKQIDAt5zcQB+AAAAAAACc3EAfgAE///////////////+/////v////91cQB+AAcAAAAEAc1Kd3h4d4oCHgACkAICAnwCBAIFAgYCBwIIAgkClQILApECDQIIAggCCAIIAggCCAIIAggCCAIIAggCCAIIAggCCAIIAggCKQIDAioCHgACkAICAikCBAIFAgYCBwIIAgkCHAILApECDQIIAggCCAIIAggCCAIIAggCCAIIAggCCAIIAggCCAIIAggCKQIDAt9zcQB+AAAAAAACc3EAfgAE///////////////+/////v////91cQB+AAcAAAAEKSCPhXh4d0UCHgACkAICAlgCBAIFAgYCBwIIAgkClQILApECDQIIAggCCAIIAggCCAIIAggCCAIIAggCCAIIAggCCAIIAggCKQIDAuBzcQB+AAAAAAACc3EAfgAE///////////////+/////v////91cQB+AAcAAAADEpLKeHh3RQIeAAKQAgICTAIEAgUCBgIHAggCCQIcAgsCkQINAggCCAIIAggCCAIIAggCCAIIAggCCAIIAggCCAIIAggCCAIpAgMC4XNxAH4AAAAAAAJzcQB+AAT///////////////7////+/////3VxAH4ABwAAAAQzvJaSeHh3RQIeAAKQAgICHgIEAgUCBgIHAggCCQIcAgsCkQINAggCCAIIAggCCAIIAggCCAIIAggCCAIIAggCCAIIAggCCAIpAgMC4nNxAH4AAAAAAAJzcQB+AAT///////////////7////+/////3VxAH4ABwAAAAQw8IEoeHh3RQIeAAKQAgICSAIEAgUCBgIHAggCCQIfAgsCkQINAggCCAIIAggCCAIIAggCCAIIAggCCAIIAggCCAIIAggCCAIpAgMC43NxAH4AAAAAAAJzcQB+AAT///////////////7////+/////3VxAH4ABwAAAAQIvUgheHg=]]></xxe4awand>
</file>

<file path=customXml/item40.xml><?xml version="1.0" encoding="utf-8"?>
<xxe4awand xmlns="http://www.excel4apps.com"><![CDATA[rO0ABXfZCMCtii8ABMM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xxe4awand>
</file>

<file path=customXml/item41.xml><?xml version="1.0" encoding="utf-8"?>
<xxe4awand xmlns="http://www.excel4apps.com"><![CDATA[rO0ABXfZCMCtii8ABDMHAh4AAERjb20uZXhjZWw0YXBwcy53YW5kLm9yYWNsZS5n
bHdhbmQuY2FsY3VsYXRpb25zLmdldGJhbGFuY2UuR2V0QmFsYW5jZQIBAAkxNzE2
NzQ2MjQCAgABMAIDAAYyMDE3MDkCBAADWVREAgUAA1VTRAIGAAVUb3RhbAIHAAFB
AggAAAIJAAMwMDECCgAGMTkxMDI1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A6ueHh3VQIeAAIBAgICGwAGMjAxNzA0AgQCBQIGAgcCCAIJAhwABjE5MTAw
MAILAgwCDQIIAggCCAIIAggCCAIIAggCCAIIAggCCAIIAggCCAIIAggCHAIDAh1zcQB+AAAAAAACc3EAfgAE///////////////+/////v////91cQB+AAcAAAAECfBqRnh4d00CHgACAQICAh4ABjIwMTYwOAIEAgUCBgIHAggCCQIKAgsCDAINAggCCAIIAggCCAIIAggCCAIIAggCCAIIAggCCAIIAggCCAIcAgMCH3NxAH4AAAAAAAJzcQB+AAT///////////////7////+/////3VxAH4ABwAAAAMItpx4eHdNAh4AAgECAgIgAAYyMDE2MDMCBAIFAgYCBwIIAgkCHAILAgwCDQIIAggCCAIIAggCCAIIAggCCAIIAggCCAIIAggCCAIIAggCHAIDAiFzcQB+AAAAAAACc3EAfgAE///////////////+/////v////91cQB+AAcAAAAEBeiObnh4d00CHgACAQICAiIABjIwMTgwMQIEAgUCBgIHAggCCQIKAgsCDAINAggCCAIIAggCCAIIAggCCAIIAggCCAIIAggCCAIIAggCCAIcAgMCI3NxAH4AAAAAAAJzcQB+AAT///////////////7////+AAAAAHVxAH4ABwAAAAB4eHdVAh4AAgECAgIkAAYyMDE4MDMCBAIFAgYCBwIIAgkCJQAGMTkxMDEwAgsCDAINAggCCAIIAggCCAIIAggCCAIIAggCCAIIAggCCAIIAggCCAIcAgMCJnNxAH4AAAAAAAJzcQB+AAT///////////////7////+/////3VxAH4ABwAAAARSfqMaeHh3TQIeAAIBAgICJwAGMjAxNzAyAgQCBQIGAgcCCAIJAiUCCwIMAg0CCAIIAggCCAIIAggCCAIIAggCCAIIAggCCAIIAggCCAIIAhwCAwIoc3EAfgAAAAAAAnNxAH4ABP///////////////v////7/////dXEAfgAHAAAABEmLU8l4eHdNAh4AAgECAgIpAAYyMDE3MTECBAIFAgYCBwIIAgkCHAILAgwCDQIIAggCCAIIAggCCAIIAggCCAIIAggCCAIIAggCCAIIAggCHAIDAipzcQB+AAAAAAACc3EAfgAE///////////////+/////v////91cQB+AAcAAAAERLpXvHh4d00CHgACAQICAisABjIwMTYwMgIEAgUCBgIHAggCCQIlAgsCDAINAggCCAIIAggCCAIIAggCCAIIAggCCAIIAggCCAIIAggCCAIcAgMCLHNxAH4AAAAAAAJzcQB+AAT///////////////7////+/////3VxAH4ABwAAAAQ3OPVPeHh3TQIeAAIBAgICLQAGMjAxNzAxAgQCBQIGAgcCCAIJAgoCCwIMAg0CCAIIAggCCAIIAggCCAIIAggCCAIIAggCCAIIAggCCAIIAhwCAwIuc3EAfgAAAAAAAnNxAH4ABP///////////////v////7/////dXEAfgAHAAAAAwVk/3h4d00CHgACAQICAi8ABjIwMTgwMgIEAgUCBgIHAggCCQIlAgsCDAINAggCCAIIAggCCAIIAggCCAIIAggCCAIIAggCCAIIAggCCAIcAgMCMHNxAH4AAAAAAAJzcQB+AAT///////////////7////+/////3VxAH4ABwAAAARPKnH5eHh3RQIeAAIBAgICKwIEAgUCBgIHAggCCQIcAgsCDAINAggCCAIIAggCCAIIAggCCAIIAggCCAIIAggCCAIIAggCCAIcAgMCMXNxAH4AAAAAAAJzcQB+AAT///////////////7////+/////3VxAH4ABwAAAAQIJf+xeHh3RQIeAAIBAgICLQIEAgUCBgIHAggCCQIlAgsCDAINAggCCAIIAggCCAIIAggCCAIIAggCCAIIAggCCAIIAggCCAIcAgMCMnNxAH4AAAAAAAJzcQB+AAT///////////////7////+/////3VxAH4ABwAAAAQ9FTt2eHh3TQIeAAIBAgICMwAGMjAxNzAzAgQCBQIGAgcCCAIJAhwCCwIMAg0CCAIIAggCCAIIAggCCAIIAggCCAIIAggCCAIIAggCCAIIAhwCAwI0c3EAfgAAAAAAAnNxAH4ABP///////////////v////7/////dXEAfgAHAAAABBD98iN4eHdNAh4AAgECAgI1AAYyMDE2MDcCBAIFAgYCBwIIAgkCCgILAgwCDQIIAggCCAIIAggCCAIIAggCCAIIAggCCAIIAggCCAIIAggCHAIDAjZzcQB+AAAAAAACc3EAfgAE///////////////+/////v////91cQB+AAcAAAADCZ5/eHh3TQIeAAIBAgICNwAGMjAxNjEwAgQCBQIGAgcCCAIJAhwCCwIMAg0CCAIIAggCCAIIAggCCAIIAggCCAIIAggCCAIIAggCCAIIAhwCAwI4c3EAfgAAAAAAAnNxAH4ABP///////////////v////7/////dXEAfgAHAAAAA7xcsnh4d00CHgACAQICAjkABjIwMTcxMAIEAgUCBgIHAggCCQIcAgsCDAINAggCCAIIAggCCAIIAggCCAIIAggCCAIIAggCCAIIAggCCAIcAgMCOnNxAH4AAAAAAAJzcQB+AAT///////////////7////+AAAAAXVxAH4ABwAAAAQJDRX9eHh3TQIeAAIBAgICOwAGMjAxNjA5AgQCBQIGAgcCCAIJAiUCCwIMAg0CCAIIAggCCAIIAggCCAIIAggCCAIIAggCCAIIAggCCAIIAhwCAwI8c3EAfgAAAAAAAnNxAH4ABP///////////////v////7/////dXEAfgAHAAAABGExCBR4eHdNAh4AAgECAgI9AAYyMDE3MDgCBAIFAgYCBwIIAgkCCgILAgwCDQIIAggCCAIIAggCCAIIAggCCAIIAggCCAIIAggCCAIIAggCHAIDAj5zcQB+AAAAAAACc3EAfgAE///////////////+/////v////91cQB+AAcAAAADBCUJeHh3TQIeAAIBAgICPwAGMjAxODA0AgQCBQIGAgcCCAIJAhwCCwIMAg0CCAIIAggCCAIIAggCCAIIAggCCAIIAggCCAIIAggCCAIIAhwCAwJAc3EAfgAAAAAAAnNxAH4ABP///////////////v////7/////dXEAfgAHAAAABAcZP5l4eHdFAh4AAgECAgI3AgQCBQIGAgcCCAIJAiUCCwIMAg0CCAIIAggCCAIIAggCCAIIAggCCAIIAggCCAIIAggCCAIIAhwCAwJBc3EAfgAAAAAAAnNxAH4ABP///////////////v////7/////dXEAfgAHAAAABGKNyxZ4eHdFAh4AAgECAgIpAgQCBQIGAgcCCAIJAiUCCwIMAg0CCAIIAggCCAIIAggCCAIIAggCCAIIAggCCAIIAggCCAIIAhwCAwJCc3EAfgAAAAAAAnNxAH4ABP///////////////v////7/////dXEAfgAHAAAABDDQqrN4eHdFAh4AAgECAgIiAgQCBQIGAgcCCAIJAiUCCwIMAg0CCAIIAggCCAIIAggCCAIIAggCCAIIAggCCAIIAggCCAIIAhwCAwJDc3EAfgAAAAAAAnNxAH4ABP///////////////v////7/////dXEAfgAHAAAABE7u6Np4eHeSAh4AAgECAgIkAgQCBQIGAgcCCAIJAgoCCwIMAg0CCAIIAggCCAIIAggCCAIIAggCCAIIAggCCAIIAggCCAIIAhwCAwIjAh4AAgECAgJEAAYyMDE3MDYCBAIFAgYCBwIIAgkCHAILAgwCDQIIAggCCAIIAggCCAIIAggCCAIIAggCCAIIAggCCAIIAggCHAIDAkVzcQB+AAAAAAACc3EAfgAE///////////////+/////v////91cQB+AAcAAAAEA91NIHh4d00CHgACAQICAkYABjIwMTYwNgIEAgUCBgIHAggCCQIKAgsCDAINAggCCAIIAggCCAIIAggCCAIIAggCCAIIAggCCAIIAggCCAIcAgMCR3NxAH4AAAAAAAJzcQB+AAT///////////////7////+/////3VxAH4ABwAAAAMKgFR4eHdNAh4AAgECAgJIAAYyMDE2MDUCBAIFAgYCBwIIAgkCHAILAgwCDQIIAggCCAIIAggCCAIIAggCCAIIAggCCAIIAggCCAIIAggCHAIDAklzcQB+AAAAAAACc3EAfgAE///////////////+/////v////91cQB+AAcAAAAEBDaJ43h4d00CHgACAQICAkoABjIwMTYxMgIEAgUCBgIHAggCCQIKAgsCDAINAggCCAIIAggCCAIIAggCCAIIAggCCAIIAggCCAIIAggCCAIcAgMCS3NxAH4AAAAAAAJzcQB+AAT///////////////7////+/////3VxAH4ABwAAAAMG3JN4eHdNAh4AAgECAgJMAAYyMDE2MDQCBAIFAgYCBwIIAgkCJQILAgwCDQIIAggCCAIIAggCCAIIAggCCAIIAggCCAIIAggCCAIIAggCHAIDAk1zcQB+AAAAAAACc3EAfgAE///////////////+/////v////91cQB+AAcAAAAESHB4r3h4d00CHgACAQICAk4ABjIwMTcwNQIEAgUCBgIHAggCCQIlAgsCDAINAggCCAIIAggCCAIIAggCCAIIAggCCAIIAggCCAIIAggCCAIcAgMCT3NxAH4AAAAAAAJzcQB+AAT///////////////7////+/////3VxAH4ABwAAAARZ/eXyeHh3TQIeAAIBAgICUAAGMjAxNzA3AgQCBQIGAgcCCAIJAgoCCwIMAg0CCAIIAggCCAIIAggCCAIIAggCCAIIAggCCAIIAggCCAIIAhwCAwJRc3EAfgAAAAAAAnNxAH4ABP///////////////v////7/////dXEAfgAHAAAAAwQ0OHh4d0UCHgACAQICAjUCBAIFAgYCBwIIAgkCJQILAgwCDQIIAggCCAIIAggCCAIIAggCCAIIAggCCAIIAggCCAIIAggCHAIDAlJzcQB+AAAAAAACc3EAfgAE///////////////+/////v////91cQB+AAcAAAAEWi+1rXh4d0UCHgACAQICAj0CBAIFAgYCBwIIAgkCJQILAgwCDQIIAggCCAIIAggCCAIIAggCCAIIAggCCAIIAggCCAIIAggCHAIDAlNzcQB+AAAAAAACc3EAfgAE///////////////+/////v////91cQB+AAcAAAAEZTFBq3h4d0UCHgACAQICAjsCBAIFAgYCBwIIAgkCCgILAgwCDQIIAggCCAIIAggCCAIIAggCCAIIAggCCAIIAggCCAIIAggCHAIDAlRzcQB+AAAAAAACc3EAfgAE///////////////+/////v////91cQB+AAcAAAADB43UeHh3TQIeAAIBAgICVQAGMjAxNjExAgQCBQIGAgcCCAIJAhwCCwIMAg0CCAIIAggCCAIIAggCCAIIAggCCAIIAggCCAIIAggCCAIIAhwCAwJWc3EAfgAAAAAAAnNxAH4ABP///////////////v////7/////dXEAfgAHAAAABExDDhV4eHdNAh4AAgECAgJXAAYyMDE3MTICBAIFAgYCBwIIAgkCHAILAgwCDQIIAggCCAIIAggCCAIIAggCCAIIAggCCAIIAggCCAIIAggCHAIDAlhzcQB+AAAAAAACc3EAfgAE///////////////+/////v////91cQB+AAcAAAAENEm+I3h4d0UCHgACAQICAjMCBAIFAgYCBwIIAgkCJQILAgwCDQIIAggCCAIIAggCCAIIAggCCAIIAggCCAIIAggCCAIIAggCHAIDAllzcQB+AAAAAAACc3EAfgAE///////////////+/////v////91cQB+AAcAAAAEU2ObJnh4d0UCHgACAQICAj8CBAIFAgYCBwIIAgkCJQILAgwCDQIIAggCCAIIAggCCAIIAggCCAIIAggCCAIIAggCCAIIAggCHAIDAlpzcQB+AAAAAAACc3EAfgAE///////////////+/////v////91cQB+AAcAAAAEWqnIX3h4d0UCHgACAQICAi0CBAIFAgYCBwIIAgkCHAILAgwCDQIIAggCCAIIAggCCAIIAggCCAIIAggCCAIIAggCCAIIAggCHAIDAltzcQB+AAAAAAACc3EAfgAE///////////////+/////v////91cQB+AAcAAAAEKOmGtnh4d0UCHgACAQICAicCBAIFAgYCBwIIAgkCCgILAgwCDQIIAggCCAIIAggCCAIIAggCCAIIAggCCAIIAggCCAIIAggCHAIDAlxzcQB+AAAAAAACc3EAfgAE///////////////+/////v////91cQB+AAcAAAADBPtoeHh3RQIeAAIBAgICLwIEAgUCBgIHAggCCQIcAgsCDAINAggCCAIIAggCCAIIAggCCAIIAggCCAIIAggCCAIIAggCCAIcAgMCXXNxAH4AAAAAAAJzcQB+AAT///////////////7////+/////3VxAH4ABwAAAAQZYudleHh3RQIeAAIBAgICNwIEAgUCBgIHAggCCQIKAgsCDAINAggCCAIIAggCCAIIAggCCAIIAggCCAIIAggCCAIIAggCCAIcAgMCXnNxAH4AAAAAAAJzcQB+AAT///////////////7////+/////3VxAH4ABwAAAAMFP694eHdFAh4AAgECAgIDAgQCBQIGAgcCCAIJAhwCCwIMAg0CCAIIAggCCAIIAggCCAIIAggCCAIIAggCCAIIAggCCAIIAhwCAwJfc3EAfgAAAAAAAnNxAH4ABP///////////////v////4AAAABdXEAfgAHAAAABAKOsKB4eHdFAh4AAgECAgJQAgQCBQIGAgcCCAIJAiUCCwIMAg0CCAIIAggCCAIIAggCCAIIAggCCAIIAggCCAIIAggCCAIIAhwCAwJgc3EAfgAAAAAAAnNxAH4ABP///////////////v////7/////dXEAfgAHAAAABF7UYvh4eHdFAh4AAgECAgIeAgQCBQIGAgcCCAIJAhwCCwIMAg0CCAIIAggCCAIIAggCCAIIAggCCAIIAggCCAIIAggCCAIIAhwCAwJhc3EAfgAAAAAAAnNxAH4ABP///////////////v////7/////dXEAfgAHAAAABAK9P6R4eHdFAh4AAgECAgJOAgQCBQIGAgcCCAIJAgoCCwIMAg0CCAIIAggCCAIIAggCCAIIAggCCAIIAggCCAIIAggCCAIIAhwCAwJic3EAfgAAAAAAAnNxAH4ABP///////////////v////7/////dXEAfgAHAAAAAwRWK3h4d0UCHgACAQICAiICBAIFAgYCBwIIAgkCHAILAgwCDQIIAggCCAIIAggCCAIIAggCCAIIAggCCAIIAggCCAIIAggCHAIDAmNzcQB+AAAAAAACc3EAfgAE///////////////+/////v////91cQB+AAcAAAAEJnGjV3h4d0UCHgACAQICAkwCBAIFAgYCBwIIAgkCCgILAgwCDQIIAggCCAIIAggCCAIIAggCCAIIAggCCAIIAggCCAIIAggCHAIDAmRzcQB+AAAAAAACc3EAfgAE///////////////+/////v////91cQB+AAcAAAADDMb+eHh3RQIeAAIBAgICPQIEAgUCBgIHAggCCQIcAgsCDAINAggCCAIIAggCCAIIAggCCAIIAggCCAIIAggCCAIIAggCCAIcAgMCZXNxAH4AAAAAAAJzcQB+AAT///////////////7////+/////3VxAH4ABwAAAAMylNZ4eHdFAh4AAgECAgI5AgQCBQIGAgcCCAIJAgoCCwIMAg0CCAIIAggCCAIIAggCCAIIAggCCAIIAggCCAIIAggCCAIIAhwCAwJmc3EAfgAAAAAAAnNxAH4ABP///////////////v////7/////dXEAfgAHAAAAAwPcq3h4d0UCHgACAQICAkYCBAIFAgYCBwIIAgkCJQILAgwCDQIIAggCCAIIAggCCAIIAggCCAIIAggCCAIIAggCCAIIAggCHAIDAmdzcQB+AAAAAAACc3EAfgAE///////////////+/////v////91cQB+AAcAAAAEVIhLm3h4d4oCHgACAQICAlcCBAIFAgYCBwIIAgkCCgILAgwCDQIIAggCCAIIAggCCAIIAggCCAIIAggCCAIIAggCCAIIAggCHAIDAiMCHgACAQICAlUCBAIFAgYCBwIIAgkCCgILAgwCDQIIAggCCAIIAggCCAIIAggCCAIIAggCCAIIAggCCAIIAggCHAIDAmhzcQB+AAAAAAACc3EAfgAE///////////////+/////v////91cQB+AAcAAAADBmgreHh3RQIeAAIBAgICVwIEAgUCBgIHAggCCQIlAgsCDAINAggCCAIIAggCCAIIAggCCAIIAggCCAIIAggCCAIIAggCCAIcAgMCaXNxAH4AAAAAAAJzcQB+AAT///////////////7////+/////3VxAH4ABwAAAARCNLx8eHh3igIeAAIBAgICPwIEAgUCBgIHAggCCQIKAgsCDAINAggCCAIIAggCCAIIAggCCAIIAggCCAIIAggCCAIIAggCCAIcAgMCIwIeAAIBAgICRAIEAgUCBgIHAggCCQIlAgsCDAINAggCCAIIAggCCAIIAggCCAIIAggCCAIIAggCCAIIAggCCAIcAgMCanNxAH4AAAAAAAJzcQB+AAT///////////////7////+/////3VxAH4ABwAAAARYCwcseHh3RQIeAAIBAgICNQIEAgUCBgIHAggCCQIcAgsCDAINAggCCAIIAggCCAIIAggCCAIIAggCCAIIAggCCAIIAggCCAIcAgMCa3NxAH4AAAAAAAJzcQB+AAT///////////////7////+/////3VxAH4ABwAAAAQDNpKZeHh3RQIeAAIBAgICUAIEAgUCBgIHAggCCQIcAgsCDAINAggCCAIIAggCCAIIAggCCAIIAggCCAIIAggCCAIIAggCCAIcAgMCbHNxAH4AAAAAAAJzcQB+AAT///////////////7////+/////3VxAH4ABwAAAAQCCvb0eHh3RQIeAAIBAgICIAIEAgUCBgIHAggCCQIKAgsCDAINAggCCAIIAggCCAIIAggCCAIIAggCCAIIAggCCAIIAggCCAIcAgMCbXNxAH4AAAAAAAJzcQB+AAT///////////////7////+/////3VxAH4ABwAAAAMOg914eHdFAh4AAgECAgJKAgQCBQIGAgcCCAIJAiUCCwIMAg0CCAIIAggCCAIIAggCCAIIAggCCAIIAggCCAIIAggCCAIIAhwCAwJuc3EAfgAAAAAAAnNxAH4ABP///////////////v////7/////dXEAfgAHAAAABCij2ll4eHdFAh4AAgECAgJIAgQCBQIGAgcCCAIJAiUCCwIMAg0CCAIIAggCCAIIAggCCAIIAggCCAIIAggCCAIIAggCCAIIAhwCAwJvc3EAfgAAAAAAAnNxAH4ABP///////////////v////7/////dXEAfgAHAAAABEwrC4B4eHeKAh4AAgECAgIpAgQCBQIGAgcCCAIJAgoCCwIMAg0CCAIIAggCCAIIAggCCAIIAggCCAIIAggCCAIIAggCCAIIAhwCAwIjAh4AAgECAgIbAgQCBQIGAgcCCAIJAgoCCwIMAg0CCAIIAggCCAIIAggCCAIIAggCCAIIAggCCAIIAggCCAIIAhwCAwJwc3EAfgAAAAAAAnNxAH4ABP///////////////v////7/////dXEAfgAHAAAAAwR0jXh4d0UCHgACAQICAgMCBAIFAgYCBwIIAgkCJQILAgwCDQIIAggCCAIIAggCCAIIAggCCAIIAggCCAIIAggCCAIIAggCHAIDAnFzcQB+AAAAAAACc3EAfgAE///////////////+/////v////91cQB+AAcAAAAEcQZZSXh4d0UCHgACAQICAkoCBAIFAgYCBwIIAgkCHAILAgwCDQIIAggCCAIIAggCCAIIAggCCAIIAggCCAIIAggCCAIIAggCHAIDAnJzcQB+AAAAAAACc3EAfgAE///////////////+/////v////91cQB+AAcAAAAEO4uIvXh4d0UCHgACAQICAicCBAIFAgYCBwIIAgkCHAILAgwCDQIIAggCCAIIAggCCAIIAggCCAIIAggCCAIIAggCCAIIAggCHAIDAnNzcQB+AAAAAAACc3EAfgAE///////////////+/////v////91cQB+AAcAAAAEG0cx03h4d0UCHgACAQICAkYCBAIFAgYCBwIIAgkCHAILAgwCDQIIAggCCAIIAggCCAIIAggCCAIIAggCCAIIAggCCAIIAggCHAIDAnRzcQB+AAAAAAACc3EAfgAE///////////////+/////v////91cQB+AAcAAAAEA6uLrXh4d0UCHgACAQICAiQCBAIFAgYCBwIIAgkCHAILAgwCDQIIAggCCAIIAggCCAIIAggCCAIIAggCCAIIAggCCAIIAggCHAIDAnVzcQB+AAAAAAACc3EAfgAE///////////////+/////v////91cQB+AAcAAAAEDlPJjHh4d0UCHgACAQICAjMCBAIFAgYCBwIIAgkCCgILAgwCDQIIAggCCAIIAggCCAIIAggCCAIIAggCCAIIAggCCAIIAggCHAIDAnZzcQB+AAAAAAACc3EAfgAE///////////////+/////v////91cQB+AAcAAAADBKuXeHh3RQIeAAIBAgICVQIEAgUCBgIHAggCCQIlAgsCDAINAggCCAIIAggCCAIIAggCCAIIAggCCAIIAggCCAIIAggCCAIcAgMCd3NxAH4AAAAAAAJzcQB+AAT///////////////7////+/////3VxAH4ABwAAAAQSVBWqeHh3RQIeAAIBAgICHgIEAgUCBgIHAggCCQIlAgsCDAINAggCCAIIAggCCAIIAggCCAIIAggCCAIIAggCCAIIAggCCAIcAgMCeHNxAH4AAAAAAAJzcQB+AAT///////////////7////+/////3VxAH4ABwAAAARdV1DJeHh3RQIeAAIBAgICTgIEAgUCBgIHAggCCQIcAgsCDAINAggCCAIIAggCCAIIAggCCAIIAggCCAIIAggCCAIIAggCCAIcAgMCeXNxAH4AAAAAAAJzcQB+AAT///////////////7////+/////3VxAH4ABwAAAAQGIRiFeHh3RQIeAAIBAgICOQIEAgUCBgIHAggCCQIlAgsCDAINAggCCAIIAggCCAIIAggCCAIIAggCCAIIAggCCAIIAggCCAIcAgMCenNxAH4AAAAAAAJzcQB+AAT///////////////7////+/////3VxAH4ABwAAAASC3IjxeHh3igIeAAIBAgICLwIEAgUCBgIHAggCCQIKAgsCDAINAggCCAIIAggCCAIIAggCCAIIAggCCAIIAggCCAIIAggCCAIcAgMCIwIeAAIBAgICKwIEAgUCBgIHAggCCQIKAgsCDAINAggCCAIIAggCCAIIAggCCAIIAggCCAIIAggCCAIIAggCCAIcAgMCe3NxAH4AAAAAAAJzcQB+AAT///////////////7////+/////3VxAH4ABwAAAAMSFct4eHdFAh4AAgECAgI7AgQCBQIGAgcCCAIJAhwCCwIMAg0CCAIIAggCCAIIAggCCAIIAggCCAIIAggCCAIIAggCCAIIAhwCAwJ8c3EAfgAAAAAAAnNxAH4ABP///////////////v////7/////dXEAfgAHAAAABAIbp254eHdFAh4AAgECAgJMAgQCBQIGAgcCCAIJAhwCCwIMAg0CCAIIAggCCAIIAggCCAIIAggCCAIIAggCCAIIAggCCAIIAhwCAwJ9c3EAfgAAAAAAAnNxAH4ABP///////////////v////7/////dXEAfgAHAAAABATkMA94eHdFAh4AAgECAgIgAgQCBQIGAgcCCAIJAiUCCwIMAg0CCAIIAggCCAIIAggCCAIIAggCCAIIAggCCAIIAggCCAIIAhwCAwJ+c3EAfgAAAAAAAnNxAH4ABP///////////////v////7/////dXEAfgAHAAAABD37VuJ4eHdFAh4AAgECAgIbAgQCBQIGAgcCCAIJAiUCCwIMAg0CCAIIAggCCAIIAggCCAIIAggCCAIIAggCCAIIAggCCAIIAhwCAwJ/c3EAfgAAAAAAAnNxAH4ABP///////////////v////7/////dXEAfgAHAAAABFpw2Xd4eHdFAh4AAgECAgJIAgQCBQIGAgcCCAIJAgoCCwIMAg0CCAIIAggCCAIIAggCCAIIAggCCAIIAggCCAIIAggCCAIIAhwCAwKAc3EAfgAAAAAAAnNxAH4ABP///////////////v////7/////dXEAfgAHAAAAAwuCrXh4d0UCHgACAQICAkQCBAIFAgYCBwIIAgkCCgILAgwCDQIIAggCCAIIAggCCAIIAggCCAIIAggCCAIIAggCCAIIAggCHAIDAoFzcQB+AAAAAAACc3EAfgAE///////////////+/////v////91cQB+AAcAAAADBEN6eHh34gIeAAKCAAk4ODI3NjA1MjgCAgI5AgQCBQIGAgcCCAIJAiUCCwIMAg0CCAIIAggCCAIIAggCCAIIAggCCAIIAggCCAIIAggCCAIIAhICAwJ6Ah4AAoICAgItAgQCBQIGAgcCCAIJAgoCCwIMAg0CCAIIAggCCAIIAggCCAIIAggCCAIIAggCCAIIAggCCAIIAhICAwIuAh4AAoICAgKDAAYyMDE4MDYCBAIFAgYCBwIIAgkCHAILAgwCDQIIAggCCAIIAggCCAIIAggCCAIIAggCCAIIAggCCAIIAggCEgIDAoRzcQB+AAAAAAACc3EAfgAE///////////////+/////v////91cQB+AAcAAAAEAe561nh4egAAAWECHgACggICAisCBAIFAgYCBwIIAgkCJQILAgwCDQIIAggCCAIIAggCCAIIAggCCAIIAggCCAIIAggCCAIIAggCEgIDAiwCHgACggICAjcCBAIFAgYCBwIIAgkCHAILAgwCDQIIAggCCAIIAggCCAIIAggCCAIIAggCCAIIAggCCAIIAggCEgIDAjgCHgACggICAhsCBAIFAgYCBwIIAgkCJQILAgwCDQIIAggCCAIIAggCCAIIAggCCAIIAggCCAIIAggCCAIIAggCEgIDAn8CHgACggICAkQCBAIFAgYCBwIIAgkCHAILAgwCDQIIAggCCAIIAggCCAIIAggCCAIIAggCCAIIAggCCAIIAggCEgIDAkUCHgACggICAoUABjIwMTgxMAIEAgUCBgIHAggCCQIlAgsCDAINAggCCAIIAggCCAIIAggCCAIIAggCCAIIAggCCAIIAggCCAISAgMChnNxAH4AAAAAAAJzcQB+AAT///////////////7////+/////3VxAH4ABwAAAASIbHKOeHh31wIeAAKCAgICIgIEAgUCBgIHAggCCQIKAgsCDAINAggCCAIIAggCCAIIAggCCAIIAggCCAIIAggCCAIIAggCCAISAgMCIwIeAAKCAgICTAIEAgUCBgIHAggCCQIlAgsCDAINAggCCAIIAggCCAIIAggCCAIIAggCCAIIAggCCAIIAggCCAISAgMCTQIeAAKCAgIChwAGMjAxODA4AgQCBQIGAgcCCAIJAhwCCwIMAg0CCAIIAggCCAIIAggCCAIIAggCCAIIAggCCAIIAggCCAIIAhICAwKIc3EAfgAAAAAAAnNxAH4ABP///////////////v////4AAAABdXEAfgAHAAAABAIIPL14eHfPAh4AAoICAgJGAgQCBQIGAgcCCAIJAhwCCwIMAg0CCAIIAggCCAIIAggCCAIIAggCCAIIAggCCAIIAggCCAIIAhICAwJ0Ah4AAoICAgI5AgQCBQIGAgcCCAIJAhwCCwIMAg0CCAIIAggCCAIIAggCCAIIAggCCAIIAggCCAIIAggCCAIIAhICAwI6Ah4AAoICAgKDAgQCBQIGAgcCCAIJAiUCCwIMAg0CCAIIAggCCAIIAggCCAIIAggCCAIIAggCCAIIAggCCAIIAhICAwKJc3EAfgAAAAAAAnNxAH4ABP///////////////v////7/////dXEAfgAHAAAABF0aA9N4eHoAAAFhAh4AAoICAgI9AgQCBQIGAgcCCAIJAgoCCwIMAg0CCAIIAggCCAIIAggCCAIIAggCCAIIAggCCAIIAggCCAIIAhICAwI+Ah4AAoICAgIrAgQCBQIGAgcCCAIJAhwCCwIMAg0CCAIIAggCCAIIAggCCAIIAggCCAIIAggCCAIIAggCCAIIAhICAwIxAh4AAoICAgJEAgQCBQIGAgcCCAIJAiUCCwIMAg0CCAIIAggCCAIIAggCCAIIAggCCAIIAggCCAIIAggCCAIIAhICAwJqAh4AAoICAgKKAAYyMDE4MTECBAIFAgYCBwIIAgkCCgILAgwCDQIIAggCCAIIAggCCAIIAggCCAIIAggCCAIIAggCCAIIAggCEgIDAiMCHgACggICAoUCBAIFAgYCBwIIAgkCHAILAgwCDQIIAggCCAIIAggCCAIIAggCCAIIAggCCAIIAggCCAIIAggCEgIDAotzcQB+AAAAAAACc3EAfgAE///////////////+/////gAAAAF1cQB+AAcAAAAECvxnVHh4egAAA4kCHgACggICAhsCBAIFAgYCBwIIAgkCHAILAgwCDQIIAggCCAIIAggCCAIIAggCCAIIAggCCAIIAggCCAIIAggCEgIDAh0CHgACggICAkYCBAIFAgYCBwIIAgkCCgILAgwCDQIIAggCCAIIAggCCAIIAggCCAIIAggCCAIIAggCCAIIAggCEgIDAkcCHgACggICAh4CBAIFAgYCBwIIAgkCHAILAgwCDQIIAggCCAIIAggCCAIIAggCCAIIAggCCAIIAggCCAIIAggCEgIDAmECHgACggICAiQCBAIFAgYCBwIIAgkCCgILAgwCDQIIAggCCAIIAggCCAIIAggCCAIIAggCCAIIAggCCAIIAggCEgIDAiMCHgACggICAjcCBAIFAgYCBwIIAgkCJQILAgwCDQIIAggCCAIIAggCCAIIAggCCAIIAggCCAIIAggCCAIIAggCEgIDAkECHgACggICAlcCBAIFAgYCBwIIAgkCHAILAgwCDQIIAggCCAIIAggCCAIIAggCCAIIAggCCAIIAggCCAIIAggCEgIDAlgCHgACggICAkoCBAIFAgYCBwIIAgkCCgILAgwCDQIIAggCCAIIAggCCAIIAggCCAIIAggCCAIIAggCCAIIAggCEgIDAksCHgACggICAj8CBAIFAgYCBwIIAgkCJQILAgwCDQIIAggCCAIIAggCCAIIAggCCAIIAggCCAIIAggCCAIIAggCEgIDAloCHgACggICAlcCBAIFAgYCBwIIAgkCCgILAgwCDQIIAggCCAIIAggCCAIIAggCCAIIAggCCAIIAggCCAIIAggCEgIDAiMCHgACggICAkQCBAIFAgYCBwIIAgkCCgILAgwCDQIIAggCCAIIAggCCAIIAggCCAIIAggCCAIIAggCCAIIAggCEgIDAoECHgACggICAjUCBAIFAgYCBwIIAgkCJQILAgwCDQIIAggCCAIIAggCCAIIAggCCAIIAggCCAIIAggCCAIIAggCEgIDAlICHgACggICAk4CBAIFAgYCBwIIAgkCCgILAgwCDQIIAggCCAIIAggCCAIIAggCCAIIAggCCAIIAggCCAIIAggCEgIDAmICHgACggICAowABjIwMTgwOQIEAgUCBgIHAggCCQIlAgsCDAINAggCCAIIAggCCAIIAggCCAIIAggCCAIIAggCCAIIAggCCAISAgMCjXNxAH4AAAAAAAJzcQB+AAT///////////////7////+/////3VxAH4ABwAAAARx0ZiUeHh6AAADRAIeAAKCAgICKQIEAgUCBgIHAggCCQIKAgsCDAINAggCCAIIAggCCAIIAggCCAIIAggCCAIIAggCCAIIAggCCAISAgMCIwIeAAKCAgICJAIEAgUCBgIHAggCCQIcAgsCDAINAggCCAIIAggCCAIIAggCCAIIAggCCAIIAggCCAIIAggCCAISAgMCdQIeAAKCAgICUAIEAgUCBgIHAggCCQIKAgsCDAINAggCCAIIAggCCAIIAggCCAIIAggCCAIIAggCCAIIAggCCAISAgMCUQIeAAKCAgICAwIEAgUCBgIHAggCCQIlAgsCDAINAggCCAIIAggCCAIIAggCCAIIAggCCAIIAggCCAIIAggCCAISAgMCcQIeAAKCAgICSgIEAgUCBgIHAggCCQIlAgsCDAINAggCCAIIAggCCAIIAggCCAIIAggCCAIIAggCCAIIAggCCAISAgMCbgIeAAKCAgICIAIEAgUCBgIHAggCCQIKAgsCDAINAggCCAIIAggCCAIIAggCCAIIAggCCAIIAggCCAIIAggCCAISAgMCbQIeAAKCAgICLwIEAgUCBgIHAggCCQIlAgsCDAINAggCCAIIAggCCAIIAggCCAIIAggCCAIIAggCCAIIAggCCAISAgMCMAIeAAKCAgICPwIEAgUCBgIHAggCCQIcAgsCDAINAggCCAIIAggCCAIIAggCCAIIAggCCAIIAggCCAIIAggCCAISAgMCQAIeAAKCAgICVQIEAgUCBgIHAggCCQIlAgsCDAINAggCCAIIAggCCAIIAggCCAIIAggCCAIIAggCCAIIAggCCAISAgMCdwIeAAKCAgICPwIEAgUCBgIHAggCCQIKAgsCDAINAggCCAIIAggCCAIIAggCCAIIAggCCAIIAggCCAIIAggCCAISAgMCIwIeAAKCAgICjgAGMjAxODA1AgQCBQIGAgcCCAIJAgoCCwIMAg0CCAIIAggCCAIIAggCCAIIAggCCAIIAggCCAIIAggCCAIIAhICAwIjAh4AAoICAgKMAgQCBQIGAgcCCAIJAhwCCwIMAg0CCAIIAggCCAIIAggCCAIIAggCCAIIAggCCAIIAggCCAIIAhICAwKPc3EAfgAAAAAAAnNxAH4ABP///////////////v////4AAAABdXEAfgAHAAAABASp52R4eHoAAAJtAh4AAoICAgI1AgQCBQIGAgcCCAIJAhwCCwIMAg0CCAIIAggCCAIIAggCCAIIAggCCAIIAggCCAIIAggCCAIIAhICAwJrAh4AAoICAgIrAgQCBQIGAgcCCAIJAgoCCwIMAg0CCAIIAggCCAIIAggCCAIIAggCCAIIAggCCAIIAggCCAIIAhICAwJ7Ah4AAoICAgIeAgQCBQIGAgcCCAIJAgoCCwIMAg0CCAIIAggCCAIIAggCCAIIAggCCAIIAggCCAIIAggCCAIIAhICAwIfAh4AAoICAgIkAgQCBQIGAgcCCAIJAiUCCwIMAg0CCAIIAggCCAIIAggCCAIIAggCCAIIAggCCAIIAggCCAIIAhICAwImAh4AAoICAgJKAgQCBQIGAgcCCAIJAhwCCwIMAg0CCAIIAggCCAIIAggCCAIIAggCCAIIAggCCAIIAggCCAIIAhICAwJyAh4AAoICAgKFAgQCBQIGAgcCCAIJAgoCCwIMAg0CCAIIAggCCAIIAggCCAIIAggCCAIIAggCCAIIAggCCAIIAhICAwIjAh4AAoICAgJGAgQCBQIGAgcCCAIJAiUCCwIMAg0CCAIIAggCCAIIAggCCAIIAggCCAIIAggCCAIIAggCCAIIAhICAwJnAh4AAoICAgJOAgQCBQIGAgcCCAIJAhwCCwIMAg0CCAIIAggCCAIIAggCCAIIAggCCAIIAggCCAIIAggCCAIIAhICAwJ5Ah4AAoICAgKHAgQCBQIGAgcCCAIJAiUCCwIMAg0CCAIIAggCCAIIAggCCAIIAggCCAIIAggCCAIIAggCCAIIAhICAwKQc3EAfgAAAAAAAnNxAH4ABP///////////////v////7/////dXEAfgAHAAAABG9TFvJ4eHoAAAEcAh4AAoICAgIvAgQCBQIGAgcCCAIJAgoCCwIMAg0CCAIIAggCCAIIAggCCAIIAggCCAIIAggCCAIIAggCCAIIAhICAwIjAh4AAoICAgJVAgQCBQIGAgcCCAIJAhwCCwIMAg0CCAIIAggCCAIIAggCCAIIAggCCAIIAggCCAIIAggCCAIIAhICAwJWAh4AAoICAgIgAgQCBQIGAgcCCAIJAiUCCwIMAg0CCAIIAggCCAIIAggCCAIIAggCCAIIAggCCAIIAggCCAIIAhICAwJ+Ah4AAoICAgKRAAYyMDE4MDcCBAIFAgYCBwIIAgkCHAILAgwCDQIIAggCCAIIAggCCAIIAggCCAIIAggCCAIIAggCCAIIAggCEgIDApJzcQB+AAAAAAACc3EAfgAE///////////////+/////gAAAAF1cQB+AAcAAAADCUlQeHh3zwIeAAKCAgICSAIEAgUCBgIHAggCCQIcAgsCDAINAggCCAIIAggCCAIIAggCCAIIAggCCAIIAggCCAIIAggCCAISAgMCSQIeAAKCAgICKQIEAgUCBgIHAggCCQIcAgsCDAINAggCCAIIAggCCAIIAggCCAIIAggCCAIIAggCCAIIAggCCAISAgMCKgIeAAKCAgICjgIEAgUCBgIHAggCCQIlAgsCDAINAggCCAIIAggCCAIIAggCCAIIAggCCAIIAggCCAIIAggCCAISAgMCk3NxAH4AAAAAAAJzcQB+AAT///////////////7////+/////3VxAH4ABwAAAARc5cCweHh6AAACbQIeAAKCAgICIAIEAgUCBgIHAggCCQIcAgsCDAINAggCCAIIAggCCAIIAggCCAIIAggCCAIIAggCCAIIAggCCAISAgMCIQIeAAKCAgICUAIEAgUCBgIHAggCCQIcAgsCDAINAggCCAIIAggCCAIIAggCCAIIAggCCAIIAggCCAIIAggCCAISAgMCbAIeAAKCAgICigIEAgUCBgIHAggCCQIcAgsCDAINAggCCAIIAggCCAIIAggCCAIIAggCCAIIAggCCAIIAggCCAISAgMCiwIeAAKCAgICTgIEAgUCBgIHAggCCQIlAgsCDAINAggCCAIIAggCCAIIAggCCAIIAggCCAIIAggCCAIIAggCCAISAgMCTwIeAAKCAgICNQIEAgUCBgIHAggCCQIKAgsCDAINAggCCAIIAggCCAIIAggCCAIIAggCCAIIAggCCAIIAggCCAISAgMCNgIeAAKCAgICjAIEAgUCBgIHAggCCQIKAgsCDAINAggCCAIIAggCCAIIAggCCAIIAggCCAIIAggCCAIIAggCCAISAgMCIwIeAAKCAgICOQIEAgUCBgIHAggCCQIKAgsCDAINAggCCAIIAggCCAIIAggCCAIIAggCCAIIAggCCAIIAggCCAISAgMCZgIeAAKCAgICSAIEAgUCBgIHAggCCQIlAgsCDAINAggCCAIIAggCCAIIAggCCAIIAggCCAIIAggCCAIIAggCCAISAgMCbwIeAAKCAgICkQIEAgUCBgIHAggCCQIlAgsCDAINAggCCAIIAggCCAIIAggCCAIIAggCCAIIAggCCAIIAggCCAISAgMClHNxAH4AAAAAAAJzcQB+AAT///////////////7////+/////3VxAH4ABwAAAARjz5oJeHh3RQIeAAKCAgICjgIEAgUCBgIHAggCCQIcAgsCDAINAggCCAIIAggCCAIIAggCCAIIAggCCAIIAggCCAIIAggCCAISAgMClXNxAH4AAAAAAAJzcQB+AAT///////////////7////+/////3VxAH4ABwAAAAQESkGVeHh6AAAEAAIeAAKCAgICKQIEAgUCBgIHAggCCQIlAgsCDAINAggCCAIIAggCCAIIAggCCAIIAggCCAIIAggCCAIIAggCCAISAgMCQgIeAAKCAgICJwIEAgUCBgIHAggCCQIKAgsCDAINAggCCAIIAggCCAIIAggCCAIIAggCCAIIAggCCAIIAggCCAISAgMCXAIeAAKCAgICgwIEAgUCBgIHAggCCQIKAgsCDAINAggCCAIIAggCCAIIAggCCAIIAggCCAIIAggCCAIIAggCCAISAgMCIwIeAAKCAgICMwIEAgUCBgIHAggCCQIlAgsCDAINAggCCAIIAggCCAIIAggCCAIIAggCCAIIAggCCAIIAggCCAISAgMCWQIeAAKCAgICOwIEAgUCBgIHAggCCQIKAgsCDAINAggCCAIIAggCCAIIAggCCAIIAggCCAIIAggCCAIIAggCCAISAgMCVAIeAAKCAgICAwIEAgUCBgIHAggCCQIcAgsCDAINAggCCAIIAggCCAIIAggCCAIIAggCCAIIAggCCAIIAggCCAISAgMCXwIeAAKCAgICLQIEAgUCBgIHAggCCQIcAgsCDAINAggCCAIIAggCCAIIAggCCAIIAggCCAIIAggCCAIIAggCCAISAgMCWwIeAAKCAgICOwIEAgUCBgIHAggCCQIcAgsCDAINAggCCAIIAggCCAIIAggCCAIIAggCCAIIAggCCAIIAggCCAISAgMCfAIeAAKCAgICPQIEAgUCBgIHAggCCQIlAgsCDAINAggCCAIIAggCCAIIAggCCAIIAggCCAIIAggCCAIIAggCCAISAgMCUwIeAAKCAgICLwIEAgUCBgIHAggCCQIcAgsCDAINAggCCAIIAggCCAIIAggCCAIIAggCCAIIAggCCAIIAggCCAISAgMCXQIeAAKCAgICkQIEAgUCBgIHAggCCQIKAgsCDAINAggCCAIIAggCCAIIAggCCAIIAggCCAIIAggCCAIIAggCCAISAgMCIwIeAAKCAgICIgIEAgUCBgIHAggCCQIcAgsCDAINAggCCAIIAggCCAIIAggCCAIIAggCCAIIAggCCAIIAggCCAISAgMCYwIeAAKCAgICTAIEAgUCBgIHAggCCQIKAgsCDAINAggCCAIIAggCCAIIAggCCAIIAggCCAIIAggCCAIIAggCCAISAgMCZAIeAAKCAgICVQIEAgUCBgIHAggCCQIKAgsCDAINAggCCAIIAggCCAIIAggCCAIIAggCCAIIAggCCAIIAggCCAISAgMCaAIeAAKCAgICIgIEAgUCBgIHAggCCQIlAgsCDAINAggCCAIIAggCCAIIAggCCAIIAggCCAIIAggCCAJ6AAAEAAgCCAIIAhICAwJDAh4AAoICAgKHAgQCBQIGAgcCCAIJAgoCCwIMAg0CCAIIAggCCAIIAggCCAIIAggCCAIIAggCCAIIAggCCAIIAhICAwIjAh4AAoICAgIeAgQCBQIGAgcCCAIJAiUCCwIMAg0CCAIIAggCCAIIAggCCAIIAggCCAIIAggCCAIIAggCCAIIAhICAwJ4Ah4AAoICAgIbAgQCBQIGAgcCCAIJAgoCCwIMAg0CCAIIAggCCAIIAggCCAIIAggCCAIIAggCCAIIAggCCAIIAhICAwJwAh4AAoICAgI3AgQCBQIGAgcCCAIJAgoCCwIMAg0CCAIIAggCCAIIAggCCAIIAggCCAIIAggCCAIIAggCCAIIAhICAwJeAh4AAoICAgIzAgQCBQIGAgcCCAIJAhwCCwIMAg0CCAIIAggCCAIIAggCCAIIAggCCAIIAggCCAIIAggCCAIIAhICAwI0Ah4AAoICAgItAgQCBQIGAgcCCAIJAiUCCwIMAg0CCAIIAggCCAIIAggCCAIIAggCCAIIAggCCAIIAggCCAIIAhICAwIyAh4AAoICAgJXAgQCBQIGAgcCCAIJAiUCCwIMAg0CCAIIAggCCAIIAggCCAIIAggCCAIIAggCCAIIAggCCAIIAhICAwJpAh4AAoICAgIzAgQCBQIGAgcCCAIJAgoCCwIMAg0CCAIIAggCCAIIAggCCAIIAggCCAIIAggCCAIIAggCCAIIAhICAwJ2Ah4AAoICAgI7AgQCBQIGAgcCCAIJAiUCCwIMAg0CCAIIAggCCAIIAggCCAIIAggCCAIIAggCCAIIAggCCAIIAhICAwI8Ah4AAoICAgInAgQCBQIGAgcCCAIJAiUCCwIMAg0CCAIIAggCCAIIAggCCAIIAggCCAIIAggCCAIIAggCCAIIAhICAwIoAh4AAoICAgInAgQCBQIGAgcCCAIJAhwCCwIMAg0CCAIIAggCCAIIAggCCAIIAggCCAIIAggCCAIIAggCCAIIAhICAwJzAh4AAoICAgI9AgQCBQIGAgcCCAIJAhwCCwIMAg0CCAIIAggCCAIIAggCCAIIAggCCAIIAggCCAIIAggCCAIIAhICAwJlAh4AAoICAgIDAgQCBQIGAgcCCAIJAgoCCwIMAg0CCAIIAggCCAIIAggCCAIIAggCCAIIAggCCAIIAggCCAIIAhICAwIOAh4AAoICAgJQAgQCBQIGAgcCCAIJAiUCCwIMAg0CCAIIAggCCAIIAggCCAIIAggCCAIIAggCCAIIAggCCAIIAhICAwJgAh4AAoICAgJMAgQCBQIGAgcCCAIJAhwCCwIMAg0CCAIIAggCCAIIAggCCAIIAgh6AAAEAAIIAggCCAIIAggCCAIIAggCEgIDAn0CHgACggICAkgCBAIFAgYCBwIIAgkCCgILAgwCDQIIAggCCAIIAggCCAIIAggCCAIIAggCCAIIAggCCAIIAggCEgIDAoACHgACggICAooCBAIFAgYCBwIIAgkCJQILAgwCDQIIAggCCAIIAggCCAIIAggCCAIIAggCCAIIAggCCAIIAggCEgIDAoYCHgAClgAJODE4MzgxNTY4AgICSgIEAgUCBgIHAggCCQIKAgsCDAINAggCCAIIAggCCAIIAggCCAIIAggCCAIIAggCCAIIAggCCAIiAgMCSwIeAAKWAgICHgIEAgUCBgIHAggCCQIlAgsCDAINAggCCAIIAggCCAIIAggCCAIIAggCCAIIAggCCAIIAggCCAIiAgMCeAIeAAKWAgICRAIEAgUCBgIHAggCCQIKAgsCDAINAggCCAIIAggCCAIIAggCCAIIAggCCAIIAggCCAIIAggCCAIiAgMCgQIeAAKWAgICSAIEAgUCBgIHAggCCQIKAgsCDAINAggCCAIIAggCCAIIAggCCAIIAggCCAIIAggCCAIIAggCCAIiAgMCgAIeAAKWAgICLQIEAgUCBgIHAggCCQIcAgsCDAINAggCCAIIAggCCAIIAggCCAIIAggCCAIIAggCCAIIAggCCAIiAgMCWwIeAAKWAgICAwIEAgUCBgIHAggCCQIlAgsCDAINAggCCAIIAggCCAIIAggCCAIIAggCCAIIAggCCAIIAggCCAIiAgMCcQIeAAKWAgICNQIEAgUCBgIHAggCCQIlAgsCDAINAggCCAIIAggCCAIIAggCCAIIAggCCAIIAggCCAIIAggCCAIiAgMCUgIeAAKWAgICUAIEAgUCBgIHAggCCQIKAgsCDAINAggCCAIIAggCCAIIAggCCAIIAggCCAIIAggCCAIIAggCCAIiAgMCUQIeAAKWAgICJwIEAgUCBgIHAggCCQIcAgsCDAINAggCCAIIAggCCAIIAggCCAIIAggCCAIIAggCCAIIAggCCAIiAgMCcwIeAAKWAgICRgIEAgUCBgIHAggCCQIKAgsCDAINAggCCAIIAggCCAIIAggCCAIIAggCCAIIAggCCAIIAggCCAIiAgMCRwIeAAKWAgICOwIEAgUCBgIHAggCCQIcAgsCDAINAggCCAIIAggCCAIIAggCCAIIAggCCAIIAggCCAIIAggCCAIiAgMCfAIeAAKWAgICIgIEAgUCBgIHAggCCQIlAgsCDAINAggCCAIIAggCCAIIAggCCAIIAggCCAIIAggCCAIIAggCCAIiAgMCQwIeAAKWAgICPQIEAgUCBgIHAggCCQIlAgt6AAAEAAIMAg0CCAIIAggCCAIIAggCCAIIAggCCAIIAggCCAIIAggCCAIIAiICAwJTAh4AApYCAgJKAgQCBQIGAgcCCAIJAiUCCwIMAg0CCAIIAggCCAIIAggCCAIIAggCCAIIAggCCAIIAggCCAIIAiICAwJuAh4AApYCAgInAgQCBQIGAgcCCAIJAiUCCwIMAg0CCAIIAggCCAIIAggCCAIIAggCCAIIAggCCAIIAggCCAIIAiICAwIoAh4AApYCAgIgAgQCBQIGAgcCCAIJAgoCCwIMAg0CCAIIAggCCAIIAggCCAIIAggCCAIIAggCCAIIAggCCAIIAiICAwJtAh4AApYCAgIDAgQCBQIGAgcCCAIJAgoCCwIMAg0CCAIIAggCCAIIAggCCAIIAggCCAIIAggCCAIIAggCCAIIAiICAwIOAh4AApYCAgIbAgQCBQIGAgcCCAIJAgoCCwIMAg0CCAIIAggCCAIIAggCCAIIAggCCAIIAggCCAIIAggCCAIIAiICAwJwAh4AApYCAgJQAgQCBQIGAgcCCAIJAiUCCwIMAg0CCAIIAggCCAIIAggCCAIIAggCCAIIAggCCAIIAggCCAIIAiICAwJgAh4AApYCAgJGAgQCBQIGAgcCCAIJAiUCCwIMAg0CCAIIAggCCAIIAggCCAIIAggCCAIIAggCCAIIAggCCAIIAiICAwJnAh4AApYCAgIzAgQCBQIGAgcCCAIJAhwCCwIMAg0CCAIIAggCCAIIAggCCAIIAggCCAIIAggCCAIIAggCCAIIAiICAwI0Ah4AApYCAgIrAgQCBQIGAgcCCAIJAhwCCwIMAg0CCAIIAggCCAIIAggCCAIIAggCCAIIAggCCAIIAggCCAIIAiICAwIxAh4AApYCAgI7AgQCBQIGAgcCCAIJAiUCCwIMAg0CCAIIAggCCAIIAggCCAIIAggCCAIIAggCCAIIAggCCAIIAiICAwI8Ah4AApYCAgJXAgQCBQIGAgcCCAIJAgoCCwIMAg0CCAIIAggCCAIIAggCCAIIAggCCAIIAggCCAIIAggCCAIIAiICAwIjAh4AApYCAgIiAgQCBQIGAgcCCAIJAhwCCwIMAg0CCAIIAggCCAIIAggCCAIIAggCCAIIAggCCAIIAggCCAIIAiICAwJjAh4AApYCAgItAgQCBQIGAgcCCAIJAgoCCwIMAg0CCAIIAggCCAIIAggCCAIIAggCCAIIAggCCAIIAggCCAIIAiICAwIuAh4AApYCAgJVAgQCBQIGAgcCCAIJAgoCCwIMAg0CCAIIAggCCAIIAggCCAIIAggCCAIIAggCCAIIAggCCAIIAiICAwJoAh4AApYCAgIeAgQCBQJ6AAAEAAYCBwIIAgkCCgILAgwCDQIIAggCCAIIAggCCAIIAggCCAIIAggCCAIIAggCCAIIAggCIgIDAh8CHgAClgICAj0CBAIFAgYCBwIIAgkCHAILAgwCDQIIAggCCAIIAggCCAIIAggCCAIIAggCCAIIAggCCAIIAggCIgIDAmUCHgAClgICAikCBAIFAgYCBwIIAgkCHAILAgwCDQIIAggCCAIIAggCCAIIAggCCAIIAggCCAIIAggCCAIIAggCIgIDAioCHgAClgICAjUCBAIFAgYCBwIIAgkCHAILAgwCDQIIAggCCAIIAggCCAIIAggCCAIIAggCCAIIAggCCAIIAggCIgIDAmsCHgAClgICAjcCBAIFAgYCBwIIAgkCHAILAgwCDQIIAggCCAIIAggCCAIIAggCCAIIAggCCAIIAggCCAIIAggCIgIDAjgCHgAClgICAkgCBAIFAgYCBwIIAgkCHAILAgwCDQIIAggCCAIIAggCCAIIAggCCAIIAggCCAIIAggCCAIIAggCIgIDAkkCHgAClgICAkQCBAIFAgYCBwIIAgkCHAILAgwCDQIIAggCCAIIAggCCAIIAggCCAIIAggCCAIIAggCCAIIAggCIgIDAkUCHgAClgICAjcCBAIFAgYCBwIIAgkCJQILAgwCDQIIAggCCAIIAggCCAIIAggCCAIIAggCCAIIAggCCAIIAggCIgIDAkECHgAClgICAiACBAIFAgYCBwIIAgkCJQILAgwCDQIIAggCCAIIAggCCAIIAggCCAIIAggCCAIIAggCCAIIAggCIgIDAn4CHgAClgICAicCBAIFAgYCBwIIAgkCCgILAgwCDQIIAggCCAIIAggCCAIIAggCCAIIAggCCAIIAggCCAIIAggCIgIDAlwCHgAClgICAlUCBAIFAgYCBwIIAgkCHAILAgwCDQIIAggCCAIIAggCCAIIAggCCAIIAggCCAIIAggCCAIIAggCIgIDAlYCHgAClgICAlcCBAIFAgYCBwIIAgkCHAILAgwCDQIIAggCCAIIAggCCAIIAggCCAIIAggCCAIIAggCCAIIAggCIgIDAlgCHgAClgICAjkCBAIFAgYCBwIIAgkCJQILAgwCDQIIAggCCAIIAggCCAIIAggCCAIIAggCCAIIAggCCAIIAggCIgIDAnoCHgAClgICAk4CBAIFAgYCBwIIAgkCJQILAgwCDQIIAggCCAIIAggCCAIIAggCCAIIAggCCAIIAggCCAIIAggCIgIDAk8CHgAClgICAkwCBAIFAgYCBwIIAgkCHAILAgwCDQIIAggCCAIIAggCCAIIAggCCAIIAggCCAIIAggCCAIIAggCIgIDAn0CHgB6AAAEAAKWAgICRgIEAgUCBgIHAggCCQIcAgsCDAINAggCCAIIAggCCAIIAggCCAIIAggCCAIIAggCCAIIAggCCAIiAgMCdAIeAAKWAgICKwIEAgUCBgIHAggCCQIKAgsCDAINAggCCAIIAggCCAIIAggCCAIIAggCCAIIAggCCAIIAggCCAIiAgMCewIeAAKWAgICOwIEAgUCBgIHAggCCQIKAgsCDAINAggCCAIIAggCCAIIAggCCAIIAggCCAIIAggCCAIIAggCCAIiAgMCVAIeAAKWAgICTgIEAgUCBgIHAggCCQIcAgsCDAINAggCCAIIAggCCAIIAggCCAIIAggCCAIIAggCCAIIAggCCAIiAgMCeQIeAAKWAgICVwIEAgUCBgIHAggCCQIlAgsCDAINAggCCAIIAggCCAIIAggCCAIIAggCCAIIAggCCAIIAggCCAIiAgMCaQIeAAKWAgICTAIEAgUCBgIHAggCCQIlAgsCDAINAggCCAIIAggCCAIIAggCCAIIAggCCAIIAggCCAIIAggCCAIiAgMCTQIeAAKWAgICVQIEAgUCBgIHAggCCQIlAgsCDAINAggCCAIIAggCCAIIAggCCAIIAggCCAIIAggCCAIIAggCCAIiAgMCdwIeAAKWAgICMwIEAgUCBgIHAggCCQIKAgsCDAINAggCCAIIAggCCAIIAggCCAIIAggCCAIIAggCCAIIAggCCAIiAgMCdgIeAAKWAgICOQIEAgUCBgIHAggCCQIKAgsCDAINAggCCAIIAggCCAIIAggCCAIIAggCCAIIAggCCAIIAggCCAIiAgMCZgIeAAKWAgICSgIEAgUCBgIHAggCCQIcAgsCDAINAggCCAIIAggCCAIIAggCCAIIAggCCAIIAggCCAIIAggCCAIiAgMCcgIeAAKWAgICKQIEAgUCBgIHAggCCQIlAgsCDAINAggCCAIIAggCCAIIAggCCAIIAggCCAIIAggCCAIIAggCCAIiAgMCQgIeAAKWAgICGwIEAgUCBgIHAggCCQIlAgsCDAINAggCCAIIAggCCAIIAggCCAIIAggCCAIIAggCCAIIAggCCAIiAgMCfwIeAAKWAgICKQIEAgUCBgIHAggCCQIKAgsCDAINAggCCAIIAggCCAIIAggCCAIIAggCCAIIAggCCAIIAggCCAIiAgMCIwIeAAKWAgICHgIEAgUCBgIHAggCCQIcAgsCDAINAggCCAIIAggCCAIIAggCCAIIAggCCAIIAggCCAIIAggCCAIiAgMCYQIeAAKWAgICNQIEAgUCBgIHAggCCQIKAgsCDAINAggCCAIIAggCCAIIAggCCAIIAggCCAIIAggCCAIIAgh6AAAEAAIIAiICAwI2Ah4AApYCAgIDAgQCBQIGAgcCCAIJAhwCCwIMAg0CCAIIAggCCAIIAggCCAIIAggCCAIIAggCCAIIAggCCAIIAiICAwJfAh4AApYCAgI3AgQCBQIGAgcCCAIJAgoCCwIMAg0CCAIIAggCCAIIAggCCAIIAggCCAIIAggCCAIIAggCCAIIAiICAwJeAh4AApYCAgI5AgQCBQIGAgcCCAIJAhwCCwIMAg0CCAIIAggCCAIIAggCCAIIAggCCAIIAggCCAIIAggCCAIIAiICAwI6Ah4AApYCAgItAgQCBQIGAgcCCAIJAiUCCwIMAg0CCAIIAggCCAIIAggCCAIIAggCCAIIAggCCAIIAggCCAIIAiICAwIyAh4AApYCAgIzAgQCBQIGAgcCCAIJAiUCCwIMAg0CCAIIAggCCAIIAggCCAIIAggCCAIIAggCCAIIAggCCAIIAiICAwJZAh4AApYCAgIrAgQCBQIGAgcCCAIJAiUCCwIMAg0CCAIIAggCCAIIAggCCAIIAggCCAIIAggCCAIIAggCCAIIAiICAwIsAh4AApYCAgJQAgQCBQIGAgcCCAIJAhwCCwIMAg0CCAIIAggCCAIIAggCCAIIAggCCAIIAggCCAIIAggCCAIIAiICAwJsAh4AApYCAgJOAgQCBQIGAgcCCAIJAgoCCwIMAg0CCAIIAggCCAIIAggCCAIIAggCCAIIAggCCAIIAggCCAIIAiICAwJiAh4AApYCAgI9AgQCBQIGAgcCCAIJAgoCCwIMAg0CCAIIAggCCAIIAggCCAIIAggCCAIIAggCCAIIAggCCAIIAiICAwI+Ah4AApYCAgJIAgQCBQIGAgcCCAIJAiUCCwIMAg0CCAIIAggCCAIIAggCCAIIAggCCAIIAggCCAIIAggCCAIIAiICAwJvAh4AApYCAgJEAgQCBQIGAgcCCAIJAiUCCwIMAg0CCAIIAggCCAIIAggCCAIIAggCCAIIAggCCAIIAggCCAIIAiICAwJqAh4AApYCAgIiAgQCBQIGAgcCCAIJAgoCCwIMAg0CCAIIAggCCAIIAggCCAIIAggCCAIIAggCCAIIAggCCAIIAiICAwIjAh4AApYCAgIgAgQCBQIGAgcCCAIJAhwCCwIMAg0CCAIIAggCCAIIAggCCAIIAggCCAIIAggCCAIIAggCCAIIAiICAwIhAh4AApYCAgJMAgQCBQIGAgcCCAIJAgoCCwIMAg0CCAIIAggCCAIIAggCCAIIAggCCAIIAggCCAIIAggCCAIIAiICAwJkAh4AApYCAgIbAgQCBQIGAgcCCAIJAhwCCwIMAg0CCAIIAggCCAIIAggCCAIIAggCCAJ3ZwgCCAIIAggCCAIIAggCIgIDAh0CHgAClwAJNjM1NDE0NzUyAgICRAIEAgUCBgIHAggCCQIlAgsCmAACSUQCDQIIAggCCAIIAggCCAIIAggCCAIIAggCCAIIAggCCAIIAggCAwIDAplzcQB+AAAAAAACc3EAfgAE///////////////+/////v////91cQB+AAcAAAAEKgtGIXh4d0UCHgAClwICAj0CBAIFAgYCBwIIAgkCJQILApgCDQIIAggCCAIIAggCCAIIAggCCAIIAggCCAIIAggCCAIIAggCAwIDAppzcQB+AAAAAAACc3EAfgAE///////////////+/////v////91cQB+AAcAAAAENDlU6Hh4d0UCHgAClwICAhsCBAIFAgYCBwIIAgkCJQILApgCDQIIAggCCAIIAggCCAIIAggCCAIIAggCCAIIAggCCAIIAggCAwIDAptzcQB+AAAAAAACc3EAfgAE///////////////+/////v////91cQB+AAcAAAAEKeDlE3h4d0UCHgAClwICAi0CBAIFAgYCBwIIAgkCJQILApgCDQIIAggCCAIIAggCCAIIAggCCAIIAggCCAIIAggCCAIIAggCAwIDApxzcQB+AAAAAAACc3EAfgAE///////////////+/////v////91cQB+AAcAAAAEHbH6THh4d0UCHgAClwICAlcCBAIFAgYCBwIIAgkCJQILApgCDQIIAggCCAIIAggCCAIIAggCCAIIAggCCAIIAggCCAIIAggCAwIDAp1zcQB+AAAAAAACc3EAfgAE///////////////+/////v////91cQB+AAcAAAAEJDRt9Hh4d0UCHgAClwICAjkCBAIFAgYCBwIIAgkCJQILApgCDQIIAggCCAIIAggCCAIIAggCCAIIAggCCAIIAggCCAIIAggCAwIDAp5zcQB+AAAAAAACc3EAfgAE///////////////+/////v////91cQB+AAcAAAAEQ0RN4Hh4d0UCHgAClwICAj8CBAIFAgYCBwIIAgkCJQILApgCDQIIAggCCAIIAggCCAIIAggCCAIIAggCCAIIAggCCAIIAggCAwIDAp9zcQB+AAAAAAACc3EAfgAE///////////////+/////v////91cQB+AAcAAAAELvQU/3h4d0UCHgAClwICAi8CBAIFAgYCBwIIAgkCJQILApgCDQIIAggCCAIIAggCCAIIAggCCAIIAggCCAIIAggCCAIIAggCAwIDAqBzcQB+AAAAAAACc3EAfgAE///////////////+/////v////91cQB+AAcAAAAEKUaEtnh4d0UCHgAClwICAoMCBAIFAgYCBwIIAgkCJQILApgCDQIIAggCCAIIAggCCAIIAggCCAIIAggCCAIIAggCCAIIAggCAwIDAqFzcQB+AAAAAAACc3EAfgAE///////////////+/////v////91cQB+AAcAAAAEMPCBKHh4d0UCHgAClwICAgMCBAIFAgYCBwIIAgkCJQILApgCDQIIAggCCAIIAggCCAIIAggCCAIIAggCCAIIAggCCAIIAggCAwIDAqJzcQB+AAAAAAACc3EAfgAE///////////////+/////v////91cQB+AAcAAAAEOUUu/nh4d0UCHgAClwICAk4CBAIFAgYCBwIIAgkCJQILApgCDQIIAggCCAIIAggCCAIIAggCCAIIAggCCAIIAggCCAIIAggCAwIDAqNzcQB+AAAAAAACc3EAfgAE///////////////+/////v////91cQB+AAcAAAAEKiZPC3h4d0UCHgAClwICAlACBAIFAgYCBwIIAgkCJQILApgCDQIIAggCCAIIAggCCAIIAggCCAIIAggCCAIIAggCCAIIAggCAwIDAqRzcQB+AAAAAAACc3EAfgAE///////////////+/////v////91cQB+AAcAAAAELpGFK3h4d0UCHgAClwICAjMCBAIFAgYCBwIIAgkCJQILApgCDQIIAggCCAIIAggCCAIIAggCCAIIAggCCAIIAggCCAIIAggCAwIDAqVzcQB+AAAAAAACc3EAfgAE///////////////+/////v////91cQB+AAcAAAAEJngfcXh4d0UCHgAClwICAikCBAIFAgYCBwIIAgkCJQILApgCDQIIAggCCAIIAggCCAIIAggCCAIIAggCCAIIAggCCAIIAggCAwIDAqZzcQB+AAAAAAACc3EAfgAE///////////////+/////v////91cQB+AAcAAAAEHCN8kHh4d0UCHgAClwICAiQCBAIFAgYCBwIIAgkCJQILApgCDQIIAggCCAIIAggCCAIIAggCCAIIAggCCAIIAggCCAIIAggCAwIDAqdzcQB+AAAAAAACc3EAfgAE///////////////+/////v////91cQB+AAcAAAAEKsKx+Hh4d0UCHgAClwICAicCBAIFAgYCBwIIAgkCJQILApgCDQIIAggCCAIIAggCCAIIAggCCAIIAggCCAIIAggCCAIIAggCAwIDAqhzcQB+AAAAAAACc3EAfgAE///////////////+/////v////91cQB+AAcAAAAEIgqsMXh4d0UCHgAClwICAo4CBAIFAgYCBwIIAgkCJQILApgCDQIIAggCCAIIAggCCAIIAggCCAIIAggCCAIIAggCCAIIAggCAwIDAqlzcQB+AAAAAAACc3EAfgAE///////////////+/////v////91cQB+AAcAAAAEL/7GXHh4d0UCHgAClwICAiICBAIFAgYCBwIIAgkCJQILApgCDQIIAggCCAIIAggCCAIIAggCCAIIAggCCAIIAggCCAIIAggCAwIDAqpzcQB+AAAAAAACc3EAfgAE///////////////+/////v////91cQB+AAcAAAAEKSCPhXh4d08CHgACqwAJNTI1MjM1NDI0AgICPwIEAgUCBgIHAggCCQIcAgsCmAINAggCCAIIAggCCAIIAggCCAIIAggCCAIIAggCCAIIAggCCAACAwKsc3EAfgAAAAAAAnNxAH4ABP///////////////v////7/////dXEAfgAHAAAABAEya894eHdEAh4AAqsCAgIrAgQCBQIGAgcCCAIJAhwCCwKYAg0CCAIIAggCCAIIAggCCAIIAggCCAIIAggCCAIIAggCCAIIAAIDAq1zcQB+AAAAAAACc3EAfgAE///////////////+/////v////91cQB+AAcAAAAEBFuSEHh4d4gCHgACqwICAi8CBAIFAgYCBwIIAgkCJQILApgCDQIIAggCCAIIAggCCAIIAggCCAIIAggCCAIIAggCCAIIAggAAgMCoAIeAAKrAgICOQIEAgUCBgIHAggCCQIcAgsCmAINAggCCAIIAggCCAIIAggCCAIIAggCCAIIAggCCAIIAggCCAACAwKuc3EAfgAAAAAAAnNxAH4ABP///////////////v////4AAAABdXEAfgAHAAAABAYbWmp4eHdEAh4AAqsCAgKFAgQCBQIGAgcCCAIJAhwCCwKYAg0CCAIIAggCCAIIAggCCAIIAggCCAIIAggCCAIIAggCCAIIAAIDAq9zcQB+AAAAAAACc3EAfgAE///////////////+/////gAAAAF1cQB+AAcAAAAECNulFnh4d0wCHgACqwICAi0CBAIFAgYCBwIIAgkCsAAGMTkxMDE1AgsCmAINAggCCAIIAggCCAIIAggCCAIIAggCCAIIAggCCAIIAggCCAACAwKxc3EAfgAAAAAAAnNxAH4ABP///////////////v////7/////dXEAfgAHAAAAAxKC+Hh4d0QCHgACqwICAh4CBAIFAgYCBwIIAgkCsAILApgCDQIIAggCCAIIAggCCAIIAggCCAIIAggCCAIIAggCCAIIAggAAgMCsnNxAH4AAAAAAAJzcQB+AAT///////////////7////+/////3VxAH4ABwAAAAMSb0Z4eHdEAh4AAqsCAgI3AgQCBQIGAgcCCAIJAhwCCwKYAg0CCAIIAggCCAIIAggCCAIIAggCCAIIAggCCAIIAggCCAIIAAIDArNzcQB+AAAAAAACc3EAfgAE///////////////+/////gAAAAF1cQB+AAcAAAADuXJ8eHh3RAIeAAKrAgICGwIEAgUCBgIHAggCCQIcAgsCmAINAggCCAIIAggCCAIIAggCCAIIAggCCAIIAggCCAIIAggCCAACAwK0c3EAfgAAAAAAAnNxAH4ABP///////////////v////7/////dXEAfgAHAAAABAUEo0F4eHeIAh4AAqsCAgIkAgQCBQIGAgcCCAIJArACCwKYAg0CCAIIAggCCAIIAggCCAIIAggCCAIIAggCCAIIAggCCAIIAAIDAiMCHgACqwICAoUCBAIFAgYCBwIIAgkCJQILApgCDQIIAggCCAIIAggCCAIIAggCCAIIAggCCAIIAggCCAIIAggAAgMCtXNxAH4AAAAAAAJzcQB+AAT///////////////7////+/////3VxAH4ABwAAAARKJecFeHh3iAIeAAKrAgICJwIEAgUCBgIHAggCCQIlAgsCmAINAggCCAIIAggCCAIIAggCCAIIAggCCAIIAggCCAIIAggCCAACAwKoAh4AAqsCAgI7AgQCBQIGAgcCCAIJAiUCCwKYAg0CCAIIAggCCAIIAggCCAIIAggCCAIIAggCCAIIAggCCAIIAAIDArZzcQB+AAAAAAACc3EAfgAE///////////////+/////v////91cQB+AAcAAAAEM7yWknh4d0QCHgACqwICAjMCBAIFAgYCBwIIAgkCsAILApgCDQIIAggCCAIIAggCCAIIAggCCAIIAggCCAIIAggCCAIIAggAAgMCt3NxAH4AAAAAAAJzcQB+AAT///////////////7////+/////3VxAH4ABwAAAAMSit94eHdEAh4AAqsCAgIvAgQCBQIGAgcCCAIJAhwCCwKYAg0CCAIIAggCCAIIAggCCAIIAggCCAIIAggCCAIIAggCCAIIAAIDArhzcQB+AAAAAAACc3EAfgAE///////////////+/////v////91cQB+AAcAAAAECivT53h4d0QCHgACqwICAowCBAIFAgYCBwIIAgkCJQILApgCDQIIAggCCAIIAggCCAIIAggCCAIIAggCCAIIAggCCAIIAggAAgMCuXNxAH4AAAAAAAJzcQB+AAT///////////////7////+/////3VxAH4ABwAAAAQ+Iz64eHh3RAIeAAKrAgICVwIEAgUCBgIHAggCCQIcAgsCmAINAggCCAIIAggCCAIIAggCCAIIAggCCAIIAggCCAIIAggCCAACAwK6c3EAfgAAAAAAAnNxAH4ABP///////////////v////7/////dXEAfgAHAAAABBa3qKJ4eHdEAh4AAqsCAgJEAgQCBQIGAgcCCAIJAhwCCwKYAg0CCAIIAggCCAIIAggCCAIIAggCCAIIAggCCAIIAggCCAIIAAIDArtzcQB+AAAAAAACc3EAfgAE///////////////+/////v////91cQB+AAcAAAAEAW1K0nh4d0QCHgACqwICAisCBAIFAgYCBwIIAgkCJQILApgCDQIIAggCCAIIAggCCAIIAggCCAIIAggCCAIIAggCCAIIAggAAgMCvHNxAH4AAAAAAAJzcQB+AAT///////////////7////+/////3VxAH4ABwAAAAQbsx5ceHh3iAIeAAKrAgICIgIEAgUCBgIHAggCCQKwAgsCmAINAggCCAIIAggCCAIIAggCCAIIAggCCAIIAggCCAIIAggCCAACAwIjAh4AAqsCAgIDAgQCBQIGAgcCCAIJAhwCCwKYAg0CCAIIAggCCAIIAggCCAIIAggCCAIIAggCCAIIAggCCAIIAAIDAr1zcQB+AAAAAAACc3EAfgAE///////////////+/////gAAAAF1cQB+AAcAAAAEAloS0nh4d4gCHgACqwICAj8CBAIFAgYCBwIIAgkCJQILApgCDQIIAggCCAIIAggCCAIIAggCCAIIAggCCAIIAggCCAIIAggAAgMCnwIeAAKrAgICNwIEAgUCBgIHAggCCQIlAgsCmAINAggCCAIIAggCCAIIAggCCAIIAggCCAIIAggCCAIIAggCCAACAwK+c3EAfgAAAAAAAnNxAH4ABP///////////////v////7/////dXEAfgAHAAAABDSYRyN4eHdEAh4AAqsCAgI9AgQCBQIGAgcCCAIJArACCwKYAg0CCAIIAggCCAIIAggCCAIIAggCCAIIAggCCAIIAggCCAIIAAIDAr9zcQB+AAAAAAACc3EAfgAE///////////////+/////v////91cQB+AAcAAAADEp6veHh3iAIeAAKrAgICKQIEAgUCBgIHAggCCQKwAgsCmAINAggCCAIIAggCCAIIAggCCAIIAggCCAIIAggCCAIIAggCCAACAwIjAh4AAqsCAgI1AgQCBQIGAgcCCAIJAiUCCwKYAg0CCAIIAggCCAIIAggCCAIIAggCCAIIAggCCAIIAggCCAIIAAIDAsBzcQB+AAAAAAACc3EAfgAE///////////////+/////v////91cQB+AAcAAAAELv3gknh4d0QCHgACqwICAlUCBAIFAgYCBwIIAgkCsAILApgCDQIIAggCCAIIAggCCAIIAggCCAIIAggCCAIIAggCCAIIAggAAgMCwXNxAH4AAAAAAAJzcQB+AAT///////////////7////+/////3VxAH4ABwAAAAMSexV4eHeIAh4AAqsCAgJEAgQCBQIGAgcCCAIJAiUCCwKYAg0CCAIIAggCCAIIAggCCAIIAggCCAIIAggCCAIIAggCCAIIAAIDApkCHgACqwICAj0CBAIFAgYCBwIIAgkCHAILApgCDQIIAggCCAIIAggCCAIIAggCCAIIAggCCAIIAggCCAIIAggAAgMCwnNxAH4AAAAAAAJzcQB+AAT///////////////7////+AAAAAXVxAH4ABwAAAAP/iV54eHeIAh4AAqsCAgJXAgQCBQIGAgcCCAIJAiUCCwKYAg0CCAIIAggCCAIIAggCCAIIAggCCAIIAggCCAIIAggCCAIIAAIDAp0CHgACqwICAk4CBAIFAgYCBwIIAgkCsAILApgCDQIIAggCCAIIAggCCAIIAggCCAIIAggCCAIIAggCCAIIAggAAgMCw3NxAH4AAAAAAAJzcQB+AAT///////////////7////+/////3VxAH4ABwAAAAMSksp4eHdEAh4AAqsCAgJMAgQCBQIGAgcCCAIJAiUCCwKYAg0CCAIIAggCCAIIAggCCAIIAggCCAIIAggCCAIIAggCCAIIAAIDAsRzcQB+AAAAAAACc3EAfgAE///////////////+/////v////91cQB+AAcAAAAEI8Z4/Xh4d0QCHgACqwICAkoCBAIFAgYCBwIIAgkCsAILApgCDQIIAggCCAIIAggCCAIIAggCCAIIAggCCAIIAggCCAIIAggAAgMCxXNxAH4AAAAAAAJzcQB+AAT///////////////7////+/////3VxAH4ABwAAAAMSfwZ4eHdEAh4AAqsCAgJQAgQCBQIGAgcCCAIJAhwCCwKYAg0CCAIIAggCCAIIAggCCAIIAggCCAIIAggCCAIIAggCCAIIAAIDAsZzcQB+AAAAAAACc3EAfgAE///////////////+/////v////91cQB+AAcAAAADTrgKeHh3zAIeAAKrAgICkQIEAgUCBgIHAggCCQKwAgsCmAINAggCCAIIAggCCAIIAggCCAIIAggCCAIIAggCCAIIAggCCAACAwIjAh4AAqsCAgKDAgQCBQIGAgcCCAIJAiUCCwKYAg0CCAIIAggCCAIIAggCCAIIAggCCAIIAggCCAIIAggCCAIIAAIDAqECHgACqwICAkgCBAIFAgYCBwIIAgkCsAILApgCDQIIAggCCAIIAggCCAIIAggCCAIIAggCCAIIAggCCAIIAggAAgMCx3NxAH4AAAAAAAJzcQB+AAT///////////////7////+/////3VxAH4ABwAAAAMSY394eHdEAh4AAqsCAgI7AgQCBQIGAgcCCAIJAhwCCwKYAg0CCAIIAggCCAIIAggCCAIIAggCCAIIAggCCAIIAggCCAIIAAIDAshzcQB+AAAAAAACc3EAfgAE///////////////+/////v////91cQB+AAcAAAADMvcReHh6AAABEAIeAAKrAgICjgIEAgUCBgIHAggCCQIlAgsCmAINAggCCAIIAggCCAIIAggCCAIIAggCCAIIAggCCAIIAggCCAACAwKpAh4AAqsCAgKKAgQCBQIGAgcCCAIJAiUCCwKYAg0CCAIIAggCCAIIAggCCAIIAggCCAIIAggCCAIIAggCCAIIAAIDArUCHgACqwICAocCBAIFAgYCBwIIAgkCsAILApgCDQIIAggCCAIIAggCCAIIAggCCAIIAggCCAIIAggCCAIIAggAAgMCIwIeAAKrAgICOQIEAgUCBgIHAggCCQKwAgsCmAINAggCCAIIAggCCAIIAggCCAIIAggCCAIIAggCCAIIAggCCAACAwLJc3EAfgAAAAAAAnNxAH4ABP///////////////v////7/////dXEAfgAHAAAAAxKmonh4d0QCHgACqwICAkYCBAIFAgYCBwIIAgkCsAILApgCDQIIAggCCAIIAggCCAIIAggCCAIIAggCCAIIAggCCAIIAggAAgMCynNxAH4AAAAAAAJzcQB+AAT///////////////7////+/////3VxAH4ABwAAAAMSZ2t4eHdEAh4AAqsCAgJMAgQCBQIGAgcCCAIJAhwCCwKYAg0CCAIIAggCCAIIAggCCAIIAggCCAIIAggCCAIIAggCCAIIAAIDAstzcQB+AAAAAAACc3EAfgAE///////////////+/////v////91cQB+AAcAAAAEAlAe6Xh4d0QCHgACqwICAiICBAIFAgYCBwIIAgkCHAILApgCDQIIAggCCAIIAggCCAIIAggCCAIIAggCCAIIAggCCAIIAggAAgMCzHNxAH4AAAAAAAJzcQB+AAT///////////////7////+/////3VxAH4ABwAAAAQQposkeHh3RAIeAAKrAgICHgIEAgUCBgIHAggCCQIlAgsCmAINAggCCAIIAggCCAIIAggCCAIIAggCCAIIAggCCAIIAggCCAACAwLNc3EAfgAAAAAAAnNxAH4ABP///////////////v////7/////dXEAfgAHAAAABDHvtRl4eHdEAh4AAqsCAgInAgQCBQIGAgcCCAIJAhwCCwKYAg0CCAIIAggCCAIIAggCCAIIAggCCAIIAggCCAIIAggCCAIIAAIDAs5zcQB+AAAAAAACc3EAfgAE///////////////+/////v////91cQB+AAcAAAAEDgscSnh4d4gCHgACqwICAlACBAIFAgYCBwIIAgkCJQILApgCDQIIAggCCAIIAggCCAIIAggCCAIIAggCCAIIAggCCAIIAggAAgMCpAIeAAKrAgICgwIEAgUCBgIHAggCCQIcAgsCmAINAggCCAIIAggCCAIIAggCCAIIAggCCAIIAggCCAIIAggCCAACAwLPc3EAfgAAAAAAAnNxAH4ABP///////////////v////4AAAABdXEAfgAHAAAABAGjcLt4eHdEAh4AAqsCAgIbAgQCBQIGAgcCCAIJArACCwKYAg0CCAIIAggCCAIIAggCCAIIAggCCAIIAggCCAIIAggCCAIIAAIDAtBzcQB+AAAAAAACc3EAfgAE///////////////+/////v////91cQB+AAcAAAADEo7UeHh3RAIeAAKrAgICIAIEAgUCBgIHAggCCQIlAgsCmAINAggCCAIIAggCCAIIAggCCAIIAggCCAIIAggCCAIIAggCCAACAwLRc3EAfgAAAAAAAnNxAH4ABP///////////////v////7/////dXEAfgAHAAAABB6uCU94eHdEAh4AAqsCAgI7AgQCBQIGAgcCCAIJArACCwKYAg0CCAIIAggCCAIIAggCCAIIAggCCAIIAggCCAIIAggCCAIIAAIDAtJzcQB+AAAAAAACc3EAfgAE///////////////+/////v////91cQB+AAcAAAADEnM1eHh3iAIeAAKrAgICLwIEAgUCBgIHAggCCQKwAgsCmAINAggCCAIIAggCCAIIAggCCAIIAggCCAIIAggCCAIIAggCCAACAwIjAh4AAqsCAgIzAgQCBQIGAgcCCAIJAhwCCwKYAg0CCAIIAggCCAIIAggCCAIIAggCCAIIAggCCAIIAggCCAIIAAIDAtNzcQB+AAAAAAACc3EAfgAE///////////////+/////v////91cQB+AAcAAAAECL1IIXh4d4gCHgACqwICAi0CBAIFAgYCBwIIAgkCJQILApgCDQIIAggCCAIIAggCCAIIAggCCAIIAggCCAIIAggCCAIIAggAAgMCnAIeAAKrAgICjgIEAgUCBgIHAggCCQIcAgsCmAINAggCCAIIAggCCAIIAggCCAIIAggCCAIIAggCCAIIAggCCAACAwLUc3EAfgAAAAAAAnNxAH4ABP///////////////v////4AAAABdXEAfgAHAAAAAzaltnh4d0QCHgACqwICAgMCBAIFAgYCBwIIAgkCsAILApgCDQIIAggCCAIIAggCCAIIAggCCAIIAggCCAIIAggCCAIIAggAAgMC1XNxAH4AAAAAAAJzcQB+AAT///////////////7////+/////3VxAH4ABwAAAAMSoqh4eHdEAh4AAqsCAgInAgQCBQIGAgcCCAIJArACCwKYAg0CCAIIAggCCAIIAggCCAIIAggCCAIIAggCCAIIAggCCAIIAAIDAtZzcQB+AAAAAAACc3EAfgAE///////////////+/////v////91cQB+AAcAAAADEobreHh3RAIeAAKrAgICIAIEAgUCBgIHAggCCQIcAgsCmAINAggCCAIIAggCCAIIAggCCAIIAggCCAIIAggCCAIIAggCCAACAwLXc3EAfgAAAAAAAnNxAH4ABP///////////////v////7/////dXEAfgAHAAAABAL7S4t4eHeIAh4AAqsCAgIkAgQCBQIGAgcCCAIJAiUCCwKYAg0CCAIIAggCCAIIAggCCAIIAggCCAIIAggCCAIIAggCCAIIAAIDAqcCHgACqwICAikCBAIFAgYCBwIIAgkCHAILApgCDQIIAggCCAIIAggCCAIIAggCCAIIAggCCAIIAggCCAIIAggAAgMC2HNxAH4AAAAAAAJzcQB+AAT///////////////7////+/////3VxAH4ABwAAAAQewHRseHh6AAABEAIeAAKrAgIChQIEAgUCBgIHAggCCQKwAgsCmAINAggCCAIIAggCCAIIAggCCAIIAggCCAIIAggCCAIIAggCCAACAwIjAh4AAqsCAgKKAgQCBQIGAgcCCAIJAhwCCwKYAg0CCAIIAggCCAIIAggCCAIIAggCCAIIAggCCAIIAggCCAIIAAIDAq8CHgACqwICAj8CBAIFAgYCBwIIAgkCsAILApgCDQIIAggCCAIIAggCCAIIAggCCAIIAggCCAIIAggCCAIIAggAAgMCIwIeAAKrAgICKwIEAgUCBgIHAggCCQKwAgsCmAINAggCCAIIAggCCAIIAggCCAIIAggCCAIIAggCCAIIAggCCAACAwLZc3EAfgAAAAAAAnNxAH4ABP///////////////v////7/////dXEAfgAHAAAAAxJXv3h4d0QCHgACqwICAlUCBAIFAgYCBwIIAgkCHAILApgCDQIIAggCCAIIAggCCAIIAggCCAIIAggCCAIIAggCCAIIAggAAgMC2nNxAH4AAAAAAAJzcQB+AAT///////////////7////+/////3VxAH4ABwAAAAQlkNH7eHh3zAIeAAKrAgICPQIEAgUCBgIHAggCCQIlAgsCmAINAggCCAIIAggCCAIIAggCCAIIAggCCAIIAggCCAIIAggCCAACAwKaAh4AAqsCAgKMAgQCBQIGAgcCCAIJArACCwKYAg0CCAIIAggCCAIIAggCCAIIAggCCAIIAggCCAIIAggCCAIIAAIDAiMCHgACqwICAi0CBAIFAgYCBwIIAgkCHAILApgCDQIIAggCCAIIAggCCAIIAggCCAIIAggCCAIIAggCCAIIAggAAgMC23NxAH4AAAAAAAJzcQB+AAT///////////////7////+/////3VxAH4ABwAAAAQUOveDeHh3RAIeAAKrAgICkQIEAgUCBgIHAggCCQIcAgsCmAINAggCCAIIAggCCAIIAggCCAIIAggCCAIIAggCCAIIAggCCAACAwLcc3EAfgAAAAAAAnNxAH4ABP///////////////v////4AAAABdXEAfgAHAAAABALUOOx4eHeIAh4AAqsCAgIzAgQCBQIGAgcCCAIJAiUCCwKYAg0CCAIIAggCCAIIAggCCAIIAggCCAIIAggCCAIIAggCCAIIAAIDAqUCHgACqwICAh4CBAIFAgYCBwIIAgkCHAILApgCDQIIAggCCAIIAggCCAIIAggCCAIIAggCCAIIAggCCAIIAggAAgMC3XNxAH4AAAAAAAJzcQB+AAT///////////////7////+/////3VxAH4ABwAAAAOesqp4eHeIAh4AAqsCAgIiAgQCBQIGAgcCCAIJAiUCCwKYAg0CCAIIAggCCAIIAggCCAIIAggCCAIIAggCCAIIAggCCAIIAAIDAqoCHgACqwICAkgCBAIFAgYCBwIIAgkCHAILApgCDQIIAggCCAIIAggCCAIIAggCCAIIAggCCAIIAggCCAIIAggAAgMC3nNxAH4AAAAAAAJzcQB+AAT///////////////7////+/////3VxAH4ABwAAAAQBzUp3eHh3iAIeAAKrAgICKQIEAgUCBgIHAggCCQIlAgsCmAINAggCCAIIAggCCAIIAggCCAIIAggCCAIIAggCCAIIAggCCAACAwKmAh4AAqsCAgI3AgQCBQIGAgcCCAIJArACCwKYAg0CCAIIAggCCAIIAggCCAIIAggCCAIIAggCCAIIAggCCAIIAAIDAt9zcQB+AAAAAAACc3EAfgAE///////////////+/////v////91cQB+AAcAAAADEncleHh3RAIeAAKrAgICNQIEAgUCBgIHAggCCQKwAgsCmAINAggCCAIIAggCCAIIAggCCAIIAggCCAIIAggCCAIIAggCCAACAwLgc3EAfgAAAAAAAnNxAH4ABP///////////////v////7/////dXEAfgAHAAAAAxJrWHh4d0QCHgACqwICAjUCBAIFAgYCBwIIAgkCHAILApgCDQIIAggCCAIIAggCCAIIAggCCAIIAggCCAIIAggCCAIIAggAAgMC4XNxAH4AAAAAAAJzcQB+AAT///////////////7////+/////3VxAH4ABwAAAAQBBpRgeHh3iAIeAAKrAgICgwIEAgUCBgIHAggCCQKwAgsCmAINAggCCAIIAggCCAIIAggCCAIIAggCCAIIAggCCAIIAggCCAACAwIjAh4AAqsCAgKRAgQCBQIGAgcCCAIJAiUCCwKYAg0CCAIIAggCCAIIAggCCAIIAggCCAIIAggCCAIIAggCCAIIAAIDAuJzcQB+AAAAAAACc3EAfgAE///////////////+/////v////91cQB+AAcAAAAENab75Xh4d0QCHgACqwICAkYCBAIFAgYCBwIIAgkCHAILApgCDQIIAggCCAIIAggCCAIIAggCCAIIAggCCAIIAggCCAIIAggAAgMC43NxAH4AAAAAAAJzcQB+AAT///////////////7////+/////3VxAH4ABwAAAAQBZMryeHh3RAIeAAKrAgICjAIEAgUCBgIHAggCCQIcAgsCmAINAggCCAIIAggCCAIIAggCCAIIAggCCAIIAggCCAIIAggCCAACAwLkc3EAfgAAAAAAAnNxAH4ABP///////////////v////4AAAABdXEAfgAHAAAABAV5RUJ4eHdEAh4AAqsCAgJMAgQCBQIGAgcCCAIJArACCwKYAg0CCAIIAggCCAIIAggCCAIIAggCCAIIAggCCAIIAggCCAIIAAIDAuVzcQB+AAAAAAACc3EAfgAE///////////////+/////v////91cQB+AAcAAAADEl+UeHh3iAIeAAKrAgICVwIEAgUCBgIHAggCCQKwAgsCmAINAggCCAIIAggCCAIIAggCCAIIAggCCAIIAggCCAIIAggCCAACAwIjAh4AAqsCAgJVAgQCBQIGAgcCCAIJAiUCCwKYAg0CCAIIAggCCAIIAggCCAIIAggCCAIIAggCCAIIAggCCAIIAAIDAuZzcQB+AAAAAAACc3EAfgAE///////////////+/////v////91cQB+AAcAAAAEC9ESdHh4d0QCHgACqwICAkYCBAIFAgYCBwIIAgkCJQILApgCDQIIAggCCAIIAggCCAIIAggCCAIIAggCCAIIAggCCAIIAggAAgMC53NxAH4AAAAAAAJzcQB+AAT///////////////7////+/////3VxAH4ABwAAAAQrEAtReHh3iAIeAAKrAgICTgIEAgUCBgIHAggCCQIlAgsCmAINAggCCAIIAggCCAIIAggCCAIIAggCCAIIAggCCAIIAggCCAACAwKjAh4AAqsCAgJKAgQCBQIGAgcCCAIJAiUCCwKYAg0CCAIIAggCCAIIAggCCAIIAggCCAIIAggCCAIIAggCCAIIAAIDAuhzcQB+AAAAAAACc3EAfgAE///////////////+/////v////91cQB+AAcAAAAEFay1n3h4d0QCHgACqwICAkQCBAIFAgYCBwIIAgkCsAILApgCDQIIAggCCAIIAggCCAIIAggCCAIIAggCCAIIAggCCAIIAggAAgMC6XNxAH4AAAAAAAJzcQB+AAT///////////////7////+/////3VxAH4ABwAAAAMSlsB4eHdEAh4AAqsCAgKHAgQCBQIGAgcCCAIJAhwCCwKYAg0CCAIIAggCCAIIAggCCAIIAggCCAIIAggCCAIIAggCCAIIAAIDAupzcQB+AAAAAAACc3EAfgAE///////////////+/////gAAAAF1cQB+AAcAAAAEA+4zBnh4d0QCHgACqwICAkgCBAIFAgYCBwIIAgkCJQILApgCDQIIAggCCAIIAggCCAIIAggCCAIIAggCCAIIAggCCAIIAggAAgMC63NxAH4AAAAAAAJzcQB+AAT///////////////7////+/////3VxAH4ABwAAAAQmLzLCeHh3iAIeAAKrAgICOQIEAgUCBgIHAggCCQIlAgsCmAINAggCCAIIAggCCAIIAggCCAIIAggCCAIIAggCCAIIAggCCAACAwKeAh4AAqsCAgJOAgQCBQIGAgcCCAIJAhwCCwKYAg0CCAIIAggCCAIIAggCCAIIAggCCAIIAggCCAIIAggCCAIIAAIDAuxzcQB+AAAAAAACc3EAfgAE///////////////+/////v////91cQB+AAcAAAAEAtdnVHh4d4gCHgACqwICAooCBAIFAgYCBwIIAgkCsAILApgCDQIIAggCCAIIAggCCAIIAggCCAIIAggCCAIIAggCCAIIAggAAgMCIwIeAAKrAgICUAIEAgUCBgIHAggCCQKwAgsCmAINAggCCAIIAggCCAIIAggCCAIIAggCCAIIAggCCAIIAggCCAACAwLtc3EAfgAAAAAAAnNxAH4ABP///////////////v////7/////dXEAfgAHAAAAAxKat3h4d4gCHgACqwICAgMCBAIFAgYCBwIIAgkCJQILApgCDQIIAggCCAIIAggCCAIIAggCCAIIAggCCAIIAggCCAIIAggAAgMCogIeAAKrAgICJAIEAgUCBgIHAggCCQIcAgsCmAINAggCCAIIAggCCAIIAggCCAIIAggCCAIIAggCCAIIAggCCAACAwLuc3EAfgAAAAAAAnNxAH4ABP///////////////v////7/////dXEAfgAHAAAABATh3pl4eHdEAh4AAqsCAgJKAgQCBQIGAgcCCAIJAhwCCwKYAg0CCAIIAggCCAIIAggCCAIIAggCCAIIAggCCAIIAggCCAIIAAIDAu9zcQB+AAAAAAACc3EAfgAE///////////////+/////v////91cQB+AAcAAAAEHRCpdHh4d4gCHgACqwICAo4CBAIFAgYCBwIIAgkCsAILApgCDQIIAggCCAIIAggCCAIIAggCCAIIAggCCAIIAggCCAIIAggAAgMCIwIeAAKrAgIChwIEAgUCBgIHAggCCQIlAgsCmAINAggCCAIIAggCCAIIAggCCAIIAggCCAIIAggCCAIIAggCCAACAwLwc3EAfgAAAAAAAnNxAH4ABP///////////////v////7/////dXEAfgAHAAAABDvz0SR4eHeIAh4AAqsCAgIbAgQCBQIGAgcCCAIJAiUCCwKYAg0CCAIIAggCCAIIAggCCAIIAggCCAIIAggCCAIIAggCCAIIAAIDApsCHgACqwICAiACBAIFAgYCBwIIAgkCsAILApgCDQIIAggCCAIIAggCCAIIAggCCAIIAggCCAIIAggCCAIIAggAAgMC8XNxAH4AAAAAAAJzcQB+AAT///////////////7////+/////3VxAH4ABwAAAAMSW6l4eHoAAAQAAh4AAvIACTUyNTIzNzc0NAICAicCBAIFAgYCBwIIAgkCHAILApgCDQIIAggCCAIIAggCCAIIAggCCAIIAggCCAIIAggCCAIIAggCFQIDAs4CHgAC8gICAh4CBAIFAgYCBwIIAgkCsAILApgCDQIIAggCCAIIAggCCAIIAggCCAIIAggCCAIIAggCCAIIAggCFQIDArICHgAC8gICAjsCBAIFAgYCBwIIAgkCJQILApgCDQIIAggCCAIIAggCCAIIAggCCAIIAggCCAIIAggCCAIIAggCFQIDArYCHgAC8gICAiICBAIFAgYCBwIIAgkCsAILApgCDQIIAggCCAIIAggCCAIIAggCCAIIAggCCAIIAggCCAIIAggCFQIDAiMCHgAC8gICAj0CBAIFAgYCBwIIAgkCsAILApgCDQIIAggCCAIIAggCCAIIAggCCAIIAggCCAIIAggCCAIIAggCFQIDAr8CHgAC8gICAjsCBAIFAgYCBwIIAgkCHAILApgCDQIIAggCCAIIAggCCAIIAggCCAIIAggCCAIIAggCCAIIAggCFQIDAsgCHgAC8gICAjkCBAIFAgYCBwIIAgkCHAILApgCDQIIAggCCAIIAggCCAIIAggCCAIIAggCCAIIAggCCAIIAggCFQIDAq4CHgAC8gICAowCBAIFAgYCBwIIAgkCJQILApgCDQIIAggCCAIIAggCCAIIAggCCAIIAggCCAIIAggCCAIIAggCFQIDArkCHgAC8gICAj8CBAIFAgYCBwIIAgkCHAILApgCDQIIAggCCAIIAggCCAIIAggCCAIIAggCCAIIAggCCAIIAggCFQIDAqwCHgAC8gICAi8CBAIFAgYCBwIIAgkCJQILApgCDQIIAggCCAIIAggCCAIIAggCCAIIAggCCAIIAggCCAIIAggCFQIDAqACHgAC8gICAoUCBAIFAgYCBwIIAgkCHAILApgCDQIIAggCCAIIAggCCAIIAggCCAIIAggCCAIIAggCCAIIAggCFQIDAq8CHgAC8gICAisCBAIFAgYCBwIIAgkCHAILApgCDQIIAggCCAIIAggCCAIIAggCCAIIAggCCAIIAggCCAIIAggCFQIDAq0CHgAC8gICAgMCBAIFAgYCBwIIAgkCJQILApgCDQIIAggCCAIIAggCCAIIAggCCAIIAggCCAIIAggCCAIIAggCFQIDAqICHgAC8gICAi0CBAIFAgYCBwIIAgkCsAILApgCDQIIAggCCAIIAggCCAIIAggCCAIIAggCCAIIAggCCAIIAggCFQIDArECHgAC8gICAkoCBAIFAgYCBwIIAgkCsAILApgCDQIIAggCCAIIAggCCAIIAggCCHoAAAQAAggCCAIIAggCCAIIAggCCAIVAgMCxQIeAALyAgICJAIEAgUCBgIHAggCCQKwAgsCmAINAggCCAIIAggCCAIIAggCCAIIAggCCAIIAggCCAIIAggCCAIVAgMCIwIeAALyAgICJwIEAgUCBgIHAggCCQIlAgsCmAINAggCCAIIAggCCAIIAggCCAIIAggCCAIIAggCCAIIAggCCAIVAgMCqAIeAALyAgICgwIEAgUCBgIHAggCCQIcAgsCmAINAggCCAIIAggCCAIIAggCCAIIAggCCAIIAggCCAIIAggCCAIVAgMCzwIeAALyAgICNQIEAgUCBgIHAggCCQIcAgsCmAINAggCCAIIAggCCAIIAggCCAIIAggCCAIIAggCCAIIAggCCAIVAgMC4QIeAALyAgICNwIEAgUCBgIHAggCCQIcAgsCmAINAggCCAIIAggCCAIIAggCCAIIAggCCAIIAggCCAIIAggCCAIVAgMCswIeAALyAgICjAIEAgUCBgIHAggCCQIcAgsCmAINAggCCAIIAggCCAIIAggCCAIIAggCCAIIAggCCAIIAggCCAIVAgMC5AIeAALyAgICTAIEAgUCBgIHAggCCQIcAgsCmAINAggCCAIIAggCCAIIAggCCAIIAggCCAIIAggCCAIIAggCCAIVAgMCywIeAALyAgICRgIEAgUCBgIHAggCCQKwAgsCmAINAggCCAIIAggCCAIIAggCCAIIAggCCAIIAggCCAIIAggCCAIVAgMCygIeAALyAgICigIEAgUCBgIHAggCCQKwAgsCmAINAggCCAIIAggCCAIIAggCCAIIAggCCAIIAggCCAIIAggCCAIVAgMCIwIeAALyAgIChwIEAgUCBgIHAggCCQKwAgsCmAINAggCCAIIAggCCAIIAggCCAIIAggCCAIIAggCCAIIAggCCAIVAgMCIwIeAALyAgICUAIEAgUCBgIHAggCCQIlAgsCmAINAggCCAIIAggCCAIIAggCCAIIAggCCAIIAggCCAIIAggCCAIVAgMCpAIeAALyAgICOQIEAgUCBgIHAggCCQIlAgsCmAINAggCCAIIAggCCAIIAggCCAIIAggCCAIIAggCCAIIAggCCAIVAgMCngIeAALyAgICUAIEAgUCBgIHAggCCQIcAgsCmAINAggCCAIIAggCCAIIAggCCAIIAggCCAIIAggCCAIIAggCCAIVAgMCxgIeAALyAgICNwIEAgUCBgIHAggCCQKwAgsCmAINAggCCAIIAggCCAIIAggCCAIIAggCCAIIAggCCAIIAggCCAIVAgMC3wIeAALyAgICRAIEAgUCBgIHAggCCQIcAgsCmAINAggCCAIIAnoAAAQACAIIAggCCAIIAggCCAIIAggCCAIIAggCCAIIAhUCAwK7Ah4AAvICAgIpAgQCBQIGAgcCCAIJAiUCCwKYAg0CCAIIAggCCAIIAggCCAIIAggCCAIIAggCCAIIAggCCAIIAhUCAwKmAh4AAvICAgIgAgQCBQIGAgcCCAIJAiUCCwKYAg0CCAIIAggCCAIIAggCCAIIAggCCAIIAggCCAIIAggCCAIIAhUCAwLRAh4AAvICAgIbAgQCBQIGAgcCCAIJArACCwKYAg0CCAIIAggCCAIIAggCCAIIAggCCAIIAggCCAIIAggCCAIIAhUCAwLQAh4AAvICAgJVAgQCBQIGAgcCCAIJArACCwKYAg0CCAIIAggCCAIIAggCCAIIAggCCAIIAggCCAIIAggCCAIIAhUCAwLBAh4AAvICAgKOAgQCBQIGAgcCCAIJAiUCCwKYAg0CCAIIAggCCAIIAggCCAIIAggCCAIIAggCCAIIAggCCAIIAhUCAwKpAh4AAvICAgJMAgQCBQIGAgcCCAIJArACCwKYAg0CCAIIAggCCAIIAggCCAIIAggCCAIIAggCCAIIAggCCAIIAhUCAwLlAh4AAvICAgKDAgQCBQIGAgcCCAIJArACCwKYAg0CCAIIAggCCAIIAggCCAIIAggCCAIIAggCCAIIAggCCAIIAhUCAwIjAh4AAvICAgJOAgQCBQIGAgcCCAIJAiUCCwKYAg0CCAIIAggCCAIIAggCCAIIAggCCAIIAggCCAIIAggCCAIIAhUCAwKjAh4AAvICAgJXAgQCBQIGAgcCCAIJAiUCCwKYAg0CCAIIAggCCAIIAggCCAIIAggCCAIIAggCCAIIAggCCAIIAhUCAwKdAh4AAvICAgKFAgQCBQIGAgcCCAIJAiUCCwKYAg0CCAIIAggCCAIIAggCCAIIAggCCAIIAggCCAIIAggCCAIIAhUCAwK1Ah4AAvICAgIeAgQCBQIGAgcCCAIJAhwCCwKYAg0CCAIIAggCCAIIAggCCAIIAggCCAIIAggCCAIIAggCCAIIAhUCAwLdAh4AAvICAgKOAgQCBQIGAgcCCAIJAhwCCwKYAg0CCAIIAggCCAIIAggCCAIIAggCCAIIAggCCAIIAggCCAIIAhUCAwLUAh4AAvICAgJIAgQCBQIGAgcCCAIJArACCwKYAg0CCAIIAggCCAIIAggCCAIIAggCCAIIAggCCAIIAggCCAIIAhUCAwLHAh4AAvICAgKRAgQCBQIGAgcCCAIJArACCwKYAg0CCAIIAggCCAIIAggCCAIIAggCCAIIAggCCAIIAggCCAIIAhUCAwIjAh4AAvICAgI1AgQCBQIGAgcCCAIJAiUCC3oAAAQAApgCDQIIAggCCAIIAggCCAIIAggCCAIIAggCCAIIAggCCAIIAggCFQIDAsACHgAC8gICAiACBAIFAgYCBwIIAgkCHAILApgCDQIIAggCCAIIAggCCAIIAggCCAIIAggCCAIIAggCCAIIAggCFQIDAtcCHgAC8gICAkQCBAIFAgYCBwIIAgkCJQILApgCDQIIAggCCAIIAggCCAIIAggCCAIIAggCCAIIAggCCAIIAggCFQIDApkCHgAC8gICAlcCBAIFAgYCBwIIAgkCHAILApgCDQIIAggCCAIIAggCCAIIAggCCAIIAggCCAIIAggCCAIIAggCFQIDAroCHgAC8gICAi0CBAIFAgYCBwIIAgkCHAILApgCDQIIAggCCAIIAggCCAIIAggCCAIIAggCCAIIAggCCAIIAggCFQIDAtsCHgAC8gICAj8CBAIFAgYCBwIIAgkCJQILApgCDQIIAggCCAIIAggCCAIIAggCCAIIAggCCAIIAggCCAIIAggCFQIDAp8CHgAC8gICAisCBAIFAgYCBwIIAgkCJQILApgCDQIIAggCCAIIAggCCAIIAggCCAIIAggCCAIIAggCCAIIAggCFQIDArwCHgAC8gICAjMCBAIFAgYCBwIIAgkCsAILApgCDQIIAggCCAIIAggCCAIIAggCCAIIAggCCAIIAggCCAIIAggCFQIDArcCHgAC8gICAiQCBAIFAgYCBwIIAgkCHAILApgCDQIIAggCCAIIAggCCAIIAggCCAIIAggCCAIIAggCCAIIAggCFQIDAu4CHgAC8gICAiICBAIFAgYCBwIIAgkCJQILApgCDQIIAggCCAIIAggCCAIIAggCCAIIAggCCAIIAggCCAIIAggCFQIDAqoCHgAC8gICAowCBAIFAgYCBwIIAgkCsAILApgCDQIIAggCCAIIAggCCAIIAggCCAIIAggCCAIIAggCCAIIAggCFQIDAiMCHgAC8gICAjsCBAIFAgYCBwIIAgkCsAILApgCDQIIAggCCAIIAggCCAIIAggCCAIIAggCCAIIAggCCAIIAggCFQIDAtICHgAC8gICAi8CBAIFAgYCBwIIAgkCsAILApgCDQIIAggCCAIIAggCCAIIAggCCAIIAggCCAIIAggCCAIIAggCFQIDAiMCHgAC8gICAooCBAIFAgYCBwIIAgkCHAILApgCDQIIAggCCAIIAggCCAIIAggCCAIIAggCCAIIAggCCAIIAggCFQIDAq8CHgAC8gICAjMCBAIFAgYCBwIIAgkCHAILApgCDQIIAggCCAIIAggCCAIIAggCCAIIAggCCAIIAggCCAIIAggCFQIDAtMCHgAC8gICAh4CBAIFAnoAAAQABgIHAggCCQIlAgsCmAINAggCCAIIAggCCAIIAggCCAIIAggCCAIIAggCCAIIAggCCAIVAgMCzQIeAALyAgICAwIEAgUCBgIHAggCCQKwAgsCmAINAggCCAIIAggCCAIIAggCCAIIAggCCAIIAggCCAIIAggCCAIVAgMC1QIeAALyAgICLQIEAgUCBgIHAggCCQIlAgsCmAINAggCCAIIAggCCAIIAggCCAIIAggCCAIIAggCCAIIAggCCAIVAgMCnAIeAALyAgIChwIEAgUCBgIHAggCCQIlAgsCmAINAggCCAIIAggCCAIIAggCCAIIAggCCAIIAggCCAIIAggCCAIVAgMC8AIeAALyAgICKQIEAgUCBgIHAggCCQIcAgsCmAINAggCCAIIAggCCAIIAggCCAIIAggCCAIIAggCCAIIAggCCAIVAgMC2AIeAALyAgICRgIEAgUCBgIHAggCCQIlAgsCmAINAggCCAIIAggCCAIIAggCCAIIAggCCAIIAggCCAIIAggCCAIVAgMC5wIeAALyAgICIgIEAgUCBgIHAggCCQIcAgsCmAINAggCCAIIAggCCAIIAggCCAIIAggCCAIIAggCCAIIAggCCAIVAgMCzAIeAALyAgICJAIEAgUCBgIHAggCCQIlAgsCmAINAggCCAIIAggCCAIIAggCCAIIAggCCAIIAggCCAIIAggCCAIVAgMCpwIeAALyAgICSgIEAgUCBgIHAggCCQIlAgsCmAINAggCCAIIAggCCAIIAggCCAIIAggCCAIIAggCCAIIAggCCAIVAgMC6AIeAALyAgICJwIEAgUCBgIHAggCCQKwAgsCmAINAggCCAIIAggCCAIIAggCCAIIAggCCAIIAggCCAIIAggCCAIVAgMC1gIeAALyAgICigIEAgUCBgIHAggCCQIlAgsCmAINAggCCAIIAggCCAIIAggCCAIIAggCCAIIAggCCAIIAggCCAIVAgMCtQIeAALyAgICPQIEAgUCBgIHAggCCQIcAgsCmAINAggCCAIIAggCCAIIAggCCAIIAggCCAIIAggCCAIIAggCCAIVAgMCwgIeAALyAgICTgIEAgUCBgIHAggCCQIcAgsCmAINAggCCAIIAggCCAIIAggCCAIIAggCCAIIAggCCAIIAggCCAIVAgMC7AIeAALyAgICOQIEAgUCBgIHAggCCQKwAgsCmAINAggCCAIIAggCCAIIAggCCAIIAggCCAIIAggCCAIIAggCCAIVAgMCyQIeAALyAgICUAIEAgUCBgIHAggCCQKwAgsCmAINAggCCAIIAggCCAIIAggCCAIIAggCCAIIAggCCAIIAggCCAIVAgMC7QIeAHoAAAQAAvICAgJMAgQCBQIGAgcCCAIJAiUCCwKYAg0CCAIIAggCCAIIAggCCAIIAggCCAIIAggCCAIIAggCCAIIAhUCAwLEAh4AAvICAgKOAgQCBQIGAgcCCAIJArACCwKYAg0CCAIIAggCCAIIAggCCAIIAggCCAIIAggCCAIIAggCCAIIAhUCAwIjAh4AAvICAgIgAgQCBQIGAgcCCAIJArACCwKYAg0CCAIIAggCCAIIAggCCAIIAggCCAIIAggCCAIIAggCCAIIAhUCAwLxAh4AAvICAgKHAgQCBQIGAgcCCAIJAhwCCwKYAg0CCAIIAggCCAIIAggCCAIIAggCCAIIAggCCAIIAggCCAIIAhUCAwLqAh4AAvICAgKDAgQCBQIGAgcCCAIJAiUCCwKYAg0CCAIIAggCCAIIAggCCAIIAggCCAIIAggCCAIIAggCCAIIAhUCAwKhAh4AAvICAgJIAgQCBQIGAgcCCAIJAhwCCwKYAg0CCAIIAggCCAIIAggCCAIIAggCCAIIAggCCAIIAggCCAIIAhUCAwLeAh4AAvICAgI3AgQCBQIGAgcCCAIJAiUCCwKYAg0CCAIIAggCCAIIAggCCAIIAggCCAIIAggCCAIIAggCCAIIAhUCAwK+Ah4AAvICAgIbAgQCBQIGAgcCCAIJAiUCCwKYAg0CCAIIAggCCAIIAggCCAIIAggCCAIIAggCCAIIAggCCAIIAhUCAwKbAh4AAvICAgIpAgQCBQIGAgcCCAIJArACCwKYAg0CCAIIAggCCAIIAggCCAIIAggCCAIIAggCCAIIAggCCAIIAhUCAwIjAh4AAvICAgJKAgQCBQIGAgcCCAIJAhwCCwKYAg0CCAIIAggCCAIIAggCCAIIAggCCAIIAggCCAIIAggCCAIIAhUCAwLvAh4AAvICAgJIAgQCBQIGAgcCCAIJAiUCCwKYAg0CCAIIAggCCAIIAggCCAIIAggCCAIIAggCCAIIAggCCAIIAhUCAwLrAh4AAvICAgKRAgQCBQIGAgcCCAIJAhwCCwKYAg0CCAIIAggCCAIIAggCCAIIAggCCAIIAggCCAIIAggCCAIIAhUCAwLcAh4AAvICAgJVAgQCBQIGAgcCCAIJAiUCCwKYAg0CCAIIAggCCAIIAggCCAIIAggCCAIIAggCCAIIAggCCAIIAhUCAwLmAh4AAvICAgJGAgQCBQIGAgcCCAIJAhwCCwKYAg0CCAIIAggCCAIIAggCCAIIAggCCAIIAggCCAIIAggCCAIIAhUCAwLjAh4AAvICAgJXAgQCBQIGAgcCCAIJArACCwKYAg0CCAIIAggCCAIIAggCCAIIAggCCAIIAggCCAIIAggCCHoAAAQAAggCFQIDAiMCHgAC8gICAk4CBAIFAgYCBwIIAgkCsAILApgCDQIIAggCCAIIAggCCAIIAggCCAIIAggCCAIIAggCCAIIAggCFQIDAsMCHgAC8gICAgMCBAIFAgYCBwIIAgkCHAILApgCDQIIAggCCAIIAggCCAIIAggCCAIIAggCCAIIAggCCAIIAggCFQIDAr0CHgAC8gICAhsCBAIFAgYCBwIIAgkCHAILApgCDQIIAggCCAIIAggCCAIIAggCCAIIAggCCAIIAggCCAIIAggCFQIDArQCHgAC8gICAoUCBAIFAgYCBwIIAgkCsAILApgCDQIIAggCCAIIAggCCAIIAggCCAIIAggCCAIIAggCCAIIAggCFQIDAiMCHgAC8gICAkQCBAIFAgYCBwIIAgkCsAILApgCDQIIAggCCAIIAggCCAIIAggCCAIIAggCCAIIAggCCAIIAggCFQIDAukCHgAC8gICAj0CBAIFAgYCBwIIAgkCJQILApgCDQIIAggCCAIIAggCCAIIAggCCAIIAggCCAIIAggCCAIIAggCFQIDApoCHgAC8gICAlUCBAIFAgYCBwIIAgkCHAILApgCDQIIAggCCAIIAggCCAIIAggCCAIIAggCCAIIAggCCAIIAggCFQIDAtoCHgAC8gICApECBAIFAgYCBwIIAgkCJQILApgCDQIIAggCCAIIAggCCAIIAggCCAIIAggCCAIIAggCCAIIAggCFQIDAuICHgAC8gICAi8CBAIFAgYCBwIIAgkCHAILApgCDQIIAggCCAIIAggCCAIIAggCCAIIAggCCAIIAggCCAIIAggCFQIDArgCHgAC8gICAisCBAIFAgYCBwIIAgkCsAILApgCDQIIAggCCAIIAggCCAIIAggCCAIIAggCCAIIAggCCAIIAggCFQIDAtkCHgAC8gICAj8CBAIFAgYCBwIIAgkCsAILApgCDQIIAggCCAIIAggCCAIIAggCCAIIAggCCAIIAggCCAIIAggCFQIDAiMCHgAC8gICAjUCBAIFAgYCBwIIAgkCsAILApgCDQIIAggCCAIIAggCCAIIAggCCAIIAggCCAIIAggCCAIIAggCFQIDAuACHgAC8gICAjMCBAIFAgYCBwIIAgkCJQILApgCDQIIAggCCAIIAggCCAIIAggCCAIIAggCCAIIAggCCAIIAggCFQIDAqUCHgAC8wAJNTI1MjMzMTA0AgIChQIEAgUCBgIHAggCCQIlAgsCmAINAggCCAIIAggCCAIIAggCCAIIAggCCAIIAggCCAIIAggCCAITAgMCtQIeAALzAgICGwIEAgUCBgIHAggCCQIcAgsCmAINAggCCAIIAggCCHoAAAQAAggCCAIIAggCCAIIAggCCAIIAggCCAIIAhMCAwK0Ah4AAvMCAgI3AgQCBQIGAgcCCAIJAhwCCwKYAg0CCAIIAggCCAIIAggCCAIIAggCCAIIAggCCAIIAggCCAIIAhMCAwKzAh4AAvMCAgInAgQCBQIGAgcCCAIJAiUCCwKYAg0CCAIIAggCCAIIAggCCAIIAggCCAIIAggCCAIIAggCCAIIAhMCAwKoAh4AAvMCAgIkAgQCBQIGAgcCCAIJArACCwKYAg0CCAIIAggCCAIIAggCCAIIAggCCAIIAggCCAIIAggCCAIIAhMCAwIjAh4AAvMCAgI/AgQCBQIGAgcCCAIJAiUCCwKYAg0CCAIIAggCCAIIAggCCAIIAggCCAIIAggCCAIIAggCCAIIAhMCAwKfAh4AAvMCAgI5AgQCBQIGAgcCCAIJAhwCCwKYAg0CCAIIAggCCAIIAggCCAIIAggCCAIIAggCCAIIAggCCAIIAhMCAwKuAh4AAvMCAgKDAgQCBQIGAgcCCAIJAhwCCwKYAg0CCAIIAggCCAIIAggCCAIIAggCCAIIAggCCAIIAggCCAIIAhMCAwLPAh4AAvMCAgIzAgQCBQIGAgcCCAIJArACCwKYAg0CCAIIAggCCAIIAggCCAIIAggCCAIIAggCCAIIAggCCAIIAhMCAwK3Ah4AAvMCAgI5AgQCBQIGAgcCCAIJAiUCCwKYAg0CCAIIAggCCAIIAggCCAIIAggCCAIIAggCCAIIAggCCAIIAhMCAwKeAh4AAvMCAgJXAgQCBQIGAgcCCAIJAhwCCwKYAg0CCAIIAggCCAIIAggCCAIIAggCCAIIAggCCAIIAggCCAIIAhMCAwK6Ah4AAvMCAgJMAgQCBQIGAgcCCAIJAhwCCwKYAg0CCAIIAggCCAIIAggCCAIIAggCCAIIAggCCAIIAggCCAIIAhMCAwLLAh4AAvMCAgIrAgQCBQIGAgcCCAIJAiUCCwKYAg0CCAIIAggCCAIIAggCCAIIAggCCAIIAggCCAIIAggCCAIIAhMCAwK8Ah4AAvMCAgJKAgQCBQIGAgcCCAIJAhwCCwKYAg0CCAIIAggCCAIIAggCCAIIAggCCAIIAggCCAIIAggCCAIIAhMCAwLvAh4AAvMCAgInAgQCBQIGAgcCCAIJAhwCCwKYAg0CCAIIAggCCAIIAggCCAIIAggCCAIIAggCCAIIAggCCAIIAhMCAwLOAh4AAvMCAgIDAgQCBQIGAgcCCAIJAiUCCwKYAg0CCAIIAggCCAIIAggCCAIIAggCCAIIAggCCAIIAggCCAIIAhMCAwKiAh4AAvMCAgKOAgQCBQIGAgcCCAIJArACCwKYAnoAAAQADQIIAggCCAIIAggCCAIIAggCCAIIAggCCAIIAggCCAIIAggCEwIDAiMCHgAC8wICAkYCBAIFAgYCBwIIAgkCHAILApgCDQIIAggCCAIIAggCCAIIAggCCAIIAggCCAIIAggCCAIIAggCEwIDAuMCHgAC8wICAooCBAIFAgYCBwIIAgkCsAILApgCDQIIAggCCAIIAggCCAIIAggCCAIIAggCCAIIAggCCAIIAggCEwIDAiMCHgAC8wICAiACBAIFAgYCBwIIAgkCsAILApgCDQIIAggCCAIIAggCCAIIAggCCAIIAggCCAIIAggCCAIIAggCEwIDAvECHgAC8wICAocCBAIFAgYCBwIIAgkCHAILApgCDQIIAggCCAIIAggCCAIIAggCCAIIAggCCAIIAggCCAIIAggCEwIDAuoCHgAC8wICAjsCBAIFAgYCBwIIAgkCHAILApgCDQIIAggCCAIIAggCCAIIAggCCAIIAggCCAIIAggCCAIIAggCEwIDAsgCHgAC8wICAi0CBAIFAgYCBwIIAgkCsAILApgCDQIIAggCCAIIAggCCAIIAggCCAIIAggCCAIIAggCCAIIAggCEwIDArECHgAC8wICAi8CBAIFAgYCBwIIAgkCJQILApgCDQIIAggCCAIIAggCCAIIAggCCAIIAggCCAIIAggCCAIIAggCEwIDAqACHgAC8wICAlcCBAIFAgYCBwIIAgkCJQILApgCDQIIAggCCAIIAggCCAIIAggCCAIIAggCCAIIAggCCAIIAggCEwIDAp0CHgAC8wICAhsCBAIFAgYCBwIIAgkCJQILApgCDQIIAggCCAIIAggCCAIIAggCCAIIAggCCAIIAggCCAIIAggCEwIDApsCHgAC8wICAh4CBAIFAgYCBwIIAgkCsAILApgCDQIIAggCCAIIAggCCAIIAggCCAIIAggCCAIIAggCCAIIAggCEwIDArICHgAC8wICAlUCBAIFAgYCBwIIAgkCsAILApgCDQIIAggCCAIIAggCCAIIAggCCAIIAggCCAIIAggCCAIIAggCEwIDAsECHgAC8wICAlACBAIFAgYCBwIIAgkCJQILApgCDQIIAggCCAIIAggCCAIIAggCCAIIAggCCAIIAggCCAIIAggCEwIDAqQCHgAC8wICAgMCBAIFAgYCBwIIAgkCHAILApgCDQIIAggCCAIIAggCCAIIAggCCAIIAggCCAIIAggCCAIIAggCEwIDAr0CHgAC8wICAocCBAIFAgYCBwIIAgkCsAILApgCDQIIAggCCAIIAggCCAIIAggCCAIIAggCCAIIAggCCAIIAggCEwIDAiMCHgAC8wICAkQCBAIFAgYCB3oAAAQAAggCCQKwAgsCmAINAggCCAIIAggCCAIIAggCCAIIAggCCAIIAggCCAIIAggCCAITAgMC6QIeAALzAgICSgIEAgUCBgIHAggCCQKwAgsCmAINAggCCAIIAggCCAIIAggCCAIIAggCCAIIAggCCAIIAggCCAITAgMCxQIeAALzAgICSAIEAgUCBgIHAggCCQIlAgsCmAINAggCCAIIAggCCAIIAggCCAIIAggCCAIIAggCCAIIAggCCAITAgMC6wIeAALzAgICkQIEAgUCBgIHAggCCQIlAgsCmAINAggCCAIIAggCCAIIAggCCAIIAggCCAIIAggCCAIIAggCCAITAgMC4gIeAALzAgICRgIEAgUCBgIHAggCCQKwAgsCmAINAggCCAIIAggCCAIIAggCCAIIAggCCAIIAggCCAIIAggCCAITAgMCygIeAALzAgICPQIEAgUCBgIHAggCCQIcAgsCmAINAggCCAIIAggCCAIIAggCCAIIAggCCAIIAggCCAIIAggCCAITAgMCwgIeAALzAgICIgIEAgUCBgIHAggCCQIcAgsCmAINAggCCAIIAggCCAIIAggCCAIIAggCCAIIAggCCAIIAggCCAITAgMCzAIeAALzAgICIgIEAgUCBgIHAggCCQIlAgsCmAINAggCCAIIAggCCAIIAggCCAIIAggCCAIIAggCCAIIAggCCAITAgMCqgIeAALzAgICgwIEAgUCBgIHAggCCQIlAgsCmAINAggCCAIIAggCCAIIAggCCAIIAggCCAIIAggCCAIIAggCCAITAgMCoQIeAALzAgICSAIEAgUCBgIHAggCCQIcAgsCmAINAggCCAIIAggCCAIIAggCCAIIAggCCAIIAggCCAIIAggCCAITAgMC3gIeAALzAgICOwIEAgUCBgIHAggCCQIlAgsCmAINAggCCAIIAggCCAIIAggCCAIIAggCCAIIAggCCAIIAggCCAITAgMCtgIeAALzAgICKQIEAgUCBgIHAggCCQKwAgsCmAINAggCCAIIAggCCAIIAggCCAIIAggCCAIIAggCCAIIAggCCAITAgMCIwIeAALzAgICNwIEAgUCBgIHAggCCQIlAgsCmAINAggCCAIIAggCCAIIAggCCAIIAggCCAIIAggCCAIIAggCCAITAgMCvgIeAALzAgICNQIEAgUCBgIHAggCCQKwAgsCmAINAggCCAIIAggCCAIIAggCCAIIAggCCAIIAggCCAIIAggCCAITAgMC4AIeAALzAgICLwIEAgUCBgIHAggCCQIcAgsCmAINAggCCAIIAggCCAIIAggCCAIIAggCCAIIAggCCAIIAggCCAITAgMCuAIeAALzAnoAAAQAAgIzAgQCBQIGAgcCCAIJAhwCCwKYAg0CCAIIAggCCAIIAggCCAIIAggCCAIIAggCCAIIAggCCAIIAhMCAwLTAh4AAvMCAgJOAgQCBQIGAgcCCAIJArACCwKYAg0CCAIIAggCCAIIAggCCAIIAggCCAIIAggCCAIIAggCCAIIAhMCAwLDAh4AAvMCAgKMAgQCBQIGAgcCCAIJArACCwKYAg0CCAIIAggCCAIIAggCCAIIAggCCAIIAggCCAIIAggCCAIIAhMCAwIjAh4AAvMCAgI9AgQCBQIGAgcCCAIJAiUCCwKYAg0CCAIIAggCCAIIAggCCAIIAggCCAIIAggCCAIIAggCCAIIAhMCAwKaAh4AAvMCAgJMAgQCBQIGAgcCCAIJAiUCCwKYAg0CCAIIAggCCAIIAggCCAIIAggCCAIIAggCCAIIAggCCAIIAhMCAwLEAh4AAvMCAgKRAgQCBQIGAgcCCAIJAhwCCwKYAg0CCAIIAggCCAIIAggCCAIIAggCCAIIAggCCAIIAggCCAIIAhMCAwLcAh4AAvMCAgInAgQCBQIGAgcCCAIJArACCwKYAg0CCAIIAggCCAIIAggCCAIIAggCCAIIAggCCAIIAggCCAIIAhMCAwLWAh4AAvMCAgIpAgQCBQIGAgcCCAIJAhwCCwKYAg0CCAIIAggCCAIIAggCCAIIAggCCAIIAggCCAIIAggCCAIIAhMCAwLYAh4AAvMCAgIgAgQCBQIGAgcCCAIJAhwCCwKYAg0CCAIIAggCCAIIAggCCAIIAggCCAIIAggCCAIIAggCCAIIAhMCAwLXAh4AAvMCAgJOAgQCBQIGAgcCCAIJAhwCCwKYAg0CCAIIAggCCAIIAggCCAIIAggCCAIIAggCCAIIAggCCAIIAhMCAwLsAh4AAvMCAgI7AgQCBQIGAgcCCAIJArACCwKYAg0CCAIIAggCCAIIAggCCAIIAggCCAIIAggCCAIIAggCCAIIAhMCAwLSAh4AAvMCAgKKAgQCBQIGAgcCCAIJAhwCCwKYAg0CCAIIAggCCAIIAggCCAIIAggCCAIIAggCCAIIAggCCAIIAhMCAwKvAh4AAvMCAgI/AgQCBQIGAgcCCAIJArACCwKYAg0CCAIIAggCCAIIAggCCAIIAggCCAIIAggCCAIIAggCCAIIAhMCAwIjAh4AAvMCAgIrAgQCBQIGAgcCCAIJArACCwKYAg0CCAIIAggCCAIIAggCCAIIAggCCAIIAggCCAIIAggCCAIIAhMCAwLZAh4AAvMCAgKKAgQCBQIGAgcCCAIJAiUCCwKYAg0CCAIIAggCCAIIAggCCAIIAggCCAIIAggCCAIIAggCCAIIAnoAAAQAEwIDArUCHgAC8wICAlUCBAIFAgYCBwIIAgkCHAILApgCDQIIAggCCAIIAggCCAIIAggCCAIIAggCCAIIAggCCAIIAggCEwIDAtoCHgAC8wICAoUCBAIFAgYCBwIIAgkCsAILApgCDQIIAggCCAIIAggCCAIIAggCCAIIAggCCAIIAggCCAIIAggCEwIDAiMCHgAC8wICAjMCBAIFAgYCBwIIAgkCJQILApgCDQIIAggCCAIIAggCCAIIAggCCAIIAggCCAIIAggCCAIIAggCEwIDAqUCHgAC8wICAiQCBAIFAgYCBwIIAgkCJQILApgCDQIIAggCCAIIAggCCAIIAggCCAIIAggCCAIIAggCCAIIAggCEwIDAqcCHgAC8wICAjkCBAIFAgYCBwIIAgkCsAILApgCDQIIAggCCAIIAggCCAIIAggCCAIIAggCCAIIAggCCAIIAggCEwIDAskCHgAC8wICAo4CBAIFAgYCBwIIAgkCHAILApgCDQIIAggCCAIIAggCCAIIAggCCAIIAggCCAIIAggCCAIIAggCEwIDAtQCHgAC8wICAhsCBAIFAgYCBwIIAgkCsAILApgCDQIIAggCCAIIAggCCAIIAggCCAIIAggCCAIIAggCCAIIAggCEwIDAtACHgAC8wICAgMCBAIFAgYCBwIIAgkCsAILApgCDQIIAggCCAIIAggCCAIIAggCCAIIAggCCAIIAggCCAIIAggCEwIDAtUCHgAC8wICAiACBAIFAgYCBwIIAgkCJQILApgCDQIIAggCCAIIAggCCAIIAggCCAIIAggCCAIIAggCCAIIAggCEwIDAtECHgAC8wICAlACBAIFAgYCBwIIAgkCHAILApgCDQIIAggCCAIIAggCCAIIAggCCAIIAggCCAIIAggCCAIIAggCEwIDAsYCHgAC8wICAlcCBAIFAgYCBwIIAgkCsAILApgCDQIIAggCCAIIAggCCAIIAggCCAIIAggCCAIIAggCCAIIAggCEwIDAiMCHgAC8wICAi0CBAIFAgYCBwIIAgkCJQILApgCDQIIAggCCAIIAggCCAIIAggCCAIIAggCCAIIAggCCAIIAggCEwIDApwCHgAC8wICAi8CBAIFAgYCBwIIAgkCsAILApgCDQIIAggCCAIIAggCCAIIAggCCAIIAggCCAIIAggCCAIIAggCEwIDAiMCHgAC8wICAo4CBAIFAgYCBwIIAgkCJQILApgCDQIIAggCCAIIAggCCAIIAggCCAIIAggCCAIIAggCCAIIAggCEwIDAqkCHgAC8wICAlUCBAIFAgYCBwIIAgkCJQILApgCDQIIAggCCAIIAggCCAIIAggCCAIIAggCCHoAAAQAAggCCAIIAggCCAITAgMC5gIeAALzAgICHgIEAgUCBgIHAggCCQIlAgsCmAINAggCCAIIAggCCAIIAggCCAIIAggCCAIIAggCCAIIAggCCAITAgMCzQIeAALzAgICJAIEAgUCBgIHAggCCQIcAgsCmAINAggCCAIIAggCCAIIAggCCAIIAggCCAIIAggCCAIIAggCCAITAgMC7gIeAALzAgIChwIEAgUCBgIHAggCCQIlAgsCmAINAggCCAIIAggCCAIIAggCCAIIAggCCAIIAggCCAIIAggCCAITAgMC8AIeAALzAgICRgIEAgUCBgIHAggCCQIlAgsCmAINAggCCAIIAggCCAIIAggCCAIIAggCCAIIAggCCAIIAggCCAITAgMC5wIeAALzAgICHgIEAgUCBgIHAggCCQIcAgsCmAINAggCCAIIAggCCAIIAggCCAIIAggCCAIIAggCCAIIAggCCAITAgMC3QIeAALzAgICkQIEAgUCBgIHAggCCQKwAgsCmAINAggCCAIIAggCCAIIAggCCAIIAggCCAIIAggCCAIIAggCCAITAgMCIwIeAALzAgICSgIEAgUCBgIHAggCCQIlAgsCmAINAggCCAIIAggCCAIIAggCCAIIAggCCAIIAggCCAIIAggCCAITAgMC6AIeAALzAgICNQIEAgUCBgIHAggCCQIlAgsCmAINAggCCAIIAggCCAIIAggCCAIIAggCCAIIAggCCAIIAggCCAITAgMCwAIeAALzAgICSAIEAgUCBgIHAggCCQKwAgsCmAINAggCCAIIAggCCAIIAggCCAIIAggCCAIIAggCCAIIAggCCAITAgMCxwIeAALzAgICLQIEAgUCBgIHAggCCQIcAgsCmAINAggCCAIIAggCCAIIAggCCAIIAggCCAIIAggCCAIIAggCCAITAgMC2wIeAALzAgICNQIEAgUCBgIHAggCCQIcAgsCmAINAggCCAIIAggCCAIIAggCCAIIAggCCAIIAggCCAIIAggCCAITAgMC4QIeAALzAgICRAIEAgUCBgIHAggCCQIlAgsCmAINAggCCAIIAggCCAIIAggCCAIIAggCCAIIAggCCAIIAggCCAITAgMCmQIeAALzAgICUAIEAgUCBgIHAggCCQKwAgsCmAINAggCCAIIAggCCAIIAggCCAIIAggCCAIIAggCCAIIAggCCAITAgMC7QIeAALzAgICjAIEAgUCBgIHAggCCQIcAgsCmAINAggCCAIIAggCCAIIAggCCAIIAggCCAIIAggCCAIIAggCCAITAgMC5AIeAALzAgICTgIEAgUCBgIHAggCCQIlAgsCmAINAggCCAIIAggCCAIIAnoAAAQACAIIAggCCAIIAggCCAIIAggCCAIIAhMCAwKjAh4AAvMCAgIpAgQCBQIGAgcCCAIJAiUCCwKYAg0CCAIIAggCCAIIAggCCAIIAggCCAIIAggCCAIIAggCCAIIAhMCAwKmAh4AAvMCAgI9AgQCBQIGAgcCCAIJArACCwKYAg0CCAIIAggCCAIIAggCCAIIAggCCAIIAggCCAIIAggCCAIIAhMCAwK/Ah4AAvMCAgI/AgQCBQIGAgcCCAIJAhwCCwKYAg0CCAIIAggCCAIIAggCCAIIAggCCAIIAggCCAIIAggCCAIIAhMCAwKsAh4AAvMCAgI3AgQCBQIGAgcCCAIJArACCwKYAg0CCAIIAggCCAIIAggCCAIIAggCCAIIAggCCAIIAggCCAIIAhMCAwLfAh4AAvMCAgKMAgQCBQIGAgcCCAIJAiUCCwKYAg0CCAIIAggCCAIIAggCCAIIAggCCAIIAggCCAIIAggCCAIIAhMCAwK5Ah4AAvMCAgKDAgQCBQIGAgcCCAIJArACCwKYAg0CCAIIAggCCAIIAggCCAIIAggCCAIIAggCCAIIAggCCAIIAhMCAwIjAh4AAvMCAgIrAgQCBQIGAgcCCAIJAhwCCwKYAg0CCAIIAggCCAIIAggCCAIIAggCCAIIAggCCAIIAggCCAIIAhMCAwKtAh4AAvMCAgKFAgQCBQIGAgcCCAIJAhwCCwKYAg0CCAIIAggCCAIIAggCCAIIAggCCAIIAggCCAIIAggCCAIIAhMCAwKvAh4AAvMCAgIiAgQCBQIGAgcCCAIJArACCwKYAg0CCAIIAggCCAIIAggCCAIIAggCCAIIAggCCAIIAggCCAIIAhMCAwIjAh4AAvMCAgJEAgQCBQIGAgcCCAIJAhwCCwKYAg0CCAIIAggCCAIIAggCCAIIAggCCAIIAggCCAIIAggCCAIIAhMCAwK7Ah4AAvMCAgJMAgQCBQIGAgcCCAIJArACCwKYAg0CCAIIAggCCAIIAggCCAIIAggCCAIIAggCCAIIAggCCAIIAhMCAwLlAh4AAvQACTE3MTY3MjMwNAICAi0CBAIFAgYCBwIIAgkCCgILAgwCDQIIAggCCAIIAggCCAIIAggCCAIIAggCCAIIAggCCAIIAggCGgIDAi4CHgAC9AICAjsCBAIFAgYCBwIIAgkCCgILAgwCDQIIAggCCAIIAggCCAIIAggCCAIIAggCCAIIAggCCAIIAggCGgIDAlQCHgAC9AICAk4CBAIFAgYCBwIIAgkCHAILAgwCDQIIAggCCAIIAggCCAIIAggCCAIIAggCCAIIAggCCAIIAggCGgIDAnkCHgAC9AICAjMCBAIFAgYCBwIIAnoAAAQACQIlAgsCDAINAggCCAIIAggCCAIIAggCCAIIAggCCAIIAggCCAIIAggCCAIaAgMCWQIeAAL0AgICTAIEAgUCBgIHAggCCQIcAgsCDAINAggCCAIIAggCCAIIAggCCAIIAggCCAIIAggCCAIIAggCCAIaAgMCfQIeAAL0AgICLwIEAgUCBgIHAggCCQIKAgsCDAINAggCCAIIAggCCAIIAggCCAIIAggCCAIIAggCCAIIAggCCAIaAgMCIwIeAAL0AgICVQIEAgUCBgIHAggCCQIcAgsCDAINAggCCAIIAggCCAIIAggCCAIIAggCCAIIAggCCAIIAggCCAIaAgMCVgIeAAL0AgICOQIEAgUCBgIHAggCCQIlAgsCDAINAggCCAIIAggCCAIIAggCCAIIAggCCAIIAggCCAIIAggCCAIaAgMCegIeAAL0AgICVwIEAgUCBgIHAggCCQIcAgsCDAINAggCCAIIAggCCAIIAggCCAIIAggCCAIIAggCCAIIAggCCAIaAgMCWAIeAAL0AgICIAIEAgUCBgIHAggCCQIlAgsCDAINAggCCAIIAggCCAIIAggCCAIIAggCCAIIAggCCAIIAggCCAIaAgMCfgIeAAL0AgICPwIEAgUCBgIHAggCCQIlAgsCDAINAggCCAIIAggCCAIIAggCCAIIAggCCAIIAggCCAIIAggCCAIaAgMCWgIeAAL0AgICIAIEAgUCBgIHAggCCQIcAgsCDAINAggCCAIIAggCCAIIAggCCAIIAggCCAIIAggCCAIIAggCCAIaAgMCIQIeAAL0AgICGwIEAgUCBgIHAggCCQIcAgsCDAINAggCCAIIAggCCAIIAggCCAIIAggCCAIIAggCCAIIAggCCAIaAgMCHQIeAAL0AgICAwIEAgUCBgIHAggCCQIKAgsCDAINAggCCAIIAggCCAIIAggCCAIIAggCCAIIAggCCAIIAggCCAIaAgMCDgIeAAL0AgICjgIEAgUCBgIHAggCCQIcAgsCDAINAggCCAIIAggCCAIIAggCCAIIAggCCAIIAggCCAIIAggCCAIaAgMClQIeAAL0AgICHgIEAgUCBgIHAggCCQIKAgsCDAINAggCCAIIAggCCAIIAggCCAIIAggCCAIIAggCCAIIAggCCAIaAgMCHwIeAAL0AgICJAIEAgUCBgIHAggCCQIlAgsCDAINAggCCAIIAggCCAIIAggCCAIIAggCCAIIAggCCAIIAggCCAIaAgMCJgIeAAL0AgICIgIEAgUCBgIHAggCCQIKAgsCDAINAggCCAIIAggCCAIIAggCCAIIAggCCAIIAggCCAIIAggCCAIaAgMCIwIeAAL0AgICJ3oAAAQAAgQCBQIGAgcCCAIJAiUCCwIMAg0CCAIIAggCCAIIAggCCAIIAggCCAIIAggCCAIIAggCCAIIAhoCAwIoAh4AAvQCAgI3AgQCBQIGAgcCCAIJAhwCCwIMAg0CCAIIAggCCAIIAggCCAIIAggCCAIIAggCCAIIAggCCAIIAhoCAwI4Ah4AAvQCAgIpAgQCBQIGAgcCCAIJAhwCCwIMAg0CCAIIAggCCAIIAggCCAIIAggCCAIIAggCCAIIAggCCAIIAhoCAwIqAh4AAvQCAgIrAgQCBQIGAgcCCAIJAiUCCwIMAg0CCAIIAggCCAIIAggCCAIIAggCCAIIAggCCAIIAggCCAIIAhoCAwIsAh4AAvQCAgIvAgQCBQIGAgcCCAIJAiUCCwIMAg0CCAIIAggCCAIIAggCCAIIAggCCAIIAggCCAIIAggCCAIIAhoCAwIwAh4AAvQCAgItAgQCBQIGAgcCCAIJAiUCCwIMAg0CCAIIAggCCAIIAggCCAIIAggCCAIIAggCCAIIAggCCAIIAhoCAwIyAh4AAvQCAgJVAgQCBQIGAgcCCAIJAiUCCwIMAg0CCAIIAggCCAIIAggCCAIIAggCCAIIAggCCAIIAggCCAIIAhoCAwJ3Ah4AAvQCAgI/AgQCBQIGAgcCCAIJAgoCCwIMAg0CCAIIAggCCAIIAggCCAIIAggCCAIIAggCCAIIAggCCAIIAhoCAwIjAh4AAvQCAgJEAgQCBQIGAgcCCAIJAiUCCwIMAg0CCAIIAggCCAIIAggCCAIIAggCCAIIAggCCAIIAggCCAIIAhoCAwJqAh4AAvQCAgJGAgQCBQIGAgcCCAIJAhwCCwIMAg0CCAIIAggCCAIIAggCCAIIAggCCAIIAggCCAIIAggCCAIIAhoCAwJ0Ah4AAvQCAgJXAgQCBQIGAgcCCAIJAiUCCwIMAg0CCAIIAggCCAIIAggCCAIIAggCCAIIAggCCAIIAggCCAIIAhoCAwJpAh4AAvQCAgJQAgQCBQIGAgcCCAIJAhwCCwIMAg0CCAIIAggCCAIIAggCCAIIAggCCAIIAggCCAIIAggCCAIIAhoCAwJsAh4AAvQCAgI5AgQCBQIGAgcCCAIJAhwCCwIMAg0CCAIIAggCCAIIAggCCAIIAggCCAIIAggCCAIIAggCCAIIAhoCAwI6Ah4AAvQCAgJIAgQCBQIGAgcCCAIJAiUCCwIMAg0CCAIIAggCCAIIAggCCAIIAggCCAIIAggCCAIIAggCCAIIAhoCAwJvAh4AAvQCAgI1AgQCBQIGAgcCCAIJAgoCCwIMAg0CCAIIAggCCAIIAggCCAIIAggCCAIIAggCCAIIAggCCAIIAhoCA3oAAAQAAjYCHgAC9AICAj0CBAIFAgYCBwIIAgkCCgILAgwCDQIIAggCCAIIAggCCAIIAggCCAIIAggCCAIIAggCCAIIAggCGgIDAj4CHgAC9AICAgMCBAIFAgYCBwIIAgkCJQILAgwCDQIIAggCCAIIAggCCAIIAggCCAIIAggCCAIIAggCCAIIAggCGgIDAnECHgAC9AICAjcCBAIFAgYCBwIIAgkCCgILAgwCDQIIAggCCAIIAggCCAIIAggCCAIIAggCCAIIAggCCAIIAggCGgIDAl4CHgAC9AICAh4CBAIFAgYCBwIIAgkCJQILAgwCDQIIAggCCAIIAggCCAIIAggCCAIIAggCCAIIAggCCAIIAggCGgIDAngCHgAC9AICAhsCBAIFAgYCBwIIAgkCJQILAgwCDQIIAggCCAIIAggCCAIIAggCCAIIAggCCAIIAggCCAIIAggCGgIDAn8CHgAC9AICAkoCBAIFAgYCBwIIAgkCHAILAgwCDQIIAggCCAIIAggCCAIIAggCCAIIAggCCAIIAggCCAIIAggCGgIDAnICHgAC9AICAo4CBAIFAgYCBwIIAgkCJQILAgwCDQIIAggCCAIIAggCCAIIAggCCAIIAggCCAIIAggCCAIIAggCGgIDApMCHgAC9AICAicCBAIFAgYCBwIIAgkCHAILAgwCDQIIAggCCAIIAggCCAIIAggCCAIIAggCCAIIAggCCAIIAggCGgIDAnMCHgAC9AICAiQCBAIFAgYCBwIIAgkCHAILAgwCDQIIAggCCAIIAggCCAIIAggCCAIIAggCCAIIAggCCAIIAggCGgIDAnUCHgAC9AICAjMCBAIFAgYCBwIIAgkCCgILAgwCDQIIAggCCAIIAggCCAIIAggCCAIIAggCCAIIAggCCAIIAggCGgIDAnYCHgAC9AICAisCBAIFAgYCBwIIAgkCCgILAgwCDQIIAggCCAIIAggCCAIIAggCCAIIAggCCAIIAggCCAIIAggCGgIDAnsCHgAC9AICAlcCBAIFAgYCBwIIAgkCCgILAgwCDQIIAggCCAIIAggCCAIIAggCCAIIAggCCAIIAggCCAIIAggCGgIDAiMCHgAC9AICAlUCBAIFAgYCBwIIAgkCCgILAgwCDQIIAggCCAIIAggCCAIIAggCCAIIAggCCAIIAggCCAIIAggCGgIDAmgCHgAC9AICAjUCBAIFAgYCBwIIAgkCJQILAgwCDQIIAggCCAIIAggCCAIIAggCCAIIAggCCAIIAggCCAIIAggCGgIDAlICHgAC9AICAjsCBAIFAgYCBwIIAgkCHAILAgwCDQIIAggCCAIIAggCCAIIAggCCAIIAggCCAIIAnoAAAQACAIIAggCCAIaAgMCfAIeAAL0AgICPQIEAgUCBgIHAggCCQIlAgsCDAINAggCCAIIAggCCAIIAggCCAIIAggCCAIIAggCCAIIAggCCAIaAgMCUwIeAAL0AgICSAIEAgUCBgIHAggCCQIKAgsCDAINAggCCAIIAggCCAIIAggCCAIIAggCCAIIAggCCAIIAggCCAIaAgMCgAIeAAL0AgICLQIEAgUCBgIHAggCCQIcAgsCDAINAggCCAIIAggCCAIIAggCCAIIAggCCAIIAggCCAIIAggCCAIaAgMCWwIeAAL0AgICRAIEAgUCBgIHAggCCQIKAgsCDAINAggCCAIIAggCCAIIAggCCAIIAggCCAIIAggCCAIIAggCCAIaAgMCgQIeAAL0AgICLwIEAgUCBgIHAggCCQIcAgsCDAINAggCCAIIAggCCAIIAggCCAIIAggCCAIIAggCCAIIAggCCAIaAgMCXQIeAAL0AgICAwIEAgUCBgIHAggCCQIcAgsCDAINAggCCAIIAggCCAIIAggCCAIIAggCCAIIAggCCAIIAggCCAIaAgMCXwIeAAL0AgICKQIEAgUCBgIHAggCCQIKAgsCDAINAggCCAIIAggCCAIIAggCCAIIAggCCAIIAggCCAIIAggCCAIaAgMCIwIeAAL0AgICSgIEAgUCBgIHAggCCQIKAgsCDAINAggCCAIIAggCCAIIAggCCAIIAggCCAIIAggCCAIIAggCCAIaAgMCSwIeAAL0AgICSgIEAgUCBgIHAggCCQIlAgsCDAINAggCCAIIAggCCAIIAggCCAIIAggCCAIIAggCCAIIAggCCAIaAgMCbgIeAAL0AgICRgIEAgUCBgIHAggCCQIlAgsCDAINAggCCAIIAggCCAIIAggCCAIIAggCCAIIAggCCAIIAggCCAIaAgMCZwIeAAL0AgICUAIEAgUCBgIHAggCCQIlAgsCDAINAggCCAIIAggCCAIIAggCCAIIAggCCAIIAggCCAIIAggCCAIaAgMCYAIeAAL0AgICjgIEAgUCBgIHAggCCQIKAgsCDAINAggCCAIIAggCCAIIAggCCAIIAggCCAIIAggCCAIIAggCCAIaAgMCIwIeAAL0AgICHgIEAgUCBgIHAggCCQIcAgsCDAINAggCCAIIAggCCAIIAggCCAIIAggCCAIIAggCCAIIAggCCAIaAgMCYQIeAAL0AgICNQIEAgUCBgIHAggCCQIcAgsCDAINAggCCAIIAggCCAIIAggCCAIIAggCCAIIAggCCAIIAggCCAIaAgMCawIeAAL0AgICPQIEAgUCBgIHAggCCQIcAgsCDAINAggCCAIIAggCCAIIAggCCHoAAAQAAggCCAIIAggCCAIIAggCCAIIAhoCAwJlAh4AAvQCAgJOAgQCBQIGAgcCCAIJAgoCCwIMAg0CCAIIAggCCAIIAggCCAIIAggCCAIIAggCCAIIAggCCAIIAhoCAwJiAh4AAvQCAgIiAgQCBQIGAgcCCAIJAhwCCwIMAg0CCAIIAggCCAIIAggCCAIIAggCCAIIAggCCAIIAggCCAIIAhoCAwJjAh4AAvQCAgJMAgQCBQIGAgcCCAIJAgoCCwIMAg0CCAIIAggCCAIIAggCCAIIAggCCAIIAggCCAIIAggCCAIIAhoCAwJkAh4AAvQCAgIzAgQCBQIGAgcCCAIJAhwCCwIMAg0CCAIIAggCCAIIAggCCAIIAggCCAIIAggCCAIIAggCCAIIAhoCAwI0Ah4AAvQCAgI7AgQCBQIGAgcCCAIJAiUCCwIMAg0CCAIIAggCCAIIAggCCAIIAggCCAIIAggCCAIIAggCCAIIAhoCAwI8Ah4AAvQCAgIrAgQCBQIGAgcCCAIJAhwCCwIMAg0CCAIIAggCCAIIAggCCAIIAggCCAIIAggCCAIIAggCCAIIAhoCAwIxAh4AAvQCAgJOAgQCBQIGAgcCCAIJAiUCCwIMAg0CCAIIAggCCAIIAggCCAIIAggCCAIIAggCCAIIAggCCAIIAhoCAwJPAh4AAvQCAgIgAgQCBQIGAgcCCAIJAgoCCwIMAg0CCAIIAggCCAIIAggCCAIIAggCCAIIAggCCAIIAggCCAIIAhoCAwJtAh4AAvQCAgIbAgQCBQIGAgcCCAIJAgoCCwIMAg0CCAIIAggCCAIIAggCCAIIAggCCAIIAggCCAIIAggCCAIIAhoCAwJwAh4AAvQCAgI/AgQCBQIGAgcCCAIJAhwCCwIMAg0CCAIIAggCCAIIAggCCAIIAggCCAIIAggCCAIIAggCCAIIAhoCAwJAAh4AAvQCAgIkAgQCBQIGAgcCCAIJAgoCCwIMAg0CCAIIAggCCAIIAggCCAIIAggCCAIIAggCCAIIAggCCAIIAhoCAwIjAh4AAvQCAgInAgQCBQIGAgcCCAIJAgoCCwIMAg0CCAIIAggCCAIIAggCCAIIAggCCAIIAggCCAIIAggCCAIIAhoCAwJcAh4AAvQCAgIiAgQCBQIGAgcCCAIJAiUCCwIMAg0CCAIIAggCCAIIAggCCAIIAggCCAIIAggCCAIIAggCCAIIAhoCAwJDAh4AAvQCAgI3AgQCBQIGAgcCCAIJAiUCCwIMAg0CCAIIAggCCAIIAggCCAIIAggCCAIIAggCCAIIAggCCAIIAhoCAwJBAh4AAvQCAgJIAgQCBQIGAgcCCAIJAhwCCwIMAg0CCAIIAnoAAAQACAIIAggCCAIIAggCCAIIAggCCAIIAggCCAIIAggCGgIDAkkCHgAC9AICAikCBAIFAgYCBwIIAgkCJQILAgwCDQIIAggCCAIIAggCCAIIAggCCAIIAggCCAIIAggCCAIIAggCGgIDAkICHgAC9AICAkwCBAIFAgYCBwIIAgkCJQILAgwCDQIIAggCCAIIAggCCAIIAggCCAIIAggCCAIIAggCCAIIAggCGgIDAk0CHgAC9AICAkQCBAIFAgYCBwIIAgkCHAILAgwCDQIIAggCCAIIAggCCAIIAggCCAIIAggCCAIIAggCCAIIAggCGgIDAkUCHgAC9AICAjkCBAIFAgYCBwIIAgkCCgILAgwCDQIIAggCCAIIAggCCAIIAggCCAIIAggCCAIIAggCCAIIAggCGgIDAmYCHgAC9AICAlACBAIFAgYCBwIIAgkCCgILAgwCDQIIAggCCAIIAggCCAIIAggCCAIIAggCCAIIAggCCAIIAggCGgIDAlECHgAC9AICAkYCBAIFAgYCBwIIAgkCCgILAgwCDQIIAggCCAIIAggCCAIIAggCCAIIAggCCAIIAggCCAIIAggCGgIDAkcCHgAC9QAJMTcxNjc2OTQ0AgICLQIEAgUCBgIHAggCCQIlAgsCDAINAggCCAIIAggCCAIIAggCCAIIAggCCAIIAggCCAIIAggCCAIeAgMCMgIeAAL1AgICPQIEAgUCBgIHAggCCQIKAgsCDAINAggCCAIIAggCCAIIAggCCAIIAggCCAIIAggCCAIIAggCCAIeAgMCPgIeAAL1AgICKwIEAgUCBgIHAggCCQIcAgsCDAINAggCCAIIAggCCAIIAggCCAIIAggCCAIIAggCCAIIAggCCAIeAgMCMQIeAAL1AgICMwIEAgUCBgIHAggCCQIcAgsCDAINAggCCAIIAggCCAIIAggCCAIIAggCCAIIAggCCAIIAggCCAIeAgMCNAIeAAL1AgICNQIEAgUCBgIHAggCCQIKAgsCDAINAggCCAIIAggCCAIIAggCCAIIAggCCAIIAggCCAIIAggCCAIeAgMCNgIeAAL1AgICLwIEAgUCBgIHAggCCQIlAgsCDAINAggCCAIIAggCCAIIAggCCAIIAggCCAIIAggCCAIIAggCCAIeAgMCMAIeAAL1AgICOwIEAgUCBgIHAggCCQIlAgsCDAINAggCCAIIAggCCAIIAggCCAIIAggCCAIIAggCCAIIAggCCAIeAgMCPAIeAAL1AgICJwIEAgUCBgIHAggCCQIlAgsCDAINAggCCAIIAggCCAIIAggCCAIIAggCCAIIAggCCAIIAggCCAIeAgMCKAIeAAL1AgICAwIEAnoAAAQABQIGAgcCCAIJAiUCCwIMAg0CCAIIAggCCAIIAggCCAIIAggCCAIIAggCCAIIAggCCAIIAh4CAwJxAh4AAvUCAgIkAgQCBQIGAgcCCAIJAhwCCwIMAg0CCAIIAggCCAIIAggCCAIIAggCCAIIAggCCAIIAggCCAIIAh4CAwJ1Ah4AAvUCAgInAgQCBQIGAgcCCAIJAhwCCwIMAg0CCAIIAggCCAIIAggCCAIIAggCCAIIAggCCAIIAggCCAIIAh4CAwJzAh4AAvUCAgJGAgQCBQIGAgcCCAIJAgoCCwIMAg0CCAIIAggCCAIIAggCCAIIAggCCAIIAggCCAIIAggCCAIIAh4CAwJHAh4AAvUCAgIiAgQCBQIGAgcCCAIJAiUCCwIMAg0CCAIIAggCCAIIAggCCAIIAggCCAIIAggCCAIIAggCCAIIAh4CAwJDAh4AAvUCAgI5AgQCBQIGAgcCCAIJAhwCCwIMAg0CCAIIAggCCAIIAggCCAIIAggCCAIIAggCCAIIAggCCAIIAh4CAwI6Ah4AAvUCAgJQAgQCBQIGAgcCCAIJAgoCCwIMAg0CCAIIAggCCAIIAggCCAIIAggCCAIIAggCCAIIAggCCAIIAh4CAwJRAh4AAvUCAgIeAgQCBQIGAgcCCAIJAiUCCwIMAg0CCAIIAggCCAIIAggCCAIIAggCCAIIAggCCAIIAggCCAIIAh4CAwJ4Ah4AAvUCAgItAgQCBQIGAgcCCAIJAgoCCwIMAg0CCAIIAggCCAIIAggCCAIIAggCCAIIAggCCAIIAggCCAIIAh4CAwIuAh4AAvUCAgIvAgQCBQIGAgcCCAIJAgoCCwIMAg0CCAIIAggCCAIIAggCCAIIAggCCAIIAggCCAIIAggCCAIIAh4CAwIjAh4AAvUCAgI5AgQCBQIGAgcCCAIJAiUCCwIMAg0CCAIIAggCCAIIAggCCAIIAggCCAIIAggCCAIIAggCCAIIAh4CAwJ6Ah4AAvUCAgI7AgQCBQIGAgcCCAIJAhwCCwIMAg0CCAIIAggCCAIIAggCCAIIAggCCAIIAggCCAIIAggCCAIIAh4CAwJ8Ah4AAvUCAgJXAgQCBQIGAgcCCAIJAgoCCwIMAg0CCAIIAggCCAIIAggCCAIIAggCCAIIAggCCAIIAggCCAIIAh4CAwIjAh4AAvUCAgJMAgQCBQIGAgcCCAIJAhwCCwIMAg0CCAIIAggCCAIIAggCCAIIAggCCAIIAggCCAIIAggCCAIIAh4CAwJ9Ah4AAvUCAgJVAgQCBQIGAgcCCAIJAgoCCwIMAg0CCAIIAggCCAIIAggCCAIIAggCCAIIAggCCAIIAggCCAIIAh4CAwJoAnoAAAQAHgAC9QICAkgCBAIFAgYCBwIIAgkCCgILAgwCDQIIAggCCAIIAggCCAIIAggCCAIIAggCCAIIAggCCAIIAggCHgIDAoACHgAC9QICAk4CBAIFAgYCBwIIAgkCHAILAgwCDQIIAggCCAIIAggCCAIIAggCCAIIAggCCAIIAggCCAIIAggCHgIDAnkCHgAC9QICAiACBAIFAgYCBwIIAgkCJQILAgwCDQIIAggCCAIIAggCCAIIAggCCAIIAggCCAIIAggCCAIIAggCHgIDAn4CHgAC9QICAhsCBAIFAgYCBwIIAgkCJQILAgwCDQIIAggCCAIIAggCCAIIAggCCAIIAggCCAIIAggCCAIIAggCHgIDAn8CHgAC9QICAkQCBAIFAgYCBwIIAgkCCgILAgwCDQIIAggCCAIIAggCCAIIAggCCAIIAggCCAIIAggCCAIIAggCHgIDAoECHgAC9QICAjcCBAIFAgYCBwIIAgkCHAILAgwCDQIIAggCCAIIAggCCAIIAggCCAIIAggCCAIIAggCCAIIAggCHgIDAjgCHgAC9QICAlACBAIFAgYCBwIIAgkCJQILAgwCDQIIAggCCAIIAggCCAIIAggCCAIIAggCCAIIAggCCAIIAggCHgIDAmACHgAC9QICAgMCBAIFAgYCBwIIAgkCCgILAgwCDQIIAggCCAIIAggCCAIIAggCCAIIAggCCAIIAggCCAIIAggCHgIDAg4CHgAC9QICAiQCBAIFAgYCBwIIAgkCJQILAgwCDQIIAggCCAIIAggCCAIIAggCCAIIAggCCAIIAggCCAIIAggCHgIDAiYCHgAC9QICAikCBAIFAgYCBwIIAgkCHAILAgwCDQIIAggCCAIIAggCCAIIAggCCAIIAggCCAIIAggCCAIIAggCHgIDAioCHgAC9QICAh4CBAIFAgYCBwIIAgkCCgILAgwCDQIIAggCCAIIAggCCAIIAggCCAIIAggCCAIIAggCCAIIAggCHgIDAh8CHgAC9QICAiICBAIFAgYCBwIIAgkCHAILAgwCDQIIAggCCAIIAggCCAIIAggCCAIIAggCCAIIAggCCAIIAggCHgIDAmMCHgAC9QICAkYCBAIFAgYCBwIIAgkCJQILAgwCDQIIAggCCAIIAggCCAIIAggCCAIIAggCCAIIAggCCAIIAggCHgIDAmcCHgAC9QICAjkCBAIFAgYCBwIIAgkCCgILAgwCDQIIAggCCAIIAggCCAIIAggCCAIIAggCCAIIAggCCAIIAggCHgIDAmYCHgAC9QICAlACBAIFAgYCBwIIAgkCHAILAgwCDQIIAggCCAIIAggCCAIIAggCCAIIAggCCAIIAggCCHoAAAQAAggCCAIeAgMCbAIeAAL1AgICKwIEAgUCBgIHAggCCQIKAgsCDAINAggCCAIIAggCCAIIAggCCAIIAggCCAIIAggCCAIIAggCCAIeAgMCewIeAAL1AgICPQIEAgUCBgIHAggCCQIcAgsCDAINAggCCAIIAggCCAIIAggCCAIIAggCCAIIAggCCAIIAggCCAIeAgMCZQIeAAL1AgICNQIEAgUCBgIHAggCCQIcAgsCDAINAggCCAIIAggCCAIIAggCCAIIAggCCAIIAggCCAIIAggCCAIeAgMCawIeAAL1AgICGwIEAgUCBgIHAggCCQIKAgsCDAINAggCCAIIAggCCAIIAggCCAIIAggCCAIIAggCCAIIAggCCAIeAgMCcAIeAAL1AgICSAIEAgUCBgIHAggCCQIlAgsCDAINAggCCAIIAggCCAIIAggCCAIIAggCCAIIAggCCAIIAggCCAIeAgMCbwIeAAL1AgICRAIEAgUCBgIHAggCCQIlAgsCDAINAggCCAIIAggCCAIIAggCCAIIAggCCAIIAggCCAIIAggCCAIeAgMCagIeAAL1AgICSgIEAgUCBgIHAggCCQIlAgsCDAINAggCCAIIAggCCAIIAggCCAIIAggCCAIIAggCCAIIAggCCAIeAgMCbgIeAAL1AgICNwIEAgUCBgIHAggCCQIKAgsCDAINAggCCAIIAggCCAIIAggCCAIIAggCCAIIAggCCAIIAggCCAIeAgMCXgIeAAL1AgICKQIEAgUCBgIHAggCCQIlAgsCDAINAggCCAIIAggCCAIIAggCCAIIAggCCAIIAggCCAIIAggCCAIeAgMCQgIeAAL1AgICSgIEAgUCBgIHAggCCQIcAgsCDAINAggCCAIIAggCCAIIAggCCAIIAggCCAIIAggCCAIIAggCCAIeAgMCcgIeAAL1AgICKQIEAgUCBgIHAggCCQIKAgsCDAINAggCCAIIAggCCAIIAggCCAIIAggCCAIIAggCCAIIAggCCAIeAgMCIwIeAAL1AgICIAIEAgUCBgIHAggCCQIKAgsCDAINAggCCAIIAggCCAIIAggCCAIIAggCCAIIAggCCAIIAggCCAIeAgMCbQIeAAL1AgICRAIEAgUCBgIHAggCCQIcAgsCDAINAggCCAIIAggCCAIIAggCCAIIAggCCAIIAggCCAIIAggCCAIeAgMCRQIeAAL1AgICRgIEAgUCBgIHAggCCQIcAgsCDAINAggCCAIIAggCCAIIAggCCAIIAggCCAIIAggCCAIIAggCCAIeAgMCdAIeAAL1AgICTgIEAgUCBgIHAggCCQIlAgsCDAINAggCCAIIAggCCAIIAggCCAIIAnoAAAQACAIIAggCCAIIAggCCAIIAh4CAwJPAh4AAvUCAgIzAgQCBQIGAgcCCAIJAgoCCwIMAg0CCAIIAggCCAIIAggCCAIIAggCCAIIAggCCAIIAggCCAIIAh4CAwJ2Ah4AAvUCAgJVAgQCBQIGAgcCCAIJAiUCCwIMAg0CCAIIAggCCAIIAggCCAIIAggCCAIIAggCCAIIAggCCAIIAh4CAwJ3Ah4AAvUCAgJXAgQCBQIGAgcCCAIJAiUCCwIMAg0CCAIIAggCCAIIAggCCAIIAggCCAIIAggCCAIIAggCCAIIAh4CAwJpAh4AAvUCAgJMAgQCBQIGAgcCCAIJAiUCCwIMAg0CCAIIAggCCAIIAggCCAIIAggCCAIIAggCCAIIAggCCAIIAh4CAwJNAh4AAvUCAgI1AgQCBQIGAgcCCAIJAiUCCwIMAg0CCAIIAggCCAIIAggCCAIIAggCCAIIAggCCAIIAggCCAIIAh4CAwJSAh4AAvUCAgI9AgQCBQIGAgcCCAIJAiUCCwIMAg0CCAIIAggCCAIIAggCCAIIAggCCAIIAggCCAIIAggCCAIIAh4CAwJTAh4AAvUCAgJXAgQCBQIGAgcCCAIJAhwCCwIMAg0CCAIIAggCCAIIAggCCAIIAggCCAIIAggCCAIIAggCCAIIAh4CAwJYAh4AAvUCAgI7AgQCBQIGAgcCCAIJAgoCCwIMAg0CCAIIAggCCAIIAggCCAIIAggCCAIIAggCCAIIAggCCAIIAh4CAwJUAh4AAvUCAgItAgQCBQIGAgcCCAIJAhwCCwIMAg0CCAIIAggCCAIIAggCCAIIAggCCAIIAggCCAIIAggCCAIIAh4CAwJbAh4AAvUCAgJIAgQCBQIGAgcCCAIJAhwCCwIMAg0CCAIIAggCCAIIAggCCAIIAggCCAIIAggCCAIIAggCCAIIAh4CAwJJAh4AAvUCAgIvAgQCBQIGAgcCCAIJAhwCCwIMAg0CCAIIAggCCAIIAggCCAIIAggCCAIIAggCCAIIAggCCAIIAh4CAwJdAh4AAvUCAgIiAgQCBQIGAgcCCAIJAgoCCwIMAg0CCAIIAggCCAIIAggCCAIIAggCCAIIAggCCAIIAggCCAIIAh4CAwIjAh4AAvUCAgIkAgQCBQIGAgcCCAIJAgoCCwIMAg0CCAIIAggCCAIIAggCCAIIAggCCAIIAggCCAIIAggCCAIIAh4CAwIjAh4AAvUCAgI3AgQCBQIGAgcCCAIJAiUCCwIMAg0CCAIIAggCCAIIAggCCAIIAggCCAIIAggCCAIIAggCCAIIAh4CAwJBAh4AAvUCAgInAgQCBQIGAgcCCAIJAgoCCwIMAg0CCAIIAggCCHoAAAQAAggCCAIIAggCCAIIAggCCAIIAggCCAIIAggCHgIDAlwCHgAC9QICAiACBAIFAgYCBwIIAgkCHAILAgwCDQIIAggCCAIIAggCCAIIAggCCAIIAggCCAIIAggCCAIIAggCHgIDAiECHgAC9QICAkoCBAIFAgYCBwIIAgkCCgILAgwCDQIIAggCCAIIAggCCAIIAggCCAIIAggCCAIIAggCCAIIAggCHgIDAksCHgAC9QICAgMCBAIFAgYCBwIIAgkCHAILAgwCDQIIAggCCAIIAggCCAIIAggCCAIIAggCCAIIAggCCAIIAggCHgIDAl8CHgAC9QICAkwCBAIFAgYCBwIIAgkCCgILAgwCDQIIAggCCAIIAggCCAIIAggCCAIIAggCCAIIAggCCAIIAggCHgIDAmQCHgAC9QICAhsCBAIFAgYCBwIIAgkCHAILAgwCDQIIAggCCAIIAggCCAIIAggCCAIIAggCCAIIAggCCAIIAggCHgIDAh0CHgAC9QICAk4CBAIFAgYCBwIIAgkCCgILAgwCDQIIAggCCAIIAggCCAIIAggCCAIIAggCCAIIAggCCAIIAggCHgIDAmICHgAC9QICAjMCBAIFAgYCBwIIAgkCJQILAgwCDQIIAggCCAIIAggCCAIIAggCCAIIAggCCAIIAggCCAIIAggCHgIDAlkCHgAC9QICAlUCBAIFAgYCBwIIAgkCHAILAgwCDQIIAggCCAIIAggCCAIIAggCCAIIAggCCAIIAggCCAIIAggCHgIDAlYCHgAC9QICAh4CBAIFAgYCBwIIAgkCHAILAgwCDQIIAggCCAIIAggCCAIIAggCCAIIAggCCAIIAggCCAIIAggCHgIDAmECHgAC9QICAisCBAIFAgYCBwIIAgkCJQILAgwCDQIIAggCCAIIAggCCAIIAggCCAIIAggCCAIIAggCCAIIAggCHgIDAiwCHgAC9gAJMTcxNjcxMTQ0AgICRgIEAgUCBgIHAggCCQKwAgsCmAINAggCCAIIAggCCAIIAggCCAIIAggCCAIIAggCCAIIAggCCAIZAgMCygIeAAL2AgICIgIEAgUCBgIHAggCCQIcAgsCmAINAggCCAIIAggCCAIIAggCCAIIAggCCAIIAggCCAIIAggCCAIZAgMCzAIeAAL2AgICAwIEAgUCBgIHAggCCQIcAgsCmAINAggCCAIIAggCCAIIAggCCAIIAggCCAIIAggCCAIIAggCCAIZAgMCvQIeAAL2AgICNQIEAgUCBgIHAggCCQIlAgsCmAINAggCCAIIAggCCAIIAggCCAIIAggCCAIIAggCCAIIAggCCAIZAgMCwAIeAAL2AgICPQIEAgUCBnoAAAQAAgcCCAIJAiUCCwKYAg0CCAIIAggCCAIIAggCCAIIAggCCAIIAggCCAIIAggCCAIIAhkCAwKaAh4AAvYCAgJKAgQCBQIGAgcCCAIJArACCwKYAg0CCAIIAggCCAIIAggCCAIIAggCCAIIAggCCAIIAggCCAIIAhkCAwLFAh4AAvYCAgI7AgQCBQIGAgcCCAIJAhwCCwKYAg0CCAIIAggCCAIIAggCCAIIAggCCAIIAggCCAIIAggCCAIIAhkCAwLIAh4AAvYCAgJEAgQCBQIGAgcCCAIJArACCwKYAg0CCAIIAggCCAIIAggCCAIIAggCCAIIAggCCAIIAggCCAIIAhkCAwLpAh4AAvYCAgI9AgQCBQIGAgcCCAIJArACCwKYAg0CCAIIAggCCAIIAggCCAIIAggCCAIIAggCCAIIAggCCAIIAhkCAwK/Ah4AAvYCAgJKAgQCBQIGAgcCCAIJAiUCCwKYAg0CCAIIAggCCAIIAggCCAIIAggCCAIIAggCCAIIAggCCAIIAhkCAwLoAh4AAvYCAgJIAgQCBQIGAgcCCAIJArACCwKYAg0CCAIIAggCCAIIAggCCAIIAggCCAIIAggCCAIIAggCCAIIAhkCAwLHAh4AAvYCAgJVAgQCBQIGAgcCCAIJArACCwKYAg0CCAIIAggCCAIIAggCCAIIAggCCAIIAggCCAIIAggCCAIIAhkCAwLBAh4AAvYCAgIkAgQCBQIGAgcCCAIJAhwCCwKYAg0CCAIIAggCCAIIAggCCAIIAggCCAIIAggCCAIIAggCCAIIAhkCAwLuAh4AAvYCAgKDAgQCBQIGAgcCCAIJArACCwKYAg0CCAIIAggCCAIIAggCCAIIAggCCAIIAggCCAIIAggCCAIIAhkCAwIjAh4AAvYCAgJMAgQCBQIGAgcCCAIJArACCwKYAg0CCAIIAggCCAIIAggCCAIIAggCCAIIAggCCAIIAggCCAIIAhkCAwLlAh4AAvYCAgJVAgQCBQIGAgcCCAIJAiUCCwKYAg0CCAIIAggCCAIIAggCCAIIAggCCAIIAggCCAIIAggCCAIIAhkCAwLmAh4AAvYCAgIDAgQCBQIGAgcCCAIJAiUCCwKYAg0CCAIIAggCCAIIAggCCAIIAggCCAIIAggCCAIIAggCCAIIAhkCAwKiAh4AAvYCAgJXAgQCBQIGAgcCCAIJAiUCCwKYAg0CCAIIAggCCAIIAggCCAIIAggCCAIIAggCCAIIAggCCAIIAhkCAwKdAh4AAvYCAgIeAgQCBQIGAgcCCAIJAiUCCwKYAg0CCAIIAggCCAIIAggCCAIIAggCCAIIAggCCAIIAggCCAIIAhkCAwLNAh4AAnoAAAQA9gICAk4CBAIFAgYCBwIIAgkCsAILApgCDQIIAggCCAIIAggCCAIIAggCCAIIAggCCAIIAggCCAIIAggCGQIDAsMCHgAC9gICAgMCBAIFAgYCBwIIAgkCsAILApgCDQIIAggCCAIIAggCCAIIAggCCAIIAggCCAIIAggCCAIIAggCGQIDAtUCHgAC9gICAlcCBAIFAgYCBwIIAgkCsAILApgCDQIIAggCCAIIAggCCAIIAggCCAIIAggCCAIIAggCCAIIAggCGQIDAiMCHgAC9gICAh4CBAIFAgYCBwIIAgkCsAILApgCDQIIAggCCAIIAggCCAIIAggCCAIIAggCCAIIAggCCAIIAggCGQIDArICHgAC9gICAoMCBAIFAgYCBwIIAgkCJQILApgCDQIIAggCCAIIAggCCAIIAggCCAIIAggCCAIIAggCCAIIAggCGQIDAqECHgAC9gICAicCBAIFAgYCBwIIAgkCHAILApgCDQIIAggCCAIIAggCCAIIAggCCAIIAggCCAIIAggCCAIIAggCGQIDAs4CHgAC9gICAo4CBAIFAgYCBwIIAgkCsAILApgCDQIIAggCCAIIAggCCAIIAggCCAIIAggCCAIIAggCCAIIAggCGQIDAiMCHgAC9gICAj8CBAIFAgYCBwIIAgkCHAILApgCDQIIAggCCAIIAggCCAIIAggCCAIIAggCCAIIAggCCAIIAggCGQIDAqwCHgAC9gICAhsCBAIFAgYCBwIIAgkCsAILApgCDQIIAggCCAIIAggCCAIIAggCCAIIAggCCAIIAggCCAIIAggCGQIDAtACHgAC9gICAkoCBAIFAgYCBwIIAgkCHAILApgCDQIIAggCCAIIAggCCAIIAggCCAIIAggCCAIIAggCCAIIAggCGQIDAu8CHgAC9gICAjsCBAIFAgYCBwIIAgkCsAILApgCDQIIAggCCAIIAggCCAIIAggCCAIIAggCCAIIAggCCAIIAggCGQIDAtICHgAC9gICAiACBAIFAgYCBwIIAgkCsAILApgCDQIIAggCCAIIAggCCAIIAggCCAIIAggCCAIIAggCCAIIAggCGQIDAvECHgAC9gICAjsCBAIFAgYCBwIIAgkCJQILApgCDQIIAggCCAIIAggCCAIIAggCCAIIAggCCAIIAggCCAIIAggCGQIDArYCHgAC9gICAiACBAIFAgYCBwIIAgkCJQILApgCDQIIAggCCAIIAggCCAIIAggCCAIIAggCCAIIAggCCAIIAggCGQIDAtECHgAC9gICAjUCBAIFAgYCBwIIAgkCHAILApgCDQIIAggCCAIIAggCCAIIAggCCAIIAggCCAIIAggCCAIIAnoAAAQACAIZAgMC4QIeAAL2AgICJAIEAgUCBgIHAggCCQIlAgsCmAINAggCCAIIAggCCAIIAggCCAIIAggCCAIIAggCCAIIAggCCAIZAgMCpwIeAAL2AgICPQIEAgUCBgIHAggCCQIcAgsCmAINAggCCAIIAggCCAIIAggCCAIIAggCCAIIAggCCAIIAggCCAIZAgMCwgIeAAL2AgICUAIEAgUCBgIHAggCCQIlAgsCmAINAggCCAIIAggCCAIIAggCCAIIAggCCAIIAggCCAIIAggCCAIZAgMCpAIeAAL2AgICOQIEAgUCBgIHAggCCQIlAgsCmAINAggCCAIIAggCCAIIAggCCAIIAggCCAIIAggCCAIIAggCCAIZAgMCngIeAAL2AgICRgIEAgUCBgIHAggCCQIlAgsCmAINAggCCAIIAggCCAIIAggCCAIIAggCCAIIAggCCAIIAggCCAIZAgMC5wIeAAL2AgICTAIEAgUCBgIHAggCCQIcAgsCmAINAggCCAIIAggCCAIIAggCCAIIAggCCAIIAggCCAIIAggCCAIZAgMCywIeAAL2AgICOQIEAgUCBgIHAggCCQKwAgsCmAINAggCCAIIAggCCAIIAggCCAIIAggCCAIIAggCCAIIAggCCAIZAgMCyQIeAAL2AgICUAIEAgUCBgIHAggCCQKwAgsCmAINAggCCAIIAggCCAIIAggCCAIIAggCCAIIAggCCAIIAggCCAIZAgMC7QIeAAL2AgICMwIEAgUCBgIHAggCCQIlAgsCmAINAggCCAIIAggCCAIIAggCCAIIAggCCAIIAggCCAIIAggCCAIZAgMCpQIeAAL2AgICKwIEAgUCBgIHAggCCQIlAgsCmAINAggCCAIIAggCCAIIAggCCAIIAggCCAIIAggCCAIIAggCCAIZAgMCvAIeAAL2AgICgwIEAgUCBgIHAggCCQIcAgsCmAINAggCCAIIAggCCAIIAggCCAIIAggCCAIIAggCCAIIAggCCAIZAgMCzwIeAAL2AgICJAIEAgUCBgIHAggCCQKwAgsCmAINAggCCAIIAggCCAIIAggCCAIIAggCCAIIAggCCAIIAggCCAIZAgMCIwIeAAL2AgICTgIEAgUCBgIHAggCCQIcAgsCmAINAggCCAIIAggCCAIIAggCCAIIAggCCAIIAggCCAIIAggCCAIZAgMC7AIeAAL2AgICKQIEAgUCBgIHAggCCQIcAgsCmAINAggCCAIIAggCCAIIAggCCAIIAggCCAIIAggCCAIIAggCCAIZAgMC2AIeAAL2AgICPwIEAgUCBgIHAggCCQIlAgsCmAINAggCCAIIAggCCAIIAggCCAIIAggCCHoAAAQAAggCCAIIAggCCAIIAhkCAwKfAh4AAvYCAgIgAgQCBQIGAgcCCAIJAhwCCwKYAg0CCAIIAggCCAIIAggCCAIIAggCCAIIAggCCAIIAggCCAIIAhkCAwLXAh4AAvYCAgInAgQCBQIGAgcCCAIJArACCwKYAg0CCAIIAggCCAIIAggCCAIIAggCCAIIAggCCAIIAggCCAIIAhkCAwLWAh4AAvYCAgI3AgQCBQIGAgcCCAIJAhwCCwKYAg0CCAIIAggCCAIIAggCCAIIAggCCAIIAggCCAIIAggCCAIIAhkCAwKzAh4AAvYCAgInAgQCBQIGAgcCCAIJAiUCCwKYAg0CCAIIAggCCAIIAggCCAIIAggCCAIIAggCCAIIAggCCAIIAhkCAwKoAh4AAvYCAgKOAgQCBQIGAgcCCAIJAiUCCwKYAg0CCAIIAggCCAIIAggCCAIIAggCCAIIAggCCAIIAggCCAIIAhkCAwKpAh4AAvYCAgIbAgQCBQIGAgcCCAIJAiUCCwKYAg0CCAIIAggCCAIIAggCCAIIAggCCAIIAggCCAIIAggCCAIIAhkCAwKbAh4AAvYCAgI5AgQCBQIGAgcCCAIJAhwCCwKYAg0CCAIIAggCCAIIAggCCAIIAggCCAIIAggCCAIIAggCCAIIAhkCAwKuAh4AAvYCAgJIAgQCBQIGAgcCCAIJAhwCCwKYAg0CCAIIAggCCAIIAggCCAIIAggCCAIIAggCCAIIAggCCAIIAhkCAwLeAh4AAvYCAgIvAgQCBQIGAgcCCAIJArACCwKYAg0CCAIIAggCCAIIAggCCAIIAggCCAIIAggCCAIIAggCCAIIAhkCAwIjAh4AAvYCAgJEAgQCBQIGAgcCCAIJAhwCCwKYAg0CCAIIAggCCAIIAggCCAIIAggCCAIIAggCCAIIAggCCAIIAhkCAwK7Ah4AAvYCAgIzAgQCBQIGAgcCCAIJAhwCCwKYAg0CCAIIAggCCAIIAggCCAIIAggCCAIIAggCCAIIAggCCAIIAhkCAwLTAh4AAvYCAgIrAgQCBQIGAgcCCAIJAhwCCwKYAg0CCAIIAggCCAIIAggCCAIIAggCCAIIAggCCAIIAggCCAIIAhkCAwKtAh4AAvYCAgJOAgQCBQIGAgcCCAIJAiUCCwKYAg0CCAIIAggCCAIIAggCCAIIAggCCAIIAggCCAIIAggCCAIIAhkCAwKjAh4AAvYCAgItAgQCBQIGAgcCCAIJAiUCCwKYAg0CCAIIAggCCAIIAggCCAIIAggCCAIIAggCCAIIAggCCAIIAhkCAwKcAh4AAvYCAgJMAgQCBQIGAgcCCAIJAiUCCwKYAg0CCAIIAggCCAIIAnoAAAQACAIIAggCCAIIAggCCAIIAggCCAIIAggCGQIDAsQCHgAC9gICAi0CBAIFAgYCBwIIAgkCsAILApgCDQIIAggCCAIIAggCCAIIAggCCAIIAggCCAIIAggCCAIIAggCGQIDArECHgAC9gICAiICBAIFAgYCBwIIAgkCsAILApgCDQIIAggCCAIIAggCCAIIAggCCAIIAggCCAIIAggCCAIIAggCGQIDAiMCHgAC9gICAlACBAIFAgYCBwIIAgkCHAILApgCDQIIAggCCAIIAggCCAIIAggCCAIIAggCCAIIAggCCAIIAggCGQIDAsYCHgAC9gICAkYCBAIFAgYCBwIIAgkCHAILApgCDQIIAggCCAIIAggCCAIIAggCCAIIAggCCAIIAggCCAIIAggCGQIDAuMCHgAC9gICAjcCBAIFAgYCBwIIAgkCsAILApgCDQIIAggCCAIIAggCCAIIAggCCAIIAggCCAIIAggCCAIIAggCGQIDAt8CHgAC9gICAi8CBAIFAgYCBwIIAgkCJQILApgCDQIIAggCCAIIAggCCAIIAggCCAIIAggCCAIIAggCCAIIAggCGQIDAqACHgAC9gICAiICBAIFAgYCBwIIAgkCJQILApgCDQIIAggCCAIIAggCCAIIAggCCAIIAggCCAIIAggCCAIIAggCGQIDAqoCHgAC9gICAikCBAIFAgYCBwIIAgkCJQILApgCDQIIAggCCAIIAggCCAIIAggCCAIIAggCCAIIAggCCAIIAggCGQIDAqYCHgAC9gICAjcCBAIFAgYCBwIIAgkCJQILApgCDQIIAggCCAIIAggCCAIIAggCCAIIAggCCAIIAggCCAIIAggCGQIDAr4CHgAC9gICAkgCBAIFAgYCBwIIAgkCJQILApgCDQIIAggCCAIIAggCCAIIAggCCAIIAggCCAIIAggCCAIIAggCGQIDAusCHgAC9gICAkQCBAIFAgYCBwIIAgkCJQILApgCDQIIAggCCAIIAggCCAIIAggCCAIIAggCCAIIAggCCAIIAggCGQIDApkCHgAC9gICAikCBAIFAgYCBwIIAgkCsAILApgCDQIIAggCCAIIAggCCAIIAggCCAIIAggCCAIIAggCCAIIAggCGQIDAiMCHgAC9gICAjUCBAIFAgYCBwIIAgkCsAILApgCDQIIAggCCAIIAggCCAIIAggCCAIIAggCCAIIAggCCAIIAggCGQIDAuACHgAC9gICAi8CBAIFAgYCBwIIAgkCHAILApgCDQIIAggCCAIIAggCCAIIAggCCAIIAggCCAIIAggCCAIIAggCGQIDArgCHgAC9gICAi0CBAIFAgYCBwIIAgkCHAILApgCDXoAAAQAAggCCAIIAggCCAIIAggCCAIIAggCCAIIAggCCAIIAggCCAIZAgMC2wIeAAL2AgICVwIEAgUCBgIHAggCCQIcAgsCmAINAggCCAIIAggCCAIIAggCCAIIAggCCAIIAggCCAIIAggCCAIZAgMCugIeAAL2AgICGwIEAgUCBgIHAggCCQIcAgsCmAINAggCCAIIAggCCAIIAggCCAIIAggCCAIIAggCCAIIAggCCAIZAgMCtAIeAAL2AgICPwIEAgUCBgIHAggCCQKwAgsCmAINAggCCAIIAggCCAIIAggCCAIIAggCCAIIAggCCAIIAggCCAIZAgMCIwIeAAL2AgICjgIEAgUCBgIHAggCCQIcAgsCmAINAggCCAIIAggCCAIIAggCCAIIAggCCAIIAggCCAIIAggCCAIZAgMC1AIeAAL2AgICKwIEAgUCBgIHAggCCQKwAgsCmAINAggCCAIIAggCCAIIAggCCAIIAggCCAIIAggCCAIIAggCCAIZAgMC2QIeAAL2AgICHgIEAgUCBgIHAggCCQIcAgsCmAINAggCCAIIAggCCAIIAggCCAIIAggCCAIIAggCCAIIAggCCAIZAgMC3QIeAAL2AgICVQIEAgUCBgIHAggCCQIcAgsCmAINAggCCAIIAggCCAIIAggCCAIIAggCCAIIAggCCAIIAggCCAIZAgMC2gIeAAL2AgICMwIEAgUCBgIHAggCCQKwAgsCmAINAggCCAIIAggCCAIIAggCCAIIAggCCAIIAggCCAIIAggCCAIZAgMCtwIeAAL3AAkxNzE2Njk5ODQCAgJXAgQCBQIGAgcCCAIJAhwCCwIMAg0CCAIIAggCCAIIAggCCAIIAggCCAIIAggCCAIIAggCCAIIAhgCAwJYAh4AAvcCAgItAgQCBQIGAgcCCAIJAgoCCwIMAg0CCAIIAggCCAIIAggCCAIIAggCCAIIAggCCAIIAggCCAIIAhgCAwIuAh4AAvcCAgI7AgQCBQIGAgcCCAIJAgoCCwIMAg0CCAIIAggCCAIIAggCCAIIAggCCAIIAggCCAIIAggCCAIIAhgCAwJUAh4AAvcCAgKDAgQCBQIGAgcCCAIJAhwCCwIMAg0CCAIIAggCCAIIAggCCAIIAggCCAIIAggCCAIIAggCCAIIAhgCAwKEAh4AAvcCAgIzAgQCBQIGAgcCCAIJAiUCCwIMAg0CCAIIAggCCAIIAggCCAIIAggCCAIIAggCCAIIAggCCAIIAhgCAwJZAh4AAvcCAgI/AgQCBQIGAgcCCAIJAiUCCwIMAg0CCAIIAggCCAIIAggCCAIIAggCCAIIAggCCAIIAggCCAIIAhgCAwJaAh4AAvcCAnoAAAQAAk4CBAIFAgYCBwIIAgkCHAILAgwCDQIIAggCCAIIAggCCAIIAggCCAIIAggCCAIIAggCCAIIAggCGAIDAnkCHgAC9wICAisCBAIFAgYCBwIIAgkCJQILAgwCDQIIAggCCAIIAggCCAIIAggCCAIIAggCCAIIAggCCAIIAggCGAIDAiwCHgAC9wICAi8CBAIFAgYCBwIIAgkCCgILAgwCDQIIAggCCAIIAggCCAIIAggCCAIIAggCCAIIAggCCAIIAggCGAIDAiMCHgAC9wICAkwCBAIFAgYCBwIIAgkCHAILAgwCDQIIAggCCAIIAggCCAIIAggCCAIIAggCCAIIAggCCAIIAggCGAIDAn0CHgAC9wICAlUCBAIFAgYCBwIIAgkCHAILAgwCDQIIAggCCAIIAggCCAIIAggCCAIIAggCCAIIAggCCAIIAggCGAIDAlYCHgAC9wICAjkCBAIFAgYCBwIIAgkCJQILAgwCDQIIAggCCAIIAggCCAIIAggCCAIIAggCCAIIAggCCAIIAggCGAIDAnoCHgAC9wICAkwCBAIFAgYCBwIIAgkCJQILAgwCDQIIAggCCAIIAggCCAIIAggCCAIIAggCCAIIAggCCAIIAggCGAIDAk0CHgAC9wICAjcCBAIFAgYCBwIIAgkCJQILAgwCDQIIAggCCAIIAggCCAIIAggCCAIIAggCCAIIAggCCAIIAggCGAIDAkECHgAC9wICAicCBAIFAgYCBwIIAgkCCgILAgwCDQIIAggCCAIIAggCCAIIAggCCAIIAggCCAIIAggCCAIIAggCGAIDAlwCHgAC9wICAkgCBAIFAgYCBwIIAgkCHAILAgwCDQIIAggCCAIIAggCCAIIAggCCAIIAggCCAIIAggCCAIIAggCGAIDAkkCHgAC9wICAkQCBAIFAgYCBwIIAgkCHAILAgwCDQIIAggCCAIIAggCCAIIAggCCAIIAggCCAIIAggCCAIIAggCGAIDAkUCHgAC9wICAisCBAIFAgYCBwIIAgkCCgILAgwCDQIIAggCCAIIAggCCAIIAggCCAIIAggCCAIIAggCCAIIAggCGAIDAnsCHgAC9wICAo4CBAIFAgYCBwIIAgkCJQILAgwCDQIIAggCCAIIAggCCAIIAggCCAIIAggCCAIIAggCCAIIAggCGAIDApMCHgAC9wICAiACBAIFAgYCBwIIAgkCJQILAgwCDQIIAggCCAIIAggCCAIIAggCCAIIAggCCAIIAggCCAIIAggCGAIDAn4CHgAC9wICAiQCBAIFAgYCBwIIAgkCCgILAgwCDQIIAggCCAIIAggCCAIIAggCCAIIAggCCAIIAggCCAIIAggCGHoAAAQAAgMCIwIeAAL3AgICGwIEAgUCBgIHAggCCQIlAgsCDAINAggCCAIIAggCCAIIAggCCAIIAggCCAIIAggCCAIIAggCCAIYAgMCfwIeAAL3AgICSgIEAgUCBgIHAggCCQIcAgsCDAINAggCCAIIAggCCAIIAggCCAIIAggCCAIIAggCCAIIAggCCAIYAgMCcgIeAAL3AgICKQIEAgUCBgIHAggCCQIlAgsCDAINAggCCAIIAggCCAIIAggCCAIIAggCCAIIAggCCAIIAggCCAIYAgMCQgIeAAL3AgICOQIEAgUCBgIHAggCCQIKAgsCDAINAggCCAIIAggCCAIIAggCCAIIAggCCAIIAggCCAIIAggCCAIYAgMCZgIeAAL3AgICPwIEAgUCBgIHAggCCQIcAgsCDAINAggCCAIIAggCCAIIAggCCAIIAggCCAIIAggCCAIIAggCCAIYAgMCQAIeAAL3AgICMwIEAgUCBgIHAggCCQIcAgsCDAINAggCCAIIAggCCAIIAggCCAIIAggCCAIIAggCCAIIAggCCAIYAgMCNAIeAAL3AgICPQIEAgUCBgIHAggCCQIcAgsCDAINAggCCAIIAggCCAIIAggCCAIIAggCCAIIAggCCAIIAggCCAIYAgMCZQIeAAL3AgICIAIEAgUCBgIHAggCCQIKAgsCDAINAggCCAIIAggCCAIIAggCCAIIAggCCAIIAggCCAIIAggCCAIYAgMCbQIeAAL3AgICTgIEAgUCBgIHAggCCQIlAgsCDAINAggCCAIIAggCCAIIAggCCAIIAggCCAIIAggCCAIIAggCCAIYAgMCTwIeAAL3AgICKwIEAgUCBgIHAggCCQIcAgsCDAINAggCCAIIAggCCAIIAggCCAIIAggCCAIIAggCCAIIAggCCAIYAgMCMQIeAAL3AgICUAIEAgUCBgIHAggCCQIlAgsCDAINAggCCAIIAggCCAIIAggCCAIIAggCCAIIAggCCAIIAggCCAIYAgMCYAIeAAL3AgICKQIEAgUCBgIHAggCCQIcAgsCDAINAggCCAIIAggCCAIIAggCCAIIAggCCAIIAggCCAIIAggCCAIYAgMCKgIeAAL3AgICRgIEAgUCBgIHAggCCQIlAgsCDAINAggCCAIIAggCCAIIAggCCAIIAggCCAIIAggCCAIIAggCCAIYAgMCZwIeAAL3AgICgwIEAgUCBgIHAggCCQIlAgsCDAINAggCCAIIAggCCAIIAggCCAIIAggCCAIIAggCCAIIAggCCAIYAgMCiQIeAAL3AgICAwIEAgUCBgIHAggCCQIKAgsCDAINAggCCAIIAggCCAIIAggCCAIIAggCCAIIAnoAAAQACAIIAggCCAIIAhgCAwIOAh4AAvcCAgIiAgQCBQIGAgcCCAIJAhwCCwIMAg0CCAIIAggCCAIIAggCCAIIAggCCAIIAggCCAIIAggCCAIIAhgCAwJjAh4AAvcCAgIeAgQCBQIGAgcCCAIJAgoCCwIMAg0CCAIIAggCCAIIAggCCAIIAggCCAIIAggCCAIIAggCCAIIAhgCAwIfAh4AAvcCAgJKAgQCBQIGAgcCCAIJAiUCCwIMAg0CCAIIAggCCAIIAggCCAIIAggCCAIIAggCCAIIAggCCAIIAhgCAwJuAh4AAvcCAgKOAgQCBQIGAgcCCAIJAgoCCwIMAg0CCAIIAggCCAIIAggCCAIIAggCCAIIAggCCAIIAggCCAIIAhgCAwIjAh4AAvcCAgIbAgQCBQIGAgcCCAIJAgoCCwIMAg0CCAIIAggCCAIIAggCCAIIAggCCAIIAggCCAIIAggCCAIIAhgCAwJwAh4AAvcCAgIkAgQCBQIGAgcCCAIJAiUCCwIMAg0CCAIIAggCCAIIAggCCAIIAggCCAIIAggCCAIIAggCCAIIAhgCAwImAh4AAvcCAgI7AgQCBQIGAgcCCAIJAiUCCwIMAg0CCAIIAggCCAIIAggCCAIIAggCCAIIAggCCAIIAggCCAIIAhgCAwI8Ah4AAvcCAgI1AgQCBQIGAgcCCAIJAhwCCwIMAg0CCAIIAggCCAIIAggCCAIIAggCCAIIAggCCAIIAggCCAIIAhgCAwJrAh4AAvcCAgInAgQCBQIGAgcCCAIJAiUCCwIMAg0CCAIIAggCCAIIAggCCAIIAggCCAIIAggCCAIIAggCCAIIAhgCAwIoAh4AAvcCAgI3AgQCBQIGAgcCCAIJAhwCCwIMAg0CCAIIAggCCAIIAggCCAIIAggCCAIIAggCCAIIAggCCAIIAhgCAwI4Ah4AAvcCAgI7AgQCBQIGAgcCCAIJAhwCCwIMAg0CCAIIAggCCAIIAggCCAIIAggCCAIIAggCCAIIAggCCAIIAhgCAwJ8Ah4AAvcCAgItAgQCBQIGAgcCCAIJAhwCCwIMAg0CCAIIAggCCAIIAggCCAIIAggCCAIIAggCCAIIAggCCAIIAhgCAwJbAh4AAvcCAgI1AgQCBQIGAgcCCAIJAiUCCwIMAg0CCAIIAggCCAIIAggCCAIIAggCCAIIAggCCAIIAggCCAIIAhgCAwJSAh4AAvcCAgJXAgQCBQIGAgcCCAIJAgoCCwIMAg0CCAIIAggCCAIIAggCCAIIAggCCAIIAggCCAIIAggCCAIIAhgCAwIjAh4AAvcCAgJVAgQCBQIGAgcCCAIJAgoCCwIMAg0CCAIIAggCCAIIAggCCHoAAAQAAggCCAIIAggCCAIIAggCCAIIAggCGAIDAmgCHgAC9wICAkgCBAIFAgYCBwIIAgkCCgILAgwCDQIIAggCCAIIAggCCAIIAggCCAIIAggCCAIIAggCCAIIAggCGAIDAoACHgAC9wICAkQCBAIFAgYCBwIIAgkCCgILAgwCDQIIAggCCAIIAggCCAIIAggCCAIIAggCCAIIAggCCAIIAggCGAIDAoECHgAC9wICAi8CBAIFAgYCBwIIAgkCHAILAgwCDQIIAggCCAIIAggCCAIIAggCCAIIAggCCAIIAggCCAIIAggCGAIDAl0CHgAC9wICAkoCBAIFAgYCBwIIAgkCCgILAgwCDQIIAggCCAIIAggCCAIIAggCCAIIAggCCAIIAggCCAIIAggCGAIDAksCHgAC9wICAh4CBAIFAgYCBwIIAgkCJQILAgwCDQIIAggCCAIIAggCCAIIAggCCAIIAggCCAIIAggCCAIIAggCGAIDAngCHgAC9wICAoMCBAIFAgYCBwIIAgkCCgILAgwCDQIIAggCCAIIAggCCAIIAggCCAIIAggCCAIIAggCCAIIAggCGAIDAiMCHgAC9wICAh4CBAIFAgYCBwIIAgkCHAILAgwCDQIIAggCCAIIAggCCAIIAggCCAIIAggCCAIIAggCCAIIAggCGAIDAmECHgAC9wICAgMCBAIFAgYCBwIIAgkCJQILAgwCDQIIAggCCAIIAggCCAIIAggCCAIIAggCCAIIAggCCAIIAggCGAIDAnECHgAC9wICAicCBAIFAgYCBwIIAgkCHAILAgwCDQIIAggCCAIIAggCCAIIAggCCAIIAggCCAIIAggCCAIIAggCGAIDAnMCHgAC9wICAiQCBAIFAgYCBwIIAgkCHAILAgwCDQIIAggCCAIIAggCCAIIAggCCAIIAggCCAIIAggCCAIIAggCGAIDAnUCHgAC9wICAlACBAIFAgYCBwIIAgkCCgILAgwCDQIIAggCCAIIAggCCAIIAggCCAIIAggCCAIIAggCCAIIAggCGAIDAlECHgAC9wICAkYCBAIFAgYCBwIIAgkCCgILAgwCDQIIAggCCAIIAggCCAIIAggCCAIIAggCCAIIAggCCAIIAggCGAIDAkcCHgAC9wICAgMCBAIFAgYCBwIIAgkCHAILAgwCDQIIAggCCAIIAggCCAIIAggCCAIIAggCCAIIAggCCAIIAggCGAIDAl8CHgAC9wICAiICBAIFAgYCBwIIAgkCJQILAgwCDQIIAggCCAIIAggCCAIIAggCCAIIAggCCAIIAggCCAIIAggCGAIDAkMCHgAC9wICAj0CBAIFAgYCBwIIAgkCJQILAgwCDQIIAnoAAAQACAIIAggCCAIIAggCCAIIAggCCAIIAggCCAIIAggCCAIYAgMCUwIeAAL3AgICNQIEAgUCBgIHAggCCQIKAgsCDAINAggCCAIIAggCCAIIAggCCAIIAggCCAIIAggCCAIIAggCCAIYAgMCNgIeAAL3AgICPQIEAgUCBgIHAggCCQIKAgsCDAINAggCCAIIAggCCAIIAggCCAIIAggCCAIIAggCCAIIAggCCAIYAgMCPgIeAAL3AgICSAIEAgUCBgIHAggCCQIlAgsCDAINAggCCAIIAggCCAIIAggCCAIIAggCCAIIAggCCAIIAggCCAIYAgMCbwIeAAL3AgICLwIEAgUCBgIHAggCCQIlAgsCDAINAggCCAIIAggCCAIIAggCCAIIAggCCAIIAggCCAIIAggCCAIYAgMCMAIeAAL3AgICMwIEAgUCBgIHAggCCQIKAgsCDAINAggCCAIIAggCCAIIAggCCAIIAggCCAIIAggCCAIIAggCCAIYAgMCdgIeAAL3AgICPwIEAgUCBgIHAggCCQIKAgsCDAINAggCCAIIAggCCAIIAggCCAIIAggCCAIIAggCCAIIAggCCAIYAgMCIwIeAAL3AgICUAIEAgUCBgIHAggCCQIcAgsCDAINAggCCAIIAggCCAIIAggCCAIIAggCCAIIAggCCAIIAggCCAIYAgMCbAIeAAL3AgICVQIEAgUCBgIHAggCCQIlAgsCDAINAggCCAIIAggCCAIIAggCCAIIAggCCAIIAggCCAIIAggCCAIYAgMCdwIeAAL3AgICOQIEAgUCBgIHAggCCQIcAgsCDAINAggCCAIIAggCCAIIAggCCAIIAggCCAIIAggCCAIIAggCCAIYAgMCOgIeAAL3AgICLQIEAgUCBgIHAggCCQIlAgsCDAINAggCCAIIAggCCAIIAggCCAIIAggCCAIIAggCCAIIAggCCAIYAgMCMgIeAAL3AgICRgIEAgUCBgIHAggCCQIcAgsCDAINAggCCAIIAggCCAIIAggCCAIIAggCCAIIAggCCAIIAggCCAIYAgMCdAIeAAL3AgICVwIEAgUCBgIHAggCCQIlAgsCDAINAggCCAIIAggCCAIIAggCCAIIAggCCAIIAggCCAIIAggCCAIYAgMCaQIeAAL3AgICIgIEAgUCBgIHAggCCQIKAgsCDAINAggCCAIIAggCCAIIAggCCAIIAggCCAIIAggCCAIIAggCCAIYAgMCIwIeAAL3AgICNwIEAgUCBgIHAggCCQIKAgsCDAINAggCCAIIAggCCAIIAggCCAIIAggCCAIIAggCCAIIAggCCAIYAgMCXgIeAAL3AgICGwIEAgUCBgIHAggCCXoAAAQAAhwCCwIMAg0CCAIIAggCCAIIAggCCAIIAggCCAIIAggCCAIIAggCCAIIAhgCAwIdAh4AAvcCAgJOAgQCBQIGAgcCCAIJAgoCCwIMAg0CCAIIAggCCAIIAggCCAIIAggCCAIIAggCCAIIAggCCAIIAhgCAwJiAh4AAvcCAgKOAgQCBQIGAgcCCAIJAhwCCwIMAg0CCAIIAggCCAIIAggCCAIIAggCCAIIAggCCAIIAggCCAIIAhgCAwKVAh4AAvcCAgJMAgQCBQIGAgcCCAIJAgoCCwIMAg0CCAIIAggCCAIIAggCCAIIAggCCAIIAggCCAIIAggCCAIIAhgCAwJkAh4AAvcCAgIpAgQCBQIGAgcCCAIJAgoCCwIMAg0CCAIIAggCCAIIAggCCAIIAggCCAIIAggCCAIIAggCCAIIAhgCAwIjAh4AAvcCAgIgAgQCBQIGAgcCCAIJAhwCCwIMAg0CCAIIAggCCAIIAggCCAIIAggCCAIIAggCCAIIAggCCAIIAhgCAwIhAh4AAvcCAgJEAgQCBQIGAgcCCAIJAiUCCwIMAg0CCAIIAggCCAIIAggCCAIIAggCCAIIAggCCAIIAggCCAIIAhgCAwJqAh4AAvgACTE3MTY3MzQ2NAICAkoCBAIFAgYCBwIIAgkCJQILApgCDQIIAggCCAIIAggCCAIIAggCCAIIAggCCAIIAggCCAIIAggCGwIDAugCHgAC+AICAj0CBAIFAgYCBwIIAgkCHAILApgCDQIIAggCCAIIAggCCAIIAggCCAIIAggCCAIIAggCCAIIAggCGwIDAsICHgAC+AICAlUCBAIFAgYCBwIIAgkCsAILApgCDQIIAggCCAIIAggCCAIIAggCCAIIAggCCAIIAggCCAIIAggCGwIDAsECHgAC+AICAkgCBAIFAgYCBwIIAgkCsAILApgCDQIIAggCCAIIAggCCAIIAggCCAIIAggCCAIIAggCCAIIAggCGwIDAscCHgAC+AICAkYCBAIFAgYCBwIIAgkCJQILApgCDQIIAggCCAIIAggCCAIIAggCCAIIAggCCAIIAggCCAIIAggCGwIDAucCHgAC+AICAgMCBAIFAgYCBwIIAgkCHAILApgCDQIIAggCCAIIAggCCAIIAggCCAIIAggCCAIIAggCCAIIAggCGwIDAr0CHgAC+AICAlcCBAIFAgYCBwIIAgkCsAILApgCDQIIAggCCAIIAggCCAIIAggCCAIIAggCCAIIAggCCAIIAggCGwIDAiMCHgAC+AICAlcCBAIFAgYCBwIIAgkCJQILApgCDQIIAggCCAIIAggCCAIIAggCCAIIAggCCAIIAggCCAIIAggCGwIDAnoAAAQAnQIeAAL4AgICTgIEAgUCBgIHAggCCQKwAgsCmAINAggCCAIIAggCCAIIAggCCAIIAggCCAIIAggCCAIIAggCCAIbAgMCwwIeAAL4AgICUAIEAgUCBgIHAggCCQIlAgsCmAINAggCCAIIAggCCAIIAggCCAIIAggCCAIIAggCCAIIAggCCAIbAgMCpAIeAAL4AgICHgIEAgUCBgIHAggCCQIcAgsCmAINAggCCAIIAggCCAIIAggCCAIIAggCCAIIAggCCAIIAggCCAIbAgMC3QIeAAL4AgICKQIEAgUCBgIHAggCCQKwAgsCmAINAggCCAIIAggCCAIIAggCCAIIAggCCAIIAggCCAIIAggCCAIbAgMCIwIeAAL4AgICTAIEAgUCBgIHAggCCQIlAgsCmAINAggCCAIIAggCCAIIAggCCAIIAggCCAIIAggCCAIIAggCCAIbAgMCxAIeAAL4AgICTAIEAgUCBgIHAggCCQKwAgsCmAINAggCCAIIAggCCAIIAggCCAIIAggCCAIIAggCCAIIAggCCAIbAgMC5QIeAAL4AgICVQIEAgUCBgIHAggCCQIlAgsCmAINAggCCAIIAggCCAIIAggCCAIIAggCCAIIAggCCAIIAggCCAIbAgMC5gIeAAL4AgICNwIEAgUCBgIHAggCCQKwAgsCmAINAggCCAIIAggCCAIIAggCCAIIAggCCAIIAggCCAIIAggCCAIbAgMC3wIeAAL4AgICSgIEAgUCBgIHAggCCQIcAgsCmAINAggCCAIIAggCCAIIAggCCAIIAggCCAIIAggCCAIIAggCCAIbAgMC7wIeAAL4AgICjgIEAgUCBgIHAggCCQKwAgsCmAINAggCCAIIAggCCAIIAggCCAIIAggCCAIIAggCCAIIAggCCAIbAgMCIwIeAAL4AgICGwIEAgUCBgIHAggCCQKwAgsCmAINAggCCAIIAggCCAIIAggCCAIIAggCCAIIAggCCAIIAggCCAIbAgMC0AIeAAL4AgICNQIEAgUCBgIHAggCCQIlAgsCmAINAggCCAIIAggCCAIIAggCCAIIAggCCAIIAggCCAIIAggCCAIbAgMCwAIeAAL4AgICKQIEAgUCBgIHAggCCQIlAgsCmAINAggCCAIIAggCCAIIAggCCAIIAggCCAIIAggCCAIIAggCCAIbAgMCpgIeAAL4AgICPQIEAgUCBgIHAggCCQIlAgsCmAINAggCCAIIAggCCAIIAggCCAIIAggCCAIIAggCCAIIAggCCAIbAgMCmgIeAAL4AgICOwIEAgUCBgIHAggCCQIcAgsCmAINAggCCAIIAggCCAIIAggCCAIIAggCCAIIAggCCHoAAAQAAggCCAIIAhsCAwLIAh4AAvgCAgJIAgQCBQIGAgcCCAIJAhwCCwKYAg0CCAIIAggCCAIIAggCCAIIAggCCAIIAggCCAIIAggCCAIIAhsCAwLeAh4AAvgCAgI9AgQCBQIGAgcCCAIJArACCwKYAg0CCAIIAggCCAIIAggCCAIIAggCCAIIAggCCAIIAggCCAIIAhsCAwK/Ah4AAvgCAgKOAgQCBQIGAgcCCAIJAiUCCwKYAg0CCAIIAggCCAIIAggCCAIIAggCCAIIAggCCAIIAggCCAIIAhsCAwKpAh4AAvgCAgIvAgQCBQIGAgcCCAIJAhwCCwKYAg0CCAIIAggCCAIIAggCCAIIAggCCAIIAggCCAIIAggCCAIIAhsCAwK4Ah4AAvgCAgIeAgQCBQIGAgcCCAIJAiUCCwKYAg0CCAIIAggCCAIIAggCCAIIAggCCAIIAggCCAIIAggCCAIIAhsCAwLNAh4AAvgCAgI3AgQCBQIGAgcCCAIJAiUCCwKYAg0CCAIIAggCCAIIAggCCAIIAggCCAIIAggCCAIIAggCCAIIAhsCAwK+Ah4AAvgCAgI1AgQCBQIGAgcCCAIJArACCwKYAg0CCAIIAggCCAIIAggCCAIIAggCCAIIAggCCAIIAggCCAIIAhsCAwLgAh4AAvgCAgI/AgQCBQIGAgcCCAIJArACCwKYAg0CCAIIAggCCAIIAggCCAIIAggCCAIIAggCCAIIAggCCAIIAhsCAwIjAh4AAvgCAgIrAgQCBQIGAgcCCAIJArACCwKYAg0CCAIIAggCCAIIAggCCAIIAggCCAIIAggCCAIIAggCCAIIAhsCAwLZAh4AAvgCAgIzAgQCBQIGAgcCCAIJArACCwKYAg0CCAIIAggCCAIIAggCCAIIAggCCAIIAggCCAIIAggCCAIIAhsCAwK3Ah4AAvgCAgJXAgQCBQIGAgcCCAIJAhwCCwKYAg0CCAIIAggCCAIIAggCCAIIAggCCAIIAggCCAIIAggCCAIIAhsCAwK6Ah4AAvgCAgItAgQCBQIGAgcCCAIJAhwCCwKYAg0CCAIIAggCCAIIAggCCAIIAggCCAIIAggCCAIIAggCCAIIAhsCAwLbAh4AAvgCAgIDAgQCBQIGAgcCCAIJAiUCCwKYAg0CCAIIAggCCAIIAggCCAIIAggCCAIIAggCCAIIAggCCAIIAhsCAwKiAh4AAvgCAgIDAgQCBQIGAgcCCAIJArACCwKYAg0CCAIIAggCCAIIAggCCAIIAggCCAIIAggCCAIIAggCCAIIAhsCAwLVAh4AAvgCAgJVAgQCBQIGAgcCCAIJAhwCCwKYAg0CCAIIAggCCAIIAggCCAIIAnoAAAQACAIIAggCCAIIAggCCAIIAggCGwIDAtoCHgAC+AICAjMCBAIFAgYCBwIIAgkCJQILApgCDQIIAggCCAIIAggCCAIIAggCCAIIAggCCAIIAggCCAIIAggCGwIDAqUCHgAC+AICAkYCBAIFAgYCBwIIAgkCHAILApgCDQIIAggCCAIIAggCCAIIAggCCAIIAggCCAIIAggCCAIIAggCGwIDAuMCHgAC+AICAisCBAIFAgYCBwIIAgkCJQILApgCDQIIAggCCAIIAggCCAIIAggCCAIIAggCCAIIAggCCAIIAggCGwIDArwCHgAC+AICAlACBAIFAgYCBwIIAgkCHAILApgCDQIIAggCCAIIAggCCAIIAggCCAIIAggCCAIIAggCCAIIAggCGwIDAsYCHgAC+AICAkgCBAIFAgYCBwIIAgkCJQILApgCDQIIAggCCAIIAggCCAIIAggCCAIIAggCCAIIAggCCAIIAggCGwIDAusCHgAC+AICAhsCBAIFAgYCBwIIAgkCHAILApgCDQIIAggCCAIIAggCCAIIAggCCAIIAggCCAIIAggCCAIIAggCGwIDArQCHgAC+AICAkQCBAIFAgYCBwIIAgkCsAILApgCDQIIAggCCAIIAggCCAIIAggCCAIIAggCCAIIAggCCAIIAggCGwIDAukCHgAC+AICAiACBAIFAgYCBwIIAgkCHAILApgCDQIIAggCCAIIAggCCAIIAggCCAIIAggCCAIIAggCCAIIAggCGwIDAtcCHgAC+AICAkQCBAIFAgYCBwIIAgkCJQILApgCDQIIAggCCAIIAggCCAIIAggCCAIIAggCCAIIAggCCAIIAggCGwIDApkCHgAC+AICAiQCBAIFAgYCBwIIAgkCJQILApgCDQIIAggCCAIIAggCCAIIAggCCAIIAggCCAIIAggCCAIIAggCGwIDAqcCHgAC+AICAjkCBAIFAgYCBwIIAgkCHAILApgCDQIIAggCCAIIAggCCAIIAggCCAIIAggCCAIIAggCCAIIAggCGwIDAq4CHgAC+AICAjsCBAIFAgYCBwIIAgkCsAILApgCDQIIAggCCAIIAggCCAIIAggCCAIIAggCCAIIAggCCAIIAggCGwIDAtICHgAC+AICAo4CBAIFAgYCBwIIAgkCHAILApgCDQIIAggCCAIIAggCCAIIAggCCAIIAggCCAIIAggCCAIIAggCGwIDAtQCHgAC+AICAjMCBAIFAgYCBwIIAgkCHAILApgCDQIIAggCCAIIAggCCAIIAggCCAIIAggCCAIIAggCCAIIAggCGwIDAtMCHgAC+AICAi8CBAIFAgYCBwIIAgkCJQILApgCDQIIAggCCHoAAAQAAggCCAIIAggCCAIIAggCCAIIAggCCAIIAggCCAIbAgMCoAIeAAL4AgICLQIEAgUCBgIHAggCCQKwAgsCmAINAggCCAIIAggCCAIIAggCCAIIAggCCAIIAggCCAIIAggCCAIbAgMCsQIeAAL4AgICLwIEAgUCBgIHAggCCQKwAgsCmAINAggCCAIIAggCCAIIAggCCAIIAggCCAIIAggCCAIIAggCCAIbAgMCIwIeAAL4AgICLQIEAgUCBgIHAggCCQIlAgsCmAINAggCCAIIAggCCAIIAggCCAIIAggCCAIIAggCCAIIAggCCAIbAgMCnAIeAAL4AgICKwIEAgUCBgIHAggCCQIcAgsCmAINAggCCAIIAggCCAIIAggCCAIIAggCCAIIAggCCAIIAggCCAIbAgMCrQIeAAL4AgICIgIEAgUCBgIHAggCCQKwAgsCmAINAggCCAIIAggCCAIIAggCCAIIAggCCAIIAggCCAIIAggCCAIbAgMCIwIeAAL4AgICPwIEAgUCBgIHAggCCQIlAgsCmAINAggCCAIIAggCCAIIAggCCAIIAggCCAIIAggCCAIIAggCCAIbAgMCnwIeAAL4AgICTgIEAgUCBgIHAggCCQIcAgsCmAINAggCCAIIAggCCAIIAggCCAIIAggCCAIIAggCCAIIAggCCAIbAgMC7AIeAAL4AgICHgIEAgUCBgIHAggCCQKwAgsCmAINAggCCAIIAggCCAIIAggCCAIIAggCCAIIAggCCAIIAggCCAIbAgMCsgIeAAL4AgICJAIEAgUCBgIHAggCCQIcAgsCmAINAggCCAIIAggCCAIIAggCCAIIAggCCAIIAggCCAIIAggCCAIbAgMC7gIeAAL4AgICIgIEAgUCBgIHAggCCQIlAgsCmAINAggCCAIIAggCCAIIAggCCAIIAggCCAIIAggCCAIIAggCCAIbAgMCqgIeAAL4AgICJwIEAgUCBgIHAggCCQIcAgsCmAINAggCCAIIAggCCAIIAggCCAIIAggCCAIIAggCCAIIAggCCAIbAgMCzgIeAAL4AgICGwIEAgUCBgIHAggCCQIlAgsCmAINAggCCAIIAggCCAIIAggCCAIIAggCCAIIAggCCAIIAggCCAIbAgMCmwIeAAL4AgICOQIEAgUCBgIHAggCCQKwAgsCmAINAggCCAIIAggCCAIIAggCCAIIAggCCAIIAggCCAIIAggCCAIbAgMCyQIeAAL4AgICIAIEAgUCBgIHAggCCQIlAgsCmAINAggCCAIIAggCCAIIAggCCAIIAggCCAIIAggCCAIIAggCCAIbAgMC0QIeAAL4AgICRAIEAgUCBgIHAggCCQIcAnoAAAQACwKYAg0CCAIIAggCCAIIAggCCAIIAggCCAIIAggCCAIIAggCCAIIAhsCAwK7Ah4AAvgCAgIgAgQCBQIGAgcCCAIJArACCwKYAg0CCAIIAggCCAIIAggCCAIIAggCCAIIAggCCAIIAggCCAIIAhsCAwLxAh4AAvgCAgI5AgQCBQIGAgcCCAIJAiUCCwKYAg0CCAIIAggCCAIIAggCCAIIAggCCAIIAggCCAIIAggCCAIIAhsCAwKeAh4AAvgCAgJOAgQCBQIGAgcCCAIJAiUCCwKYAg0CCAIIAggCCAIIAggCCAIIAggCCAIIAggCCAIIAggCCAIIAhsCAwKjAh4AAvgCAgJMAgQCBQIGAgcCCAIJAhwCCwKYAg0CCAIIAggCCAIIAggCCAIIAggCCAIIAggCCAIIAggCCAIIAhsCAwLLAh4AAvgCAgJGAgQCBQIGAgcCCAIJArACCwKYAg0CCAIIAggCCAIIAggCCAIIAggCCAIIAggCCAIIAggCCAIIAhsCAwLKAh4AAvgCAgJQAgQCBQIGAgcCCAIJArACCwKYAg0CCAIIAggCCAIIAggCCAIIAggCCAIIAggCCAIIAggCCAIIAhsCAwLtAh4AAvgCAgI7AgQCBQIGAgcCCAIJAiUCCwKYAg0CCAIIAggCCAIIAggCCAIIAggCCAIIAggCCAIIAggCCAIIAhsCAwK2Ah4AAvgCAgIpAgQCBQIGAgcCCAIJAhwCCwKYAg0CCAIIAggCCAIIAggCCAIIAggCCAIIAggCCAIIAggCCAIIAhsCAwLYAh4AAvgCAgJKAgQCBQIGAgcCCAIJArACCwKYAg0CCAIIAggCCAIIAggCCAIIAggCCAIIAggCCAIIAggCCAIIAhsCAwLFAh4AAvgCAgIiAgQCBQIGAgcCCAIJAhwCCwKYAg0CCAIIAggCCAIIAggCCAIIAggCCAIIAggCCAIIAggCCAIIAhsCAwLMAh4AAvgCAgI/AgQCBQIGAgcCCAIJAhwCCwKYAg0CCAIIAggCCAIIAggCCAIIAggCCAIIAggCCAIIAggCCAIIAhsCAwKsAh4AAvgCAgI3AgQCBQIGAgcCCAIJAhwCCwKYAg0CCAIIAggCCAIIAggCCAIIAggCCAIIAggCCAIIAggCCAIIAhsCAwKzAh4AAvgCAgInAgQCBQIGAgcCCAIJArACCwKYAg0CCAIIAggCCAIIAggCCAIIAggCCAIIAggCCAIIAggCCAIIAhsCAwLWAh4AAvgCAgIkAgQCBQIGAgcCCAIJArACCwKYAg0CCAIIAggCCAIIAggCCAIIAggCCAIIAggCCAIIAggCCAIIAhsCAwIjAh4AAvgCAgI1AgQCBXoAAAQAAgYCBwIIAgkCHAILApgCDQIIAggCCAIIAggCCAIIAggCCAIIAggCCAIIAggCCAIIAggCGwIDAuECHgAC+AICAicCBAIFAgYCBwIIAgkCJQILApgCDQIIAggCCAIIAggCCAIIAggCCAIIAggCCAIIAggCCAIIAggCGwIDAqgCHgAC+QAJNjM1NDE1OTEyAgICOQIEAgUCBgIHAggCCQIcAgsCDAINAggCCAIIAggCCAIIAggCCAIIAggCCAIIAggCCAIIAggCCAIEAgMCOgIeAAL5AgICRAIEAgUCBgIHAggCCQIcAgsCDAINAggCCAIIAggCCAIIAggCCAIIAggCCAIIAggCCAIIAggCCAIEAgMCRQIeAAL5AgICPQIEAgUCBgIHAggCCQIcAgsCDAINAggCCAIIAggCCAIIAggCCAIIAggCCAIIAggCCAIIAggCCAIEAgMCZQIeAAL5AgICjgIEAgUCBgIHAggCCQIcAgsCDAINAggCCAIIAggCCAIIAggCCAIIAggCCAIIAggCCAIIAggCCAIEAgMClQIeAAL5AgICLwIEAgUCBgIHAggCCQIcAgsCDAINAggCCAIIAggCCAIIAggCCAIIAggCCAIIAggCCAIIAggCCAIEAgMCXQIeAAL5AgICVwIEAgUCBgIHAggCCQIcAgsCDAINAggCCAIIAggCCAIIAggCCAIIAggCCAIIAggCCAIIAggCCAIEAgMCWAIeAAL5AgICMwIEAgUCBgIHAggCCQIcAgsCDAINAggCCAIIAggCCAIIAggCCAIIAggCCAIIAggCCAIIAggCCAIEAgMCNAIeAAL5AgICAwIEAgUCBgIHAggCCQIcAgsCDAINAggCCAIIAggCCAIIAggCCAIIAggCCAIIAggCCAIIAggCCAIEAgMCXwIeAAL5AgICLQIEAgUCBgIHAggCCQIcAgsCDAINAggCCAIIAggCCAIIAggCCAIIAggCCAIIAggCCAIIAggCCAIEAgMCWwIeAAL5AgICUAIEAgUCBgIHAggCCQIcAgsCDAINAggCCAIIAggCCAIIAggCCAIIAggCCAIIAggCCAIIAggCCAIEAgMCbAIeAAL5AgICTgIEAgUCBgIHAggCCQIcAgsCDAINAggCCAIIAggCCAIIAggCCAIIAggCCAIIAggCCAIIAggCCAIEAgMCeQIeAAL5AgICJAIEAgUCBgIHAggCCQIcAgsCDAINAggCCAIIAggCCAIIAggCCAIIAggCCAIIAggCCAIIAggCCAIEAgMCdQIeAAL5AgICIgIEAgUCBgIHAggCCQIcAgsCDAINAggCCAIIAggCCAIIAggCCAIIAggCCAIIAggCCAIIAnoAAAQACAIIAgQCAwJjAh4AAvkCAgKDAgQCBQIGAgcCCAIJAhwCCwIMAg0CCAIIAggCCAIIAggCCAIIAggCCAIIAggCCAIIAggCCAIIAgQCAwKEAh4AAvkCAgI/AgQCBQIGAgcCCAIJAhwCCwIMAg0CCAIIAggCCAIIAggCCAIIAggCCAIIAggCCAIIAggCCAIIAgQCAwJAAh4AAvkCAgIbAgQCBQIGAgcCCAIJAhwCCwIMAg0CCAIIAggCCAIIAggCCAIIAggCCAIIAggCCAIIAggCCAIIAgQCAwIdAh4AAvkCAgInAgQCBQIGAgcCCAIJAhwCCwIMAg0CCAIIAggCCAIIAggCCAIIAggCCAIIAggCCAIIAggCCAIIAgQCAwJzAh4AAvkCAgIpAgQCBQIGAgcCCAIJAhwCCwIMAg0CCAIIAggCCAIIAggCCAIIAggCCAIIAggCCAIIAggCCAIIAgQCAwIqAh4AAvoACTgxODM3ODA4OAICAikCBAIFAgYCBwIIAgkCHAILApgCDQIIAggCCAIIAggCCAIIAggCCAIIAggCCAIIAggCCAIIAggCHwIDAtgCHgAC+gICAjcCBAIFAgYCBwIIAgkCHAILApgCDQIIAggCCAIIAggCCAIIAggCCAIIAggCCAIIAggCCAIIAggCHwIDArMCHgAC+gICAiQCBAIFAgYCBwIIAgkCsAILApgCDQIIAggCCAIIAggCCAIIAggCCAIIAggCCAIIAggCCAIIAggCHwIDAiMCHgAC+gICAk4CBAIFAgYCBwIIAgkCHAILApgCDQIIAggCCAIIAggCCAIIAggCCAIIAggCCAIIAggCCAIIAggCHwIDAuwCHgAC+gICAhsCBAIFAgYCBwIIAgkCHAILApgCDQIIAggCCAIIAggCCAIIAggCCAIIAggCCAIIAggCCAIIAggCHwIDArQCHgAC+gICAiACBAIFAgYCBwIIAgkCHAILApgCDQIIAggCCAIIAggCCAIIAggCCAIIAggCCAIIAggCCAIIAggCHwIDAtcCHgAC+gICAicCBAIFAgYCBwIIAgkCJQILApgCDQIIAggCCAIIAggCCAIIAggCCAIIAggCCAIIAggCCAIIAggCHwIDAqgCHgAC+gICAicCBAIFAgYCBwIIAgkCsAILApgCDQIIAggCCAIIAggCCAIIAggCCAIIAggCCAIIAggCCAIIAggCHwIDAtYCHgAC+gICAiACBAIFAgYCBwIIAgkCJQILApgCDQIIAggCCAIIAggCCAIIAggCCAIIAggCCAIIAggCCAIIAggCHwIDAtECHgAC+gICAiQCBAIFAgYCBwIIAgkCJQILApgCDQIIAggCCAIIAnoAAAQACAIIAggCCAIIAggCCAIIAggCCAIIAggCCAIfAgMCpwIeAAL6AgICVwIEAgUCBgIHAggCCQIcAgsCmAINAggCCAIIAggCCAIIAggCCAIIAggCCAIIAggCCAIIAggCCAIfAgMCugIeAAL6AgICKwIEAgUCBgIHAggCCQKwAgsCmAINAggCCAIIAggCCAIIAggCCAIIAggCCAIIAggCCAIIAggCCAIfAgMC2QIeAAL6AgICMwIEAgUCBgIHAggCCQIlAgsCmAINAggCCAIIAggCCAIIAggCCAIIAggCCAIIAggCCAIIAggCCAIfAgMCpQIeAAL6AgICVQIEAgUCBgIHAggCCQIcAgsCmAINAggCCAIIAggCCAIIAggCCAIIAggCCAIIAggCCAIIAggCCAIfAgMC2gIeAAL6AgICTAIEAgUCBgIHAggCCQIcAgsCmAINAggCCAIIAggCCAIIAggCCAIIAggCCAIIAggCCAIIAggCCAIfAgMCywIeAAL6AgICKwIEAgUCBgIHAggCCQIlAgsCmAINAggCCAIIAggCCAIIAggCCAIIAggCCAIIAggCCAIIAggCCAIfAgMCvAIeAAL6AgICOQIEAgUCBgIHAggCCQIlAgsCmAINAggCCAIIAggCCAIIAggCCAIIAggCCAIIAggCCAIIAggCCAIfAgMCngIeAAL6AgICOQIEAgUCBgIHAggCCQKwAgsCmAINAggCCAIIAggCCAIIAggCCAIIAggCCAIIAggCCAIIAggCCAIfAgMCyQIeAAL6AgICMwIEAgUCBgIHAggCCQKwAgsCmAINAggCCAIIAggCCAIIAggCCAIIAggCCAIIAggCCAIIAggCCAIfAgMCtwIeAAL6AgICNwIEAgUCBgIHAggCCQKwAgsCmAINAggCCAIIAggCCAIIAggCCAIIAggCCAIIAggCCAIIAggCCAIfAgMC3wIeAAL6AgICKQIEAgUCBgIHAggCCQKwAgsCmAINAggCCAIIAggCCAIIAggCCAIIAggCCAIIAggCCAIIAggCCAIfAgMCIwIeAAL6AgICTgIEAgUCBgIHAggCCQIlAgsCmAINAggCCAIIAggCCAIIAggCCAIIAggCCAIIAggCCAIIAggCCAIfAgMCowIeAAL6AgICTAIEAgUCBgIHAggCCQIlAgsCmAINAggCCAIIAggCCAIIAggCCAIIAggCCAIIAggCCAIIAggCCAIfAgMCxAIeAAL6AgICIgIEAgUCBgIHAggCCQKwAgsCmAINAggCCAIIAggCCAIIAggCCAIIAggCCAIIAggCCAIIAggCCAIfAgMCIwIeAAL6AgICKQIEAgUCBgIHAggCCQIlAgsCmHoAAAQAAg0CCAIIAggCCAIIAggCCAIIAggCCAIIAggCCAIIAggCCAIIAh8CAwKmAh4AAvoCAgI3AgQCBQIGAgcCCAIJAiUCCwKYAg0CCAIIAggCCAIIAggCCAIIAggCCAIIAggCCAIIAggCCAIIAh8CAwK+Ah4AAvoCAgIiAgQCBQIGAgcCCAIJAiUCCwKYAg0CCAIIAggCCAIIAggCCAIIAggCCAIIAggCCAIIAggCCAIIAh8CAwKqAh4AAvoCAgI7AgQCBQIGAgcCCAIJAiUCCwKYAg0CCAIIAggCCAIIAggCCAIIAggCCAIIAggCCAIIAggCCAIIAh8CAwK2Ah4AAvoCAgJIAgQCBQIGAgcCCAIJAhwCCwKYAg0CCAIIAggCCAIIAggCCAIIAggCCAIIAggCCAIIAggCCAIIAh8CAwLeAh4AAvoCAgI9AgQCBQIGAgcCCAIJArACCwKYAg0CCAIIAggCCAIIAggCCAIIAggCCAIIAggCCAIIAggCCAIIAh8CAwK/Ah4AAvoCAgI7AgQCBQIGAgcCCAIJArACCwKYAg0CCAIIAggCCAIIAggCCAIIAggCCAIIAggCCAIIAggCCAIIAh8CAwLSAh4AAvoCAgJEAgQCBQIGAgcCCAIJAhwCCwKYAg0CCAIIAggCCAIIAggCCAIIAggCCAIIAggCCAIIAggCCAIIAh8CAwK7Ah4AAvoCAgIzAgQCBQIGAgcCCAIJAhwCCwKYAg0CCAIIAggCCAIIAggCCAIIAggCCAIIAggCCAIIAggCCAIIAh8CAwLTAh4AAvoCAgIrAgQCBQIGAgcCCAIJAhwCCwKYAg0CCAIIAggCCAIIAggCCAIIAggCCAIIAggCCAIIAggCCAIIAh8CAwKtAh4AAvoCAgJMAgQCBQIGAgcCCAIJArACCwKYAg0CCAIIAggCCAIIAggCCAIIAggCCAIIAggCCAIIAggCCAIIAh8CAwLlAh4AAvoCAgJOAgQCBQIGAgcCCAIJArACCwKYAg0CCAIIAggCCAIIAggCCAIIAggCCAIIAggCCAIIAggCCAIIAh8CAwLDAh4AAvoCAgIiAgQCBQIGAgcCCAIJAhwCCwKYAg0CCAIIAggCCAIIAggCCAIIAggCCAIIAggCCAIIAggCCAIIAh8CAwLMAh4AAvoCAgJGAgQCBQIGAgcCCAIJArACCwKYAg0CCAIIAggCCAIIAggCCAIIAggCCAIIAggCCAIIAggCCAIIAh8CAwLKAh4AAvoCAgJKAgQCBQIGAgcCCAIJArACCwKYAg0CCAIIAggCCAIIAggCCAIIAggCCAIIAggCCAIIAggCCAIIAh8CAwLFAh4AAvoCAgIDAgQCBQIGAnoAAAQABwIIAgkCHAILApgCDQIIAggCCAIIAggCCAIIAggCCAIIAggCCAIIAggCCAIIAggCHwIDAr0CHgAC+gICAjUCBAIFAgYCBwIIAgkCJQILApgCDQIIAggCCAIIAggCCAIIAggCCAIIAggCCAIIAggCCAIIAggCHwIDAsACHgAC+gICAj0CBAIFAgYCBwIIAgkCJQILApgCDQIIAggCCAIIAggCCAIIAggCCAIIAggCCAIIAggCCAIIAggCHwIDApoCHgAC+gICAkgCBAIFAgYCBwIIAgkCsAILApgCDQIIAggCCAIIAggCCAIIAggCCAIIAggCCAIIAggCCAIIAggCHwIDAscCHgAC+gICAkoCBAIFAgYCBwIIAgkCJQILApgCDQIIAggCCAIIAggCCAIIAggCCAIIAggCCAIIAggCCAIIAggCHwIDAugCHgAC+gICAjsCBAIFAgYCBwIIAgkCHAILApgCDQIIAggCCAIIAggCCAIIAggCCAIIAggCCAIIAggCCAIIAggCHwIDAsgCHgAC+gICAkQCBAIFAgYCBwIIAgkCsAILApgCDQIIAggCCAIIAggCCAIIAggCCAIIAggCCAIIAggCCAIIAggCHwIDAukCHgAC+gICAj0CBAIFAgYCBwIIAgkCHAILApgCDQIIAggCCAIIAggCCAIIAggCCAIIAggCCAIIAggCCAIIAggCHwIDAsICHgAC+gICAjUCBAIFAgYCBwIIAgkCHAILApgCDQIIAggCCAIIAggCCAIIAggCCAIIAggCCAIIAggCCAIIAggCHwIDAuECHgAC+gICAi8CBAIFAgYCBwIIAgkCHAILApgCDQIIAggCCAIIAggCCAIIAggCCAIIAggCCAIIAggCCAIIAggCHwIDArgCHgAC+gICAjUCBAIFAgYCBwIIAgkCsAILApgCDQIIAggCCAIIAggCCAIIAggCCAIIAggCCAIIAggCCAIIAggCHwIDAuACHgAC+gICAi0CBAIFAgYCBwIIAgkCHAILApgCDQIIAggCCAIIAggCCAIIAggCCAIIAggCCAIIAggCCAIIAggCHwIDAtsCHgAC+gICAlACBAIFAgYCBwIIAgkCJQILApgCDQIIAggCCAIIAggCCAIIAggCCAIIAggCCAIIAggCCAIIAggCHwIDAqQCHgAC+gICAh4CBAIFAgYCBwIIAgkCHAILApgCDQIIAggCCAIIAggCCAIIAggCCAIIAggCCAIIAggCCAIIAggCHwIDAt0CHgAC+gICAkYCBAIFAgYCBwIIAgkCJQILApgCDQIIAggCCAIIAggCCAIIAggCCAIIAggCCAIIAggCCAIIAggCHwIDAucCHgAC+noAAAQAAgICUAIEAgUCBgIHAggCCQKwAgsCmAINAggCCAIIAggCCAIIAggCCAIIAggCCAIIAggCCAIIAggCCAIfAgMC7QIeAAL6AgICRgIEAgUCBgIHAggCCQIcAgsCmAINAggCCAIIAggCCAIIAggCCAIIAggCCAIIAggCCAIIAggCCAIfAgMC4wIeAAL6AgICHgIEAgUCBgIHAggCCQKwAgsCmAINAggCCAIIAggCCAIIAggCCAIIAggCCAIIAggCCAIIAggCCAIfAgMCsgIeAAL6AgICJAIEAgUCBgIHAggCCQIcAgsCmAINAggCCAIIAggCCAIIAggCCAIIAggCCAIIAggCCAIIAggCCAIfAgMC7gIeAAL6AgICJwIEAgUCBgIHAggCCQIcAgsCmAINAggCCAIIAggCCAIIAggCCAIIAggCCAIIAggCCAIIAggCCAIfAgMCzgIeAAL6AgICUAIEAgUCBgIHAggCCQIcAgsCmAINAggCCAIIAggCCAIIAggCCAIIAggCCAIIAggCCAIIAggCCAIfAgMCxgIeAAL6AgICIAIEAgUCBgIHAggCCQKwAgsCmAINAggCCAIIAggCCAIIAggCCAIIAggCCAIIAggCCAIIAggCCAIfAgMC8QIeAAL6AgICSAIEAgUCBgIHAggCCQIlAgsCmAINAggCCAIIAggCCAIIAggCCAIIAggCCAIIAggCCAIIAggCCAIfAgMC6wIeAAL6AgICSgIEAgUCBgIHAggCCQIcAgsCmAINAggCCAIIAggCCAIIAggCCAIIAggCCAIIAggCCAIIAggCCAIfAgMC7wIeAAL6AgICRAIEAgUCBgIHAggCCQIlAgsCmAINAggCCAIIAggCCAIIAggCCAIIAggCCAIIAggCCAIIAggCCAIfAgMCmQIeAAL6AgICGwIEAgUCBgIHAggCCQKwAgsCmAINAggCCAIIAggCCAIIAggCCAIIAggCCAIIAggCCAIIAggCCAIfAgMC0AIeAAL6AgICLwIEAgUCBgIHAggCCQKwAgsCmAINAggCCAIIAggCCAIIAggCCAIIAggCCAIIAggCCAIIAggCCAIfAgMCIwIeAAL6AgICGwIEAgUCBgIHAggCCQIlAgsCmAINAggCCAIIAggCCAIIAggCCAIIAggCCAIIAggCCAIIAggCCAIfAgMCmwIeAAL6AgICOQIEAgUCBgIHAggCCQIcAgsCmAINAggCCAIIAggCCAIIAggCCAIIAggCCAIIAggCCAIIAggCCAIfAgMCrgIeAAL6AgICVQIEAgUCBgIHAggCCQKwAgsCmAINAggCCAIIAggCCAIIAggCCAIIAggCCAIIAggCCAIIAggCCHoAAAQAAh8CAwLBAh4AAvoCAgIDAgQCBQIGAgcCCAIJAiUCCwKYAg0CCAIIAggCCAIIAggCCAIIAggCCAIIAggCCAIIAggCCAIIAh8CAwKiAh4AAvoCAgItAgQCBQIGAgcCCAIJAiUCCwKYAg0CCAIIAggCCAIIAggCCAIIAggCCAIIAggCCAIIAggCCAIIAh8CAwKcAh4AAvoCAgIvAgQCBQIGAgcCCAIJAiUCCwKYAg0CCAIIAggCCAIIAggCCAIIAggCCAIIAggCCAIIAggCCAIIAh8CAwKgAh4AAvoCAgIeAgQCBQIGAgcCCAIJAiUCCwKYAg0CCAIIAggCCAIIAggCCAIIAggCCAIIAggCCAIIAggCCAIIAh8CAwLNAh4AAvoCAgJVAgQCBQIGAgcCCAIJAiUCCwKYAg0CCAIIAggCCAIIAggCCAIIAggCCAIIAggCCAIIAggCCAIIAh8CAwLmAh4AAvoCAgJXAgQCBQIGAgcCCAIJArACCwKYAg0CCAIIAggCCAIIAggCCAIIAggCCAIIAggCCAIIAggCCAIIAh8CAwIjAh4AAvoCAgJXAgQCBQIGAgcCCAIJAiUCCwKYAg0CCAIIAggCCAIIAggCCAIIAggCCAIIAggCCAIIAggCCAIIAh8CAwKdAh4AAvoCAgIDAgQCBQIGAgcCCAIJArACCwKYAg0CCAIIAggCCAIIAggCCAIIAggCCAIIAggCCAIIAggCCAIIAh8CAwLVAh4AAvoCAgItAgQCBQIGAgcCCAIJArACCwKYAg0CCAIIAggCCAIIAggCCAIIAggCCAIIAggCCAIIAggCCAIIAh8CAwKxAh4AAvsACTYzNTQxMzU5MgICAoMCBAIFAgYCBwIIAgkCJQILAgwCDQIIAggCCAIIAggCCAIIAggCCAIIAggCCAIIAggCCAIIAggCAgIDAokCHgAC+wICAk4CBAIFAgYCBwIIAgkCJQILAgwCDQIIAggCCAIIAggCCAIIAggCCAIIAggCCAIIAggCCAIIAggCAgIDAk8CHgAC+wICAi0CBAIFAgYCBwIIAgkCJQILAgwCDQIIAggCCAIIAggCCAIIAggCCAIIAggCCAIIAggCCAIIAggCAgIDAjICHgAC+wICAgMCBAIFAgYCBwIIAgkCJQILAgwCDQIIAggCCAIIAggCCAIIAggCCAIIAggCCAIIAggCCAIIAggCAgIDAnECHgAC+wICAlcCBAIFAgYCBwIIAgkCJQILAgwCDQIIAggCCAIIAggCCAIIAggCCAIIAggCCAIIAggCCAIIAggCAgIDAmkCHgAC+wICAi8CBAIFAgYCBwIIAgkCJQILAgwCDQIIAggCCAIIAggCCHoAAAQAAggCCAIIAggCCAIIAggCCAIIAggCCAICAgMCMAIeAAL7AgICPwIEAgUCBgIHAggCCQIlAgsCDAINAggCCAIIAggCCAIIAggCCAIIAggCCAIIAggCCAIIAggCCAICAgMCWgIeAAL7AgICUAIEAgUCBgIHAggCCQIlAgsCDAINAggCCAIIAggCCAIIAggCCAIIAggCCAIIAggCCAIIAggCCAICAgMCYAIeAAL7AgICMwIEAgUCBgIHAggCCQIlAgsCDAINAggCCAIIAggCCAIIAggCCAIIAggCCAIIAggCCAIIAggCCAICAgMCWQIeAAL7AgICOQIEAgUCBgIHAggCCQIlAgsCDAINAggCCAIIAggCCAIIAggCCAIIAggCCAIIAggCCAIIAggCCAICAgMCegIeAAL7AgICjgIEAgUCBgIHAggCCQIlAgsCDAINAggCCAIIAggCCAIIAggCCAIIAggCCAIIAggCCAIIAggCCAICAgMCkwIeAAL7AgICKQIEAgUCBgIHAggCCQIlAgsCDAINAggCCAIIAggCCAIIAggCCAIIAggCCAIIAggCCAIIAggCCAICAgMCQgIeAAL7AgICJAIEAgUCBgIHAggCCQIlAgsCDAINAggCCAIIAggCCAIIAggCCAIIAggCCAIIAggCCAIIAggCCAICAgMCJgIeAAL7AgICIgIEAgUCBgIHAggCCQIlAgsCDAINAggCCAIIAggCCAIIAggCCAIIAggCCAIIAggCCAIIAggCCAICAgMCQwIeAAL7AgICRAIEAgUCBgIHAggCCQIlAgsCDAINAggCCAIIAggCCAIIAggCCAIIAggCCAIIAggCCAIIAggCCAICAgMCagIeAAL7AgICJwIEAgUCBgIHAggCCQIlAgsCDAINAggCCAIIAggCCAIIAggCCAIIAggCCAIIAggCCAIIAggCCAICAgMCKAIeAAL7AgICPQIEAgUCBgIHAggCCQIlAgsCDAINAggCCAIIAggCCAIIAggCCAIIAggCCAIIAggCCAIIAggCCAICAgMCUwIeAAL7AgICGwIEAgUCBgIHAggCCQIlAgsCDAINAggCCAIIAggCCAIIAggCCAIIAggCCAIIAggCCAIIAggCCAICAgMCfwIeAAL8AAk1MjUyNDAwNjQCAgJEAgQCBQIGAgcCCAIJAhwCCwKYAg0CCAIIAggCCAIIAggCCAIIAggCCAIIAggCCAIIAggCCAIIAhcCAwK7Ah4AAvwCAgKOAgQCBQIGAgcCCAIJArACCwKYAg0CCAIIAggCCAIIAggCCAIIAggCCAIIAggCCAIIAggCCAIIAhcCAwIjAh4AAvwCAgIbAgQCBQIGAgcCCHoAAAQAAgkCJQILApgCDQIIAggCCAIIAggCCAIIAggCCAIIAggCCAIIAggCCAIIAggCFwIDApsCHgAC/AICAkoCBAIFAgYCBwIIAgkCHAILApgCDQIIAggCCAIIAggCCAIIAggCCAIIAggCCAIIAggCCAIIAggCFwIDAu8CHgAC/AICAooCBAIFAgYCBwIIAgkCsAILApgCDQIIAggCCAIIAggCCAIIAggCCAIIAggCCAIIAggCCAIIAggCFwIDAiMCHgAC/AICAlcCBAIFAgYCBwIIAgkCHAILApgCDQIIAggCCAIIAggCCAIIAggCCAIIAggCCAIIAggCCAIIAggCFwIDAroCHgAC/AICAoMCBAIFAgYCBwIIAgkCJQILApgCDQIIAggCCAIIAggCCAIIAggCCAIIAggCCAIIAggCCAIIAggCFwIDAqECHgAC/AICAikCBAIFAgYCBwIIAgkCsAILApgCDQIIAggCCAIIAggCCAIIAggCCAIIAggCCAIIAggCCAIIAggCFwIDAiMCHgAC/AICAiACBAIFAgYCBwIIAgkCsAILApgCDQIIAggCCAIIAggCCAIIAggCCAIIAggCCAIIAggCCAIIAggCFwIDAvECHgAC/AICAjcCBAIFAgYCBwIIAgkCJQILApgCDQIIAggCCAIIAggCCAIIAggCCAIIAggCCAIIAggCCAIIAggCFwIDAr4CHgAC/AICAocCBAIFAgYCBwIIAgkCHAILApgCDQIIAggCCAIIAggCCAIIAggCCAIIAggCCAIIAggCCAIIAggCFwIDAuoCHgAC/AICAoMCBAIFAgYCBwIIAgkCHAILApgCDQIIAggCCAIIAggCCAIIAggCCAIIAggCCAIIAggCCAIIAggCFwIDAs8CHgAC/AICAlcCBAIFAgYCBwIIAgkCJQILApgCDQIIAggCCAIIAggCCAIIAggCCAIIAggCCAIIAggCCAIIAggCFwIDAp0CHgAC/AICAk4CBAIFAgYCBwIIAgkCsAILApgCDQIIAggCCAIIAggCCAIIAggCCAIIAggCCAIIAggCCAIIAggCFwIDAsMCHgAC/AICAkYCBAIFAgYCBwIIAgkCHAILApgCDQIIAggCCAIIAggCCAIIAggCCAIIAggCCAIIAggCCAIIAggCFwIDAuMCHgAC/AICAkwCBAIFAgYCBwIIAgkCJQILApgCDQIIAggCCAIIAggCCAIIAggCCAIIAggCCAIIAggCCAIIAggCFwIDAsQCHgAC/AICAlUCBAIFAgYCBwIIAgkCsAILApgCDQIIAggCCAIIAggCCAIIAggCCAIIAggCCAIIAggCCAIIAggCFwIDAsECHgAC/AICAnoAAAQASAIEAgUCBgIHAggCCQKwAgsCmAINAggCCAIIAggCCAIIAggCCAIIAggCCAIIAggCCAIIAggCCAIXAgMCxwIeAAL8AgICkQIEAgUCBgIHAggCCQKwAgsCmAINAggCCAIIAggCCAIIAggCCAIIAggCCAIIAggCCAIIAggCCAIXAgMCIwIeAAL8AgICGwIEAgUCBgIHAggCCQIcAgsCmAINAggCCAIIAggCCAIIAggCCAIIAggCCAIIAggCCAIIAggCCAIXAgMCtAIeAAL8AgICOQIEAgUCBgIHAggCCQIcAgsCmAINAggCCAIIAggCCAIIAggCCAIIAggCCAIIAggCCAIIAggCCAIXAgMCrgIeAAL8AgICRAIEAgUCBgIHAggCCQIlAgsCmAINAggCCAIIAggCCAIIAggCCAIIAggCCAIIAggCCAIIAggCCAIXAgMCmQIeAAL8AgICPwIEAgUCBgIHAggCCQIlAgsCmAINAggCCAIIAggCCAIIAggCCAIIAggCCAIIAggCCAIIAggCCAIXAgMCnwIeAAL8AgICKwIEAgUCBgIHAggCCQIlAgsCmAINAggCCAIIAggCCAIIAggCCAIIAggCCAIIAggCCAIIAggCCAIXAgMCvAIeAAL8AgICHgIEAgUCBgIHAggCCQIcAgsCmAINAggCCAIIAggCCAIIAggCCAIIAggCCAIIAggCCAIIAggCCAIXAgMC3QIeAAL8AgIChQIEAgUCBgIHAggCCQIlAgsCmAINAggCCAIIAggCCAIIAggCCAIIAggCCAIIAggCCAIIAggCCAIXAgMCtQIeAAL8AgICMwIEAgUCBgIHAggCCQKwAgsCmAINAggCCAIIAggCCAIIAggCCAIIAggCCAIIAggCCAIIAggCCAIXAgMCtwIeAAL8AgICPQIEAgUCBgIHAggCCQKwAgsCmAINAggCCAIIAggCCAIIAggCCAIIAggCCAIIAggCCAIIAggCCAIXAgMCvwIeAAL8AgICAwIEAgUCBgIHAggCCQIlAgsCmAINAggCCAIIAggCCAIIAggCCAIIAggCCAIIAggCCAIIAggCCAIXAgMCogIeAAL8AgICLQIEAgUCBgIHAggCCQIcAgsCmAINAggCCAIIAggCCAIIAggCCAIIAggCCAIIAggCCAIIAggCCAIXAgMC2wIeAAL8AgICNQIEAgUCBgIHAggCCQIlAgsCmAINAggCCAIIAggCCAIIAggCCAIIAggCCAIIAggCCAIIAggCCAIXAgMCwAIeAAL8AgICLwIEAgUCBgIHAggCCQIlAgsCmAINAggCCAIIAggCCAIIAggCCAIIAggCCAIIAggCCAIIAggCCAIXAnoAAAQAAwKgAh4AAvwCAgKMAgQCBQIGAgcCCAIJAiUCCwKYAg0CCAIIAggCCAIIAggCCAIIAggCCAIIAggCCAIIAggCCAIIAhcCAwK5Ah4AAvwCAgIrAgQCBQIGAgcCCAIJAhwCCwKYAg0CCAIIAggCCAIIAggCCAIIAggCCAIIAggCCAIIAggCCAIIAhcCAwKtAh4AAvwCAgIiAgQCBQIGAgcCCAIJArACCwKYAg0CCAIIAggCCAIIAggCCAIIAggCCAIIAggCCAIIAggCCAIIAhcCAwIjAh4AAvwCAgItAgQCBQIGAgcCCAIJArACCwKYAg0CCAIIAggCCAIIAggCCAIIAggCCAIIAggCCAIIAggCCAIIAhcCAwKxAh4AAvwCAgKFAgQCBQIGAgcCCAIJAhwCCwKYAg0CCAIIAggCCAIIAggCCAIIAggCCAIIAggCCAIIAggCCAIIAhcCAwKvAh4AAvwCAgIeAgQCBQIGAgcCCAIJArACCwKYAg0CCAIIAggCCAIIAggCCAIIAggCCAIIAggCCAIIAggCCAIIAhcCAwKyAh4AAvwCAgIkAgQCBQIGAgcCCAIJAhwCCwKYAg0CCAIIAggCCAIIAggCCAIIAggCCAIIAggCCAIIAggCCAIIAhcCAwLuAh4AAvwCAgIkAgQCBQIGAgcCCAIJAiUCCwKYAg0CCAIIAggCCAIIAggCCAIIAggCCAIIAggCCAIIAggCCAIIAhcCAwKnAh4AAvwCAgJKAgQCBQIGAgcCCAIJAiUCCwKYAg0CCAIIAggCCAIIAggCCAIIAggCCAIIAggCCAIIAggCCAIIAhcCAwLoAh4AAvwCAgI1AgQCBQIGAgcCCAIJAhwCCwKYAg0CCAIIAggCCAIIAggCCAIIAggCCAIIAggCCAIIAggCCAIIAhcCAwLhAh4AAvwCAgI7AgQCBQIGAgcCCAIJArACCwKYAg0CCAIIAggCCAIIAggCCAIIAggCCAIIAggCCAIIAggCCAIIAhcCAwLSAh4AAvwCAgInAgQCBQIGAgcCCAIJArACCwKYAg0CCAIIAggCCAIIAggCCAIIAggCCAIIAggCCAIIAggCCAIIAhcCAwLWAh4AAvwCAgKHAgQCBQIGAgcCCAIJAiUCCwKYAg0CCAIIAggCCAIIAggCCAIIAggCCAIIAggCCAIIAggCCAIIAhcCAwLwAh4AAvwCAgI/AgQCBQIGAgcCCAIJAhwCCwKYAg0CCAIIAggCCAIIAggCCAIIAggCCAIIAggCCAIIAggCCAIIAhcCAwKsAh4AAvwCAgJQAgQCBQIGAgcCCAIJArACCwKYAg0CCAIIAggCCAIIAggCCAIIAggCCAIIAggCCHoAAAQAAggCCAIIAggCFwIDAu0CHgAC/AICAk4CBAIFAgYCBwIIAgkCHAILApgCDQIIAggCCAIIAggCCAIIAggCCAIIAggCCAIIAggCCAIIAggCFwIDAuwCHgAC/AICAjkCBAIFAgYCBwIIAgkCJQILApgCDQIIAggCCAIIAggCCAIIAggCCAIIAggCCAIIAggCCAIIAggCFwIDAp4CHgAC/AICAikCBAIFAgYCBwIIAgkCHAILApgCDQIIAggCCAIIAggCCAIIAggCCAIIAggCCAIIAggCCAIIAggCFwIDAtgCHgAC/AICAkYCBAIFAgYCBwIIAgkCJQILApgCDQIIAggCCAIIAggCCAIIAggCCAIIAggCCAIIAggCCAIIAggCFwIDAucCHgAC/AICAowCBAIFAgYCBwIIAgkCHAILApgCDQIIAggCCAIIAggCCAIIAggCCAIIAggCCAIIAggCCAIIAggCFwIDAuQCHgAC/AICAjkCBAIFAgYCBwIIAgkCsAILApgCDQIIAggCCAIIAggCCAIIAggCCAIIAggCCAIIAggCCAIIAggCFwIDAskCHgAC/AICAo4CBAIFAgYCBwIIAgkCJQILApgCDQIIAggCCAIIAggCCAIIAggCCAIIAggCCAIIAggCCAIIAggCFwIDAqkCHgAC/AICAhsCBAIFAgYCBwIIAgkCsAILApgCDQIIAggCCAIIAggCCAIIAggCCAIIAggCCAIIAggCCAIIAggCFwIDAtACHgAC/AICAikCBAIFAgYCBwIIAgkCJQILApgCDQIIAggCCAIIAggCCAIIAggCCAIIAggCCAIIAggCCAIIAggCFwIDAqYCHgAC/AICAkgCBAIFAgYCBwIIAgkCHAILApgCDQIIAggCCAIIAggCCAIIAggCCAIIAggCCAIIAggCCAIIAggCFwIDAt4CHgAC/AICAiACBAIFAgYCBwIIAgkCJQILApgCDQIIAggCCAIIAggCCAIIAggCCAIIAggCCAIIAggCCAIIAggCFwIDAtECHgAC/AICAjcCBAIFAgYCBwIIAgkCsAILApgCDQIIAggCCAIIAggCCAIIAggCCAIIAggCCAIIAggCCAIIAggCFwIDAt8CHgAC/AICAlUCBAIFAgYCBwIIAgkCJQILApgCDQIIAggCCAIIAggCCAIIAggCCAIIAggCCAIIAggCCAIIAggCFwIDAuYCHgAC/AICAlACBAIFAgYCBwIIAgkCHAILApgCDQIIAggCCAIIAggCCAIIAggCCAIIAggCCAIIAggCCAIIAggCFwIDAsYCHgAC/AICAk4CBAIFAgYCBwIIAgkCJQILApgCDQIIAggCCAIIAggCCAIIAnoAAAQACAIIAggCCAIIAggCCAIIAggCCAIXAgMCowIeAAL8AgICgwIEAgUCBgIHAggCCQKwAgsCmAINAggCCAIIAggCCAIIAggCCAIIAggCCAIIAggCCAIIAggCCAIXAgMCIwIeAAL8AgICVwIEAgUCBgIHAggCCQKwAgsCmAINAggCCAIIAggCCAIIAggCCAIIAggCCAIIAggCCAIIAggCCAIXAgMCIwIeAAL8AgICTAIEAgUCBgIHAggCCQKwAgsCmAINAggCCAIIAggCCAIIAggCCAIIAggCCAIIAggCCAIIAggCCAIXAgMC5QIeAAL8AgICkQIEAgUCBgIHAggCCQIcAgsCmAINAggCCAIIAggCCAIIAggCCAIIAggCCAIIAggCCAIIAggCCAIXAgMC3AIeAAL8AgICRAIEAgUCBgIHAggCCQKwAgsCmAINAggCCAIIAggCCAIIAggCCAIIAggCCAIIAggCCAIIAggCCAIXAgMC6QIeAAL8AgICIAIEAgUCBgIHAggCCQIcAgsCmAINAggCCAIIAggCCAIIAggCCAIIAggCCAIIAggCCAIIAggCCAIXAgMC1wIeAAL8AgICLwIEAgUCBgIHAggCCQKwAgsCmAINAggCCAIIAggCCAIIAggCCAIIAggCCAIIAggCCAIIAggCCAIXAgMCIwIeAAL8AgICSAIEAgUCBgIHAggCCQIlAgsCmAINAggCCAIIAggCCAIIAggCCAIIAggCCAIIAggCCAIIAggCCAIXAgMC6wIeAAL8AgICAwIEAgUCBgIHAggCCQIcAgsCmAINAggCCAIIAggCCAIIAggCCAIIAggCCAIIAggCCAIIAggCCAIXAgMCvQIeAAL8AgICigIEAgUCBgIHAggCCQIcAgsCmAINAggCCAIIAggCCAIIAggCCAIIAggCCAIIAggCCAIIAggCCAIXAgMCrwIeAAL8AgIChQIEAgUCBgIHAggCCQKwAgsCmAINAggCCAIIAggCCAIIAggCCAIIAggCCAIIAggCCAIIAggCCAIXAgMCIwIeAAL8AgICMwIEAgUCBgIHAggCCQIlAgsCmAINAggCCAIIAggCCAIIAggCCAIIAggCCAIIAggCCAIIAggCCAIXAgMCpQIeAAL8AgICPwIEAgUCBgIHAggCCQKwAgsCmAINAggCCAIIAggCCAIIAggCCAIIAggCCAIIAggCCAIIAggCCAIXAgMCIwIeAAL8AgICkQIEAgUCBgIHAggCCQIlAgsCmAINAggCCAIIAggCCAIIAggCCAIIAggCCAIIAggCCAIIAggCCAIXAgMC4gIeAAL8AgICVQIEAgUCBgIHAggCCQIcAgsCmAINAggCCHoAAAQAAggCCAIIAggCCAIIAggCCAIIAggCCAIIAggCCAIIAhcCAwLaAh4AAvwCAgIrAgQCBQIGAgcCCAIJArACCwKYAg0CCAIIAggCCAIIAggCCAIIAggCCAIIAggCCAIIAggCCAIIAhcCAwLZAh4AAvwCAgKOAgQCBQIGAgcCCAIJAhwCCwKYAg0CCAIIAggCCAIIAggCCAIIAggCCAIIAggCCAIIAggCCAIIAhcCAwLUAh4AAvwCAgIeAgQCBQIGAgcCCAIJAiUCCwKYAg0CCAIIAggCCAIIAggCCAIIAggCCAIIAggCCAIIAggCCAIIAhcCAwLNAh4AAvwCAgKMAgQCBQIGAgcCCAIJArACCwKYAg0CCAIIAggCCAIIAggCCAIIAggCCAIIAggCCAIIAggCCAIIAhcCAwIjAh4AAvwCAgIiAgQCBQIGAgcCCAIJAiUCCwKYAg0CCAIIAggCCAIIAggCCAIIAggCCAIIAggCCAIIAggCCAIIAhcCAwKqAh4AAvwCAgI1AgQCBQIGAgcCCAIJArACCwKYAg0CCAIIAggCCAIIAggCCAIIAggCCAIIAggCCAIIAggCCAIIAhcCAwLgAh4AAvwCAgIvAgQCBQIGAgcCCAIJAhwCCwKYAg0CCAIIAggCCAIIAggCCAIIAggCCAIIAggCCAIIAggCCAIIAhcCAwK4Ah4AAvwCAgI9AgQCBQIGAgcCCAIJAiUCCwKYAg0CCAIIAggCCAIIAggCCAIIAggCCAIIAggCCAIIAggCCAIIAhcCAwKaAh4AAvwCAgItAgQCBQIGAgcCCAIJAiUCCwKYAg0CCAIIAggCCAIIAggCCAIIAggCCAIIAggCCAIIAggCCAIIAhcCAwKcAh4AAvwCAgI7AgQCBQIGAgcCCAIJAhwCCwKYAg0CCAIIAggCCAIIAggCCAIIAggCCAIIAggCCAIIAggCCAIIAhcCAwLIAh4AAvwCAgIDAgQCBQIGAgcCCAIJArACCwKYAg0CCAIIAggCCAIIAggCCAIIAggCCAIIAggCCAIIAggCCAIIAhcCAwLVAh4AAvwCAgInAgQCBQIGAgcCCAIJAhwCCwKYAg0CCAIIAggCCAIIAggCCAIIAggCCAIIAggCCAIIAggCCAIIAhcCAwLOAh4AAvwCAgInAgQCBQIGAgcCCAIJAiUCCwKYAg0CCAIIAggCCAIIAggCCAIIAggCCAIIAggCCAIIAggCCAIIAhcCAwKoAh4AAvwCAgJQAgQCBQIGAgcCCAIJAiUCCwKYAg0CCAIIAggCCAIIAggCCAIIAggCCAIIAggCCAIIAggCCAIIAhcCAwKkAh4AAvwCAgIzAgQCBQIGAgcCCAIJAnoAAAQAHAILApgCDQIIAggCCAIIAggCCAIIAggCCAIIAggCCAIIAggCCAIIAggCFwIDAtMCHgAC/AICAkoCBAIFAgYCBwIIAgkCsAILApgCDQIIAggCCAIIAggCCAIIAggCCAIIAggCCAIIAggCCAIIAggCFwIDAsUCHgAC/AICAkwCBAIFAgYCBwIIAgkCHAILApgCDQIIAggCCAIIAggCCAIIAggCCAIIAggCCAIIAggCCAIIAggCFwIDAssCHgAC/AICAjsCBAIFAgYCBwIIAgkCJQILApgCDQIIAggCCAIIAggCCAIIAggCCAIIAggCCAIIAggCCAIIAggCFwIDArYCHgAC/AICAooCBAIFAgYCBwIIAgkCJQILApgCDQIIAggCCAIIAggCCAIIAggCCAIIAggCCAIIAggCCAIIAggCFwIDArUCHgAC/AICAjcCBAIFAgYCBwIIAgkCHAILApgCDQIIAggCCAIIAggCCAIIAggCCAIIAggCCAIIAggCCAIIAggCFwIDArMCHgAC/AICAocCBAIFAgYCBwIIAgkCsAILApgCDQIIAggCCAIIAggCCAIIAggCCAIIAggCCAIIAggCCAIIAggCFwIDAiMCHgAC/AICAiQCBAIFAgYCBwIIAgkCsAILApgCDQIIAggCCAIIAggCCAIIAggCCAIIAggCCAIIAggCCAIIAggCFwIDAiMCHgAC/AICAj0CBAIFAgYCBwIIAgkCHAILApgCDQIIAggCCAIIAggCCAIIAggCCAIIAggCCAIIAggCCAIIAggCFwIDAsICHgAC/AICAkYCBAIFAgYCBwIIAgkCsAILApgCDQIIAggCCAIIAggCCAIIAggCCAIIAggCCAIIAggCCAIIAggCFwIDAsoCHgAC/AICAiICBAIFAgYCBwIIAgkCHAILApgCDQIIAggCCAIIAggCCAIIAggCCAIIAggCCAIIAggCCAIIAggCFwIDAswCHgAC/QAJODE4MzgyNzI4AgICRgIEAgUCBgIHAggCCQKwAgsCmAINAggCCAIIAggCCAIIAggCCAIIAggCCAIIAggCCAIIAggCCAIjAgMCygIeAAL9AgICUAIEAgUCBgIHAggCCQKwAgsCmAINAggCCAIIAggCCAIIAggCCAIIAggCCAIIAggCCAIIAggCCAIjAgMC7QIeAAL9AgICUAIEAgUCBgIHAggCCQIlAgsCmAINAggCCAIIAggCCAIIAggCCAIIAggCCAIIAggCCAIIAggCCAIjAgMCpAIeAAL9AgICPQIEAgUCBgIHAggCCQIlAgsCmAINAggCCAIIAggCCAIIAggCCAIIAggCCAIIAggCCAIIAggCCAIjAgMCmnoAAAQAAh4AAv0CAgIeAgQCBQIGAgcCCAIJAhwCCwKYAg0CCAIIAggCCAIIAggCCAIIAggCCAIIAggCCAIIAggCCAIIAiMCAwLdAh4AAv0CAgI1AgQCBQIGAgcCCAIJAiUCCwKYAg0CCAIIAggCCAIIAggCCAIIAggCCAIIAggCCAIIAggCCAIIAiMCAwLAAh4AAv0CAgIDAgQCBQIGAgcCCAIJAhwCCwKYAg0CCAIIAggCCAIIAggCCAIIAggCCAIIAggCCAIIAggCCAIIAiMCAwK9Ah4AAv0CAgItAgQCBQIGAgcCCAIJAhwCCwKYAg0CCAIIAggCCAIIAggCCAIIAggCCAIIAggCCAIIAggCCAIIAiMCAwLbAh4AAv0CAgJIAgQCBQIGAgcCCAIJArACCwKYAg0CCAIIAggCCAIIAggCCAIIAggCCAIIAggCCAIIAggCCAIIAiMCAwLHAh4AAv0CAgJKAgQCBQIGAgcCCAIJArACCwKYAg0CCAIIAggCCAIIAggCCAIIAggCCAIIAggCCAIIAggCCAIIAiMCAwLFAh4AAv0CAgI1AgQCBQIGAgcCCAIJArACCwKYAg0CCAIIAggCCAIIAggCCAIIAggCCAIIAggCCAIIAggCCAIIAiMCAwLgAh4AAv0CAgI9AgQCBQIGAgcCCAIJArACCwKYAg0CCAIIAggCCAIIAggCCAIIAggCCAIIAggCCAIIAggCCAIIAiMCAwK/Ah4AAv0CAgIDAgQCBQIGAgcCCAIJAiUCCwKYAg0CCAIIAggCCAIIAggCCAIIAggCCAIIAggCCAIIAggCCAIIAiMCAwKiAh4AAv0CAgJXAgQCBQIGAgcCCAIJArACCwKYAg0CCAIIAggCCAIIAggCCAIIAggCCAIIAggCCAIIAggCCAIIAiMCAwIjAh4AAv0CAgI7AgQCBQIGAgcCCAIJAhwCCwKYAg0CCAIIAggCCAIIAggCCAIIAggCCAIIAggCCAIIAggCCAIIAiMCAwLIAh4AAv0CAgIiAgQCBQIGAgcCCAIJAiUCCwKYAg0CCAIIAggCCAIIAggCCAIIAggCCAIIAggCCAIIAggCCAIIAiMCAwKqAh4AAv0CAgInAgQCBQIGAgcCCAIJAhwCCwKYAg0CCAIIAggCCAIIAggCCAIIAggCCAIIAggCCAIIAggCCAIIAiMCAwLOAh4AAv0CAgIeAgQCBQIGAgcCCAIJAiUCCwKYAg0CCAIIAggCCAIIAggCCAIIAggCCAIIAggCCAIIAggCCAIIAiMCAwLNAh4AAv0CAgIeAgQCBQIGAgcCCAIJArACCwKYAg0CCAIIAggCCAIIAggCCAIIAggCCAIIAggCCAIIAnoAAAQACAIIAggCIwIDArICHgAC/QICAlUCBAIFAgYCBwIIAgkCsAILApgCDQIIAggCCAIIAggCCAIIAggCCAIIAggCCAIIAggCCAIIAggCIwIDAsECHgAC/QICAlUCBAIFAgYCBwIIAgkCJQILApgCDQIIAggCCAIIAggCCAIIAggCCAIIAggCCAIIAggCCAIIAggCIwIDAuYCHgAC/QICAkwCBAIFAgYCBwIIAgkCsAILApgCDQIIAggCCAIIAggCCAIIAggCCAIIAggCCAIIAggCCAIIAggCIwIDAuUCHgAC/QICAjsCBAIFAgYCBwIIAgkCJQILApgCDQIIAggCCAIIAggCCAIIAggCCAIIAggCCAIIAggCCAIIAggCIwIDArYCHgAC/QICAk4CBAIFAgYCBwIIAgkCsAILApgCDQIIAggCCAIIAggCCAIIAggCCAIIAggCCAIIAggCCAIIAggCIwIDAsMCHgAC/QICAk4CBAIFAgYCBwIIAgkCJQILApgCDQIIAggCCAIIAggCCAIIAggCCAIIAggCCAIIAggCCAIIAggCIwIDAqMCHgAC/QICAisCBAIFAgYCBwIIAgkCHAILApgCDQIIAggCCAIIAggCCAIIAggCCAIIAggCCAIIAggCCAIIAggCIwIDAq0CHgAC/QICAkoCBAIFAgYCBwIIAgkCHAILApgCDQIIAggCCAIIAggCCAIIAggCCAIIAggCCAIIAggCCAIIAggCIwIDAu8CHgAC/QICAhsCBAIFAgYCBwIIAgkCsAILApgCDQIIAggCCAIIAggCCAIIAggCCAIIAggCCAIIAggCCAIIAggCIwIDAtACHgAC/QICAiACBAIFAgYCBwIIAgkCsAILApgCDQIIAggCCAIIAggCCAIIAggCCAIIAggCCAIIAggCCAIIAggCIwIDAvECHgAC/QICAjMCBAIFAgYCBwIIAgkCHAILApgCDQIIAggCCAIIAggCCAIIAggCCAIIAggCCAIIAggCCAIIAggCIwIDAtMCHgAC/QICAjsCBAIFAgYCBwIIAgkCsAILApgCDQIIAggCCAIIAggCCAIIAggCCAIIAggCCAIIAggCCAIIAggCIwIDAtICHgAC/QICAjkCBAIFAgYCBwIIAgkCsAILApgCDQIIAggCCAIIAggCCAIIAggCCAIIAggCCAIIAggCCAIIAggCIwIDAskCHgAC/QICAkoCBAIFAgYCBwIIAgkCJQILApgCDQIIAggCCAIIAggCCAIIAggCCAIIAggCCAIIAggCCAIIAggCIwIDAugCHgAC/QICAj0CBAIFAgYCBwIIAgkCHAILApgCDQIIAggCCAIIAggCCAIIAggCCHoAAAQAAggCCAIIAggCCAIIAggCCAIjAgMCwgIeAAL9AgICNQIEAgUCBgIHAggCCQIcAgsCmAINAggCCAIIAggCCAIIAggCCAIIAggCCAIIAggCCAIIAggCCAIjAgMC4QIeAAL9AgICJwIEAgUCBgIHAggCCQIlAgsCmAINAggCCAIIAggCCAIIAggCCAIIAggCCAIIAggCCAIIAggCCAIjAgMCqAIeAAL9AgICOQIEAgUCBgIHAggCCQIlAgsCmAINAggCCAIIAggCCAIIAggCCAIIAggCCAIIAggCCAIIAggCCAIjAgMCngIeAAL9AgICRgIEAgUCBgIHAggCCQIlAgsCmAINAggCCAIIAggCCAIIAggCCAIIAggCCAIIAggCCAIIAggCCAIjAgMC5wIeAAL9AgICIgIEAgUCBgIHAggCCQIcAgsCmAINAggCCAIIAggCCAIIAggCCAIIAggCCAIIAggCCAIIAggCCAIjAgMCzAIeAAL9AgICKwIEAgUCBgIHAggCCQIlAgsCmAINAggCCAIIAggCCAIIAggCCAIIAggCCAIIAggCCAIIAggCCAIjAgMCvAIeAAL9AgICKQIEAgUCBgIHAggCCQIcAgsCmAINAggCCAIIAggCCAIIAggCCAIIAggCCAIIAggCCAIIAggCCAIjAgMC2AIeAAL9AgICTgIEAgUCBgIHAggCCQIcAgsCmAINAggCCAIIAggCCAIIAggCCAIIAggCCAIIAggCCAIIAggCCAIjAgMC7AIeAAL9AgICNwIEAgUCBgIHAggCCQIcAgsCmAINAggCCAIIAggCCAIIAggCCAIIAggCCAIIAggCCAIIAggCCAIjAgMCswIeAAL9AgICJwIEAgUCBgIHAggCCQKwAgsCmAINAggCCAIIAggCCAIIAggCCAIIAggCCAIIAggCCAIIAggCCAIjAgMC1gIeAAL9AgICMwIEAgUCBgIHAggCCQIlAgsCmAINAggCCAIIAggCCAIIAggCCAIIAggCCAIIAggCCAIIAggCCAIjAgMCpQIeAAL9AgICTAIEAgUCBgIHAggCCQIcAgsCmAINAggCCAIIAggCCAIIAggCCAIIAggCCAIIAggCCAIIAggCCAIjAgMCywIeAAL9AgICVwIEAgUCBgIHAggCCQIcAgsCmAINAggCCAIIAggCCAIIAggCCAIIAggCCAIIAggCCAIIAggCCAIjAgMCugIeAAL9AgICIAIEAgUCBgIHAggCCQIlAgsCmAINAggCCAIIAggCCAIIAggCCAIIAggCCAIIAggCCAIIAggCCAIjAgMC0QIeAAL9AgICRAIEAgUCBgIHAggCCQIcAgsCmAINAggCCAIIAnoAAAQACAIIAggCCAIIAggCCAIIAggCCAIIAggCCAIIAiMCAwK7Ah4AAv0CAgI5AgQCBQIGAgcCCAIJAhwCCwKYAg0CCAIIAggCCAIIAggCCAIIAggCCAIIAggCCAIIAggCCAIIAiMCAwKuAh4AAv0CAgItAgQCBQIGAgcCCAIJArACCwKYAg0CCAIIAggCCAIIAggCCAIIAggCCAIIAggCCAIIAggCCAIIAiMCAwKxAh4AAv0CAgIpAgQCBQIGAgcCCAIJAiUCCwKYAg0CCAIIAggCCAIIAggCCAIIAggCCAIIAggCCAIIAggCCAIIAiMCAwKmAh4AAv0CAgIbAgQCBQIGAgcCCAIJAiUCCwKYAg0CCAIIAggCCAIIAggCCAIIAggCCAIIAggCCAIIAggCCAIIAiMCAwKbAh4AAv0CAgJIAgQCBQIGAgcCCAIJAhwCCwKYAg0CCAIIAggCCAIIAggCCAIIAggCCAIIAggCCAIIAggCCAIIAiMCAwLeAh4AAv0CAgJMAgQCBQIGAgcCCAIJAiUCCwKYAg0CCAIIAggCCAIIAggCCAIIAggCCAIIAggCCAIIAggCCAIIAiMCAwLEAh4AAv0CAgIiAgQCBQIGAgcCCAIJArACCwKYAg0CCAIIAggCCAIIAggCCAIIAggCCAIIAggCCAIIAggCCAIIAiMCAwIjAh4AAv0CAgIpAgQCBQIGAgcCCAIJArACCwKYAg0CCAIIAggCCAIIAggCCAIIAggCCAIIAggCCAIIAggCCAIIAiMCAwIjAh4AAv0CAgJQAgQCBQIGAgcCCAIJAhwCCwKYAg0CCAIIAggCCAIIAggCCAIIAggCCAIIAggCCAIIAggCCAIIAiMCAwLGAh4AAv0CAgJXAgQCBQIGAgcCCAIJAiUCCwKYAg0CCAIIAggCCAIIAggCCAIIAggCCAIIAggCCAIIAggCCAIIAiMCAwKdAh4AAv0CAgIDAgQCBQIGAgcCCAIJArACCwKYAg0CCAIIAggCCAIIAggCCAIIAggCCAIIAggCCAIIAggCCAIIAiMCAwLVAh4AAv0CAgItAgQCBQIGAgcCCAIJAiUCCwKYAg0CCAIIAggCCAIIAggCCAIIAggCCAIIAggCCAIIAggCCAIIAiMCAwKcAh4AAv0CAgJGAgQCBQIGAgcCCAIJAhwCCwKYAg0CCAIIAggCCAIIAggCCAIIAggCCAIIAggCCAIIAggCCAIIAiMCAwLjAh4AAv0CAgJIAgQCBQIGAgcCCAIJAiUCCwKYAg0CCAIIAggCCAIIAggCCAIIAggCCAIIAggCCAIIAggCCAIIAiMCAwLrAh4AAv0CAgI3AgQCBQIGAgcCCAIJAiUCC3oAAAQAApgCDQIIAggCCAIIAggCCAIIAggCCAIIAggCCAIIAggCCAIIAggCIwIDAr4CHgAC/QICAjcCBAIFAgYCBwIIAgkCsAILApgCDQIIAggCCAIIAggCCAIIAggCCAIIAggCCAIIAggCCAIIAggCIwIDAt8CHgAC/QICAkQCBAIFAgYCBwIIAgkCsAILApgCDQIIAggCCAIIAggCCAIIAggCCAIIAggCCAIIAggCCAIIAggCIwIDAukCHgAC/QICAlUCBAIFAgYCBwIIAgkCHAILApgCDQIIAggCCAIIAggCCAIIAggCCAIIAggCCAIIAggCCAIIAggCIwIDAtoCHgAC/QICAiACBAIFAgYCBwIIAgkCHAILApgCDQIIAggCCAIIAggCCAIIAggCCAIIAggCCAIIAggCCAIIAggCIwIDAtcCHgAC/QICAkQCBAIFAgYCBwIIAgkCJQILApgCDQIIAggCCAIIAggCCAIIAggCCAIIAggCCAIIAggCCAIIAggCIwIDApkCHgAC/QICAisCBAIFAgYCBwIIAgkCsAILApgCDQIIAggCCAIIAggCCAIIAggCCAIIAggCCAIIAggCCAIIAggCIwIDAtkCHgAC/QICAjMCBAIFAgYCBwIIAgkCsAILApgCDQIIAggCCAIIAggCCAIIAggCCAIIAggCCAIIAggCCAIIAggCIwIDArcCHgAC/QICAhsCBAIFAgYCBwIIAgkCHAILApgCDQIIAggCCAIIAggCCAIIAggCCAIIAggCCAIIAggCCAIIAggCIwIDArQCHgAC/gAJODE4MzgwNDA4AgICPQIEAgUCBgIHAggCCQKwAgsCmAINAggCCAIIAggCCAIIAggCCAIIAggCCAIIAggCCAIIAggCCAIhAgMCvwIeAAL+AgICLwIEAgUCBgIHAggCCQIcAgsCmAINAggCCAIIAggCCAIIAggCCAIIAggCCAIIAggCCAIIAggCCAIhAgMCuAIeAAL+AgICNQIEAgUCBgIHAggCCQKwAgsCmAINAggCCAIIAggCCAIIAggCCAIIAggCCAIIAggCCAIIAggCCAIhAgMC4AIeAAL+AgICAwIEAgUCBgIHAggCCQIlAgsCmAINAggCCAIIAggCCAIIAggCCAIIAggCCAIIAggCCAIIAggCCAIhAgMCogIeAAL+AgICHgIEAgUCBgIHAggCCQIlAgsCmAINAggCCAIIAggCCAIIAggCCAIIAggCCAIIAggCCAIIAggCCAIhAgMCzQIeAAL+AgICIgIEAgUCBgIHAggCCQIlAgsCmAINAggCCAIIAggCCAIIAggCCAIIAggCCAIIAggCCAIIAggCCAIhAgMCqgIeAHoAAAQAAv4CAgI9AgQCBQIGAgcCCAIJAiUCCwKYAg0CCAIIAggCCAIIAggCCAIIAggCCAIIAggCCAIIAggCCAIIAiECAwKaAh4AAv4CAgI7AgQCBQIGAgcCCAIJAhwCCwKYAg0CCAIIAggCCAIIAggCCAIIAggCCAIIAggCCAIIAggCCAIIAiECAwLIAh4AAv4CAgInAgQCBQIGAgcCCAIJAhwCCwKYAg0CCAIIAggCCAIIAggCCAIIAggCCAIIAggCCAIIAggCCAIIAiECAwLOAh4AAv4CAgIeAgQCBQIGAgcCCAIJArACCwKYAg0CCAIIAggCCAIIAggCCAIIAggCCAIIAggCCAIIAggCCAIIAiECAwKyAh4AAv4CAgI7AgQCBQIGAgcCCAIJAiUCCwKYAg0CCAIIAggCCAIIAggCCAIIAggCCAIIAggCCAIIAggCCAIIAiECAwK2Ah4AAv4CAgIDAgQCBQIGAgcCCAIJArACCwKYAg0CCAIIAggCCAIIAggCCAIIAggCCAIIAggCCAIIAggCCAIIAiECAwLVAh4AAv4CAgIzAgQCBQIGAgcCCAIJAhwCCwKYAg0CCAIIAggCCAIIAggCCAIIAggCCAIIAggCCAIIAggCCAIIAiECAwLTAh4AAv4CAgIrAgQCBQIGAgcCCAIJAhwCCwKYAg0CCAIIAggCCAIIAggCCAIIAggCCAIIAggCCAIIAggCCAIIAiECAwKtAh4AAv4CAgItAgQCBQIGAgcCCAIJAiUCCwKYAg0CCAIIAggCCAIIAggCCAIIAggCCAIIAggCCAIIAggCCAIIAiECAwKcAh4AAv4CAgJKAgQCBQIGAgcCCAIJArACCwKYAg0CCAIIAggCCAIIAggCCAIIAggCCAIIAggCCAIIAggCCAIIAiECAwLFAh4AAv4CAgI7AgQCBQIGAgcCCAIJArACCwKYAg0CCAIIAggCCAIIAggCCAIIAggCCAIIAggCCAIIAggCCAIIAiECAwLSAh4AAv4CAgIvAgQCBQIGAgcCCAIJAiUCCwKYAg0CCAIIAggCCAIIAggCCAIIAggCCAIIAggCCAIIAggCCAIIAiECAwKgAh4AAv4CAgJIAgQCBQIGAgcCCAIJArACCwKYAg0CCAIIAggCCAIIAggCCAIIAggCCAIIAggCCAIIAggCCAIIAiECAwLHAh4AAv4CAgJEAgQCBQIGAgcCCAIJArACCwKYAg0CCAIIAggCCAIIAggCCAIIAggCCAIIAggCCAIIAggCCAIIAiECAwLpAh4AAv4CAgJIAgQCBQIGAgcCCAIJAiUCCwKYAg0CCAIIAggCCAIIAggCCAIIAggCCAIIAggCCAIIAggCCHoAAAQAAggCIQIDAusCHgAC/gICAkQCBAIFAgYCBwIIAgkCJQILApgCDQIIAggCCAIIAggCCAIIAggCCAIIAggCCAIIAggCCAIIAggCIQIDApkCHgAC/gICAiACBAIFAgYCBwIIAgkCHAILApgCDQIIAggCCAIIAggCCAIIAggCCAIIAggCCAIIAggCCAIIAggCIQIDAtcCHgAC/gICAkwCBAIFAgYCBwIIAgkCsAILApgCDQIIAggCCAIIAggCCAIIAggCCAIIAggCCAIIAggCCAIIAggCIQIDAuUCHgAC/gICAhsCBAIFAgYCBwIIAgkCHAILApgCDQIIAggCCAIIAggCCAIIAggCCAIIAggCCAIIAggCCAIIAggCIQIDArQCHgAC/gICAiICBAIFAgYCBwIIAgkCsAILApgCDQIIAggCCAIIAggCCAIIAggCCAIIAggCCAIIAggCCAIIAggCIQIDAiMCHgAC/gICAjMCBAIFAgYCBwIIAgkCJQILApgCDQIIAggCCAIIAggCCAIIAggCCAIIAggCCAIIAggCCAIIAggCIQIDAqUCHgAC/gICAisCBAIFAgYCBwIIAgkCJQILApgCDQIIAggCCAIIAggCCAIIAggCCAIIAggCCAIIAggCCAIIAggCIQIDArwCHgAC/gICAjcCBAIFAgYCBwIIAgkCsAILApgCDQIIAggCCAIIAggCCAIIAggCCAIIAggCCAIIAggCCAIIAggCIQIDAt8CHgAC/gICAh4CBAIFAgYCBwIIAgkCHAILApgCDQIIAggCCAIIAggCCAIIAggCCAIIAggCCAIIAggCCAIIAggCIQIDAt0CHgAC/gICAikCBAIFAgYCBwIIAgkCsAILApgCDQIIAggCCAIIAggCCAIIAggCCAIIAggCCAIIAggCCAIIAggCIQIDAiMCHgAC/gICAjUCBAIFAgYCBwIIAgkCJQILApgCDQIIAggCCAIIAggCCAIIAggCCAIIAggCCAIIAggCCAIIAggCIQIDAsACHgAC/gICAjcCBAIFAgYCBwIIAgkCJQILApgCDQIIAggCCAIIAggCCAIIAggCCAIIAggCCAIIAggCCAIIAggCIQIDAr4CHgAC/gICAgMCBAIFAgYCBwIIAgkCHAILApgCDQIIAggCCAIIAggCCAIIAggCCAIIAggCCAIIAggCCAIIAggCIQIDAr0CHgAC/gICAi0CBAIFAgYCBwIIAgkCHAILApgCDQIIAggCCAIIAggCCAIIAggCCAIIAggCCAIIAggCCAIIAggCIQIDAtsCHgAC/gICAlcCBAIFAgYCBwIIAgkCHAILApgCDQIIAggCCAIIAggCCAIIAggCCAIIAnoAAAQACAIIAggCCAIIAggCCAIhAgMCugIeAAL+AgICIAIEAgUCBgIHAggCCQIlAgsCmAINAggCCAIIAggCCAIIAggCCAIIAggCCAIIAggCCAIIAggCCAIhAgMC0QIeAAL+AgICGwIEAgUCBgIHAggCCQIlAgsCmAINAggCCAIIAggCCAIIAggCCAIIAggCCAIIAggCCAIIAggCCAIhAgMCmwIeAAL+AgICSAIEAgUCBgIHAggCCQIcAgsCmAINAggCCAIIAggCCAIIAggCCAIIAggCCAIIAggCCAIIAggCCAIhAgMC3gIeAAL+AgICVQIEAgUCBgIHAggCCQIcAgsCmAINAggCCAIIAggCCAIIAggCCAIIAggCCAIIAggCCAIIAggCCAIhAgMC2gIeAAL+AgICMwIEAgUCBgIHAggCCQKwAgsCmAINAggCCAIIAggCCAIIAggCCAIIAggCCAIIAggCCAIIAggCCAIhAgMCtwIeAAL+AgICOQIEAgUCBgIHAggCCQKwAgsCmAINAggCCAIIAggCCAIIAggCCAIIAggCCAIIAggCCAIIAggCCAIhAgMCyQIeAAL+AgICGwIEAgUCBgIHAggCCQKwAgsCmAINAggCCAIIAggCCAIIAggCCAIIAggCCAIIAggCCAIIAggCCAIhAgMC0AIeAAL+AgICKQIEAgUCBgIHAggCCQIlAgsCmAINAggCCAIIAggCCAIIAggCCAIIAggCCAIIAggCCAIIAggCCAIhAgMCpgIeAAL+AgICSgIEAgUCBgIHAggCCQIcAgsCmAINAggCCAIIAggCCAIIAggCCAIIAggCCAIIAggCCAIIAggCCAIhAgMC7wIeAAL+AgICKwIEAgUCBgIHAggCCQKwAgsCmAINAggCCAIIAggCCAIIAggCCAIIAggCCAIIAggCCAIIAggCCAIhAgMC2QIeAAL+AgICRAIEAgUCBgIHAggCCQIcAgsCmAINAggCCAIIAggCCAIIAggCCAIIAggCCAIIAggCCAIIAggCCAIhAgMCuwIeAAL+AgICUAIEAgUCBgIHAggCCQIcAgsCmAINAggCCAIIAggCCAIIAggCCAIIAggCCAIIAggCCAIIAggCCAIhAgMCxgIeAAL+AgICRgIEAgUCBgIHAggCCQIcAgsCmAINAggCCAIIAggCCAIIAggCCAIIAggCCAIIAggCCAIIAggCCAIhAgMC4wIeAAL+AgICVQIEAgUCBgIHAggCCQIlAgsCmAINAggCCAIIAggCCAIIAggCCAIIAggCCAIIAggCCAIIAggCCAIhAgMC5gIeAAL+AgICJwIEAgUCBgIHAggCCQKwAgsCmAINAggCCAIIAggCCHoAAAQAAggCCAIIAggCCAIIAggCCAIIAggCCAIIAiECAwLWAh4AAv4CAgJOAgQCBQIGAgcCCAIJAiUCCwKYAg0CCAIIAggCCAIIAggCCAIIAggCCAIIAggCCAIIAggCCAIIAiECAwKjAh4AAv4CAgJXAgQCBQIGAgcCCAIJAiUCCwKYAg0CCAIIAggCCAIIAggCCAIIAggCCAIIAggCCAIIAggCCAIIAiECAwKdAh4AAv4CAgJMAgQCBQIGAgcCCAIJAiUCCwKYAg0CCAIIAggCCAIIAggCCAIIAggCCAIIAggCCAIIAggCCAIIAiECAwLEAh4AAv4CAgI3AgQCBQIGAgcCCAIJAhwCCwKYAg0CCAIIAggCCAIIAggCCAIIAggCCAIIAggCCAIIAggCCAIIAiECAwKzAh4AAv4CAgJOAgQCBQIGAgcCCAIJArACCwKYAg0CCAIIAggCCAIIAggCCAIIAggCCAIIAggCCAIIAggCCAIIAiECAwLDAh4AAv4CAgI5AgQCBQIGAgcCCAIJAhwCCwKYAg0CCAIIAggCCAIIAggCCAIIAggCCAIIAggCCAIIAggCCAIIAiECAwKuAh4AAv4CAgI1AgQCBQIGAgcCCAIJAhwCCwKYAg0CCAIIAggCCAIIAggCCAIIAggCCAIIAggCCAIIAggCCAIIAiECAwLhAh4AAv4CAgJKAgQCBQIGAgcCCAIJAiUCCwKYAg0CCAIIAggCCAIIAggCCAIIAggCCAIIAggCCAIIAggCCAIIAiECAwLoAh4AAv4CAgIvAgQCBQIGAgcCCAIJArACCwKYAg0CCAIIAggCCAIIAggCCAIIAggCCAIIAggCCAIIAggCCAIIAiECAwIjAh4AAv4CAgInAgQCBQIGAgcCCAIJAiUCCwKYAg0CCAIIAggCCAIIAggCCAIIAggCCAIIAggCCAIIAggCCAIIAiECAwKoAh4AAv4CAgItAgQCBQIGAgcCCAIJArACCwKYAg0CCAIIAggCCAIIAggCCAIIAggCCAIIAggCCAIIAggCCAIIAiECAwKxAh4AAv4CAgJXAgQCBQIGAgcCCAIJArACCwKYAg0CCAIIAggCCAIIAggCCAIIAggCCAIIAggCCAIIAggCCAIIAiECAwIjAh4AAv4CAgJGAgQCBQIGAgcCCAIJAiUCCwKYAg0CCAIIAggCCAIIAggCCAIIAggCCAIIAggCCAIIAggCCAIIAiECAwLnAh4AAv4CAgJVAgQCBQIGAgcCCAIJArACCwKYAg0CCAIIAggCCAIIAggCCAIIAggCCAIIAggCCAIIAggCCAIIAiECAwLBAh4AAv4CAgIpAgQCBQIGAgcCCAIJAhwCCwKYAnoAAALwDQIIAggCCAIIAggCCAIIAggCCAIIAggCCAIIAggCCAIIAggCIQIDAtgCHgAC/gICAj0CBAIFAgYCBwIIAgkCHAILApgCDQIIAggCCAIIAggCCAIIAggCCAIIAggCCAIIAggCCAIIAggCIQIDAsICHgAC/gICAkYCBAIFAgYCBwIIAgkCsAILApgCDQIIAggCCAIIAggCCAIIAggCCAIIAggCCAIIAggCCAIIAggCIQIDAsoCHgAC/gICAiICBAIFAgYCBwIIAgkCHAILApgCDQIIAggCCAIIAggCCAIIAggCCAIIAggCCAIIAggCCAIIAggCIQIDAswCHgAC/gICAkwCBAIFAgYCBwIIAgkCHAILApgCDQIIAggCCAIIAggCCAIIAggCCAIIAggCCAIIAggCCAIIAggCIQIDAssCHgAC/gICAlACBAIFAgYCBwIIAgkCsAILApgCDQIIAggCCAIIAggCCAIIAggCCAIIAggCCAIIAggCCAIIAggCIQIDAu0CHgAC/gICAlACBAIFAgYCBwIIAgkCJQILApgCDQIIAggCCAIIAggCCAIIAggCCAIIAggCCAIIAggCCAIIAggCIQIDAqQCHgAC/gICAjkCBAIFAgYCBwIIAgkCJQILApgCDQIIAggCCAIIAggCCAIIAggCCAIIAggCCAIIAggCCAIIAggCIQIDAp4CHgAC/gICAiACBAIFAgYCBwIIAgkCsAILApgCDQIIAggCCAIIAggCCAIIAggCCAIIAggCCAIIAggCCAIIAggCIQIDAvECHgAC/gICAk4CBAIFAgYCBwIIAgkCHAILApgCDQIIAggCCAIIAggCCAIIAggCCAIIAggCCAIIAggCCAIIAggCIQIDAuwCHgAC/wAJODA5OTk0NzUyAgIEAAEABjIwMTMxMgIEAgUCBgIHAggCCQIKAgsCDAINAggCCAIIAggCCAIIAggCCAIIAggCCAIIAggCCAIIAggCCAIqAgMEAQFzcQB+AAAAAAACc3EAfgAE///////////////+/////v////91cQB+AAcAAAADFOXkeHh6AAAEAAIeAAQCAQAJNTI1MjM4OTA0AgICPwIEAgUCBgIHAggCCQIKAgsCDAINAggCCAIIAggCCAIIAggCCAIIAggCCAIIAggCCAIIAggCCAIWAgMCIwIeAAQCAQICAisCBAIFAgYCBwIIAgkCCgILAgwCDQIIAggCCAIIAggCCAIIAggCCAIIAggCCAIIAggCCAIIAggCFgIDAnsCHgAEAgECAgJQAgQCBQIGAgcCCAIJAhwCCwIMAg0CCAIIAggCCAIIAggCCAIIAggCCAIIAggCCAIIAggCCAIIAhYCAwJsAh4ABAIBAgIChQIEAgUCBgIHAggCCQIKAgsCDAINAggCCAIIAggCCAIIAggCCAIIAggCCAIIAggCCAIIAggCCAIWAgMCIwIeAAQCAQICAk4CBAIFAgYCBwIIAgkCJQILAgwCDQIIAggCCAIIAggCCAIIAggCCAIIAggCCAIIAggCCAIIAggCFgIDAk8CHgAEAgECAgJIAgQCBQIGAgcCCAIJAiUCCwIMAg0CCAIIAggCCAIIAggCCAIIAggCCAIIAggCCAIIAggCCAIIAhYCAwJvAh4ABAIBAgICJwIEAgUCBgIHAggCCQIKAgsCDAINAggCCAIIAggCCAIIAggCCAIIAggCCAIIAggCCAIIAggCCAIWAgMCXAIeAAQCAQICAhsCBAIFAgYCBwIIAgkCCgILAgwCDQIIAggCCAIIAggCCAIIAggCCAIIAggCCAIIAggCCAIIAggCFgIDAnACHgAEAgECAgJVAgQCBQIGAgcCCAIJAhwCCwIMAg0CCAIIAggCCAIIAggCCAIIAggCCAIIAggCCAIIAggCCAIIAhYCAwJWAh4ABAIBAgICNQIEAgUCBgIHAggCCQIcAgsCDAINAggCCAIIAggCCAIIAggCCAIIAggCCAIIAggCCAIIAggCCAIWAgMCawIeAAQCAQICAi8CBAIFAgYCBwIIAgkCCgILAgwCDQIIAggCCAIIAggCCAIIAggCCAIIAggCCAIIAggCCAIIAggCFgIDAiMCHgAEAgECAgKRAgQCBQIGAgcCCAIJAiUCCwIMAg0CCAIIAggCCAIIAggCCAIIAggCCAIIAggCCAIIAggCCAIIAhYCAwKUAh4ABAIBAgICjAIEAgUCBgIHAggCCQIcAgsCDAINAggCCAIIAggCCAIIAggCCAIIAggCCAIIAggCCAIIAggCCAIWAgMCjwIeAAQCAQICAkwCBAIFAgYCBwIIAgkCCgILAgwCDQIIAggCCAIIAggCCAIIAggCCAIIAggCCAIIAggCCAIIAggCFgIDAmQCHgAEAgECAgJOAgQCBQIGAgcCCAIJAhwCCwIMAg0CCAJ6AAAEAAgCCAIIAggCCAIIAggCCAIIAggCCAIIAggCCAIIAggCFgIDAnkCHgAEAgECAgJQAgQCBQIGAgcCCAIJAiUCCwIMAg0CCAIIAggCCAIIAggCCAIIAggCCAIIAggCCAIIAggCCAIIAhYCAwJgAh4ABAIBAgICigIEAgUCBgIHAggCCQIlAgsCDAINAggCCAIIAggCCAIIAggCCAIIAggCCAIIAggCCAIIAggCCAIWAgMChgIeAAQCAQICAjcCBAIFAgYCBwIIAgkCCgILAgwCDQIIAggCCAIIAggCCAIIAggCCAIIAggCCAIIAggCCAIIAggCFgIDAl4CHgAEAgECAgJEAgQCBQIGAgcCCAIJAgoCCwIMAg0CCAIIAggCCAIIAggCCAIIAggCCAIIAggCCAIIAggCCAIIAhYCAwKBAh4ABAIBAgICIAIEAgUCBgIHAggCCQIlAgsCDAINAggCCAIIAggCCAIIAggCCAIIAggCCAIIAggCCAIIAggCCAIWAgMCfgIeAAQCAQICAo4CBAIFAgYCBwIIAgkCJQILAgwCDQIIAggCCAIIAggCCAIIAggCCAIIAggCCAIIAggCCAIIAggCFgIDApMCHgAEAgECAgI7AgQCBQIGAgcCCAIJAhwCCwIMAg0CCAIIAggCCAIIAggCCAIIAggCCAIIAggCCAIIAggCCAIIAhYCAwJ8Ah4ABAIBAgICAwIEAgUCBgIHAggCCQIlAgsCDAINAggCCAIIAggCCAIIAggCCAIIAggCCAIIAggCCAIIAggCCAIWAgMCcQIeAAQCAQICAicCBAIFAgYCBwIIAgkCHAILAgwCDQIIAggCCAIIAggCCAIIAggCCAIIAggCCAIIAggCCAIIAggCFgIDAnMCHgAEAgECAgJVAgQCBQIGAgcCCAIJAiUCCwIMAg0CCAIIAggCCAIIAggCCAIIAggCCAIIAggCCAIIAggCCAIIAhYCAwJ3Ah4ABAIBAgICKwIEAgUCBgIHAggCCQIcAgsCDAINAggCCAIIAggCCAIIAggCCAIIAggCCAIIAggCCAIIAggCCAIWAgMCMQIeAAQCAQICAi0CBAIFAgYCBwIIAgkCJQILAgwCDQIIAggCCAIIAggCCAIIAggCCAIIAggCCAIIAggCCAIIAggCFgIDAjICHgAEAgECAgI9AgQCBQIGAgcCCAIJAgoCCwIMAg0CCAIIAggCCAIIAggCCAIIAggCCAIIAggCCAIIAggCCAIIAhYCAwI+Ah4ABAIBAgICPwIEAgUCBgIHAggCCQIcAgsCDAINAggCCAIIAggCCAIIAggCCAIIAggCCAIIAggCCAIIAggCCAIWAgMCQAIeAAQCAQJ6AAAEAAICigIEAgUCBgIHAggCCQIcAgsCDAINAggCCAIIAggCCAIIAggCCAIIAggCCAIIAggCCAIIAggCCAIWAgMCiwIeAAQCAQICAiQCBAIFAgYCBwIIAgkCJQILAgwCDQIIAggCCAIIAggCCAIIAggCCAIIAggCCAIIAggCCAIIAggCFgIDAiYCHgAEAgECAgIgAgQCBQIGAgcCCAIJAhwCCwIMAg0CCAIIAggCCAIIAggCCAIIAggCCAIIAggCCAIIAggCCAIIAhYCAwIhAh4ABAIBAgIChQIEAgUCBgIHAggCCQIlAgsCDAINAggCCAIIAggCCAIIAggCCAIIAggCCAIIAggCCAIIAggCCAIWAgMChgIeAAQCAQICAh4CBAIFAgYCBwIIAgkCCgILAgwCDQIIAggCCAIIAggCCAIIAggCCAIIAggCCAIIAggCCAIIAggCFgIDAh8CHgAEAgECAgKOAgQCBQIGAgcCCAIJAhwCCwIMAg0CCAIIAggCCAIIAggCCAIIAggCCAIIAggCCAIIAggCCAIIAhYCAwKVAh4ABAIBAgICVwIEAgUCBgIHAggCCQIKAgsCDAINAggCCAIIAggCCAIIAggCCAIIAggCCAIIAggCCAIIAggCCAIWAgMCIwIeAAQCAQICAisCBAIFAgYCBwIIAgkCJQILAgwCDQIIAggCCAIIAggCCAIIAggCCAIIAggCCAIIAggCCAIIAggCFgIDAiwCHgAEAgECAgKDAgQCBQIGAgcCCAIJAgoCCwIMAg0CCAIIAggCCAIIAggCCAIIAggCCAIIAggCCAIIAggCCAIIAhYCAwIjAh4ABAIBAgICKQIEAgUCBgIHAggCCQIcAgsCDAINAggCCAIIAggCCAIIAggCCAIIAggCCAIIAggCCAIIAggCCAIWAgMCKgIeAAQCAQICAj8CBAIFAgYCBwIIAgkCJQILAgwCDQIIAggCCAIIAggCCAIIAggCCAIIAggCCAIIAggCCAIIAggCFgIDAloCHgAEAgECAgIeAgQCBQIGAgcCCAIJAhwCCwIMAg0CCAIIAggCCAIIAggCCAIIAggCCAIIAggCCAIIAggCCAIIAhYCAwJhAh4ABAIBAgICNQIEAgUCBgIHAggCCQIlAgsCDAINAggCCAIIAggCCAIIAggCCAIIAggCCAIIAggCCAIIAggCCAIWAgMCUgIeAAQCAQICAi0CBAIFAgYCBwIIAgkCHAILAgwCDQIIAggCCAIIAggCCAIIAggCCAIIAggCCAIIAggCCAIIAggCFgIDAlsCHgAEAgECAgJXAgQCBQIGAgcCCAIJAhwCCwIMAg0CCAIIAggCCAIIAggCCAIIAggCCAJ6AAAEAAgCCAIIAggCCAIIAggCFgIDAlgCHgAEAgECAgI7AgQCBQIGAgcCCAIJAgoCCwIMAg0CCAIIAggCCAIIAggCCAIIAggCCAIIAggCCAIIAggCCAIIAhYCAwJUAh4ABAIBAgICIAIEAgUCBgIHAggCCQIKAgsCDAINAggCCAIIAggCCAIIAggCCAIIAggCCAIIAggCCAIIAggCCAIWAgMCbQIeAAQCAQICAkQCBAIFAgYCBwIIAgkCHAILAgwCDQIIAggCCAIIAggCCAIIAggCCAIIAggCCAIIAggCCAIIAggCFgIDAkUCHgAEAgECAgIpAgQCBQIGAgcCCAIJAiUCCwIMAg0CCAIIAggCCAIIAggCCAIIAggCCAIIAggCCAIIAggCCAIIAhYCAwJCAh4ABAIBAgICigIEAgUCBgIHAggCCQIKAgsCDAINAggCCAIIAggCCAIIAggCCAIIAggCCAIIAggCCAIIAggCCAIWAgMCIwIeAAQCAQICAowCBAIFAgYCBwIIAgkCJQILAgwCDQIIAggCCAIIAggCCAIIAggCCAIIAggCCAIIAggCCAIIAggCFgIDAo0CHgAEAgECAgJQAgQCBQIGAgcCCAIJAgoCCwIMAg0CCAIIAggCCAIIAggCCAIIAggCCAIIAggCCAIIAggCCAIIAhYCAwJRAh4ABAIBAgIChQIEAgUCBgIHAggCCQIcAgsCDAINAggCCAIIAggCCAIIAggCCAIIAggCCAIIAggCCAIIAggCCAIWAgMCiwIeAAQCAQICAocCBAIFAgYCBwIIAgkCHAILAgwCDQIIAggCCAIIAggCCAIIAggCCAIIAggCCAIIAggCCAIIAggCFgIDAogCHgAEAgECAgKDAgQCBQIGAgcCCAIJAiUCCwIMAg0CCAIIAggCCAIIAggCCAIIAggCCAIIAggCCAIIAggCCAIIAhYCAwKJAh4ABAIBAgICVwIEAgUCBgIHAggCCQIlAgsCDAINAggCCAIIAggCCAIIAggCCAIIAggCCAIIAggCCAIIAggCCAIWAgMCaQIeAAQCAQICAkYCBAIFAgYCBwIIAgkCHAILAgwCDQIIAggCCAIIAggCCAIIAggCCAIIAggCCAIIAggCCAIIAggCFgIDAnQCHgAEAgECAgJKAgQCBQIGAgcCCAIJAhwCCwIMAg0CCAIIAggCCAIIAggCCAIIAggCCAIIAggCCAIIAggCCAIIAhYCAwJyAh4ABAIBAgICNwIEAgUCBgIHAggCCQIlAgsCDAINAggCCAIIAggCCAIIAggCCAIIAggCCAIIAggCCAIIAggCCAIWAgMCQQIeAAQCAQICAo4CBAIFAgYCBwIIAgkCCgJ6AAAEAAsCDAINAggCCAIIAggCCAIIAggCCAIIAggCCAIIAggCCAIIAggCCAIWAgMCIwIeAAQCAQICAkoCBAIFAgYCBwIIAgkCJQILAgwCDQIIAggCCAIIAggCCAIIAggCCAIIAggCCAIIAggCCAIIAggCFgIDAm4CHgAEAgECAgI9AgQCBQIGAgcCCAIJAhwCCwIMAg0CCAIIAggCCAIIAggCCAIIAggCCAIIAggCCAIIAggCCAIIAhYCAwJlAh4ABAIBAgICRAIEAgUCBgIHAggCCQIlAgsCDAINAggCCAIIAggCCAIIAggCCAIIAggCCAIIAggCCAIIAggCCAIWAgMCagIeAAQCAQICAjkCBAIFAgYCBwIIAgkCJQILAgwCDQIIAggCCAIIAggCCAIIAggCCAIIAggCCAIIAggCCAIIAggCFgIDAnoCHgAEAgECAgJGAgQCBQIGAgcCCAIJAiUCCwIMAg0CCAIIAggCCAIIAggCCAIIAggCCAIIAggCCAIIAggCCAIIAhYCAwJnAh4ABAIBAgICTgIEAgUCBgIHAggCCQIKAgsCDAINAggCCAIIAggCCAIIAggCCAIIAggCCAIIAggCCAIIAggCCAIWAgMCYgIeAAQCAQICAi0CBAIFAgYCBwIIAgkCCgILAgwCDQIIAggCCAIIAggCCAIIAggCCAIIAggCCAIIAggCCAIIAggCFgIDAi4CHgAEAgECAgIiAgQCBQIGAgcCCAIJAhwCCwIMAg0CCAIIAggCCAIIAggCCAIIAggCCAIIAggCCAIIAggCCAIIAhYCAwJjAh4ABAIBAgICTAIEAgUCBgIHAggCCQIcAgsCDAINAggCCAIIAggCCAIIAggCCAIIAggCCAIIAggCCAIIAggCCAIWAgMCfQIeAAQCAQICAiICBAIFAgYCBwIIAgkCCgILAgwCDQIIAggCCAIIAggCCAIIAggCCAIIAggCCAIIAggCCAIIAggCFgIDAiMCHgAEAgECAgKHAgQCBQIGAgcCCAIJAiUCCwIMAg0CCAIIAggCCAIIAggCCAIIAggCCAIIAggCCAIIAggCCAIIAhYCAwKQAh4ABAIBAgICSAIEAgUCBgIHAggCCQIKAgsCDAINAggCCAIIAggCCAIIAggCCAIIAggCCAIIAggCCAIIAggCCAIWAgMCgAIeAAQCAQICAoMCBAIFAgYCBwIIAgkCHAILAgwCDQIIAggCCAIIAggCCAIIAggCCAIIAggCCAIIAggCCAIIAggCFgIDAoQCHgAEAgECAgIpAgQCBQIGAgcCCAIJAgoCCwIMAg0CCAIIAggCCAIIAggCCAIIAggCCAIIAggCCAIIAggCCAIIAhYCAwJ6AAAEACMCHgAEAgECAgI5AgQCBQIGAgcCCAIJAhwCCwIMAg0CCAIIAggCCAIIAggCCAIIAggCCAIIAggCCAIIAggCCAIIAhYCAwI6Ah4ABAIBAgICkQIEAgUCBgIHAggCCQIKAgsCDAINAggCCAIIAggCCAIIAggCCAIIAggCCAIIAggCCAIIAggCCAIWAgMCIwIeAAQCAQICAhsCBAIFAgYCBwIIAgkCJQILAgwCDQIIAggCCAIIAggCCAIIAggCCAIIAggCCAIIAggCCAIIAggCFgIDAn8CHgAEAgECAgIeAgQCBQIGAgcCCAIJAiUCCwIMAg0CCAIIAggCCAIIAggCCAIIAggCCAIIAggCCAIIAggCCAIIAhYCAwJ4Ah4ABAIBAgICJAIEAgUCBgIHAggCCQIcAgsCDAINAggCCAIIAggCCAIIAggCCAIIAggCCAIIAggCCAIIAggCCAIWAgMCdQIeAAQCAQICAjMCBAIFAgYCBwIIAgkCCgILAgwCDQIIAggCCAIIAggCCAIIAggCCAIIAggCCAIIAggCCAIIAggCFgIDAnYCHgAEAgECAgI7AgQCBQIGAgcCCAIJAiUCCwIMAg0CCAIIAggCCAIIAggCCAIIAggCCAIIAggCCAIIAggCCAIIAhYCAwI8Ah4ABAIBAgICjAIEAgUCBgIHAggCCQIKAgsCDAINAggCCAIIAggCCAIIAggCCAIIAggCCAIIAggCCAIIAggCCAIWAgMCIwIeAAQCAQICAjUCBAIFAgYCBwIIAgkCCgILAgwCDQIIAggCCAIIAggCCAIIAggCCAIIAggCCAIIAggCCAIIAggCFgIDAjYCHgAEAgECAgIzAgQCBQIGAgcCCAIJAhwCCwIMAg0CCAIIAggCCAIIAggCCAIIAggCCAIIAggCCAIIAggCCAIIAhYCAwI0Ah4ABAIBAgICLwIEAgUCBgIHAggCCQIlAgsCDAINAggCCAIIAggCCAIIAggCCAIIAggCCAIIAggCCAIIAggCCAIWAgMCMAIeAAQCAQICAkoCBAIFAgYCBwIIAgkCCgILAgwCDQIIAggCCAIIAggCCAIIAggCCAIIAggCCAIIAggCCAIIAggCFgIDAksCHgAEAgECAgInAgQCBQIGAgcCCAIJAiUCCwIMAg0CCAIIAggCCAIIAggCCAIIAggCCAIIAggCCAIIAggCCAIIAhYCAwIoAh4ABAIBAgICVQIEAgUCBgIHAggCCQIKAgsCDAINAggCCAIIAggCCAIIAggCCAIIAggCCAIIAggCCAIIAggCCAIWAgMCaAIeAAQCAQICAhsCBAIFAgYCBwIIAgkCHAILAgwCDQIIAggCCAIIAggCCAJ6AAAEAAgCCAIIAggCCAIIAggCCAIIAggCCAIWAgMCHQIeAAQCAQICAgMCBAIFAgYCBwIIAgkCCgILAgwCDQIIAggCCAIIAggCCAIIAggCCAIIAggCCAIIAggCCAIIAggCFgIDAg4CHgAEAgECAgI3AgQCBQIGAgcCCAIJAhwCCwIMAg0CCAIIAggCCAIIAggCCAIIAggCCAIIAggCCAIIAggCCAIIAhYCAwI4Ah4ABAIBAgICMwIEAgUCBgIHAggCCQIlAgsCDAINAggCCAIIAggCCAIIAggCCAIIAggCCAIIAggCCAIIAggCCAIWAgMCWQIeAAQCAQICAj0CBAIFAgYCBwIIAgkCJQILAgwCDQIIAggCCAIIAggCCAIIAggCCAIIAggCCAIIAggCCAIIAggCFgIDAlMCHgAEAgECAgIDAgQCBQIGAgcCCAIJAhwCCwIMAg0CCAIIAggCCAIIAggCCAIIAggCCAIIAggCCAIIAggCCAIIAhYCAwJfAh4ABAIBAgICLwIEAgUCBgIHAggCCQIcAgsCDAINAggCCAIIAggCCAIIAggCCAIIAggCCAIIAggCCAIIAggCCAIWAgMCXQIeAAQCAQICAiQCBAIFAgYCBwIIAgkCCgILAgwCDQIIAggCCAIIAggCCAIIAggCCAIIAggCCAIIAggCCAIIAggCFgIDAiMCHgAEAgECAgJIAgQCBQIGAgcCCAIJAhwCCwIMAg0CCAIIAggCCAIIAggCCAIIAggCCAIIAggCCAIIAggCCAIIAhYCAwJJAh4ABAIBAgIChwIEAgUCBgIHAggCCQIKAgsCDAINAggCCAIIAggCCAIIAggCCAIIAggCCAIIAggCCAIIAggCCAIWAgMCIwIeAAQCAQICAkYCBAIFAgYCBwIIAgkCCgILAgwCDQIIAggCCAIIAggCCAIIAggCCAIIAggCCAIIAggCCAIIAggCFgIDAkcCHgAEAgECAgIiAgQCBQIGAgcCCAIJAiUCCwIMAg0CCAIIAggCCAIIAggCCAIIAggCCAIIAggCCAIIAggCCAIIAhYCAwJDAh4ABAIBAgICTAIEAgUCBgIHAggCCQIlAgsCDAINAggCCAIIAggCCAIIAggCCAIIAggCCAIIAggCCAIIAggCCAIWAgMCTQIeAAQCAQICApECBAIFAgYCBwIIAgkCHAILAgwCDQIIAggCCAIIAggCCAIIAggCCAIIAggCCAIIAggCCAIIAggCFgIDApICHgAEAgECAgI5AgQCBQIGAgcCCAIJAgoCCwIMAg0CCAIIAggCCAIIAggCCAIIAggCCAIIAggCCAIIAggCCAIIAhYCAwJmAh4ABAMBAAk4MTgzNzkyNDh6AAAEAAICAlUCBAIFAgYCBwIIAgkCCgILAgwCDQIIAggCCAIIAggCCAIIAggCCAIIAggCCAIIAggCCAIIAggCIAIDAmgCHgAEAwECAgI1AgQCBQIGAgcCCAIJAiUCCwIMAg0CCAIIAggCCAIIAggCCAIIAggCCAIIAggCCAIIAggCCAIIAiACAwJSAh4ABAMBAgICOwIEAgUCBgIHAggCCQIcAgsCDAINAggCCAIIAggCCAIIAggCCAIIAggCCAIIAggCCAIIAggCCAIgAgMCfAIeAAQDAQICAj0CBAIFAgYCBwIIAgkCJQILAgwCDQIIAggCCAIIAggCCAIIAggCCAIIAggCCAIIAggCCAIIAggCIAIDAlMCHgAEAwECAgJIAgQCBQIGAgcCCAIJAgoCCwIMAg0CCAIIAggCCAIIAggCCAIIAggCCAIIAggCCAIIAggCCAIIAiACAwKAAh4ABAMBAgICAwIEAgUCBgIHAggCCQIcAgsCDAINAggCCAIIAggCCAIIAggCCAIIAggCCAIIAggCCAIIAggCCAIgAgMCXwIeAAQDAQICAi0CBAIFAgYCBwIIAgkCHAILAgwCDQIIAggCCAIIAggCCAIIAggCCAIIAggCCAIIAggCCAIIAggCIAIDAlsCHgAEAwECAgIvAgQCBQIGAgcCCAIJAhwCCwIMAg0CCAIIAggCCAIIAggCCAIIAggCCAIIAggCCAIIAggCCAIIAiACAwJdAh4ABAMBAgICHgIEAgUCBgIHAggCCQIcAgsCDAINAggCCAIIAggCCAIIAggCCAIIAggCCAIIAggCCAIIAggCCAIgAgMCYQIeAAQDAQICAkQCBAIFAgYCBwIIAgkCCgILAgwCDQIIAggCCAIIAggCCAIIAggCCAIIAggCCAIIAggCCAIIAggCIAIDAoECHgAEAwECAgIpAgQCBQIGAgcCCAIJAgoCCwIMAg0CCAIIAggCCAIIAggCCAIIAggCCAIIAggCCAIIAggCCAIIAiACAwIjAh4ABAMBAgICNwIEAgUCBgIHAggCCQIKAgsCDAINAggCCAIIAggCCAIIAggCCAIIAggCCAIIAggCCAIIAggCCAIgAgMCXgIeAAQDAQICAh4CBAIFAgYCBwIIAgkCJQILAgwCDQIIAggCCAIIAggCCAIIAggCCAIIAggCCAIIAggCCAIIAggCIAIDAngCHgAEAwECAgIDAgQCBQIGAgcCCAIJAiUCCwIMAg0CCAIIAggCCAIIAggCCAIIAggCCAIIAggCCAIIAggCCAIIAiACAwJxAh4ABAMBAgICUAIEAgUCBgIHAggCCQIKAgsCDAINAggCCAIIAggCCAIIAggCCAIIAgh6AAAEAAIIAggCCAIIAggCCAIIAiACAwJRAh4ABAMBAgICJwIEAgUCBgIHAggCCQIcAgsCDAINAggCCAIIAggCCAIIAggCCAIIAggCCAIIAggCCAIIAggCCAIgAgMCcwIeAAQDAQICAkYCBAIFAgYCBwIIAgkCCgILAgwCDQIIAggCCAIIAggCCAIIAggCCAIIAggCCAIIAggCCAIIAggCIAIDAkcCHgAEAwECAgIiAgQCBQIGAgcCCAIJAiUCCwIMAg0CCAIIAggCCAIIAggCCAIIAggCCAIIAggCCAIIAggCCAIIAiACAwJDAh4ABAMBAgICOQIEAgUCBgIHAggCCQIKAgsCDAINAggCCAIIAggCCAIIAggCCAIIAggCCAIIAggCCAIIAggCCAIgAgMCZgIeAAQDAQICAisCBAIFAgYCBwIIAgkCCgILAgwCDQIIAggCCAIIAggCCAIIAggCCAIIAggCCAIIAggCCAIIAggCIAIDAnsCHgAEAwECAgI7AgQCBQIGAgcCCAIJAiUCCwIMAg0CCAIIAggCCAIIAggCCAIIAggCCAIIAggCCAIIAggCCAIIAiACAwI8Ah4ABAMBAgICKwIEAgUCBgIHAggCCQIcAgsCDAINAggCCAIIAggCCAIIAggCCAIIAggCCAIIAggCCAIIAggCCAIgAgMCMQIeAAQDAQICAk4CBAIFAgYCBwIIAgkCJQILAgwCDQIIAggCCAIIAggCCAIIAggCCAIIAggCCAIIAggCCAIIAggCIAIDAk8CHgAEAwECAgIzAgQCBQIGAgcCCAIJAhwCCwIMAg0CCAIIAggCCAIIAggCCAIIAggCCAIIAggCCAIIAggCCAIIAiACAwI0Ah4ABAMBAgICIAIEAgUCBgIHAggCCQIKAgsCDAINAggCCAIIAggCCAIIAggCCAIIAggCCAIIAggCCAIIAggCCAIgAgMCbQIeAAQDAQICAhsCBAIFAgYCBwIIAgkCCgILAgwCDQIIAggCCAIIAggCCAIIAggCCAIIAggCCAIIAggCCAIIAggCIAIDAnACHgAEAwECAgJKAgQCBQIGAgcCCAIJAiUCCwIMAg0CCAIIAggCCAIIAggCCAIIAggCCAIIAggCCAIIAggCCAIIAiACAwJuAh4ABAMBAgICHgIEAgUCBgIHAggCCQIKAgsCDAINAggCCAIIAggCCAIIAggCCAIIAggCCAIIAggCCAIIAggCCAIgAgMCHwIeAAQDAQICAjUCBAIFAgYCBwIIAgkCHAILAgwCDQIIAggCCAIIAggCCAIIAggCCAIIAggCCAIIAggCCAIIAggCIAIDAmsCHgAEAwECAgJQAgQCBQIGAgcCCAIJAiV6AAAEAAILAgwCDQIIAggCCAIIAggCCAIIAggCCAIIAggCCAIIAggCCAIIAggCIAIDAmACHgAEAwECAgInAgQCBQIGAgcCCAIJAiUCCwIMAg0CCAIIAggCCAIIAggCCAIIAggCCAIIAggCCAIIAggCCAIIAiACAwIoAh4ABAMBAgICPQIEAgUCBgIHAggCCQIcAgsCDAINAggCCAIIAggCCAIIAggCCAIIAggCCAIIAggCCAIIAggCCAIgAgMCZQIeAAQDAQICAikCBAIFAgYCBwIIAgkCHAILAgwCDQIIAggCCAIIAggCCAIIAggCCAIIAggCCAIIAggCCAIIAggCIAIDAioCHgAEAwECAgJGAgQCBQIGAgcCCAIJAiUCCwIMAg0CCAIIAggCCAIIAggCCAIIAggCCAIIAggCCAIIAggCCAIIAiACAwJnAh4ABAMBAgICAwIEAgUCBgIHAggCCQIKAgsCDAINAggCCAIIAggCCAIIAggCCAIIAggCCAIIAggCCAIIAggCCAIgAgMCDgIeAAQDAQICAi0CBAIFAgYCBwIIAgkCCgILAgwCDQIIAggCCAIIAggCCAIIAggCCAIIAggCCAIIAggCCAIIAggCIAIDAi4CHgAEAwECAgIiAgQCBQIGAgcCCAIJAhwCCwIMAg0CCAIIAggCCAIIAggCCAIIAggCCAIIAggCCAIIAggCCAIIAiACAwJjAh4ABAMBAgICVwIEAgUCBgIHAggCCQIKAgsCDAINAggCCAIIAggCCAIIAggCCAIIAggCCAIIAggCCAIIAggCCAIgAgMCIwIeAAQDAQICAjsCBAIFAgYCBwIIAgkCCgILAgwCDQIIAggCCAIIAggCCAIIAggCCAIIAggCCAIIAggCCAIIAggCIAIDAlQCHgAEAwECAgJOAgQCBQIGAgcCCAIJAhwCCwIMAg0CCAIIAggCCAIIAggCCAIIAggCCAIIAggCCAIIAggCCAIIAiACAwJ5Ah4ABAMBAgICTAIEAgUCBgIHAggCCQIcAgsCDAINAggCCAIIAggCCAIIAggCCAIIAggCCAIIAggCCAIIAggCCAIgAgMCfQIeAAQDAQICAisCBAIFAgYCBwIIAgkCJQILAgwCDQIIAggCCAIIAggCCAIIAggCCAIIAggCCAIIAggCCAIIAggCIAIDAiwCHgAEAwECAgIvAgQCBQIGAgcCCAIJAgoCCwIMAg0CCAIIAggCCAIIAggCCAIIAggCCAIIAggCCAIIAggCCAIIAiACAwIjAh4ABAMBAgICVQIEAgUCBgIHAggCCQIcAgsCDAINAggCCAIIAggCCAIIAggCCAIIAggCCAIIAggCCAIIAggCCAIgAgN6AAAEAAJWAh4ABAMBAgICNwIEAgUCBgIHAggCCQIcAgsCDAINAggCCAIIAggCCAIIAggCCAIIAggCCAIIAggCCAIIAggCCAIgAgMCOAIeAAQDAQICAjMCBAIFAgYCBwIIAgkCJQILAgwCDQIIAggCCAIIAggCCAIIAggCCAIIAggCCAIIAggCCAIIAggCIAIDAlkCHgAEAwECAgI5AgQCBQIGAgcCCAIJAiUCCwIMAg0CCAIIAggCCAIIAggCCAIIAggCCAIIAggCCAIIAggCCAIIAiACAwJ6Ah4ABAMBAgICVwIEAgUCBgIHAggCCQIcAgsCDAINAggCCAIIAggCCAIIAggCCAIIAggCCAIIAggCCAIIAggCCAIgAgMCWAIeAAQDAQICAiACBAIFAgYCBwIIAgkCJQILAgwCDQIIAggCCAIIAggCCAIIAggCCAIIAggCCAIIAggCCAIIAggCIAIDAn4CHgAEAwECAgInAgQCBQIGAgcCCAIJAgoCCwIMAg0CCAIIAggCCAIIAggCCAIIAggCCAIIAggCCAIIAggCCAIIAiACAwJcAh4ABAMBAgICNwIEAgUCBgIHAggCCQIlAgsCDAINAggCCAIIAggCCAIIAggCCAIIAggCCAIIAggCCAIIAggCCAIgAgMCQQIeAAQDAQICAkQCBAIFAgYCBwIIAgkCHAILAgwCDQIIAggCCAIIAggCCAIIAggCCAIIAggCCAIIAggCCAIIAggCIAIDAkUCHgAEAwECAgJIAgQCBQIGAgcCCAIJAhwCCwIMAg0CCAIIAggCCAIIAggCCAIIAggCCAIIAggCCAIIAggCCAIIAiACAwJJAh4ABAMBAgICSgIEAgUCBgIHAggCCQIcAgsCDAINAggCCAIIAggCCAIIAggCCAIIAggCCAIIAggCCAIIAggCCAIgAgMCcgIeAAQDAQICAikCBAIFAgYCBwIIAgkCJQILAgwCDQIIAggCCAIIAggCCAIIAggCCAIIAggCCAIIAggCCAIIAggCIAIDAkICHgAEAwECAgIbAgQCBQIGAgcCCAIJAiUCCwIMAg0CCAIIAggCCAIIAggCCAIIAggCCAIIAggCCAIIAggCCAIIAiACAwJ/Ah4ABAMBAgICTAIEAgUCBgIHAggCCQIlAgsCDAINAggCCAIIAggCCAIIAggCCAIIAggCCAIIAggCCAIIAggCCAIgAgMCTQIeAAQDAQICAlUCBAIFAgYCBwIIAgkCJQILAgwCDQIIAggCCAIIAggCCAIIAggCCAIIAggCCAIIAggCCAIIAggCIAIDAncCHgAEAwECAgIzAgQCBQIGAgcCCAIJAgoCCwIMAg0CCAIIAggCCAIIAgh6AAAEAAIIAggCCAIIAggCCAIIAggCCAIIAggCIAIDAnYCHgAEAwECAgIvAgQCBQIGAgcCCAIJAiUCCwIMAg0CCAIIAggCCAIIAggCCAIIAggCCAIIAggCCAIIAggCCAIIAiACAwIwAh4ABAMBAgICRgIEAgUCBgIHAggCCQIcAgsCDAINAggCCAIIAggCCAIIAggCCAIIAggCCAIIAggCCAIIAggCCAIgAgMCdAIeAAQDAQICAkQCBAIFAgYCBwIIAgkCJQILAgwCDQIIAggCCAIIAggCCAIIAggCCAIIAggCCAIIAggCCAIIAggCIAIDAmoCHgAEAwECAgItAgQCBQIGAgcCCAIJAiUCCwIMAg0CCAIIAggCCAIIAggCCAIIAggCCAIIAggCCAIIAggCCAIIAiACAwIyAh4ABAMBAgICVwIEAgUCBgIHAggCCQIlAgsCDAINAggCCAIIAggCCAIIAggCCAIIAggCCAIIAggCCAIIAggCCAIgAgMCaQIeAAQDAQICAkgCBAIFAgYCBwIIAgkCJQILAgwCDQIIAggCCAIIAggCCAIIAggCCAIIAggCCAIIAggCCAIIAggCIAIDAm8CHgAEAwECAgI5AgQCBQIGAgcCCAIJAhwCCwIMAg0CCAIIAggCCAIIAggCCAIIAggCCAIIAggCCAIIAggCCAIIAiACAwI6Ah4ABAMBAgICUAIEAgUCBgIHAggCCQIcAgsCDAINAggCCAIIAggCCAIIAggCCAIIAggCCAIIAggCCAIIAggCCAIgAgMCbAIeAAQDAQICAjUCBAIFAgYCBwIIAgkCCgILAgwCDQIIAggCCAIIAggCCAIIAggCCAIIAggCCAIIAggCCAIIAggCIAIDAjYCHgAEAwECAgI9AgQCBQIGAgcCCAIJAgoCCwIMAg0CCAIIAggCCAIIAggCCAIIAggCCAIIAggCCAIIAggCCAIIAiACAwI+Ah4ABAMBAgICSgIEAgUCBgIHAggCCQIKAgsCDAINAggCCAIIAggCCAIIAggCCAIIAggCCAIIAggCCAIIAggCCAIgAgMCSwIeAAQDAQICAhsCBAIFAgYCBwIIAgkCHAILAgwCDQIIAggCCAIIAggCCAIIAggCCAIIAggCCAIIAggCCAIIAggCIAIDAh0CHgAEAwECAgIiAgQCBQIGAgcCCAIJAgoCCwIMAg0CCAIIAggCCAIIAggCCAIIAggCCAIIAggCCAIIAggCCAIIAiACAwIjAh4ABAMBAgICIAIEAgUCBgIHAggCCQIcAgsCDAINAggCCAIIAggCCAIIAggCCAIIAggCCAIIAggCCAIIAggCCAIgAgMCIQIeAAQDAQICAk4CBAIFAgZ6AAAEAAIHAggCCQIKAgsCDAINAggCCAIIAggCCAIIAggCCAIIAggCCAIIAggCCAIIAggCCAIgAgMCYgIeAAQDAQICAkwCBAIFAgYCBwIIAgkCCgILAgwCDQIIAggCCAIIAggCCAIIAggCCAIIAggCCAIIAggCCAIIAggCIAIDAmQCHgAEBAEACTE3MTY3NTc4NAICAkYCBAIFAgYCBwIIAgkCHAILApgCDQIIAggCCAIIAggCCAIIAggCCAIIAggCCAIIAggCCAIIAggCHQIDAuMCHgAEBAECAgJXAgQCBQIGAgcCCAIJAiUCCwKYAg0CCAIIAggCCAIIAggCCAIIAggCCAIIAggCCAIIAggCCAIIAh0CAwKdAh4ABAQBAgICTgIEAgUCBgIHAggCCQKwAgsCmAINAggCCAIIAggCCAIIAggCCAIIAggCCAIIAggCCAIIAggCCAIdAgMCwwIeAAQEAQICAkwCBAIFAgYCBwIIAgkCsAILApgCDQIIAggCCAIIAggCCAIIAggCCAIIAggCCAIIAggCCAIIAggCHQIDAuUCHgAEBAECAgI3AgQCBQIGAgcCCAIJArACCwKYAg0CCAIIAggCCAIIAggCCAIIAggCCAIIAggCCAIIAggCCAIIAh0CAwLfAh4ABAQBAgICKQIEAgUCBgIHAggCCQKwAgsCmAINAggCCAIIAggCCAIIAggCCAIIAggCCAIIAggCCAIIAggCCAIdAgMCIwIeAAQEAQICAlUCBAIFAgYCBwIIAgkCJQILApgCDQIIAggCCAIIAggCCAIIAggCCAIIAggCCAIIAggCCAIIAggCHQIDAuYCHgAEBAECAgJMAgQCBQIGAgcCCAIJAiUCCwKYAg0CCAIIAggCCAIIAggCCAIIAggCCAIIAggCCAIIAggCCAIIAh0CAwLEAh4ABAQBAgICGwIEAgUCBgIHAggCCQKwAgsCmAINAggCCAIIAggCCAIIAggCCAIIAggCCAIIAggCCAIIAggCCAIdAgMC0AIeAAQEAQICAkQCBAIFAgYCBwIIAgkCJQILApgCDQIIAggCCAIIAggCCAIIAggCCAIIAggCCAIIAggCCAIIAggCHQIDApkCHgAEBAECAgIpAgQCBQIGAgcCCAIJAiUCCwKYAg0CCAIIAggCCAIIAggCCAIIAggCCAIIAggCCAIIAggCCAIIAh0CAwKmAh4ABAQBAgICSgIEAgUCBgIHAggCCQIcAgsCmAINAggCCAIIAggCCAIIAggCCAIIAggCCAIIAggCCAIIAggCCAIdAgMC7wIeAAQEAQICAjUCBAIFAgYCBwIIAgkCHAILApgCDQIIAggCCAIIAggCCAIIAggCCAJ6AAAEAAgCCAIIAggCCAIIAggCCAIdAgMC4QIeAAQEAQICAj0CBAIFAgYCBwIIAgkCHAILApgCDQIIAggCCAIIAggCCAIIAggCCAIIAggCCAIIAggCCAIIAggCHQIDAsICHgAEBAECAgJIAgQCBQIGAgcCCAIJAhwCCwKYAg0CCAIIAggCCAIIAggCCAIIAggCCAIIAggCCAIIAggCCAIIAh0CAwLeAh4ABAQBAgICOQIEAgUCBgIHAggCCQKwAgsCmAINAggCCAIIAggCCAIIAggCCAIIAggCCAIIAggCCAIIAggCCAIdAgMCyQIeAAQEAQICAhsCBAIFAgYCBwIIAgkCJQILApgCDQIIAggCCAIIAggCCAIIAggCCAIIAggCCAIIAggCCAIIAggCHQIDApsCHgAEBAECAgIgAgQCBQIGAgcCCAIJAiUCCwKYAg0CCAIIAggCCAIIAggCCAIIAggCCAIIAggCCAIIAggCCAIIAh0CAwLRAh4ABAQBAgICIAIEAgUCBgIHAggCCQKwAgsCmAINAggCCAIIAggCCAIIAggCCAIIAggCCAIIAggCCAIIAggCCAIdAgMC8QIeAAQEAQICAjcCBAIFAgYCBwIIAgkCJQILApgCDQIIAggCCAIIAggCCAIIAggCCAIIAggCCAIIAggCCAIIAggCHQIDAr4CHgAEBAECAgJGAgQCBQIGAgcCCAIJAiUCCwKYAg0CCAIIAggCCAIIAggCCAIIAggCCAIIAggCCAIIAggCCAIIAh0CAwLnAh4ABAQBAgICUAIEAgUCBgIHAggCCQIlAgsCmAINAggCCAIIAggCCAIIAggCCAIIAggCCAIIAggCCAIIAggCCAIdAgMCpAIeAAQEAQICAj8CBAIFAgYCBwIIAgkCsAILApgCDQIIAggCCAIIAggCCAIIAggCCAIIAggCCAIIAggCCAIIAggCHQIDAiMCHgAEBAECAgIzAgQCBQIGAgcCCAIJArACCwKYAg0CCAIIAggCCAIIAggCCAIIAggCCAIIAggCCAIIAggCCAIIAh0CAwK3Ah4ABAQBAgICHgIEAgUCBgIHAggCCQIcAgsCmAINAggCCAIIAggCCAIIAggCCAIIAggCCAIIAggCCAIIAggCCAIdAgMC3QIeAAQEAQICAlUCBAIFAgYCBwIIAgkCHAILApgCDQIIAggCCAIIAggCCAIIAggCCAIIAggCCAIIAggCCAIIAggCHQIDAtoCHgAEBAECAgI5AgQCBQIGAgcCCAIJAiUCCwKYAg0CCAIIAggCCAIIAggCCAIIAggCCAIIAggCCAIIAggCCAIIAh0CAwKeAh4ABAQBAgICTgIEAgUCBgIHAggCCQJ6AAAEABwCCwKYAg0CCAIIAggCCAIIAggCCAIIAggCCAIIAggCCAIIAggCCAIIAh0CAwLsAh4ABAQBAgICAwIEAgUCBgIHAggCCQIcAgsCmAINAggCCAIIAggCCAIIAggCCAIIAggCCAIIAggCCAIIAggCCAIdAgMCvQIeAAQEAQICAlcCBAIFAgYCBwIIAgkCHAILApgCDQIIAggCCAIIAggCCAIIAggCCAIIAggCCAIIAggCCAIIAggCHQIDAroCHgAEBAECAgI/AgQCBQIGAgcCCAIJAiUCCwKYAg0CCAIIAggCCAIIAggCCAIIAggCCAIIAggCCAIIAggCCAIIAh0CAwKfAh4ABAQBAgICRgIEAgUCBgIHAggCCQKwAgsCmAINAggCCAIIAggCCAIIAggCCAIIAggCCAIIAggCCAIIAggCCAIdAgMCygIeAAQEAQICAlACBAIFAgYCBwIIAgkCsAILApgCDQIIAggCCAIIAggCCAIIAggCCAIIAggCCAIIAggCCAIIAggCHQIDAu0CHgAEBAECAgJMAgQCBQIGAgcCCAIJAhwCCwKYAg0CCAIIAggCCAIIAggCCAIIAggCCAIIAggCCAIIAggCCAIIAh0CAwLLAh4ABAQBAgICIgIEAgUCBgIHAggCCQIcAgsCmAINAggCCAIIAggCCAIIAggCCAIIAggCCAIIAggCCAIIAggCCAIdAgMCzAIeAAQEAQICAjUCBAIFAgYCBwIIAgkCJQILApgCDQIIAggCCAIIAggCCAIIAggCCAIIAggCCAIIAggCCAIIAggCHQIDAsACHgAEBAECAgI9AgQCBQIGAgcCCAIJAiUCCwKYAg0CCAIIAggCCAIIAggCCAIIAggCCAIIAggCCAIIAggCCAIIAh0CAwKaAh4ABAQBAgICJwIEAgUCBgIHAggCCQKwAgsCmAINAggCCAIIAggCCAIIAggCCAIIAggCCAIIAggCCAIIAggCCAIdAgMC1gIeAAQEAQICAjcCBAIFAgYCBwIIAgkCHAILApgCDQIIAggCCAIIAggCCAIIAggCCAIIAggCCAIIAggCCAIIAggCHQIDArMCHgAEBAECAgIpAgQCBQIGAgcCCAIJAhwCCwKYAg0CCAIIAggCCAIIAggCCAIIAggCCAIIAggCCAIIAggCCAIIAh0CAwLYAh4ABAQBAgICJAIEAgUCBgIHAggCCQIlAgsCmAINAggCCAIIAggCCAIIAggCCAIIAggCCAIIAggCCAIIAggCCAIdAgMCpwIeAAQEAQICAiQCBAIFAgYCBwIIAgkCsAILApgCDQIIAggCCAIIAggCCAIIAggCCAIIAggCCAIIAggCCAIIAggCHQJ6AAAEAAMCIwIeAAQEAQICAkQCBAIFAgYCBwIIAgkCHAILApgCDQIIAggCCAIIAggCCAIIAggCCAIIAggCCAIIAggCCAIIAggCHQIDArsCHgAEBAECAgInAgQCBQIGAgcCCAIJAiUCCwKYAg0CCAIIAggCCAIIAggCCAIIAggCCAIIAggCCAIIAggCCAIIAh0CAwKoAh4ABAQBAgICOwIEAgUCBgIHAggCCQKwAgsCmAINAggCCAIIAggCCAIIAggCCAIIAggCCAIIAggCCAIIAggCCAIdAgMC0gIeAAQEAQICAkoCBAIFAgYCBwIIAgkCJQILApgCDQIIAggCCAIIAggCCAIIAggCCAIIAggCCAIIAggCCAIIAggCHQIDAugCHgAEBAECAgIzAgQCBQIGAgcCCAIJAhwCCwKYAg0CCAIIAggCCAIIAggCCAIIAggCCAIIAggCCAIIAggCCAIIAh0CAwLTAh4ABAQBAgICPwIEAgUCBgIHAggCCQIcAgsCmAINAggCCAIIAggCCAIIAggCCAIIAggCCAIIAggCCAIIAggCCAIdAgMCrAIeAAQEAQICAkoCBAIFAgYCBwIIAgkCsAILApgCDQIIAggCCAIIAggCCAIIAggCCAIIAggCCAIIAggCCAIIAggCHQIDAsUCHgAEBAECAgIrAgQCBQIGAgcCCAIJAhwCCwKYAg0CCAIIAggCCAIIAggCCAIIAggCCAIIAggCCAIIAggCCAIIAh0CAwKtAh4ABAQBAgICTgIEAgUCBgIHAggCCQIlAgsCmAINAggCCAIIAggCCAIIAggCCAIIAggCCAIIAggCCAIIAggCCAIdAgMCowIeAAQEAQICAgMCBAIFAgYCBwIIAgkCsAILApgCDQIIAggCCAIIAggCCAIIAggCCAIIAggCCAIIAggCCAIIAggCHQIDAtUCHgAEBAECAgIeAgQCBQIGAgcCCAIJArACCwKYAg0CCAIIAggCCAIIAggCCAIIAggCCAIIAggCCAIIAggCCAIIAh0CAwKyAh4ABAQBAgICOwIEAgUCBgIHAggCCQIlAgsCmAINAggCCAIIAggCCAIIAggCCAIIAggCCAIIAggCCAIIAggCCAIdAgMCtgIeAAQEAQICAiQCBAIFAgYCBwIIAgkCHAILApgCDQIIAggCCAIIAggCCAIIAggCCAIIAggCCAIIAggCCAIIAggCHQIDAu4CHgAEBAECAgInAgQCBQIGAgcCCAIJAhwCCwKYAg0CCAIIAggCCAIIAggCCAIIAggCCAIIAggCCAIIAggCCAIIAh0CAwLOAh4ABAQBAgICIgIEAgUCBgIHAggCCQKwAgsCmAINAggCCAIIAggCCAJ6AAAEAAgCCAIIAggCCAIIAggCCAIIAggCCAIIAh0CAwIjAh4ABAQBAgICIgIEAgUCBgIHAggCCQIlAgsCmAINAggCCAIIAggCCAIIAggCCAIIAggCCAIIAggCCAIIAggCCAIdAgMCqgIeAAQEAQICAj0CBAIFAgYCBwIIAgkCsAILApgCDQIIAggCCAIIAggCCAIIAggCCAIIAggCCAIIAggCCAIIAggCHQIDAr8CHgAEBAECAgIvAgQCBQIGAgcCCAIJAhwCCwKYAg0CCAIIAggCCAIIAggCCAIIAggCCAIIAggCCAIIAggCCAIIAh0CAwK4Ah4ABAQBAgICNQIEAgUCBgIHAggCCQKwAgsCmAINAggCCAIIAggCCAIIAggCCAIIAggCCAIIAggCCAIIAggCCAIdAgMC4AIeAAQEAQICAi0CBAIFAgYCBwIIAgkCHAILApgCDQIIAggCCAIIAggCCAIIAggCCAIIAggCCAIIAggCCAIIAggCHQIDAtsCHgAEBAECAgIzAgQCBQIGAgcCCAIJAiUCCwKYAg0CCAIIAggCCAIIAggCCAIIAggCCAIIAggCCAIIAggCCAIIAh0CAwKlAh4ABAQBAgICKwIEAgUCBgIHAggCCQIlAgsCmAINAggCCAIIAggCCAIIAggCCAIIAggCCAIIAggCCAIIAggCCAIdAgMCvAIeAAQEAQICAisCBAIFAgYCBwIIAgkCsAILApgCDQIIAggCCAIIAggCCAIIAggCCAIIAggCCAIIAggCCAIIAggCHQIDAtkCHgAEBAECAgI7AgQCBQIGAgcCCAIJAhwCCwKYAg0CCAIIAggCCAIIAggCCAIIAggCCAIIAggCCAIIAggCCAIIAh0CAwLIAh4ABAQBAgICIAIEAgUCBgIHAggCCQIcAgsCmAINAggCCAIIAggCCAIIAggCCAIIAggCCAIIAggCCAIIAggCCAIdAgMC1wIeAAQEAQICAhsCBAIFAgYCBwIIAgkCHAILApgCDQIIAggCCAIIAggCCAIIAggCCAIIAggCCAIIAggCCAIIAggCHQIDArQCHgAEBAECAgJEAgQCBQIGAgcCCAIJArACCwKYAg0CCAIIAggCCAIIAggCCAIIAggCCAIIAggCCAIIAggCCAIIAh0CAwLpAh4ABAQBAgICLQIEAgUCBgIHAggCCQKwAgsCmAINAggCCAIIAggCCAIIAggCCAIIAggCCAIIAggCCAIIAggCCAIdAgMCsQIeAAQEAQICAlcCBAIFAgYCBwIIAgkCsAILApgCDQIIAggCCAIIAggCCAIIAggCCAIIAggCCAIIAggCCAIIAggCHQIDAiMCHgAEBAECAgJVAgQCBQJ6AAAEAAYCBwIIAgkCsAILApgCDQIIAggCCAIIAggCCAIIAggCCAIIAggCCAIIAggCCAIIAggCHQIDAsECHgAEBAECAgJIAgQCBQIGAgcCCAIJArACCwKYAg0CCAIIAggCCAIIAggCCAIIAggCCAIIAggCCAIIAggCCAIIAh0CAwLHAh4ABAQBAgICSAIEAgUCBgIHAggCCQIlAgsCmAINAggCCAIIAggCCAIIAggCCAIIAggCCAIIAggCCAIIAggCCAIdAgMC6wIeAAQEAQICAh4CBAIFAgYCBwIIAgkCJQILApgCDQIIAggCCAIIAggCCAIIAggCCAIIAggCCAIIAggCCAIIAggCHQIDAs0CHgAEBAECAgIDAgQCBQIGAgcCCAIJAiUCCwKYAg0CCAIIAggCCAIIAggCCAIIAggCCAIIAggCCAIIAggCCAIIAh0CAwKiAh4ABAQBAgICLQIEAgUCBgIHAggCCQIlAgsCmAINAggCCAIIAggCCAIIAggCCAIIAggCCAIIAggCCAIIAggCCAIdAgMCnAIeAAQEAQICAi8CBAIFAgYCBwIIAgkCJQILApgCDQIIAggCCAIIAggCCAIIAggCCAIIAggCCAIIAggCCAIIAggCHQIDAqACHgAEBAECAgIvAgQCBQIGAgcCCAIJArACCwKYAg0CCAIIAggCCAIIAggCCAIIAggCCAIIAggCCAIIAggCCAIIAh0CAwIjAh4ABAQBAgICUAIEAgUCBgIHAggCCQIcAgsCmAINAggCCAIIAggCCAIIAggCCAIIAggCCAIIAggCCAIIAggCCAIdAgMCxgIeAAQEAQICAjkCBAIFAgYCBwIIAgkCHAILApgCDQIIAggCCAIIAggCCAIIAggCCAIIAggCCAIIAggCCAIIAggCHQIDAq4CHgAEBQEACTU4MDUxMzY0MAICAoMCBAIFAgYCBwIIAgkCHAILApgCDQIIAggCCAIIAggCCAIIAggCCAIIAggCCAIIAggCCAIIAggCBQIDAs8CHgAEBQECAgJQAgQCBQIGAgcCCAIJAhwCCwKYAg0CCAIIAggCCAIIAggCCAIIAggCCAIIAggCCAIIAggCCAIIAgUCAwLGAh4ABAUBAgICMwIEAgUCBgIHAggCCQIcAgsCmAINAggCCAIIAggCCAIIAggCCAIIAggCCAIIAggCCAIIAggCCAIFAgMC0wIeAAQFAQICAk4CBAIFAgYCBwIIAgkCHAILApgCDQIIAggCCAIIAggCCAIIAggCCAIIAggCCAIIAggCCAIIAggCBQIDAuwCHgAEBQECAgItAgQCBQIGAgcCCAIJAhwCCwKYAg0CCAIIAggCCAIIAggCCAIIAgh6AAAEAAIIAggCCAIIAggCCAIIAggCBQIDAtsCHgAEBQECAgJXAgQCBQIGAgcCCAIJAhwCCwKYAg0CCAIIAggCCAIIAggCCAIIAggCCAIIAggCCAIIAggCCAIIAgUCAwK6Ah4ABAUBAgICKQIEAgUCBgIHAggCCQIcAgsCmAINAggCCAIIAggCCAIIAggCCAIIAggCCAIIAggCCAIIAggCCAIFAgMC2AIeAAQFAQICAj0CBAIFAgYCBwIIAgkCHAILApgCDQIIAggCCAIIAggCCAIIAggCCAIIAggCCAIIAggCCAIIAggCBQIDAsICHgAEBQECAgIiAgQCBQIGAgcCCAIJAhwCCwKYAg0CCAIIAggCCAIIAggCCAIIAggCCAIIAggCCAIIAggCCAIIAgUCAwLMAh4ABAUBAgICJAIEAgUCBgIHAggCCQIcAgsCmAINAggCCAIIAggCCAIIAggCCAIIAggCCAIIAggCCAIIAggCCAIFAgMC7gIeAAQFAQICAhsCBAIFAgYCBwIIAgkCHAILApgCDQIIAggCCAIIAggCCAIIAggCCAIIAggCCAIIAggCCAIIAggCBQIDArQCHgAEBQECAgKOAgQCBQIGAgcCCAIJAhwCCwKYAg0CCAIIAggCCAIIAggCCAIIAggCCAIIAggCCAIIAggCCAIIAgUCAwLUAh4ABAUBAgICRAIEAgUCBgIHAggCCQIcAgsCmAINAggCCAIIAggCCAIIAggCCAIIAggCCAIIAggCCAIIAggCCAIFAgMCuwIeAAQFAQICAicCBAIFAgYCBwIIAgkCHAILApgCDQIIAggCCAIIAggCCAIIAggCCAIIAggCCAIIAggCCAIIAggCBQIDAs4CHgAEBQECAgI5AgQCBQIGAgcCCAIJAhwCCwKYAg0CCAIIAggCCAIIAggCCAIIAggCCAIIAggCCAIIAggCCAIIAgUCAwKuAh4ABAUBAgICAwIEAgUCBgIHAggCCQIcAgsCmAINAggCCAIIAggCCAIIAggCCAIIAggCCAIIAggCCAIIAggCCAIFAgMCvQIeAAQFAQICAi8CBAIFAgYCBwIIAgkCHAILApgCDQIIAggCCAIIAggCCAIIAggCCAIIAggCCAIIAggCCAIIAggCBQIDArgCHgAEBQECAgI/AgQCBQIGAgcCCAIJAhwCCwKYAg0CCAIIAggCCAIIAggCCAIIAggCCAIIAggCCAIIAggCCAIIAgUCAwKsAh4ABAYBAAk1MjUyMzQyNjQCAgI3AgQCBQIGAgcCCAIJAhwCCwIMAg0CCAIIAggCCAIIAggCCAIIAggCCAIIAggCCAIIAggCCAIIAgECAwI4Ah4ABAYBAgIChQJ6AAAEAAQCBQIGAgcCCAIJAiUCCwIMAg0CCAIIAggCCAIIAggCCAIIAggCCAIIAggCCAIIAggCCAIIAgECAwKGAh4ABAYBAgICKwIEAgUCBgIHAggCCQIlAgsCDAINAggCCAIIAggCCAIIAggCCAIIAggCCAIIAggCCAIIAggCCAIBAgMCLAIeAAQGAQICAiICBAIFAgYCBwIIAgkCCgILAgwCDQIIAggCCAIIAggCCAIIAggCCAIIAggCCAIIAggCCAIIAggCAQIDAiMCHgAEBgECAgInAgQCBQIGAgcCCAIJAiUCCwIMAg0CCAIIAggCCAIIAggCCAIIAggCCAIIAggCCAIIAggCCAIIAgECAwIoAh4ABAYBAgICLQIEAgUCBgIHAggCCQIKAgsCDAINAggCCAIIAggCCAIIAggCCAIIAggCCAIIAggCCAIIAggCCAIBAgMCLgIeAAQGAQICAhsCBAIFAgYCBwIIAgkCHAILAgwCDQIIAggCCAIIAggCCAIIAggCCAIIAggCCAIIAggCCAIIAggCAQIDAh0CHgAEBgECAgIeAgQCBQIGAgcCCAIJAgoCCwIMAg0CCAIIAggCCAIIAggCCAIIAggCCAIIAggCCAIIAggCCAIIAgECAwIfAh4ABAYBAgICPQIEAgUCBgIHAggCCQIKAgsCDAINAggCCAIIAggCCAIIAggCCAIIAggCCAIIAggCCAIIAggCCAIBAgMCPgIeAAQGAQICAj8CBAIFAgYCBwIIAgkCHAILAgwCDQIIAggCCAIIAggCCAIIAggCCAIIAggCCAIIAggCCAIIAggCAQIDAkACHgAEBgECAgIrAgQCBQIGAgcCCAIJAhwCCwIMAg0CCAIIAggCCAIIAggCCAIIAggCCAIIAggCCAIIAggCCAIIAgECAwIxAh4ABAYBAgICOwIEAgUCBgIHAggCCQIlAgsCDAINAggCCAIIAggCCAIIAggCCAIIAggCCAIIAggCCAIIAggCCAIBAgMCPAIeAAQGAQICAjkCBAIFAgYCBwIIAgkCHAILAgwCDQIIAggCCAIIAggCCAIIAggCCAIIAggCCAIIAggCCAIIAggCAQIDAjoCHgAEBgECAgIvAgQCBQIGAgcCCAIJAiUCCwIMAg0CCAIIAggCCAIIAggCCAIIAggCCAIIAggCCAIIAggCCAIIAgECAwIwAh4ABAYBAgICTAIEAgUCBgIHAggCCQIlAgsCDAINAggCCAIIAggCCAIIAggCCAIIAggCCAIIAggCCAIIAggCCAIBAgMCTQIeAAQGAQICAjcCBAIFAgYCBwIIAgkCJQILAgwCDQIIAggCCAIIAggCCAIIAggCCAIIAggCCAJ6AAAEAAgCCAIIAggCCAIBAgMCQQIeAAQGAQICAiQCBAIFAgYCBwIIAgkCCgILAgwCDQIIAggCCAIIAggCCAIIAggCCAIIAggCCAIIAggCCAIIAggCAQIDAiMCHgAEBgECAgKHAgQCBQIGAgcCCAIJAgoCCwIMAg0CCAIIAggCCAIIAggCCAIIAggCCAIIAggCCAIIAggCCAIIAgECAwIjAh4ABAYBAgIChQIEAgUCBgIHAggCCQIcAgsCDAINAggCCAIIAggCCAIIAggCCAIIAggCCAIIAggCCAIIAggCCAIBAgMCiwIeAAQGAQICAkQCBAIFAgYCBwIIAgkCHAILAgwCDQIIAggCCAIIAggCCAIIAggCCAIIAggCCAIIAggCCAIIAggCAQIDAkUCHgAEBgECAgJGAgQCBQIGAgcCCAIJAgoCCwIMAg0CCAIIAggCCAIIAggCCAIIAggCCAIIAggCCAIIAggCCAIIAgECAwJHAh4ABAYBAgICVwIEAgUCBgIHAggCCQIcAgsCDAINAggCCAIIAggCCAIIAggCCAIIAggCCAIIAggCCAIIAggCCAIBAgMCWAIeAAQGAQICAi8CBAIFAgYCBwIIAgkCHAILAgwCDQIIAggCCAIIAggCCAIIAggCCAIIAggCCAIIAggCCAIIAggCAQIDAl0CHgAEBgECAgI1AgQCBQIGAgcCCAIJAiUCCwIMAg0CCAIIAggCCAIIAggCCAIIAggCCAIIAggCCAIIAggCCAIIAgECAwJSAh4ABAYBAgICSgIEAgUCBgIHAggCCQIKAgsCDAINAggCCAIIAggCCAIIAggCCAIIAggCCAIIAggCCAIIAggCCAIBAgMCSwIeAAQGAQICAj8CBAIFAgYCBwIIAgkCJQILAgwCDQIIAggCCAIIAggCCAIIAggCCAIIAggCCAIIAggCCAIIAggCAQIDAloCHgAEBgECAgIDAgQCBQIGAgcCCAIJAhwCCwIMAg0CCAIIAggCCAIIAggCCAIIAggCCAIIAggCCAIIAggCCAIIAgECAwJfAh4ABAYBAgICTgIEAgUCBgIHAggCCQIKAgsCDAINAggCCAIIAggCCAIIAggCCAIIAggCCAIIAggCCAIIAggCCAIBAgMCYgIeAAQGAQICAkYCBAIFAgYCBwIIAgkCJQILAgwCDQIIAggCCAIIAggCCAIIAggCCAIIAggCCAIIAggCCAIIAggCAQIDAmcCHgAEBgECAgJXAgQCBQIGAgcCCAIJAgoCCwIMAg0CCAIIAggCCAIIAggCCAIIAggCCAIIAggCCAIIAggCCAIIAgECAwIjAh4ABAYBAgICjAIEAgUCBgIHAggCCQIlAgsCDAJ6AAAEAA0CCAIIAggCCAIIAggCCAIIAggCCAIIAggCCAIIAggCCAIIAgECAwKNAh4ABAYBAgICkQIEAgUCBgIHAggCCQIlAgsCDAINAggCCAIIAggCCAIIAggCCAIIAggCCAIIAggCCAIIAggCCAIBAgMClAIeAAQGAQICAkgCBAIFAgYCBwIIAgkCJQILAgwCDQIIAggCCAIIAggCCAIIAggCCAIIAggCCAIIAggCCAIIAggCAQIDAm8CHgAEBgECAgI1AgQCBQIGAgcCCAIJAhwCCwIMAg0CCAIIAggCCAIIAggCCAIIAggCCAIIAggCCAIIAggCCAIIAgECAwJrAh4ABAYBAgICjgIEAgUCBgIHAggCCQIKAgsCDAINAggCCAIIAggCCAIIAggCCAIIAggCCAIIAggCCAIIAggCCAIBAgMCIwIeAAQGAQICAooCBAIFAgYCBwIIAgkCCgILAgwCDQIIAggCCAIIAggCCAIIAggCCAIIAggCCAIIAggCCAIIAggCAQIDAiMCHgAEBgECAgIDAgQCBQIGAgcCCAIJAiUCCwIMAg0CCAIIAggCCAIIAggCCAIIAggCCAIIAggCCAIIAggCCAIIAgECAwJxAh4ABAYBAgICSgIEAgUCBgIHAggCCQIlAgsCDAINAggCCAIIAggCCAIIAggCCAIIAggCCAIIAggCCAIIAggCCAIBAgMCbgIeAAQGAQICAocCBAIFAgYCBwIIAgkCHAILAgwCDQIIAggCCAIIAggCCAIIAggCCAIIAggCCAIIAggCCAIIAggCAQIDAogCHgAEBgECAgIpAgQCBQIGAgcCCAIJAgoCCwIMAg0CCAIIAggCCAIIAggCCAIIAggCCAIIAggCCAIIAggCCAIIAgECAwIjAh4ABAYBAgICIAIEAgUCBgIHAggCCQIKAgsCDAINAggCCAIIAggCCAIIAggCCAIIAggCCAIIAggCCAIIAggCCAIBAgMCbQIeAAQGAQICAiQCBAIFAgYCBwIIAgkCHAILAgwCDQIIAggCCAIIAggCCAIIAggCCAIIAggCCAIIAggCCAIIAggCAQIDAnUCHgAEBgECAgJGAgQCBQIGAgcCCAIJAhwCCwIMAg0CCAIIAggCCAIIAggCCAIIAggCCAIIAggCCAIIAggCCAIIAgECAwJ0Ah4ABAYBAgICSgIEAgUCBgIHAggCCQIcAgsCDAINAggCCAIIAggCCAIIAggCCAIIAggCCAIIAggCCAIIAggCCAIBAgMCcgIeAAQGAQICAj8CBAIFAgYCBwIIAgkCCgILAgwCDQIIAggCCAIIAggCCAIIAggCCAIIAggCCAIIAggCCAIIAggCAQIDAiMCHgB6AAAEAAQGAQICAoUCBAIFAgYCBwIIAgkCCgILAgwCDQIIAggCCAIIAggCCAIIAggCCAIIAggCCAIIAggCCAIIAggCAQIDAiMCHgAEBgECAgJVAgQCBQIGAgcCCAIJAiUCCwIMAg0CCAIIAggCCAIIAggCCAIIAggCCAIIAggCCAIIAggCCAIIAgECAwJ3Ah4ABAYBAgICKwIEAgUCBgIHAggCCQIKAgsCDAINAggCCAIIAggCCAIIAggCCAIIAggCCAIIAggCCAIIAggCCAIBAgMCewIeAAQGAQICAowCBAIFAgYCBwIIAgkCHAILAgwCDQIIAggCCAIIAggCCAIIAggCCAIIAggCCAIIAggCCAIIAggCAQIDAo8CHgAEBgECAgJEAgQCBQIGAgcCCAIJAgoCCwIMAg0CCAIIAggCCAIIAggCCAIIAggCCAIIAggCCAIIAggCCAIIAgECAwKBAh4ABAYBAgICGwIEAgUCBgIHAggCCQIlAgsCDAINAggCCAIIAggCCAIIAggCCAIIAggCCAIIAggCCAIIAggCCAIBAgMCfwIeAAQGAQICAjkCBAIFAgYCBwIIAgkCJQILAgwCDQIIAggCCAIIAggCCAIIAggCCAIIAggCCAIIAggCCAIIAggCAQIDAnoCHgAEBgECAgJOAgQCBQIGAgcCCAIJAhwCCwIMAg0CCAIIAggCCAIIAggCCAIIAggCCAIIAggCCAIIAggCCAIIAgECAwJ5Ah4ABAYBAgIChwIEAgUCBgIHAggCCQIlAgsCDAINAggCCAIIAggCCAIIAggCCAIIAggCCAIIAggCCAIIAggCCAIBAgMCkAIeAAQGAQICAiQCBAIFAgYCBwIIAgkCJQILAgwCDQIIAggCCAIIAggCCAIIAggCCAIIAggCCAIIAggCCAIIAggCAQIDAiYCHgAEBgECAgIgAgQCBQIGAgcCCAIJAhwCCwIMAg0CCAIIAggCCAIIAggCCAIIAggCCAIIAggCCAIIAggCCAIIAgECAwIhAh4ABAYBAgICAwIEAgUCBgIHAggCCQIKAgsCDAINAggCCAIIAggCCAIIAggCCAIIAggCCAIIAggCCAIIAggCCAIBAgMCDgIeAAQGAQICAo4CBAIFAgYCBwIIAgkCHAILAgwCDQIIAggCCAIIAggCCAIIAggCCAIIAggCCAIIAggCCAIIAggCAQIDApUCHgAEBgECAgIpAgQCBQIGAgcCCAIJAhwCCwIMAg0CCAIIAggCCAIIAggCCAIIAggCCAIIAggCCAIIAggCCAIIAgECAwIqAh4ABAYBAgICjAIEAgUCBgIHAggCCQIKAgsCDAINAggCCAIIAggCCAIIAggCCAJ6AAAEAAgCCAIIAggCCAIIAggCCAIIAgECAwIjAh4ABAYBAgICLQIEAgUCBgIHAggCCQIlAgsCDAINAggCCAIIAggCCAIIAggCCAIIAggCCAIIAggCCAIIAggCCAIBAgMCMgIeAAQGAQICAooCBAIFAgYCBwIIAgkCHAILAgwCDQIIAggCCAIIAggCCAIIAggCCAIIAggCCAIIAggCCAIIAggCAQIDAosCHgAEBgECAgIzAgQCBQIGAgcCCAIJAhwCCwIMAg0CCAIIAggCCAIIAggCCAIIAggCCAIIAggCCAIIAggCCAIIAgECAwI0Ah4ABAYBAgICNQIEAgUCBgIHAggCCQIKAgsCDAINAggCCAIIAggCCAIIAggCCAIIAggCCAIIAggCCAIIAggCCAIBAgMCNgIeAAQGAQICAk4CBAIFAgYCBwIIAgkCJQILAgwCDQIIAggCCAIIAggCCAIIAggCCAIIAggCCAIIAggCCAIIAggCAQIDAk8CHgAEBgECAgJQAgQCBQIGAgcCCAIJAgoCCwIMAg0CCAIIAggCCAIIAggCCAIIAggCCAIIAggCCAIIAggCCAIIAgECAwJRAh4ABAYBAgICKQIEAgUCBgIHAggCCQIlAgsCDAINAggCCAIIAggCCAIIAggCCAIIAggCCAIIAggCCAIIAggCCAIBAgMCQgIeAAQGAQICAkgCBAIFAgYCBwIIAgkCHAILAgwCDQIIAggCCAIIAggCCAIIAggCCAIIAggCCAIIAggCCAIIAggCAQIDAkkCHgAEBgECAgKRAgQCBQIGAgcCCAIJAhwCCwIMAg0CCAIIAggCCAIIAggCCAIIAggCCAIIAggCCAIIAggCCAIIAgECAwKSAh4ABAYBAgICIgIEAgUCBgIHAggCCQIlAgsCDAINAggCCAIIAggCCAIIAggCCAIIAggCCAIIAggCCAIIAggCCAIBAgMCQwIeAAQGAQICAi0CBAIFAgYCBwIIAgkCHAILAgwCDQIIAggCCAIIAggCCAIIAggCCAIIAggCCAIIAggCCAIIAggCAQIDAlsCHgAEBgECAgJVAgQCBQIGAgcCCAIJAhwCCwIMAg0CCAIIAggCCAIIAggCCAIIAggCCAIIAggCCAIIAggCCAIIAgECAwJWAh4ABAYBAgICPQIEAgUCBgIHAggCCQIlAgsCDAINAggCCAIIAggCCAIIAggCCAIIAggCCAIIAggCCAIIAggCCAIBAgMCUwIeAAQGAQICAjMCBAIFAgYCBwIIAgkCJQILAgwCDQIIAggCCAIIAggCCAIIAggCCAIIAggCCAIIAggCCAIIAggCAQIDAlkCHgAEBgECAgInAgQCBQIGAgcCCAJ6AAAEAAkCCgILAgwCDQIIAggCCAIIAggCCAIIAggCCAIIAggCCAIIAggCCAIIAggCAQIDAlwCHgAEBgECAgI7AgQCBQIGAgcCCAIJAgoCCwIMAg0CCAIIAggCCAIIAggCCAIIAggCCAIIAggCCAIIAggCCAIIAgECAwJUAh4ABAYBAgICHgIEAgUCBgIHAggCCQIcAgsCDAINAggCCAIIAggCCAIIAggCCAIIAggCCAIIAggCCAIIAggCCAIBAgMCYQIeAAQGAQICAlACBAIFAgYCBwIIAgkCJQILAgwCDQIIAggCCAIIAggCCAIIAggCCAIIAggCCAIIAggCCAIIAggCAQIDAmACHgAEBgECAgIiAgQCBQIGAgcCCAIJAhwCCwIMAg0CCAIIAggCCAIIAggCCAIIAggCCAIIAggCCAIIAggCCAIIAgECAwJjAh4ABAYBAgICgwIEAgUCBgIHAggCCQIKAgsCDAINAggCCAIIAggCCAIIAggCCAIIAggCCAIIAggCCAIIAggCCAIBAgMCIwIeAAQGAQICAlUCBAIFAgYCBwIIAgkCCgILAgwCDQIIAggCCAIIAggCCAIIAggCCAIIAggCCAIIAggCCAIIAggCAQIDAmgCHgAEBgECAgI9AgQCBQIGAgcCCAIJAhwCCwIMAg0CCAIIAggCCAIIAggCCAIIAggCCAIIAggCCAIIAggCCAIIAgECAwJlAh4ABAYBAgICTAIEAgUCBgIHAggCCQIKAgsCDAINAggCCAIIAggCCAIIAggCCAIIAggCCAIIAggCCAIIAggCCAIBAgMCZAIeAAQGAQICAkQCBAIFAgYCBwIIAgkCJQILAgwCDQIIAggCCAIIAggCCAIIAggCCAIIAggCCAIIAggCCAIIAggCAQIDAmoCHgAEBgECAgI5AgQCBQIGAgcCCAIJAgoCCwIMAg0CCAIIAggCCAIIAggCCAIIAggCCAIIAggCCAIIAggCCAIIAgECAwJmAh4ABAYBAgICVwIEAgUCBgIHAggCCQIlAgsCDAINAggCCAIIAggCCAIIAggCCAIIAggCCAIIAggCCAIIAggCCAIBAgMCaQIeAAQGAQICAhsCBAIFAgYCBwIIAgkCCgILAgwCDQIIAggCCAIIAggCCAIIAggCCAIIAggCCAIIAggCCAIIAggCAQIDAnACHgAEBgECAgJQAgQCBQIGAgcCCAIJAhwCCwIMAg0CCAIIAggCCAIIAggCCAIIAggCCAIIAggCCAIIAggCCAIIAgECAwJsAh4ABAYBAgICNwIEAgUCBgIHAggCCQIKAgsCDAINAggCCAIIAggCCAIIAggCCAIIAggCCAIIAggCCAIIAggCCAJ6AAAEAAECAwJeAh4ABAYBAgICgwIEAgUCBgIHAggCCQIlAgsCDAINAggCCAIIAggCCAIIAggCCAIIAggCCAIIAggCCAIIAggCCAIBAgMCiQIeAAQGAQICAh4CBAIFAgYCBwIIAgkCJQILAgwCDQIIAggCCAIIAggCCAIIAggCCAIIAggCCAIIAggCCAIIAggCAQIDAngCHgAEBgECAgIzAgQCBQIGAgcCCAIJAgoCCwIMAg0CCAIIAggCCAIIAggCCAIIAggCCAIIAggCCAIIAggCCAIIAgECAwJ2Ah4ABAYBAgICjgIEAgUCBgIHAggCCQIlAgsCDAINAggCCAIIAggCCAIIAggCCAIIAggCCAIIAggCCAIIAggCCAIBAgMCkwIeAAQGAQICAicCBAIFAgYCBwIIAgkCHAILAgwCDQIIAggCCAIIAggCCAIIAggCCAIIAggCCAIIAggCCAIIAggCAQIDAnMCHgAEBgECAgI7AgQCBQIGAgcCCAIJAhwCCwIMAg0CCAIIAggCCAIIAggCCAIIAggCCAIIAggCCAIIAggCCAIIAgECAwJ8Ah4ABAYBAgICLwIEAgUCBgIHAggCCQIKAgsCDAINAggCCAIIAggCCAIIAggCCAIIAggCCAIIAggCCAIIAggCCAIBAgMCIwIeAAQGAQICAiACBAIFAgYCBwIIAgkCJQILAgwCDQIIAggCCAIIAggCCAIIAggCCAIIAggCCAIIAggCCAIIAggCAQIDAn4CHgAEBgECAgKRAgQCBQIGAgcCCAIJAgoCCwIMAg0CCAIIAggCCAIIAggCCAIIAggCCAIIAggCCAIIAggCCAIIAgECAwIjAh4ABAYBAgICTAIEAgUCBgIHAggCCQIcAgsCDAINAggCCAIIAggCCAIIAggCCAIIAggCCAIIAggCCAIIAggCCAIBAgMCfQIeAAQGAQICAoMCBAIFAgYCBwIIAgkCHAILAgwCDQIIAggCCAIIAggCCAIIAggCCAIIAggCCAIIAggCCAIIAggCAQIDAoQCHgAEBgECAgKKAgQCBQIGAgcCCAIJAiUCCwIMAg0CCAIIAggCCAIIAggCCAIIAggCCAIIAggCCAIIAggCCAIIAgECAwKGAh4ABAYBAgICSAIEAgUCBgIHAggCCQIKAgsCDAINAggCCAIIAggCCAIIAggCCAIIAggCCAIIAggCCAIIAggCCAIBAgMCgAIeAAQHAQAJNTI1MjM2NTg0AgICOQIEAgUCBgIHAggCCQIcAgsCDAINAggCCAIIAggCCAIIAggCCAIIAggCCAIIAggCCAIIAggCCAIUAgMCOgIeAAQHAQICAicCBAIFAgYCBwIIAgkCJQILAgx6AAAEAAINAggCCAIIAggCCAIIAggCCAIIAggCCAIIAggCCAIIAggCCAIUAgMCKAIeAAQHAQICAisCBAIFAgYCBwIIAgkCHAILAgwCDQIIAggCCAIIAggCCAIIAggCCAIIAggCCAIIAggCCAIIAggCFAIDAjECHgAEBwECAgI7AgQCBQIGAgcCCAIJAiUCCwIMAg0CCAIIAggCCAIIAggCCAIIAggCCAIIAggCCAIIAggCCAIIAhQCAwI8Ah4ABAcBAgICLwIEAgUCBgIHAggCCQIlAgsCDAINAggCCAIIAggCCAIIAggCCAIIAggCCAIIAggCCAIIAggCCAIUAgMCMAIeAAQHAQICAj0CBAIFAgYCBwIIAgkCCgILAgwCDQIIAggCCAIIAggCCAIIAggCCAIIAggCCAIIAggCCAIIAggCFAIDAj4CHgAEBwECAgI/AgQCBQIGAgcCCAIJAhwCCwIMAg0CCAIIAggCCAIIAggCCAIIAggCCAIIAggCCAIIAggCCAIIAhQCAwJAAh4ABAcBAgIChwIEAgUCBgIHAggCCQIKAgsCDAINAggCCAIIAggCCAIIAggCCAIIAggCCAIIAggCCAIIAggCCAIUAgMCIwIeAAQHAQICAicCBAIFAgYCBwIIAgkCHAILAgwCDQIIAggCCAIIAggCCAIIAggCCAIIAggCCAIIAggCCAIIAggCFAIDAnMCHgAEBwECAgJGAgQCBQIGAgcCCAIJAgoCCwIMAg0CCAIIAggCCAIIAggCCAIIAggCCAIIAggCCAIIAggCCAIIAhQCAwJHAh4ABAcBAgICAwIEAgUCBgIHAggCCQIlAgsCDAINAggCCAIIAggCCAIIAggCCAIIAggCCAIIAggCCAIIAggCCAIUAgMCcQIeAAQHAQICAoUCBAIFAgYCBwIIAgkCHAILAgwCDQIIAggCCAIIAggCCAIIAggCCAIIAggCCAIIAggCCAIIAggCFAIDAosCHgAEBwECAgJEAgQCBQIGAgcCCAIJAgoCCwIMAg0CCAIIAggCCAIIAggCCAIIAggCCAIIAggCCAIIAggCCAIIAhQCAwKBAh4ABAcBAgICOQIEAgUCBgIHAggCCQIlAgsCDAINAggCCAIIAggCCAIIAggCCAIIAggCCAIIAggCCAIIAggCCAIUAgMCegIeAAQHAQICAjsCBAIFAgYCBwIIAgkCHAILAgwCDQIIAggCCAIIAggCCAIIAggCCAIIAggCCAIIAggCCAIIAggCFAIDAnwCHgAEBwECAgIbAgQCBQIGAgcCCAIJAiUCCwIMAg0CCAIIAggCCAIIAggCCAIIAggCCAIIAggCCAIIAggCCAIIAhQCAwJ/Ah56AAAEAAAEBwECAgKDAgQCBQIGAgcCCAIJAhwCCwIMAg0CCAIIAggCCAIIAggCCAIIAggCCAIIAggCCAIIAggCCAIIAhQCAwKEAh4ABAcBAgICNwIEAgUCBgIHAggCCQIcAgsCDAINAggCCAIIAggCCAIIAggCCAIIAggCCAIIAggCCAIIAggCCAIUAgMCOAIeAAQHAQICAkwCBAIFAgYCBwIIAgkCHAILAgwCDQIIAggCCAIIAggCCAIIAggCCAIIAggCCAIIAggCCAIIAggCFAIDAn0CHgAEBwECAgJQAgQCBQIGAgcCCAIJAiUCCwIMAg0CCAIIAggCCAIIAggCCAIIAggCCAIIAggCCAIIAggCCAIIAhQCAwJgAh4ABAcBAgICHgIEAgUCBgIHAggCCQIKAgsCDAINAggCCAIIAggCCAIIAggCCAIIAggCCAIIAggCCAIIAggCCAIUAgMCHwIeAAQHAQICAowCBAIFAgYCBwIIAgkCHAILAgwCDQIIAggCCAIIAggCCAIIAggCCAIIAggCCAIIAggCCAIIAggCFAIDAo8CHgAEBwECAgItAgQCBQIGAgcCCAIJAgoCCwIMAg0CCAIIAggCCAIIAggCCAIIAggCCAIIAggCCAIIAggCCAIIAhQCAwIuAh4ABAcBAgICVwIEAgUCBgIHAggCCQIKAgsCDAINAggCCAIIAggCCAIIAggCCAIIAggCCAIIAggCCAIIAggCCAIUAgMCIwIeAAQHAQICAkgCBAIFAgYCBwIIAgkCJQILAgwCDQIIAggCCAIIAggCCAIIAggCCAIIAggCCAIIAggCCAIIAggCFAIDAm8CHgAEBwECAgKRAgQCBQIGAgcCCAIJAiUCCwIMAg0CCAIIAggCCAIIAggCCAIIAggCCAIIAggCCAIIAggCCAIIAhQCAwKUAh4ABAcBAgICPQIEAgUCBgIHAggCCQIcAgsCDAINAggCCAIIAggCCAIIAggCCAIIAggCCAIIAggCCAIIAggCCAIUAgMCZQIeAAQHAQICAikCBAIFAgYCBwIIAgkCCgILAgwCDQIIAggCCAIIAggCCAIIAggCCAIIAggCCAIIAggCCAIIAggCFAIDAiMCHgAEBwECAgKHAgQCBQIGAgcCCAIJAhwCCwIMAg0CCAIIAggCCAIIAggCCAIIAggCCAIIAggCCAIIAggCCAIIAhQCAwKIAh4ABAcBAgICGwIEAgUCBgIHAggCCQIKAgsCDAINAggCCAIIAggCCAIIAggCCAIIAggCCAIIAggCCAIIAggCCAIUAgMCcAIeAAQHAQICAoUCBAIFAgYCBwIIAgkCCgILAgwCDQIIAggCCAIIAggCCAIIAgh6AAAEAAIIAggCCAIIAggCCAIIAggCCAIUAgMCIwIeAAQHAQICAkwCBAIFAgYCBwIIAgkCJQILAgwCDQIIAggCCAIIAggCCAIIAggCCAIIAggCCAIIAggCCAIIAggCFAIDAk0CHgAEBwECAgKDAgQCBQIGAgcCCAIJAiUCCwIMAg0CCAIIAggCCAIIAggCCAIIAggCCAIIAggCCAIIAggCCAIIAhQCAwKJAh4ABAcBAgICSgIEAgUCBgIHAggCCQIcAgsCDAINAggCCAIIAggCCAIIAggCCAIIAggCCAIIAggCCAIIAggCCAIUAgMCcgIeAAQHAQICAkYCBAIFAgYCBwIIAgkCHAILAgwCDQIIAggCCAIIAggCCAIIAggCCAIIAggCCAIIAggCCAIIAggCFAIDAnQCHgAEBwECAgJVAgQCBQIGAgcCCAIJAiUCCwIMAg0CCAIIAggCCAIIAggCCAIIAggCCAIIAggCCAIIAggCCAIIAhQCAwJ3Ah4ABAcBAgICPwIEAgUCBgIHAggCCQIKAgsCDAINAggCCAIIAggCCAIIAggCCAIIAggCCAIIAggCCAIIAggCCAIUAgMCIwIeAAQHAQICAisCBAIFAgYCBwIIAgkCCgILAgwCDQIIAggCCAIIAggCCAIIAggCCAIIAggCCAIIAggCCAIIAggCFAIDAnsCHgAEBwECAgKRAgQCBQIGAgcCCAIJAhwCCwIMAg0CCAIIAggCCAIIAggCCAIIAggCCAIIAggCCAIIAggCCAIIAhQCAwKSAh4ABAcBAgICOQIEAgUCBgIHAggCCQIKAgsCDAINAggCCAIIAggCCAIIAggCCAIIAggCCAIIAggCCAIIAggCCAIUAgMCZgIeAAQHAQICAi8CBAIFAgYCBwIIAgkCHAILAgwCDQIIAggCCAIIAggCCAIIAggCCAIIAggCCAIIAggCCAIIAggCFAIDAl0CHgAEBwECAgJVAgQCBQIGAgcCCAIJAhwCCwIMAg0CCAIIAggCCAIIAggCCAIIAggCCAIIAggCCAIIAggCCAIIAhQCAwJWAh4ABAcBAgICSAIEAgUCBgIHAggCCQIcAgsCDAINAggCCAIIAggCCAIIAggCCAIIAggCCAIIAggCCAIIAggCCAIUAgMCSQIeAAQHAQICAj0CBAIFAgYCBwIIAgkCJQILAgwCDQIIAggCCAIIAggCCAIIAggCCAIIAggCCAIIAggCCAIIAggCFAIDAlMCHgAEBwECAgIkAgQCBQIGAgcCCAIJAgoCCwIMAg0CCAIIAggCCAIIAggCCAIIAggCCAIIAggCCAIIAggCCAIIAhQCAwIjAh4ABAcBAgICNwIEAgUCBgIHAgh6AAAEAAIJAiUCCwIMAg0CCAIIAggCCAIIAggCCAIIAggCCAIIAggCCAIIAggCCAIIAhQCAwJBAh4ABAcBAgICSgIEAgUCBgIHAggCCQIKAgsCDAINAggCCAIIAggCCAIIAggCCAIIAggCCAIIAggCCAIIAggCCAIUAgMCSwIeAAQHAQICAgMCBAIFAgYCBwIIAgkCHAILAgwCDQIIAggCCAIIAggCCAIIAggCCAIIAggCCAIIAggCCAIIAggCFAIDAl8CHgAEBwECAgIzAgQCBQIGAgcCCAIJAiUCCwIMAg0CCAIIAggCCAIIAggCCAIIAggCCAIIAggCCAIIAggCCAIIAhQCAwJZAh4ABAcBAgICGwIEAgUCBgIHAggCCQIcAgsCDAINAggCCAIIAggCCAIIAggCCAIIAggCCAIIAggCCAIIAggCCAIUAgMCHQIeAAQHAQICAk4CBAIFAgYCBwIIAgkCCgILAgwCDQIIAggCCAIIAggCCAIIAggCCAIIAggCCAIIAggCCAIIAggCFAIDAmICHgAEBwECAgKMAgQCBQIGAgcCCAIJAgoCCwIMAg0CCAIIAggCCAIIAggCCAIIAggCCAIIAggCCAIIAggCCAIIAhQCAwIjAh4ABAcBAgICLQIEAgUCBgIHAggCCQIlAgsCDAINAggCCAIIAggCCAIIAggCCAIIAggCCAIIAggCCAIIAggCCAIUAgMCMgIeAAQHAQICAjMCBAIFAgYCBwIIAgkCHAILAgwCDQIIAggCCAIIAggCCAIIAggCCAIIAggCCAIIAggCCAIIAggCFAIDAjQCHgAEBwECAgI1AgQCBQIGAgcCCAIJAgoCCwIMAg0CCAIIAggCCAIIAggCCAIIAggCCAIIAggCCAIIAggCCAIIAhQCAwI2Ah4ABAcBAgICigIEAgUCBgIHAggCCQIcAgsCDAINAggCCAIIAggCCAIIAggCCAIIAggCCAIIAggCCAIIAggCCAIUAgMCiwIeAAQHAQICAh4CBAIFAgYCBwIIAgkCJQILAgwCDQIIAggCCAIIAggCCAIIAggCCAIIAggCCAIIAggCCAIIAggCFAIDAngCHgAEBwECAgIiAgQCBQIGAgcCCAIJAiUCCwIMAg0CCAIIAggCCAIIAggCCAIIAggCCAIIAggCCAIIAggCCAIIAhQCAwJDAh4ABAcBAgICJAIEAgUCBgIHAggCCQIcAgsCDAINAggCCAIIAggCCAIIAggCCAIIAggCCAIIAggCCAIIAggCCAIUAgMCdQIeAAQHAQICAlACBAIFAgYCBwIIAgkCCgILAgwCDQIIAggCCAIIAggCCAIIAggCCAIIAggCCAIIAggCCAIIAgh6AAAEAAIUAgMCUQIeAAQHAQICAkgCBAIFAgYCBwIIAgkCCgILAgwCDQIIAggCCAIIAggCCAIIAggCCAIIAggCCAIIAggCCAIIAggCFAIDAoACHgAEBwECAgKRAgQCBQIGAgcCCAIJAgoCCwIMAg0CCAIIAggCCAIIAggCCAIIAggCCAIIAggCCAIIAggCCAIIAhQCAwIjAh4ABAcBAgICIAIEAgUCBgIHAggCCQIlAgsCDAINAggCCAIIAggCCAIIAggCCAIIAggCCAIIAggCCAIIAggCCAIUAgMCfgIeAAQHAQICAo4CBAIFAgYCBwIIAgkCJQILAgwCDQIIAggCCAIIAggCCAIIAggCCAIIAggCCAIIAggCCAIIAggCFAIDApMCHgAEBwECAgKKAgQCBQIGAgcCCAIJAiUCCwIMAg0CCAIIAggCCAIIAggCCAIIAggCCAIIAggCCAIIAggCCAIIAhQCAwKGAh4ABAcBAgICLwIEAgUCBgIHAggCCQIKAgsCDAINAggCCAIIAggCCAIIAggCCAIIAggCCAIIAggCCAIIAggCCAIUAgMCIwIeAAQHAQICAk4CBAIFAgYCBwIIAgkCHAILAgwCDQIIAggCCAIIAggCCAIIAggCCAIIAggCCAIIAggCCAIIAggCFAIDAnkCHgAEBwECAgIpAgQCBQIGAgcCCAIJAhwCCwIMAg0CCAIIAggCCAIIAggCCAIIAggCCAIIAggCCAIIAggCCAIIAhQCAwIqAh4ABAcBAgIChwIEAgUCBgIHAggCCQIlAgsCDAINAggCCAIIAggCCAIIAggCCAIIAggCCAIIAggCCAIIAggCCAIUAgMCkAIeAAQHAQICAlUCBAIFAgYCBwIIAgkCCgILAgwCDQIIAggCCAIIAggCCAIIAggCCAIIAggCCAIIAggCCAIIAggCFAIDAmgCHgAEBwECAgIkAgQCBQIGAgcCCAIJAiUCCwIMAg0CCAIIAggCCAIIAggCCAIIAggCCAIIAggCCAIIAggCCAIIAhQCAwImAh4ABAcBAgICRgIEAgUCBgIHAggCCQIlAgsCDAINAggCCAIIAggCCAIIAggCCAIIAggCCAIIAggCCAIIAggCCAIUAgMCZwIeAAQHAQICAgMCBAIFAgYCBwIIAgkCCgILAgwCDQIIAggCCAIIAggCCAIIAggCCAIIAggCCAIIAggCCAIIAggCFAIDAg4CHgAEBwECAgIiAgQCBQIGAgcCCAIJAhwCCwIMAg0CCAIIAggCCAIIAggCCAIIAggCCAIIAggCCAIIAggCCAIIAhQCAwJjAh4ABAcBAgICigIEAgUCBgIHAggCCQIKAgsCDAINAggCCAIIAgh6AAAEAAIIAggCCAIIAggCCAIIAggCCAIIAggCCAIIAhQCAwIjAh4ABAcBAgICjgIEAgUCBgIHAggCCQIKAgsCDAINAggCCAIIAggCCAIIAggCCAIIAggCCAIIAggCCAIIAggCCAIUAgMCIwIeAAQHAQICAjUCBAIFAgYCBwIIAgkCHAILAgwCDQIIAggCCAIIAggCCAIIAggCCAIIAggCCAIIAggCCAIIAggCFAIDAmsCHgAEBwECAgJEAgQCBQIGAgcCCAIJAiUCCwIMAg0CCAIIAggCCAIIAggCCAIIAggCCAIIAggCCAIIAggCCAIIAhQCAwJqAh4ABAcBAgICSgIEAgUCBgIHAggCCQIlAgsCDAINAggCCAIIAggCCAIIAggCCAIIAggCCAIIAggCCAIIAggCCAIUAgMCbgIeAAQHAQICAjcCBAIFAgYCBwIIAgkCCgILAgwCDQIIAggCCAIIAggCCAIIAggCCAIIAggCCAIIAggCCAIIAggCFAIDAl4CHgAEBwECAgIgAgQCBQIGAgcCCAIJAgoCCwIMAg0CCAIIAggCCAIIAggCCAIIAggCCAIIAggCCAIIAggCCAIIAhQCAwJtAh4ABAcBAgICUAIEAgUCBgIHAggCCQIcAgsCDAINAggCCAIIAggCCAIIAggCCAIIAggCCAIIAggCCAIIAggCCAIUAgMCbAIeAAQHAQICAikCBAIFAgYCBwIIAgkCJQILAgwCDQIIAggCCAIIAggCCAIIAggCCAIIAggCCAIIAggCCAIIAggCFAIDAkICHgAEBwECAgJOAgQCBQIGAgcCCAIJAiUCCwIMAg0CCAIIAggCCAIIAggCCAIIAggCCAIIAggCCAIIAggCCAIIAhQCAwJPAh4ABAcBAgICVwIEAgUCBgIHAggCCQIlAgsCDAINAggCCAIIAggCCAIIAggCCAIIAggCCAIIAggCCAIIAggCCAIUAgMCaQIeAAQHAQICAkQCBAIFAgYCBwIIAgkCHAILAgwCDQIIAggCCAIIAggCCAIIAggCCAIIAggCCAIIAggCCAIIAggCFAIDAkUCHgAEBwECAgKMAgQCBQIGAgcCCAIJAiUCCwIMAg0CCAIIAggCCAIIAggCCAIIAggCCAIIAggCCAIIAggCCAIIAhQCAwKNAh4ABAcBAgICMwIEAgUCBgIHAggCCQIKAgsCDAINAggCCAIIAggCCAIIAggCCAIIAggCCAIIAggCCAIIAggCCAIUAgMCdgIeAAQHAQICAi0CBAIFAgYCBwIIAgkCHAILAgwCDQIIAggCCAIIAggCCAIIAggCCAIIAggCCAIIAggCCAIIAggCFAIDAlsCHgAEBwECAgJXAgR6AAADggIFAgYCBwIIAgkCHAILAgwCDQIIAggCCAIIAggCCAIIAggCCAIIAggCCAIIAggCCAIIAggCFAIDAlgCHgAEBwECAgI7AgQCBQIGAgcCCAIJAgoCCwIMAg0CCAIIAggCCAIIAggCCAIIAggCCAIIAggCCAIIAggCCAIIAhQCAwJUAh4ABAcBAgICJwIEAgUCBgIHAggCCQIKAgsCDAINAggCCAIIAggCCAIIAggCCAIIAggCCAIIAggCCAIIAggCCAIUAgMCXAIeAAQHAQICAjUCBAIFAgYCBwIIAgkCJQILAgwCDQIIAggCCAIIAggCCAIIAggCCAIIAggCCAIIAggCCAIIAggCFAIDAlICHgAEBwECAgI/AgQCBQIGAgcCCAIJAiUCCwIMAg0CCAIIAggCCAIIAggCCAIIAggCCAIIAggCCAIIAggCCAIIAhQCAwJaAh4ABAcBAgICTAIEAgUCBgIHAggCCQIKAgsCDAINAggCCAIIAggCCAIIAggCCAIIAggCCAIIAggCCAIIAggCCAIUAgMCZAIeAAQHAQICAoUCBAIFAgYCBwIIAgkCJQILAgwCDQIIAggCCAIIAggCCAIIAggCCAIIAggCCAIIAggCCAIIAggCFAIDAoYCHgAEBwECAgIiAgQCBQIGAgcCCAIJAgoCCwIMAg0CCAIIAggCCAIIAggCCAIIAggCCAIIAggCCAIIAggCCAIIAhQCAwIjAh4ABAcBAgICgwIEAgUCBgIHAggCCQIKAgsCDAINAggCCAIIAggCCAIIAggCCAIIAggCCAIIAggCCAIIAggCCAIUAgMCIwIeAAQHAQICAiACBAIFAgYCBwIIAgkCHAILAgwCDQIIAggCCAIIAggCCAIIAggCCAIIAggCCAIIAggCCAIIAggCFAIDAiECHgAEBwECAgIeAgQCBQIGAgcCCAIJAhwCCwIMAg0CCAIIAggCCAIIAggCCAIIAggCCAIIAggCCAIIAggCCAIIAhQCAwJhAh4ABAcBAgICKwIEAgUCBgIHAggCCQIlAgsCDAINAggCCAIIAggCCAIIAggCCAIIAggCCAIIAggCCAIIAggCCAIUAgMCLAIeAAQHAQICAo4CBAIFAgYCBwIIAgkCHAILAgwCDQIIAggCCAIIAggCCAIIAggCCAIIAggCCAIIAggCCAIIAggCFAIDApU=]]></xxe4awand>
</file>

<file path=customXml/item42.xml><?xml version="1.0" encoding="utf-8"?>
<xxe4awand xmlns="http://www.excel4apps.com"><![CDATA[rO0ABXfZCMCtii8CKQJ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0UCHgACAQICAmUCBAIFAgYCBwIIAgkCCgILAgwCDQIIAggCCAIIAggCCAIIAggCCAIIAggCCAIIAggCCAIIAggCEwIDAi4=]]></xxe4awand>
</file>

<file path=customXml/item43.xml><?xml version="1.0" encoding="utf-8"?>
<xxe4awand xmlns="http://www.excel4apps.com"><![CDATA[rO0ABXfZCMCtii8ABEkDAh4AAERjb20uZXhjZWw0YXBwcy53YW5kLm9yYWNsZS5n
bHdhbmQuY2FsY3VsYXRpb25zLmdldGJhbGFuY2UuR2V0QmFsYW5jZQIBAAkzNzcw
NzgwODACAgABMAIDAAYyMDE4MDICBAADWVREAgUAA1VTRAIGAAVUb3RhbAIHAAFB
AggAAAIJAAMwMDECCgAGMTkxMDEwAgsAAkdEAgwAAldBAg0AAkRMAggCCAIIAggC
CAIIAggCCAIIAggCCAIIAggCCAIIAggCCAIO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OAgMCHHNxAH4AAAAA
AAJzcQB+AAT///////////////7////+/////3VxAH4ABwAAAARlMUGreHh3TQIeAAIBAgICHQAGMjAxNzA1AgQCBQIGAgcCCAIJAgoCCwIMAg0CCAIIAggCCAIIAggCCAIIAggCCAIIAggCCAIIAggCCAIIAg4CAwIec3EAfgAAAAAAAnNxAH4ABP///////////////v////7/////dXEAfgAHAAAABFn95fJ4eHdNAh4AAgECAgIfAAYyMDE3MDECBAIFAgYCBwIIAgkCCgILAgwCDQIIAggCCAIIAggCCAIIAggCCAIIAggCCAIIAggCCAIIAggCDgIDAiBzcQB+AAAAAAACc3EAfgAE///////////////+/////v////91cQB+AAcAAAAEPRU7dnh4d00CHgACAQICAiEABjIwMTcwMwIEAgUCBgIHAggCCQIKAgsCDAINAggCCAIIAggCCAIIAggCCAIIAggCCAIIAggCCAIIAggCCAIOAgMCInNxAH4AAAAAAAJzcQB+AAT///////////////7////+/////3VxAH4ABwAAAARTY5smeHh3TQIeAAIBAgICIwAGMjAxNzEyAgQCBQIGAgcCCAIJAgoCCwIMAg0CCAIIAggCCAIIAggCCAIIAggCCAIIAggCCAIIAggCCAIIAg4CAwIkc3EAfgAAAAAAAnNxAH4ABP///////////////v////7/////dXEAfgAHAAAABEI0vHx4eHdNAh4AAgECAgIlAAYyMDE3MTACBAIFAgYCBwIIAgkCCgILAgwCDQIIAggCCAIIAggCCAIIAggCCAIIAggCCAIIAggCCAIIAggCDgIDAiZzcQB+AAAAAAACc3EAfgAE///////////////+/////v////91cQB+AAcAAAAEgtyI8Xh4d00CHgACAQICAicABjIwMTcwMgIEAgUCBgIHAggCCQIKAgsCDAINAggCCAIIAggCCAIIAggCCAIIAggCCAIIAggCCAIIAggCCAIOAgMCKHNxAH4AAAAAAAJzcQB+AAT///////////////7////+/////3VxAH4ABwAAAARJi1PJeHh3TQIeAAIBAgICKQAGMjAxODAzAgQCBQIGAgcCCAIJAgoCCwIMAg0CCAIIAggCCAIIAggCCAIIAggCCAIIAggCCAIIAggCCAIIAg4CAwIqc3EAfgAAAAAAAnNxAH4ABP///////////////v////7/////dXEAfgAHAAAABFJ+oxp4eHdNAh4AAgECAgIrAAYyMDE3MDQCBAIFAgYCBwIIAgkCCgILAgwCDQIIAggCCAIIAggCCAIIAggCCAIIAggCCAIIAggCCAIIAggCDgIDAixzcQB+AAAAAAACc3EAfgAE///////////////+/////v////91cQB+AAcAAAAEWnDZd3h4d00CHgACAQICAi0ABjIwMTcwOQIEAgUCBgIHAggCCQIKAgsCDAINAggCCAIIAggCCAIIAggCCAIIAggCCAIIAggCCAIIAggCCAIOAgMCLnNxAH4AAAAAAAJzcQB+AAT///////////////7////+/////3VxAH4ABwAAAARxBllJeHh3TQIeAAIBAgICLwAGMjAxNzA3AgQCBQIGAgcCCAIJAgoCCwIMAg0CCAIIAggCCAIIAggCCAIIAggCCAIIAggCCAIIAggCCAIIAg4CAwIwc3EAfgAAAAAAAnNxAH4ABP///////////////v////7/////dXEAfgAHAAAABF7UYvh4eHdNAh4AAgECAgIxAAYyMDE3MTECBAIFAgYCBwIIAgkCCgILAgwCDQIIAggCCAIIAggCCAIIAggCCAIIAggCCAIIAggCCAIIAggCDgIDAjJzcQB+AAAAAAACc3EAfgAE///////////////+/////v////91cQB+AAcAAAAEMNCqs3h4d00CHgACAQICAjMABjIwMTcwNgIEAgUCBgIHAggCCQIKAgsCDAINAggCCAIIAggCCAIIAggCCAIIAggCCAIIAggCCAIIAggCCAIOAgMCNHNxAH4AAAAAAAJzcQB+AAT///////////////7////+/////3VxAH4ABwAAAARYCwcseHh3TQIeAAIBAgICNQAGMjAxODAxAgQCBQIGAgcCCAIJAgoCCwIMAg0CCAIIAggCCAIIAggCCAIIAggCCAIIAggCCAIIAggCCAIIAg4CAwI2c3EAfgAAAAAAAnNxAH4ABP///////////////v////7/////dXEAfgAHAAAABE7u6Np4eHdgAh4AAjcACTQyMjQ5NDk4NAICAjgABjIwMTMxMgIEAgUCBgIHAggCCQI5AAYxOTEwMjUCCwIMAg0CCAIIAggCCAIIAggCCAIIAggCCAIIAggCCAIIAggCCAIIAh4CAwI6c3EAfgAAAAAAAnNxAH4ABP///////////////v////7/////dXEAfgAHAAAAAxTl5Hh4d1QCHgACOwAJMzc3MDc5MjQwAgICJwIEAgUCBgIHAggCCQIKAgsCPAACSUQCDQIIAggCCAIIAggCCAIIAggCCAIIAggCCAIIAggCCAIIAggCIQIDAj1zcQB+AAAAAAACc3EAfgAE///////////////+/////v////91cQB+AAcAAAAEIgqsMXh4d0UCHgACOwICAikCBAIFAgYCBwIIAgkCCgILAjwCDQIIAggCCAIIAggCCAIIAggCCAIIAggCCAIIAggCCAIIAggCIQIDAj5zcQB+AAAAAAACc3EAfgAE///////////////+/////v////91cQB+AAcAAAAEKsKx+Hh4d0UCHgACOwICAjUCBAIFAgYCBwIIAgkCCgILAjwCDQIIAggCCAIIAggCCAIIAggCCAIIAggCCAIIAggCCAIIAggCIQIDAj9zcQB+AAAAAAACc3EAfgAE///////////////+/////v////91cQB+AAcAAAAEKSCPhXh4d0UCHgACOwICAjMCBAIFAgYCBwIIAgkCCgILAjwCDQIIAggCCAIIAggCCAIIAggCCAIIAggCCAIIAggCCAIIAggCIQIDAkBzcQB+AAAAAAACc3EAfgAE///////////////+/////v////91cQB+AAcAAAAEKgtGIXh4d0UCHgACOwICAjECBAIFAgYCBwIIAgkCCgILAjwCDQIIAggCCAIIAggCCAIIAggCCAIIAggCCAIIAggCCAIIAggCIQIDAkFzcQB+AAAAAAACc3EAfgAE///////////////+/////v////91cQB+AAcAAAAEHCN8kHh4d0UCHgACOwICAhsCBAIFAgYCBwIIAgkCCgILAjwCDQIIAggCCAIIAggCCAIIAggCCAIIAggCCAIIAggCCAIIAggCIQIDAkJzcQB+AAAAAAACc3EAfgAE///////////////+/////v////91cQB+AAcAAAAENDlU6Hh4d0UCHgACOwICAisCBAIFAgYCBwIIAgkCCgILAjwCDQIIAggCCAIIAggCCAIIAggCCAIIAggCCAIIAggCCAIIAggCIQIDAkNzcQB+AAAAAAACc3EAfgAE///////////////+/////v////91cQB+AAcAAAAEKeDlE3h4d0UCHgACOwICAiECBAIFAgYCBwIIAgkCCgILAjwCDQIIAggCCAIIAggCCAIIAggCCAIIAggCCAIIAggCCAIIAggCIQIDAkRzcQB+AAAAAAACc3EAfgAE///////////////+/////v////91cQB+AAcAAAAEJngfcXh4d0UCHgACOwICAgMCBAIFAgYCBwIIAgkCCgILAjwCDQIIAggCCAIIAggCCAIIAggCCAIIAggCCAIIAggCCAIIAggCIQIDAkVzcQB+AAAAAAACc3EAfgAE///////////////+/////v////91cQB+AAcAAAAEKUaEtnh4d0UCHgACOwICAi8CBAIFAgYCBwIIAgkCCgILAjwCDQIIAggCCAIIAggCCAIIAggCCAIIAggCCAIIAggCCAIIAggCIQIDAkZzcQB+AAAAAAACc3EAfgAE///////////////+/////v////91cQB+AAcAAAAELpGFK3h4d0UCHgACOwICAi0CBAIFAgYCBwIIAgkCCgILAjwCDQIIAggCCAIIAggCCAIIAggCCAIIAggCCAIIAggCCAIIAggCIQIDAkdzcQB+AAAAAAACc3EAfgAE///////////////+/////v////91cQB+AAcAAAAEOUUu/nh4d0UCHgACOwICAh0CBAIFAgYCBwIIAgkCCgILAjwCDQIIAggCCAIIAggCCAIIAggCCAIIAggCCAIIAggCCAIIAggCIQIDAkhzcQB+AAAAAAACc3EAfgAE///////////////+/////v////91cQB+AAcAAAAEKiZPC3h4d0UCHgACOwICAh8CBAIFAgYCBwIIAgkCCgILAjwCDQIIAggCCAIIAggCCAIIAggCCAIIAggCCAIIAggCCAIIAggCIQIDAklzcQB+AAAAAAACc3EAfgAE///////////////+/////v////91cQB+AAcAAAAEHbH6THh4d0UCHgACOwICAiUCBAIFAgYCBwIIAgkCCgILAjwCDQIIAggCCAIIAggCCAIIAggCCAIIAggCCAIIAggCCAIIAggCIQIDAkpzcQB+AAAAAAACc3EAfgAE///////////////+/////v////91cQB+AAcAAAAEQ0RN4Hh4d0UCHgACOwICAiMCBAIFAgYCBwIIAgkCCgILAjwCDQIIAggCCAIIAggCCAIIAggCCAIIAggCCAIIAggCCAIIAggCIQIDAktzcQB+AAAAAAACc3EAfgAE///////////////+/////v////91cQB+AAcAAAAEJDRt9Hh4d1gCHgACTAAJNjY2NzA4NzYwAgICTQAGMjAxODA0AgQCBQIGAgcCCAIJAjkCCwIMAg0CCAIIAggCCAIIAggCCAIIAggCCAIIAggCCAIIAggCCAIIAgECAwJOc3EAfgAAAAAAAnNxAH4ABP///////////////v////4AAAAAdXEAfgAHAAAAAHh4d00CHgACTAICAi8CBAIFAgYCBwIIAgkCTwAGMTkxMDAwAgsCDAINAggCCAIIAggCCAIIAggCCAIIAggCCAIIAggCCAIIAggCCAIBAgMCUHNxAH4AAAAAAAJzcQB+AAT///////////////7////+/////3VxAH4ABwAAAAQCCvb0eHh3TQIeAAJMAgICUQAGMjAxNjAyAgQCBQIGAgcCCAIJAjkCCwIMAg0CCAIIAggCCAIIAggCCAIIAggCCAIIAggCCAIIAggCCAIIAgECAwJSc3EAfgAAAAAAAnNxAH4ABP///////////////v////7/////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AAT///////////////7////+/////3VxAH4ABwAAAAQDq4uteHh3TQIeAAJMAgICVQAGMjAxNjA1AgQCBQIGAgcCCAIJAgoCCwIMAg0CCAIIAggCCAIIAggCCAIIAggCCAIIAggCCAIIAggCCAIIAgECAwJWc3EAfgAAAAAAAnNxAH4ABP///////////////v////7/////dXEAfgAHAAAABEwrC4B4eHdNAh4AAkwCAgJXAAYyMDE2MTICBAIFAgYCBwIIAgkCTwILAgwCDQIIAggCCAIIAggCCAIIAggCCAIIAggCCAIIAggCCAIIAggCAQIDAlhzcQB+AAAAAAACc3EAfgAE///////////////+/////v////91cQB+AAcAAAAEO4uIvXh4d00CHgACTAICAlkABjIwMTYxMAIEAgUCBgIHAggCCQIKAgsCDAINAggCCAIIAggCCAIIAggCCAIIAggCCAIIAggCCAIIAggCCAIBAgMCWnNxAH4AAAAAAAJzcQB+AAT///////////////7////+/////3VxAH4ABwAAAARijcsWeHh3RQIeAAJMAgICJwIEAgUCBgIHAggCCQI5AgsCDAINAggCCAIIAggCCAIIAggCCAIIAggCCAIIAggCCAIIAggCCAIBAgMCW3NxAH4AAAAAAAJzcQB+AAT///////////////7////+/////3VxAH4ABwAAAAME+2h4eHdFAh4AAkwCAgIrAgQCBQIGAgcCCAIJAjkCCwIMAg0CCAIIAggCCAIIAggCCAIIAggCCAIIAggCCAIIAggCCAIIAgECAwJcc3EAfgAAAAAAAnNxAH4ABP///////////////v////7/////dXEAfgAHAAAAAwR0jXh4d0UCHgACTAICAlUCBAIFAgYCBwIIAgkCTwILAgwCDQIIAggCCAIIAggCCAIIAggCCAIIAggCCAIIAggCCAIIAggCAQIDAl1zcQB+AAAAAAACc3EAfgAE///////////////+/////v////91cQB+AAcAAAAEBDaJ43h4d00CHgACTAICAl4ABjIwMTYwMwIEAgUCBgIHAggCCQIKAgsCDAINAggCCAIIAggCCAIIAggCCAIIAggCCAIIAggCCAIIAggCCAIBAgMCX3NxAH4AAAAAAAJzcQB+AAT///////////////7////+/////3VxAH4ABwAAAAQ9+1bieHh3RQIeAAJMAgICXgIEAgUCBgIHAggCCQI5AgsCDAINAggCCAIIAggCCAIIAggCCAIIAggCCAIIAggCCAIIAggCCAIBAgMCYHNxAH4AAAAAAAJzcQB+AAT///////////////7////+/////3VxAH4ABwAAAAMOg914eHdFAh4AAkwCAgIzAgQCBQIGAgcCCAIJAk8CCwIMAg0CCAIIAggCCAIIAggCCAIIAggCCAIIAggCCAIIAggCCAIIAgECAwJhc3EAfgAAAAAAAnNxAH4ABP///////////////v////7/////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AAAAAAACc3EAfgAE///////////////+/////v////91cQB+AAcAAAAESHB4r3h4d00CHgACTAICAmQABjIwMTYxMQIEAgUCBgIHAggCCQIKAgsCDAINAggCCAIIAggCCAIIAggCCAIIAggCCAIIAggCCAIIAggCCAIBAgMCZXNxAH4AAAAAAAJzcQB+AAT///////////////7////+/////3VxAH4ABwAAAAQSVBWqeHh3RQIeAAJMAgICIQIEAgUCBgIHAggCCQI5AgsCDAINAggCCAIIAggCCAIIAggCCAIIAggCCAIIAggCCAIIAggCCAIBAgMCZnNxAH4AAAAAAAJzcQB+AAT///////////////7////+/////3VxAH4ABwAAAAMEq5d4eHdFAh4AAkwCAgIlAgQCBQIGAgcCCAIJAjkCCwIMAg0CCAIIAggCCAIIAggCCAIIAggCCAIIAggCCAIIAggCCAIIAgECAwJnc3EAfgAAAAAAAnNxAH4ABP///////////////v////7/////dXEAfgAHAAAAAwPcq3h4d0UCHgACTAICAh0CBAIFAgYCBwIIAgkCTwILAgwCDQIIAggCCAIIAggCCAIIAggCCAIIAggCCAIIAggCCAIIAggCAQIDAmhzcQB+AAAAAAACc3EAfgAE///////////////+/////v////91cQB+AAcAAAAEBiEYhXh4d0UCHgACTAICAmQCBAIFAgYCBwIIAgkCOQILAgwCDQIIAggCCAIIAggCCAIIAggCCAIIAggCCAIIAggCCAIIAggCAQIDAmlzcQB+AAAAAAACc3EAfgAE///////////////+/////v////91cQB+AAcAAAADBmgreHh3RQIeAAJMAgICMQIEAgUCBgIHAggCCQJPAgsCDAINAggCCAIIAggCCAIIAggCCAIIAggCCAIIAggCCAIIAggCCAIBAgMCanNxAH4AAAAAAAJzcQB+AAT///////////////7////+/////3VxAH4ABwAAAAREule8eHh3RQIeAAJMAgICWQIEAgUCBgIHAggCCQJPAgsCDAINAggCCAIIAggCCAIIAggCCAIIAggCCAIIAggCCAIIAggCCAIBAgMCa3NxAH4AAAAAAAJzcQB+AAT///////////////7////+/////3VxAH4ABwAAAAO8XLJ4eHdFAh4AAkwCAgJiAgQCBQIGAgcCCAIJAk8CCwIMAg0CCAIIAggCCAIIAggCCAIIAggCCAIIAggCCAIIAggCCAIIAgECAwJsc3EAfgAAAAAAAnNxAH4ABP///////////////v////7/////dXEAfgAHAAAABATkMA94eHdNAh4AAkwCAgJtAAYyMDE2MDkCBAIFAgYCBwIIAgkCTwILAgwCDQIIAggCCAIIAggCCAIIAggCCAIIAggCCAIIAggCCAIIAggCAQIDAm5zcQB+AAAAAAACc3EAfgAE///////////////+/////v////91cQB+AAcAAAAEAhunbnh4d0UCHgACTAICAlUCBAIFAgYCBwIIAgkCOQILAgwCDQIIAggCCAIIAggCCAIIAggCCAIIAggCCAIIAggCCAIIAggCAQIDAm9zcQB+AAAAAAACc3EAfgAE///////////////+/////v////91cQB+AAcAAAADC4KteHh3RQIeAAJMAgICMwIEAgUCBgIHAggCCQI5AgsCDAINAggCCAIIAggCCAIIAggCCAIIAggCCAIIAggCCAIIAggCCAIBAgMCcHNxAH4AAAAAAAJzcQB+AAT///////////////7////+/////3VxAH4ABwAAAAMEQ3p4eHdFAh4AAkwCAgJXAgQCBQIGAgcCCAIJAgoCCwIMAg0CCAIIAggCCAIIAggCCAIIAggCCAIIAggCCAIIAggCCAIIAgECAwJxc3EAfgAAAAAAAnNxAH4ABP///////////////v////7/////dXEAfgAHAAAABCij2ll4eHeKAh4AAkwCAgIpAgQCBQIGAgcCCAIJAgoCCwIMAg0CCAIIAggCCAIIAggCCAIIAggCCAIIAggCCAIIAggCCAIIAgECAwIqAh4AAkwCAgIbAgQCBQIGAgcCCAIJAk8CCwIMAg0CCAIIAggCCAIIAggCCAIIAggCCAIIAggCCAIIAggCCAIIAgECAwJyc3EAfgAAAAAAAnNxAH4ABP///////////////v////7/////dXEAfgAHAAAAAzKU1nh4d00CHgACTAICAnMABjIwMTYwNwIEAgUCBgIHAggCCQJPAgsCDAINAggCCAIIAggCCAIIAggCCAIIAggCCAIIAggCCAIIAggCCAIBAgMCdHNxAH4AAAAAAAJzcQB+AAT///////////////7////+/////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AAT///////////////7////+/////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v////7/////dXEAfgAHAAAAAwi2nHh4d4oCHgACTAICAiMCBAIFAgYCBwIIAgkCOQILAgwCDQIIAggCCAIIAggCCAIIAggCCAIIAggCCAIIAggCCAIIAggCAQIDAk4CHgACTAICAjUCBAIFAgYCBwIIAgkCTwILAgwCDQIIAggCCAIIAggCCAIIAggCCAIIAggCCAIIAggCCAIIAggCAQIDAnhzcQB+AAAAAAACc3EAfgAE///////////////+/////v////91cQB+AAcAAAAEJnGjV3h4d0UCHgACTAICAi0CBAIFAgYCBwIIAgkCOQILAgwCDQIIAggCCAIIAggCCAIIAggCCAIIAggCCAIIAggCCAIIAggCAQIDAnlzcQB+AAAAAAACc3EAfgAE///////////////+/////v////91cQB+AAcAAAADBA6ueHh3RQIeAAJMAgICHwIEAgUCBgIHAggCCQI5AgsCDAINAggCCAIIAggCCAIIAggCCAIIAggCCAIIAggCCAIIAggCCAIBAgMCenNxAH4AAAAAAAJzcQB+AAT///////////////7////+/////3VxAH4ABwAAAAMFZP94eHdFAh4AAkwCAgJtAgQCBQIGAgcCCAIJAgoCCwIMAg0CCAIIAggCCAIIAggCCAIIAggCCAIIAggCCAIIAggCCAIIAgECAwJ7c3EAfgAAAAAAAnNxAH4ABP///////////////v////7/////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v////7/////dXEAfgAHAAAABAgl/7F4eHdFAh4AAkwCAgJzAgQCBQIGAgcCCAIJAjkCCwIMAg0CCAIIAggCCAIIAggCCAIIAggCCAIIAggCCAIIAggCCAIIAgECAwJ9c3EAfgAAAAAAAnNxAH4ABP///////////////v////7/////dXEAfgAHAAAAAwmef3h4d0UCHgACTAICAiECBAIFAgYCBwIIAgkCTwILAgwCDQIIAggCCAIIAggCCAIIAggCCAIIAggCCAIIAggCCAIIAggCAQIDAn5zcQB+AAAAAAACc3EAfgAE///////////////+/////v////91cQB+AAcAAAAEEP3yI3h4d0UCHgACTAICAk0CBAIFAgYCBwIIAgkCTwILAgwCDQIIAggCCAIIAggCCAIIAggCCAIIAggCCAIIAggCCAIIAggCAQIDAn9zcQB+AAAAAAACc3EAfgAE///////////////+/////v////91cQB+AAcAAAAEBxk/mXh4d0UCHgACTAICAhsCBAIFAgYCBwIIAgkCOQILAgwCDQIIAggCCAIIAggCCAIIAggCCAIIAggCCAIIAggCCAIIAggCAQIDAoBzcQB+AAAAAAACc3EAfgAE///////////////+/////v////91cQB+AAcAAAADBCUJeHh3RQIeAAJMAgICJQIEAgUCBgIHAggCCQJPAgsCDAINAggCCAIIAggCCAIIAggCCAIIAggCCAIIAggCCAIIAggCCAIBAgMCgXNxAH4AAAAAAAJzcQB+AAT///////////////7////+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AAT///////////////7////+/////3VxAH4ABwAAAAQbRzHTeHh3RQIeAAJMAgICUwIEAgUCBgIHAggCCQI5AgsCDAINAggCCAIIAggCCAIIAggCCAIIAggCCAIIAggCCAIIAggCCAIBAgMCg3NxAH4AAAAAAAJzcQB+AAT///////////////7////+/////3VxAH4ABwAAAAMKgFR4eHdFAh4AAkwCAgJ2AgQCBQIGAgcCCAIJAgoCCwIMAg0CCAIIAggCCAIIAggCCAIIAggCCAIIAggCCAIIAggCCAIIAgECAwKEc3EAfgAAAAAAAnNxAH4ABP///////////////v////7/////dXEAfgAHAAAABF1XUMl4eHdFAh4AAkwCAgIvAgQCBQIGAgcCCAIJAjkCCwIMAg0CCAIIAggCCAIIAggCCAIIAggCCAIIAggCCAIIAggCCAIIAgECAwKFc3EAfgAAAAAAAnNxAH4ABP///////////////v////7/////dXEAfgAHAAAAAwQ0OHh4d0UCHgACTAICAikCBAIFAgYCBwIIAgkCTwILAgwCDQIIAggCCAIIAggCCAIIAggCCAIIAggCCAIIAggCCAIIAggCAQIDAoZzcQB+AAAAAAACc3EAfgAE///////////////+/////v////91cQB+AAcAAAAEDlPJjHh4d0UCHgACTAICAk0CBAIFAgYCBwIIAgkCCgILAgwCDQIIAggCCAIIAggCCAIIAggCCAIIAggCCAIIAggCCAIIAggCAQIDAodzcQB+AAAAAAACc3EAfgAE///////////////+/////v////91cQB+AAcAAAAEWqnIX3h4d4oCHgACTAICAiECBAIFAgYCBwIIAgkCCgILAgwCDQIIAggCCAIIAggCCAIIAggCCAIIAggCCAIIAggCCAIIAggCAQIDAiICHgACTAICAlECBAIFAgYCBwIIAgkCCgILAgwCDQIIAggCCAIIAggCCAIIAggCCAIIAggCCAIIAggCCAIIAggCAQIDAohzcQB+AAAAAAACc3EAfgAE///////////////+/////v////91cQB+AAcAAAAENzj1T3h4d0UCHgACTAICAmICBAIFAgYCBwIIAgkCOQILAgwCDQIIAggCCAIIAggCCAIIAggCCAIIAggCCAIIAggCCAIIAggCAQIDAolzcQB+AAAAAAACc3EAfgAE///////////////+/////v////91cQB+AAcAAAADDMb+eHh3RQIeAAJMAgICbQIEAgUCBgIHAggCCQI5AgsCDAINAggCCAIIAggCCAIIAggCCAIIAggCCAIIAggCCAIIAggCCAIBAgMCinNxAH4AAAAAAAJzcQB+AAT///////////////7////+/////3VxAH4ABwAAAAMHjdR4eHeKAh4AAkwCAgIbAgQCBQIGAgcCCAIJAgoCCwIMAg0CCAIIAggCCAIIAggCCAIIAggCCAIIAggCCAIIAggCCAIIAgECAwIcAh4AAkwCAgJ2AgQCBQIGAgcCCAIJAk8CCwIMAg0CCAIIAggCCAIIAggCCAIIAggCCAIIAggCCAIIAggCCAIIAgECAwKLc3EAfgAAAAAAAnNxAH4ABP///////////////v////7/////dXEAfgAHAAAABAK9P6R4eHeKAh4AAkwCAgI1AgQCBQIGAgcCCAIJAjkCCwIMAg0CCAIIAggCCAIIAggCCAIIAggCCAIIAggCCAIIAggCCAIIAgECAwJOAh4AAkwCAgJZAgQCBQIGAgcCCAIJAjkCCwIMAg0CCAIIAggCCAIIAggCCAIIAggCCAIIAggCCAIIAggCCAIIAgECAwKMc3EAfgAAAAAAAnNxAH4ABP///////////////v////7/////dXEAfgAHAAAAAwU/r3h4d0UCHgACTAICAi0CBAIFAgYCBwIIAgkCTwILAgwCDQIIAggCCAIIAggCCAIIAggCCAIIAggCCAIIAggCCAIIAggCAQIDAo1zcQB+AAAAAAACc3EAfgAE///////////////+/////gAAAAF1cQB+AAcAAAAEAo6woHh4d0UCHgACTAICAiMCBAIFAgYCBwIIAgkCTwILAgwCDQIIAggCCAIIAggCCAIIAggCCAIIAggCCAIIAggCCAIIAggCAQIDAo5zcQB+AAAAAAACc3EAfgAE///////////////+/////v////91cQB+AAcAAAAENEm+I3h4d0UCHgACTAICAh8CBAIFAgYCBwIIAgkCTwILAgwCDQIIAggCCAIIAggCCAIIAggCCAIIAggCCAIIAggCCAIIAggCAQIDAo9zcQB+AAAAAAACc3EAfgAE///////////////+/////v////91cQB+AAcAAAAEKOmGtnh4d0UCHgACTAICAnMCBAIFAgYCBwIIAgkCCgILAgwCDQIIAggCCAIIAggCCAIIAggCCAIIAggCCAIIAggCCAIIAggCAQIDApBzcQB+AAAAAAACc3EAfgAE///////////////+/////v////91cQB+AAcAAAAEWi+1rXh4d4oCHgACTAICAjECBAIFAgYCBwIIAgkCOQILAgwCDQIIAggCCAIIAggCCAIIAggCCAIIAggCCAIIAggCCAIIAggCAQIDAk4CHgACTAICAgMCBAIFAgYCBwIIAgkCTwILAgwCDQIIAggCCAIIAggCCAIIAggCCAIIAggCCAIIAggCCAIIAggCAQIDApFzcQB+AAAAAAACc3EAfgAE///////////////+/////v////91cQB+AAcAAAAEGWLnZXh4d0UCHgACTAICAlcCBAIFAgYCBwIIAgkCOQILAgwCDQIIAggCCAIIAggCCAIIAggCCAIIAggCCAIIAggCCAIIAggCAQIDApJzcQB+AAAAAAACc3EAfgAE///////////////+/////v////91cQB+AAcAAAADBtyTeHh3RQIeAAJMAgICXgIEAgUCBgIHAggCCQJPAgsCDAINAggCCAIIAggCCAIIAggCCAIIAggCCAIIAggCCAIIAggCCAIBAgMCk3NxAH4AAAAAAAJzcQB+AAT///////////////7////+/////3VxAH4ABwAAAAQF6I5ueHh3igIeAAJMAgICMwIEAgUCBgIHAggCCQIKAgsCDAINAggCCAIIAggCCAIIAggCCAIIAggCCAIIAggCCAIIAggCCAIBAgMCNAIeAAJMAgICZAIEAgUCBgIHAggCCQJPAgsCDAINAggCCAIIAggCCAIIAggCCAIIAggCCAIIAggCCAIIAggCCAIBAgMClHNxAH4AAAAAAAJzcQB+AAT///////////////7////+/////3VxAH4ABwAAAARMQw4VeHh3RQIeAAJMAgICKwIEAgUCBgIHAggCCQJPAgsCDAINAggCCAIIAggCCAIIAggCCAIIAggCCAIIAggCCAIIAggCCAIBAgMClXNxAH4AAAAAAAJzcQB+AAT///////////////7////+/////3VxAH4ABwAAAAQJ8GpGeHh3RQIeAAJMAgICHQIEAgUCBgIHAggCCQI5AgsCDAINAggCCAIIAggCCAIIAggCCAIIAggCCAIIAggCCAIIAggCCAIBAgMClnNxAH4AAAAAAAJzcQB+AAT///////////////7////+/////3VxAH4ABwAAAAMEVit4eHdQAh4AApcACTM3MTI1MTUwNAICAlcCBAIFAgYCBwIIAgkCCgILAjwCDQIIAggCCAIIAggCCAIIAggCCAIIAggCCAIIAggCCAIIAggCFQIDAphzcQB+AAAAAAACc3EAfgAE///////////////+/////v////91cQB+AAcAAAAEFay1n3h4d00CHgAClwICAlUCBAIFAgYCBwIIAgkCmQAGMTkxMDE1AgsCPAINAggCCAIIAggCCAIIAggCCAIIAggCCAIIAggCCAIIAggCCAIVAgMCmnNxAH4AAAAAAAJzcQB+AAT///////////////7////+/////3VxAH4ABwAAAAMSY394eHdFAh4AApcCAgIbAgQCBQIGAgcCCAIJAk8CCwI8Ag0CCAIIAggCCAIIAggCCAIIAggCCAIIAggCCAIIAggCCAIIAhUCAwKbc3EAfgAAAAAAAnNxAH4ABP///////////////v////4AAAABdXEAfgAHAAAAA/+JXnh4d4oCHgAClwICAiMCBAIFAgYCBwIIAgkCmQILAjwCDQIIAggCCAIIAggCCAIIAggCCAIIAggCCAIIAggCCAIIAggCFQIDAk4CHgAClwICAmQCBAIFAgYCBwIIAgkCmQILAjwCDQIIAggCCAIIAggCCAIIAggCCAIIAggCCAIIAggCCAIIAggCFQIDApxzcQB+AAAAAAACc3EAfgAE///////////////+/////v////91cQB+AAcAAAADEnsVeHh3RQIeAAKXAgICLQIEAgUCBgIHAggCCQJPAgsCPAINAggCCAIIAggCCAIIAggCCAIIAggCCAIIAggCCAIIAggCCAIVAgMCnXNxAH4AAAAAAAJzcQB+AAT///////////////7////+AAAAAXVxAH4ABwAAAAQCWhLSeHh3RQIeAAKXAgICdgIEAgUCBgIHAggCCQJPAgsCPAINAggCCAIIAggCCAIIAggCCAIIAggCCAIIAggCCAIIAggCCAIVAgMCnnNxAH4AAAAAAAJzcQB+AAT///////////////7////+/////3VxAH4ABwAAAAOesqp4eHdFAh4AApcCAgI1AgQCBQIGAgcCCAIJAk8CCwI8Ag0CCAIIAggCCAIIAggCCAIIAggCCAIIAggCCAIIAggCCAIIAhUCAwKfc3EAfgAAAAAAAnNxAH4ABP///////////////v////7/////dXEAfgAHAAAABBCmiyR4eHeKAh4AApcCAgIvAgQCBQIGAgcCCAIJAgoCCwI8Ag0CCAIIAggCCAIIAggCCAIIAggCCAIIAggCCAIIAggCCAIIAhUCAwJGAh4AApcCAgJTAgQCBQIGAgcCCAIJAgoCCwI8Ag0CCAIIAggCCAIIAggCCAIIAggCCAIIAggCCAIIAggCCAIIAhUCAwKgc3EAfgAAAAAAAnNxAH4ABP///////////////v////7/////dXEAfgAHAAAABCsQC1F4eHdFAh4AApcCAgIdAgQCBQIGAgcCCAIJApkCCwI8Ag0CCAIIAggCCAIIAggCCAIIAggCCAIIAggCCAIIAggCCAIIAhUCAwKhc3EAfgAAAAAAAnNxAH4ABP///////////////v////7/////dXEAfgAHAAAAAxKSynh4d0UCHgAClwICAi8CBAIFAgYCBwIIAgkCmQILAjwCDQIIAggCCAIIAggCCAIIAggCCAIIAggCCAIIAggCCAIIAggCFQIDAqJzcQB+AAAAAAACc3EAfgAE///////////////+/////v////91cQB+AAcAAAADEpq3eHh3igIeAAKXAgICIwIEAgUCBgIHAggCCQIKAgsCPAINAggCCAIIAggCCAIIAggCCAIIAggCCAIIAggCCAIIAggCCAIVAgMCSwIeAAKXAgICUwIEAgUCBgIHAggCCQKZAgsCPAINAggCCAIIAggCCAIIAggCCAIIAggCCAIIAggCCAIIAggCCAIVAgMCo3NxAH4AAAAAAAJzcQB+AAT///////////////7////+/////3VxAH4ABwAAAAMSZ2t4eHdFAh4AApcCAgIvAgQCBQIGAgcCCAIJAk8CCwI8Ag0CCAIIAggCCAIIAggCCAIIAggCCAIIAggCCAIIAggCCAIIAhUCAwKkc3EAfgAAAAAAAnNxAH4ABP///////////////v////7/////dXEAfgAHAAAAA064Cnh4d4oCHgAClwICAjMCBAIFAgYCBwIIAgkCCgILAjwCDQIIAggCCAIIAggCCAIIAggCCAIIAggCCAIIAggCCAIIAggCFQIDAkACHgAClwICAlUCBAIFAgYCBwIIAgkCCgILAjwCDQIIAggCCAIIAggCCAIIAggCCAIIAggCCAIIAggCCAIIAggCFQIDAqVzcQB+AAAAAAACc3EAfgAE///////////////+/////v////91cQB+AAcAAAAEJi8ywnh4d0UCHgAClwICAnMCBAIFAgYCBwIIAgkCTwILAjwCDQIIAggCCAIIAggCCAIIAggCCAIIAggCCAIIAggCCAIIAggCFQIDAqZzcQB+AAAAAAACc3EAfgAE///////////////+/////v////91cQB+AAcAAAAEAQaUYHh4d0UCHgAClwICAlcCBAIFAgYCBwIIAgkCmQILAjwCDQIIAggCCAIIAggCCAIIAggCCAIIAggCCAIIAggCCAIIAggCFQIDAqdzcQB+AAAAAAACc3EAfgAE///////////////+/////v////91cQB+AAcAAAADEn8GeHh3RQIeAAKXAgICMwIEAgUCBgIHAggCCQKZAgsCPAINAggCCAIIAggCCAIIAggCCAIIAggCCAIIAggCCAIIAggCCAIVAgMCqHNxAH4AAAAAAAJzcQB+AAT///////////////7////+/////3VxAH4ABwAAAAMSlsB4eHdFAh4AApcCAgJZAgQCBQIGAgcCCAIJAgoCCwI8Ag0CCAIIAggCCAIIAggCCAIIAggCCAIIAggCCAIIAggCCAIIAhUCAwKpc3EAfgAAAAAAAnNxAH4ABP///////////////v////7/////dXEAfgAHAAAABDSYRyN4eHeKAh4AApcCAgI1AgQCBQIGAgcCCAIJAgoCCwI8Ag0CCAIIAggCCAIIAggCCAIIAggCCAIIAggCCAIIAggCCAIIAhUCAwI/Ah4AApcCAgIzAgQCBQIGAgcCCAIJAk8CCwI8Ag0CCAIIAggCCAIIAggCCAIIAggCCAIIAggCCAIIAggCCAIIAhUCAwKqc3EAfgAAAAAAAnNxAH4ABP///////////////v////7/////dXEAfgAHAAAABAFtStJ4eHdFAh4AApcCAgIfAgQCBQIGAgcCCAIJAk8CCwI8Ag0CCAIIAggCCAIIAggCCAIIAggCCAIIAggCCAIIAggCCAIIAhUCAwKrc3EAfgAAAAAAAnNxAH4ABP///////////////v////7/////dXEAfgAHAAAABBQ694N4eHeKAh4AApcCAgIdAgQCBQIGAgcCCAIJAgoCCwI8Ag0CCAIIAggCCAIIAggCCAIIAggCCAIIAggCCAIIAggCCAIIAhUCAwJIAh4AApcCAgJiAgQCBQIGAgcCCAIJAgoCCwI8Ag0CCAIIAggCCAIIAggCCAIIAggCCAIIAggCCAIIAggCCAIIAhUCAwKsc3EAfgAAAAAAAnNxAH4ABP///////////////v////7/////dXEAfgAHAAAABCPGeP14eHdFAh4AApcCAgJkAgQCBQIGAgcCCAIJAk8CCwI8Ag0CCAIIAggCCAIIAggCCAIIAggCCAIIAggCCAIIAggCCAIIAhUCAwKtc3EAfgAAAAAAAnNxAH4ABP///////////////v////7/////dXEAfgAHAAAABCWQ0ft4eHdFAh4AApcCAgIjAgQCBQIGAgcCCAIJAk8CCwI8Ag0CCAIIAggCCAIIAggCCAIIAggCCAIIAggCCAIIAggCCAIIAhUCAwKuc3EAfgAAAAAAAnNxAH4ABP///////////////v////7/////dXEAfgAHAAAABBa3qKJ4eHdFAh4AApcCAgJRAgQCBQIGAgcCCAIJApkCCwI8Ag0CCAIIAggCCAIIAggCCAIIAggCCAIIAggCCAIIAggCCAIIAhUCAwKvc3EAfgAAAAAAAnNxAH4ABP///////////////v////7/////dXEAfgAHAAAAAxJXv3h4d0UCHgAClwICAiECBAIFAgYCBwIIAgkCmQILAjwCDQIIAggCCAIIAggCCAIIAggCCAIIAggCCAIIAggCCAIIAggCFQIDArBzcQB+AAAAAAACc3EAfgAE///////////////+/////v////91cQB+AAcAAAADEorfeHh3RQIeAAKXAgICYgIEAgUCBgIHAggCCQKZAgsCPAINAggCCAIIAggCCAIIAggCCAIIAggCCAIIAggCCAIIAggCCAIVAgMCsXNxAH4AAAAAAAJzcQB+AAT///////////////7////+/////3VxAH4ABwAAAAMSX5R4eHeKAh4AApcCAgI1AgQCBQIGAgcCCAIJApkCCwI8Ag0CCAIIAggCCAIIAggCCAIIAggCCAIIAggCCAIIAggCCAIIAhUCAwJOAh4AApcCAgIDAgQCBQIGAgcCCAIJAk8CCwI8Ag0CCAIIAggCCAIIAggCCAIIAggCCAIIAggCCAIIAggCCAIIAhUCAwKyc3EAfgAAAAAAAnNxAH4ABP///////////////v////7/////dXEAfgAHAAAABAor0+d4eHdFAh4AApcCAgJZAgQCBQIGAgcCCAIJApkCCwI8Ag0CCAIIAggCCAIIAggCCAIIAggCCAIIAggCCAIIAggCCAIIAhUCAwKzc3EAfgAAAAAAAnNxAH4ABP///////////////v////7/////dXEAfgAHAAAAAxJ3JXh4d0UCHgAClwICAnMCBAIFAgYCBwIIAgkCmQILAjwCDQIIAggCCAIIAggCCAIIAggCCAIIAggCCAIIAggCCAIIAggCFQIDArRzcQB+AAAAAAACc3EAfgAE///////////////+/////v////91cQB+AAcAAAADEmtYeHh3RQIeAAKXAgICcwIEAgUCBgIHAggCCQIKAgsCPAINAggCCAIIAggCCAIIAggCCAIIAggCCAIIAggCCAIIAggCCAIVAgMCtXNxAH4AAAAAAAJzcQB+AAT///////////////7////+/////3VxAH4ABwAAAAQu/eCSeHh3igIeAAKXAgICGwIEAgUCBgIHAggCCQIKAgsCPAINAggCCAIIAggCCAIIAggCCAIIAggCCAIIAggCCAIIAggCCAIVAgMCQgIeAAKXAgICVQIEAgUCBgIHAggCCQJPAgsCPAINAggCCAIIAggCCAIIAggCCAIIAggCCAIIAggCCAIIAggCCAIVAgMCtnNxAH4AAAAAAAJzcQB+AAT///////////////7////+/////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AAT///////////////7////+/////3VxAH4ABwAAAAMSnq94eHeKAh4AApcCAgInAgQCBQIGAgcCCAIJAgoCCwI8Ag0CCAIIAggCCAIIAggCCAIIAggCCAIIAggCCAIIAggCCAIIAhUCAwI9Ah4AApcCAgJeAgQCBQIGAgcCCAIJAk8CCwI8Ag0CCAIIAggCCAIIAggCCAIIAggCCAIIAggCCAIIAggCCAIIAhUCAwK4c3EAfgAAAAAAAnNxAH4ABP///////////////v////7/////dXEAfgAHAAAABAL7S4t4eHdFAh4AApcCAgIlAgQCBQIGAgcCCAIJAk8CCwI8Ag0CCAIIAggCCAIIAggCCAIIAggCCAIIAggCCAIIAggCCAIIAhUCAwK5c3EAfgAAAAAAAnNxAH4ABP///////////////v////4AAAABdXEAfgAHAAAABAYbWmp4eHdFAh4AApcCAgIrAgQCBQIGAgcCCAIJAk8CCwI8Ag0CCAIIAggCCAIIAggCCAIIAggCCAIIAggCCAIIAggCCAIIAhUCAwK6c3EAfgAAAAAAAnNxAH4ABP///////////////v////7/////dXEAfgAHAAAABAUEo0F4eHeKAh4AApcCAgIDAgQCBQIGAgcCCAIJApkCCwI8Ag0CCAIIAggCCAIIAggCCAIIAggCCAIIAggCCAIIAggCCAIIAhUCAwJOAh4AApcCAgJRAgQCBQIGAgcCCAIJAk8CCwI8Ag0CCAIIAggCCAIIAggCCAIIAggCCAIIAggCCAIIAggCCAIIAhUCAwK7c3EAfgAAAAAAAnNxAH4ABP///////////////v////7/////dXEAfgAHAAAABARbkhB4eHeKAh4AApcCAgIhAgQCBQIGAgcCCAIJAgoCCwI8Ag0CCAIIAggCCAIIAggCCAIIAggCCAIIAggCCAIIAggCCAIIAhUCAwJEAh4AApcCAgJRAgQCBQIGAgcCCAIJAgoCCwI8Ag0CCAIIAggCCAIIAggCCAIIAggCCAIIAggCCAIIAggCCAIIAhUCAwK8c3EAfgAAAAAAAnNxAH4ABP///////////////v////7/////dXEAfgAHAAAABBuzHlx4eHdFAh4AApcCAgIfAgQCBQIGAgcCCAIJApkCCwI8Ag0CCAIIAggCCAIIAggCCAIIAggCCAIIAggCCAIIAggCCAIIAhUCAwK9c3EAfgAAAAAAAnNxAH4ABP///////////////v////7/////dXEAfgAHAAAAAxKC+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AAAAAAACc3EAfgAE///////////////+/////v////91cQB+AAcAAAAEM7yWknh4d0UCHgAClwICAiECBAIFAgYCBwIIAgkCTwILAjwCDQIIAggCCAIIAggCCAIIAggCCAIIAggCCAIIAggCCAIIAggCFQIDAr9zcQB+AAAAAAACc3EAfgAE///////////////+/////v////91cQB+AAcAAAAECL1IIXh4d0UCHgAClwICAlkCBAIFAgYCBwIIAgkCTwILAjwCDQIIAggCCAIIAggCCAIIAggCCAIIAggCCAIIAggCCAIIAggCFQIDAsBzcQB+AAAAAAACc3EAfgAE///////////////+/////gAAAAF1cQB+AAcAAAADuXJ8eHh3RQIeAAKXAgICMQIEAgUCBgIHAggCCQJPAgsCPAINAggCCAIIAggCCAIIAggCCAIIAggCCAIIAggCCAIIAggCCAIVAgMCwXNxAH4AAAAAAAJzcQB+AAT///////////////7////+/////3VxAH4ABwAAAAQewHRseHh3RQIeAAKXAgICbQIEAgUCBgIHAggCCQKZAgsCPAINAggCCAIIAggCCAIIAggCCAIIAggCCAIIAggCCAIIAggCCAIVAgMCwnNxAH4AAAAAAAJzcQB+AAT///////////////7////+/////3VxAH4ABwAAAAMSczV4eHdFAh4AApcCAgInAgQCBQIGAgcCCAIJApkCCwI8Ag0CCAIIAggCCAIIAggCCAIIAggCCAIIAggCCAIIAggCCAIIAhUCAwLDc3EAfgAAAAAAAnNxAH4ABP///////////////v////7/////dXEAfgAHAAAAAxKG63h4d4oCHgAClwICAi0CBAIFAgYCBwIIAgkCCgILAjwCDQIIAggCCAIIAggCCAIIAggCCAIIAggCCAIIAggCCAIIAggCFQIDAkcCHgAClwICAnYCBAIFAgYCBwIIAgkCCgILAjwCDQIIAggCCAIIAggCCAIIAggCCAIIAggCCAIIAggCCAIIAggCFQIDAsRzcQB+AAAAAAACc3EAfgAE///////////////+/////v////91cQB+AAcAAAAEMe+1GXh4d0UCHgAClwICAl4CBAIFAgYCBwIIAgkCmQILAjwCDQIIAggCCAIIAggCCAIIAggCCAIIAggCCAIIAggCCAIIAggCFQIDAsVzcQB+AAAAAAACc3EAfgAE///////////////+/////v////91cQB+AAcAAAADElupeHh3RQIeAAKXAgICJwIEAgUCBgIHAggCCQJPAgsCPAINAggCCAIIAggCCAIIAggCCAIIAggCCAIIAggCCAIIAggCCAIVAgMCxnNxAH4AAAAAAAJzcQB+AAT///////////////7////+/////3VxAH4ABwAAAAQOCxxKeHh3RQIeAAKXAgICdgIEAgUCBgIHAggCCQKZAgsCPAINAggCCAIIAggCCAIIAggCCAIIAggCCAIIAggCCAIIAggCCAIVAgMCx3NxAH4AAAAAAAJzcQB+AAT///////////////7////+/////3VxAH4ABwAAAAMSb0Z4eHeKAh4AApcCAgIlAgQCBQIGAgcCCAIJAgoCCwI8Ag0CCAIIAggCCAIIAggCCAIIAggCCAIIAggCCAIIAggCCAIIAhUCAwJKAh4AApcCAgJTAgQCBQIGAgcCCAIJAk8CCwI8Ag0CCAIIAggCCAIIAggCCAIIAggCCAIIAggCCAIIAggCCAIIAhUCAwLIc3EAfgAAAAAAAnNxAH4ABP///////////////v////7/////dXEAfgAHAAAABAFkyvJ4eHdFAh4AApcCAgIlAgQCBQIGAgcCCAIJApkCCwI8Ag0CCAIIAggCCAIIAggCCAIIAggCCAIIAggCCAIIAggCCAIIAhUCAwLJc3EAfgAAAAAAAnNxAH4ABP///////////////v////7/////dXEAfgAHAAAAAxKmonh4d0UCHgAClwICAi0CBAIFAgYCBwIIAgkCmQILAjwCDQIIAggCCAIIAggCCAIIAggCCAIIAggCCAIIAggCCAIIAggCFQIDAspzcQB+AAAAAAACc3EAfgAE///////////////+/////v////91cQB+AAcAAAADEqKoeHh3RQIeAAKXAgICZAIEAgUCBgIHAggCCQIKAgsCPAINAggCCAIIAggCCAIIAggCCAIIAggCCAIIAggCCAIIAggCCAIVAgMCy3NxAH4AAAAAAAJzcQB+AAT///////////////7////+/////3VxAH4ABwAAAAQL0RJ0eHh3RQIeAAKXAgICHQIEAgUCBgIHAggCCQJPAgsCPAINAggCCAIIAggCCAIIAggCCAIIAggCCAIIAggCCAIIAggCCAIVAgMCzHNxAH4AAAAAAAJzcQB+AAT///////////////7////+/////3VxAH4ABwAAAAQC12dUeHh3RQIeAAKXAgICYgIEAgUCBgIHAggCCQJPAgsCPAINAggCCAIIAggCCAIIAggCCAIIAggCCAIIAggCCAIIAggCCAIVAgMCzXNxAH4AAAAAAAJzcQB+AAT///////////////7////+/////3VxAH4ABwAAAAQCUB7peHh3RQIeAAKXAgICXgIEAgUCBgIHAggCCQIKAgsCPAINAggCCAIIAggCCAIIAggCCAIIAggCCAIIAggCCAIIAggCCAIVAgMCznNxAH4AAAAAAAJzcQB+AAT///////////////7////+/////3VxAH4ABwAAAAQerglPeHh3RQIeAAKXAgICVwIEAgUCBgIHAggCCQJPAgsCPAINAggCCAIIAggCCAIIAggCCAIIAggCCAIIAggCCAIIAggCCAIVAgMCz3NxAH4AAAAAAAJzcQB+AAT///////////////7////+/////3VxAH4ABwAAAAQdEKl0eHh3igIeAAKXAgICKwIEAgUCBgIHAggCCQIKAgsCPAINAggCCAIIAggCCAIIAggCCAIIAggCCAIIAggCCAIIAggCCAIVAgMCQwIeAAKXAgICbQIEAgUCBgIHAggCCQJPAgsCPAINAggCCAIIAggCCAIIAggCCAIIAggCCAIIAggCCAIIAggCCAIVAgMC0HNxAH4AAAAAAAJzcQB+AAT///////////////7////+/////3VxAH4ABwAAAAMy9xF4eHdFAh4AApcCAgIrAgQCBQIGAgcCCAIJApkCCwI8Ag0CCAIIAggCCAIIAggCCAIIAggCCAIIAggCCAIIAggCCAIIAhUCAwLRc3EAfgAAAAAAAnNxAH4ABP///////////////v////7/////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Ah4AAtMCAgItAgQCBQIGAgcCCAIJAgoCCwI8Ag0CCAIIAggCCAIIAggCCAIIAggCCAIIAggCCAIIAggCCAIIAAIDAkcCHgAC0wICAikCBAIFAgYCBwIIAgkCTwILAjwCDQIIAggCCAIIAggCCAIIAggCCAIIAggCCAIIAggCCAIIAggAAgMC1HNxAH4AAAAAAAJzcQB+AAT///////////////7////+/////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v////7/////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v////7/////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xxe4awand>
</file>

<file path=customXml/item44.xml><?xml version="1.0" encoding="utf-8"?>
<xxe4awand xmlns="http://www.excel4apps.com"><![CDATA[rO0ABXfZCMCtii8ABGcGAh4AAERjb20uZXhjZWw0YXBwcy53YW5kLm9yYWNsZS5n
bHdhbmQuY2FsY3VsYXRpb25zLmdldGJhbGFuY2UuR2V0QmFsYW5jZQIBAAk3Nzk4
OTM1MjgCAgABMAIDAAYyMDE3MTA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00CHgACAQICAhsABjIwMTcwNAIEAgUCBgIHAggCCQIKAgsCDAIN
AggCCAIIAggCCAIIAggCCAIIAggCCAIIAggCCAIIAggCCAIUAgMCHHNxAH4AAAAA
AAJzcQB+AAT///////////////7////+/////3VxAH4ABwAAAAQJ8GpGeHh3VQIeAAIBAgICHQAGMjAxNzAyAgQCBQIGAgcCCAIJAh4ABjE5MTAxMAILAgwCDQIIAggCCAIIAggCCAIIAggCCAIIAggCCAIIAggCCAIIAggCFAIDAh9zcQB+AAAAAAACc3EAfgAE///////////////+/////v////91cQB+AAcAAAAESYtTyXh4d1UCHgACAQICAiAABjIwMTcwOAIEAgUCBgIHAggCCQIhAAYxOTEwMjUCCwIMAg0CCAIIAggCCAIIAggCCAIIAggCCAIIAggCCAIIAggCCAIIAhQCAwIic3EAfgAAAAAAAnNxAH4ABP///////////////v////7/////dXEAfgAHAAAAAwQlCXh4d00CHgACAQICAiMABjIwMTgwNAIEAgUCBgIHAggCCQIKAgsCDAINAggCCAIIAggCCAIIAggCCAIIAggCCAIIAggCCAIIAggCCAIUAgMCJHNxAH4AAAAAAAJzcQB+AAT///////////////7////+/////3VxAH4ABwAAAAQHGT+ZeHh3TQIeAAIBAgICJQAGMjAxODAxAgQCBQIGAgcCCAIJAiECCwIMAg0CCAIIAggCCAIIAggCCAIIAggCCAIIAggCCAIIAggCCAIIAhQCAwImc3EAfgAAAAAAAnNxAH4ABP///////////////v////4AAAAAdXEAfgAHAAAAAHh4d00CHgACAQICAicABjIwMTYwOQIEAgUCBgIHAggCCQIeAgsCDAINAggCCAIIAggCCAIIAggCCAIIAggCCAIIAggCCAIIAggCCAIUAgMCKHNxAH4AAAAAAAJzcQB+AAT///////////////7////+/////3VxAH4ABwAAAARhMQgUeHh3TQIeAAIBAgICKQAGMjAxNjEwAgQCBQIGAgcCCAIJAgoCCwIMAg0CCAIIAggCCAIIAggCCAIIAggCCAIIAggCCAIIAggCCAIIAhQCAwIqc3EAfgAAAAAAAnNxAH4ABP///////////////v////7/////dXEAfgAHAAAAA7xcsnh4d0UCHgACAQICAiMCBAIFAgYCBwIIAgkCHgILAgwCDQIIAggCCAIIAggCCAIIAggCCAIIAggCCAIIAggCCAIIAggCFAIDAitzcQB+AAAAAAACc3EAfgAE///////////////+/////v////91cQB+AAcAAAAEWqnIX3h4d00CHgACAQICAiwABjIwMTgxMAIEAgUCBgIHAggCCQIeAgsCDAINAggCCAIIAggCCAIIAggCCAIIAggCCAIIAggCCAIIAggCCAIUAgMCLXNxAH4AAAAAAAJzcQB+AAT///////////////7////+/////3VxAH4ABwAAAARx0ZiUeHh3TQIeAAIBAgICLgAGMjAxNjA4AgQCBQIGAgcCCAIJAiECCwIMAg0CCAIIAggCCAIIAggCCAIIAggCCAIIAggCCAIIAggCCAIIAhQCAwIvc3EAfgAAAAAAAnNxAH4ABP///////////////v////7/////dXEAfgAHAAAAAwi2nHh4d00CHgACAQICAjAABjIwMTYwNAIEAgUCBgIHAggCCQIKAgsCDAINAggCCAIIAggCCAIIAggCCAIIAggCCAIIAggCCAIIAggCCAIUAgMCMXNxAH4AAAAAAAJzcQB+AAT///////////////7////+/////3VxAH4ABwAAAAQE5DAPeHh3TQIeAAIBAgICMgAGMjAxNzAxAgQCBQIGAgcCCAIJAiECCwIMAg0CCAIIAggCCAIIAggCCAIIAggCCAIIAggCCAIIAggCCAIIAhQCAwIzc3EAfgAAAAAAAnNxAH4ABP///////////////v////7/////dXEAfgAHAAAAAwVk/3h4d0UCHgACAQICAgMCBAIFAgYCBwIIAgkCHgILAgwCDQIIAggCCAIIAggCCAIIAggCCAIIAggCCAIIAggCCAIIAggCFAIDAjRzcQB+AAAAAAACc3EAfgAE///////////////+/////v////91cQB+AAcAAAAEgtyI8Xh4d00CHgACAQICAjUABjIwMTYwMgIEAgUCBgIHAggCCQIeAgsCDAINAggCCAIIAggCCAIIAggCCAIIAggCCAIIAggCCAIIAggCCAIUAgMCNnNxAH4AAAAAAAJzcQB+AAT///////////////7////+/////3VxAH4ABwAAAAQ3OPVPeHh3TQIeAAIBAgICNwAGMjAxODAyAgQCBQIGAgcCCAIJAgoCCwIMAg0CCAIIAggCCAIIAggCCAIIAggCCAIIAggCCAIIAggCCAIIAhQCAwI4c3EAfgAAAAAAAnNxAH4ABP///////////////v////7/////dXEAfgAHAAAABBli52V4eHdNAh4AAgECAgI5AAYyMDE3MDYCBAIFAgYCBwIIAgkCCgILAgwCDQIIAggCCAIIAggCCAIIAggCCAIIAggCCAIIAggCCAIIAggCFAIDAjpzcQB+AAAAAAACc3EAfgAE///////////////+/////v////91cQB+AAcAAAAEA91NIHh4d5oCHgACAQICAjsABjIwMTgwOQIEAgUCBgIHAggCCQIeAgsCDAINAggCCAIIAggCCAIIAggCCAIIAggCCAIIAggCCAIIAggCCAIUAgMCLQIeAAIBAgICPAAGMjAxNzEyAgQCBQIGAgcCCAIJAgoCCwIMAg0CCAIIAggCCAIIAggCCAIIAggCCAIIAggCCAIIAggCCAIIAhQCAwI9c3EAfgAAAAAAAnNxAH4ABP///////////////v////7/////dXEAfgAHAAAABDRJviN4eHdNAh4AAgECAgI+AAYyMDE2MTICBAIFAgYCBwIIAgkCIQILAgwCDQIIAggCCAIIAggCCAIIAggCCAIIAggCCAIIAggCCAIIAggCFAIDAj9zcQB+AAAAAAACc3EAfgAE///////////////+/////v////91cQB+AAcAAAADBtyTeHh3mgIeAAIBAgICQAAGMjAxODAzAgQCBQIGAgcCCAIJAiECCwIMAg0CCAIIAggCCAIIAggCCAIIAggCCAIIAggCCAIIAggCCAIIAhQCAwImAh4AAgECAgJBAAYyMDE2MDcCBAIFAgYCBwIIAgkCHgILAgwCDQIIAggCCAIIAggCCAIIAggCCAIIAggCCAIIAggCCAIIAggCFAIDAkJzcQB+AAAAAAACc3EAfgAE///////////////+/////v////91cQB+AAcAAAAEWi+1rXh4d0UCHgACAQICAikCBAIFAgYCBwIIAgkCHgILAgwCDQIIAggCCAIIAggCCAIIAggCCAIIAggCCAIIAggCCAIIAggCFAIDAkNzcQB+AAAAAAACc3EAfgAE///////////////+/////v////91cQB+AAcAAAAEYo3LFnh4d00CHgACAQICAkQABjIwMTgwNgIEAgUCBgIHAggCCQIeAgsCDAINAggCCAIIAggCCAIIAggCCAIIAggCCAIIAggCCAIIAggCCAIUAgMCRXNxAH4AAAAAAAJzcQB+AAT///////////////7////+/////3VxAH4ABwAAAARdGgPTeHh3RQIeAAIBAgICMAIEAgUCBgIHAggCCQIeAgsCDAINAggCCAIIAggCCAIIAggCCAIIAggCCAIIAggCCAIIAggCCAIUAgMCRnNxAH4AAAAAAAJzcQB+AAT///////////////7////+/////3VxAH4ABwAAAARIcHiveHh3RQIeAAIBAgICLAIEAgUCBgIHAggCCQIKAgsCDAINAggCCAIIAggCCAIIAggCCAIIAggCCAIIAggCCAIIAggCCAIUAgMCR3NxAH4AAAAAAAJzcQB+AAT///////////////7////+AAAAAXVxAH4ABwAAAAQEqedkeHh3TQIeAAIBAgICSAAGMjAxNjA2AgQCBQIGAgcCCAIJAiECCwIMAg0CCAIIAggCCAIIAggCCAIIAggCCAIIAggCCAIIAggCCAIIAhQCAwJJc3EAfgAAAAAAAnNxAH4ABP///////////////v////7/////dXEAfgAHAAAAAwqAVHh4d0UCHgACAQICAjUCBAIFAgYCBwIIAgkCCgILAgwCDQIIAggCCAIIAggCCAIIAggCCAIIAggCCAIIAggCCAIIAggCFAIDAkpzcQB+AAAAAAACc3EAfgAE///////////////+/////v////91cQB+AAcAAAAECCX/sXh4d5oCHgACAQICAksABjIwMTgwOAIEAgUCBgIHAggCCQIhAgsCDAINAggCCAIIAggCCAIIAggCCAIIAggCCAIIAggCCAIIAggCCAIUAgMCJgIeAAIBAgICTAAGMjAxODExAgQCBQIGAgcCCAIJAiECCwIMAg0CCAIIAggCCAIIAggCCAIIAggCCAIIAggCCAIIAggCCAIIAhQCAwJNc3EAfgAAAAAAAHEAfgAWeHdFAh4AAgECAgJBAgQCBQIGAgcCCAIJAgoCCwIMAg0CCAIIAggCCAIIAggCCAIIAggCCAIIAggCCAIIAggCCAIIAhQCAwJOc3EAfgAAAAAAAnNxAH4ABP///////////////v////7/////dXEAfgAHAAAABAM2kpl4eHeKAh4AAgECAgI7AgQCBQIGAgcCCAIJAgoCCwIMAg0CCAIIAggCCAIIAggCCAIIAggCCAIIAggCCAIIAggCCAIIAhQCAwJHAh4AAgECAgIDAgQCBQIGAgcCCAIJAiECCwIMAg0CCAIIAggCCAIIAggCCAIIAggCCAIIAggCCAIIAggCCAIIAhQCAwJPc3EAfgAAAAAAAnNxAH4ABP///////////////v////7/////dXEAfgAHAAAAAwPcq3h4d00CHgACAQICAlAABjIwMTgwNwIEAgUCBgIHAggCCQIeAgsCDAINAggCCAIIAggCCAIIAggCCAIIAggCCAIIAggCCAIIAggCCAIUAgMCUXNxAH4AAAAAAAJzcQB+AAT///////////////7////+/////3VxAH4ABwAAAARjz5oJeHh3TQIeAAIBAgICUgAGMjAxNjAzAgQCBQIGAgcCCAIJAiECCwIMAg0CCAIIAggCCAIIAggCCAIIAggCCAIIAggCCAIIAggCCAIIAhQCAwJTc3EAfgAAAAAAAnNxAH4ABP///////////////v////7/////dXEAfgAHAAAAAw6D3Xh4d+cCHgACAQICAlQABjIwMTcxMQIEAgUCBgIHAggCCQIhAgsCDAINAggCCAIIAggCCAIIAggCCAIIAggCCAIIAggCCAIIAggCCAIUAgMCJgIeAAIBAgICVQAGMjAxODA1AgQCBQIGAgcCCAIJAiECCwIMAg0CCAIIAggCCAIIAggCCAIIAggCCAIIAggCCAIIAggCCAIIAhQCAwImAh4AAgECAgJWAAYyMDE2MDUCBAIFAgYCBwIIAgkCHgILAgwCDQIIAggCCAIIAggCCAIIAggCCAIIAggCCAIIAggCCAIIAggCFAIDAldzcQB+AAAAAAACc3EAfgAE///////////////+/////v////91cQB+AAcAAAAETCsLgHh4d0UCHgACAQICAj4CBAIFAgYCBwIIAgkCHgILAgwCDQIIAggCCAIIAggCCAIIAggCCAIIAggCCAIIAggCCAIIAggCFAIDAlhzcQB+AAAAAAACc3EAfgAE///////////////+/////v////91cQB+AAcAAAAEKKPaWXh4d00CHgACAQICAlkABjIwMTcwNQIEAgUCBgIHAggCCQIhAgsCDAINAggCCAIIAggCCAIIAggCCAIIAggCCAIIAggCCAIIAggCCAIUAgMCWnNxAH4AAAAAAAJzcQB+AAT///////////////7////+/////3VxAH4ABwAAAAMEVit4eHdFAh4AAgECAgJLAgQCBQIGAgcCCAIJAh4CCwIMAg0CCAIIAggCCAIIAggCCAIIAggCCAIIAggCCAIIAggCCAIIAhQCAwJbc3EAfgAAAAAAAnNxAH4ABP///////////////v////7/////dXEAfgAHAAAABG9TFvJ4eHdNAh4AAgECAgJcAAYyMDE3MDkCBAIFAgYCBwIIAgkCCgILAgwCDQIIAggCCAIIAggCCAIIAggCCAIIAggCCAIIAggCCAIIAggCFAIDAl1zcQB+AAAAAAACc3EAfgAE///////////////+/////gAAAAF1cQB+AAcAAAAEAo6woHh4d4oCHgACAQICAjwCBAIFAgYCBwIIAgkCIQILAgwCDQIIAggCCAIIAggCCAIIAggCCAIIAggCCAIIAggCCAIIAggCFAIDAiYCHgACAQICAkgCBAIFAgYCBwIIAgkCHgILAgwCDQIIAggCCAIIAggCCAIIAggCCAIIAggCCAIIAggCCAIIAggCFAIDAl5zcQB+AAAAAAACc3EAfgAE///////////////+/////v////91cQB+AAcAAAAEVIhLm3h4d0UCHgACAQICAhsCBAIFAgYCBwIIAgkCHgILAgwCDQIIAggCCAIIAggCCAIIAggCCAIIAggCCAIIAggCCAIIAggCFAIDAl9zcQB+AAAAAAACc3EAfgAE///////////////+/////v////91cQB+AAcAAAAEWnDZd3h4d0UCHgACAQICAjkCBAIFAgYCBwIIAgkCIQILAgwCDQIIAggCCAIIAggCCAIIAggCCAIIAggCCAIIAggCCAIIAggCFAIDAmBzcQB+AAAAAAACc3EAfgAE///////////////+/////v////91cQB+AAcAAAADBEN6eHh3RQIeAAIBAgICPgIEAgUCBgIHAggCCQIKAgsCDAINAggCCAIIAggCCAIIAggCCAIIAggCCAIIAggCCAIIAggCCAIUAgMCYXNxAH4AAAAAAAJzcQB+AAT///////////////7////+/////3VxAH4ABwAAAAQ7i4i9eHh3igIeAAIBAgICLAIEAgUCBgIHAggCCQIhAgsCDAINAggCCAIIAggCCAIIAggCCAIIAggCCAIIAggCCAIIAggCCAIUAgMCJgIeAAIBAgICSAIEAgUCBgIHAggCCQIKAgsCDAINAggCCAIIAggCCAIIAggCCAIIAggCCAIIAggCCAIIAggCCAIUAgMCYnNxAH4AAAAAAAJzcQB+AAT///////////////7////+/////3VxAH4ABwAAAAQDq4uteHh3RQIeAAIBAgICQAIEAgUCBgIHAggCCQIKAgsCDAINAggCCAIIAggCCAIIAggCCAIIAggCCAIIAggCCAIIAggCCAIUAgMCY3NxAH4AAAAAAAJzcQB+AAT///////////////7////+/////3VxAH4ABwAAAAQOU8mMeHh3RQIeAAIBAgICSwIEAgUCBgIHAggCCQIKAgsCDAINAggCCAIIAggCCAIIAggCCAIIAggCCAIIAggCCAIIAggCCAIUAgMCZHNxAH4AAAAAAAJzcQB+AAT///////////////7////+AAAAAXVxAH4ABwAAAAQCCDy9eHh3RQIeAAIBAgICNQIEAgUCBgIHAggCCQIhAgsCDAINAggCCAIIAggCCAIIAggCCAIIAggCCAIIAggCCAIIAggCCAIUAgMCZXNxAH4AAAAAAAJzcQB+AAT///////////////7////+/////3VxAH4ABwAAAAMSFct4eHdFAh4AAgECAgJcAgQCBQIGAgcCCAIJAh4CCwIMAg0CCAIIAggCCAIIAggCCAIIAggCCAIIAggCCAIIAggCCAIIAhQCAwJmc3EAfgAAAAAAAnNxAH4ABP///////////////v////7/////dXEAfgAHAAAABHEGWUl4eHdFAh4AAgECAgI3AgQCBQIGAgcCCAIJAh4CCwIMAg0CCAIIAggCCAIIAggCCAIIAggCCAIIAggCCAIIAggCCAIIAhQCAwJnc3EAfgAAAAAAAnNxAH4ABP///////////////v////7/////dXEAfgAHAAAABE8qcfl4eHdNAh4AAgECAgJoAAYyMDE2MTECBAIFAgYCBwIIAgkCHgILAgwCDQIIAggCCAIIAggCCAIIAggCCAIIAggCCAIIAggCCAIIAggCFAIDAmlzcQB+AAAAAAACc3EAfgAE///////////////+/////v////91cQB+AAcAAAAEElQVqnh4d88CHgACAQICAiMCBAIFAgYCBwIIAgkCIQILAgwCDQIIAggCCAIIAggCCAIIAggCCAIIAggCCAIIAggCCAIIAggCFAIDAiYCHgACAQICAkwCBAIFAgYCBwIIAgkCCgILAgwCDQIIAggCCAIIAggCCAIIAggCCAIIAggCCAIIAggCCAIIAggCFAIDAk0CHgACAQICAkACBAIFAgYCBwIIAgkCHgILAgwCDQIIAggCCAIIAggCCAIIAggCCAIIAggCCAIIAggCCAIIAggCFAIDAmpzcQB+AAAAAAACc3EAfgAE///////////////+/////v////91cQB+AAcAAAAEUn6jGnh4d00CHgACAQICAmsABjIwMTcwMwIEAgUCBgIHAggCCQIKAgsCDAINAggCCAIIAggCCAIIAggCCAIIAggCCAIIAggCCAIIAggCCAIUAgMCbHNxAH4AAAAAAAJzcQB+AAT///////////////7////+/////3VxAH4ABwAAAAQQ/fIjeHh3RQIeAAIBAgICQQIEAgUCBgIHAggCCQIhAgsCDAINAggCCAIIAggCCAIIAggCCAIIAggCCAIIAggCCAIIAggCCAIUAgMCbXNxAH4AAAAAAAJzcQB+AAT///////////////7////+/////3VxAH4ABwAAAAMJnn94eHdFAh4AAgECAgJSAgQCBQIGAgcCCAIJAgoCCwIMAg0CCAIIAggCCAIIAggCCAIIAggCCAIIAggCCAIIAggCCAIIAhQCAwJuc3EAfgAAAAAAAnNxAH4ABP///////////////v////7/////dXEAfgAHAAAABAXojm54eHeKAh4AAgECAgI7AgQCBQIGAgcCCAIJAiECCwIMAg0CCAIIAggCCAIIAggCCAIIAggCCAIIAggCCAIIAggCCAIIAhQCAwImAh4AAgECAgJUAgQCBQIGAgcCCAIJAgoCCwIMAg0CCAIIAggCCAIIAggCCAIIAggCCAIIAggCCAIIAggCCAIIAhQCAwJvc3EAfgAAAAAAAnNxAH4ABP///////////////v////7/////dXEAfgAHAAAABES6V7x4eHdFAh4AAgECAgJZAgQCBQIGAgcCCAIJAgoCCwIMAg0CCAIIAggCCAIIAggCCAIIAggCCAIIAggCCAIIAggCCAIIAhQCAwJwc3EAfgAAAAAAAnNxAH4ABP///////////////v////7/////dXEAfgAHAAAABAYhGIV4eHdFAh4AAgECAgInAgQCBQIGAgcCCAIJAiECCwIMAg0CCAIIAggCCAIIAggCCAIIAggCCAIIAggCCAIIAggCCAIIAhQCAwJxc3EAfgAAAAAAAnNxAH4ABP///////////////v////7/////dXEAfgAHAAAAAweN1Hh4d0UCHgACAQICAlUCBAIFAgYCBwIIAgkCCgILAgwCDQIIAggCCAIIAggCCAIIAggCCAIIAggCCAIIAggCCAIIAggCFAIDAnJzcQB+AAAAAAACc3EAfgAE///////////////+/////v////91cQB+AAcAAAAEBEpBlXh4d0UCHgACAQICAlwCBAIFAgYCBwIIAgkCIQILAgwCDQIIAggCCAIIAggCCAIIAggCCAIIAggCCAIIAggCCAIIAggCFAIDAnNzcQB+AAAAAAACc3EAfgAE///////////////+/////v////91cQB+AAcAAAADBA6ueHh3RQIeAAIBAgICawIEAgUCBgIHAggCCQIeAgsCDAINAggCCAIIAggCCAIIAggCCAIIAggCCAIIAggCCAIIAggCCAIUAgMCdHNxAH4AAAAAAAJzcQB+AAT///////////////7////+/////3VxAH4ABwAAAARTY5smeHh3RQIeAAIBAgICaAIEAgUCBgIHAggCCQIKAgsCDAINAggCCAIIAggCCAIIAggCCAIIAggCCAIIAggCCAIIAggCCAIUAgMCdXNxAH4AAAAAAAJzcQB+AAT///////////////7////+/////3VxAH4ABwAAAARMQw4VeHh3igIeAAIBAgICNwIEAgUCBgIHAggCCQIhAgsCDAINAggCCAIIAggCCAIIAggCCAIIAggCCAIIAggCCAIIAggCCAIUAgMCJgIeAAIBAgICMgIEAgUCBgIHAggCCQIKAgsCDAINAggCCAIIAggCCAIIAggCCAIIAggCCAIIAggCCAIIAggCCAIUAgMCdnNxAH4AAAAAAAJzcQB+AAT///////////////7////+/////3VxAH4ABwAAAAQo6Ya2eHh3RQIeAAIBAgICaAIEAgUCBgIHAggCCQIhAgsCDAINAggCCAIIAggCCAIIAggCCAIIAggCCAIIAggCCAIIAggCCAIUAgMCd3NxAH4AAAAAAAJzcQB+AAT///////////////7////+/////3VxAH4ABwAAAAMGaCt4eHdFAh4AAgECAgJUAgQCBQIGAgcCCAIJAh4CCwIMAg0CCAIIAggCCAIIAggCCAIIAggCCAIIAggCCAIIAggCCAIIAhQCAwJ4c3EAfgAAAAAAAnNxAH4ABP///////////////v////7/////dXEAfgAHAAAABDDQqrN4eHdFAh4AAgECAgIgAgQCBQIGAgcCCAIJAh4CCwIMAg0CCAIIAggCCAIIAggCCAIIAggCCAIIAggCCAIIAggCCAIIAhQCAwJ5c3EAfgAAAAAAAnNxAH4ABP///////////////v////7/////dXEAfgAHAAAABGUxQat4eHdFAh4AAgECAgIdAgQCBQIGAgcCCAIJAiECCwIMAg0CCAIIAggCCAIIAggCCAIIAggCCAIIAggCCAIIAggCCAIIAhQCAwJ6c3EAfgAAAAAAAnNxAH4ABP///////////////v////7/////dXEAfgAHAAAAAwT7aHh4d0UCHgACAQICAlYCBAIFAgYCBwIIAgkCCgILAgwCDQIIAggCCAIIAggCCAIIAggCCAIIAggCCAIIAggCCAIIAggCFAIDAntzcQB+AAAAAAACc3EAfgAE///////////////+/////v////91cQB+AAcAAAAEBDaJ43h4d0UCHgACAQICAlkCBAIFAgYCBwIIAgkCHgILAgwCDQIIAggCCAIIAggCCAIIAggCCAIIAggCCAIIAggCCAIIAggCFAIDAnxzcQB+AAAAAAACc3EAfgAE///////////////+/////v////91cQB+AAcAAAAEWf3l8nh4d00CHgACAQICAn0ABjIwMTcwNwIEAgUCBgIHAggCCQIhAgsCDAINAggCCAIIAggCCAIIAggCCAIIAggCCAIIAggCCAIIAggCCAIUAgMCfnNxAH4AAAAAAAJzcQB+AAT///////////////7////+/////3VxAH4ABwAAAAMENDh4eHdFAh4AAgECAgIlAgQCBQIGAgcCCAIJAh4CCwIMAg0CCAIIAggCCAIIAggCCAIIAggCCAIIAggCCAIIAggCCAIIAhQCAwJ/c3EAfgAAAAAAAnNxAH4ABP///////////////v////7/////dXEAfgAHAAAABE7u6Np4eHdFAh4AAgECAgJQAgQCBQIGAgcCCAIJAgoCCwIMAg0CCAIIAggCCAIIAggCCAIIAggCCAIIAggCCAIIAggCCAIIAhQCAwKAc3EAfgAAAAAAAnNxAH4ABP///////////////v////4AAAABdXEAfgAHAAAAAwlJUHh4d0UCHgACAQICAiACBAIFAgYCBwIIAgkCCgILAgwCDQIIAggCCAIIAggCCAIIAggCCAIIAggCCAIIAggCCAIIAggCFAIDAoFzcQB+AAAAAAACc3EAfgAE///////////////+/////v////91cQB+AAcAAAADMpTWeHh3RQIeAAIBAgICOQIEAgUCBgIHAggCCQIeAgsCDAINAggCCAIIAggCCAIIAggCCAIIAggCCAIIAggCCAIIAggCCAIUAgMCgnNxAH4AAAAAAAJzcQB+AAT///////////////7////+/////3VxAH4ABwAAAARYCwcseHh3RQIeAAIBAgICGwIEAgUCBgIHAggCCQIhAgsCDAINAggCCAIIAggCCAIIAggCCAIIAggCCAIIAggCCAIIAggCCAIUAgMCg3NxAH4AAAAAAAJzcQB+AAT///////////////7////+/////3VxAH4ABwAAAAMEdI14eHdFAh4AAgECAgIuAgQCBQIGAgcCCAIJAgoCCwIMAg0CCAIIAggCCAIIAggCCAIIAggCCAIIAggCCAIIAggCCAIIAhQCAwKEc3EAfgAAAAAAAnNxAH4ABP///////////////v////7/////dXEAfgAHAAAABAK9P6R4eHdFAh4AAgECAgIlAgQCBQIGAgcCCAIJAgoCCwIMAg0CCAIIAggCCAIIAggCCAIIAggCCAIIAggCCAIIAggCCAIIAhQCAwKFc3EAfgAAAAAAAnNxAH4ABP///////////////v////7/////dXEAfgAHAAAABCZxo1d4eHdFAh4AAgECAgIwAgQCBQIGAgcCCAIJAiECCwIMAg0CCAIIAggCCAIIAggCCAIIAggCCAIIAggCCAIIAggCCAIIAhQCAwKGc3EAfgAAAAAAAnNxAH4ABP///////////////v////7/////dXEAfgAHAAAAAwzG/nh4d0UCHgACAQICAn0CBAIFAgYCBwIIAgkCHgILAgwCDQIIAggCCAIIAggCCAIIAggCCAIIAggCCAIIAggCCAIIAggCFAIDAodzcQB+AAAAAAACc3EAfgAE///////////////+/////v////91cQB+AAcAAAAEXtRi+Hh4d4oCHgACAQICAkQCBAIFAgYCBwIIAgkCIQILAgwCDQIIAggCCAIIAggCCAIIAggCCAIIAggCCAIIAggCCAIIAggCFAIDAiYCHgACAQICAlICBAIFAgYCBwIIAgkCHgILAgwCDQIIAggCCAIIAggCCAIIAggCCAIIAggCCAIIAggCCAIIAggCFAIDAohzcQB+AAAAAAACc3EAfgAE///////////////+/////v////91cQB+AAcAAAAEPftW4nh4d4oCHgACAQICAkwCBAIFAgYCBwIIAgkCHgILAgwCDQIIAggCCAIIAggCCAIIAggCCAIIAggCCAIIAggCCAIIAggCFAIDAk0CHgACAQICAlUCBAIFAgYCBwIIAgkCHgILAgwCDQIIAggCCAIIAggCCAIIAggCCAIIAggCCAIIAggCCAIIAggCFAIDAolzcQB+AAAAAAACc3EAfgAE///////////////+/////v////91cQB+AAcAAAAEXOXAsHh4d0UCHgACAQICAlYCBAIFAgYCBwIIAgkCIQILAgwCDQIIAggCCAIIAggCCAIIAggCCAIIAggCCAIIAggCCAIIAggCFAIDAopzcQB+AAAAAAACc3EAfgAE///////////////+/////v////91cQB+AAcAAAADC4KteHh3RQIeAAIBAgICRAIEAgUCBgIHAggCCQIKAgsCDAINAggCCAIIAggCCAIIAggCCAIIAggCCAIIAggCCAIIAggCCAIUAgMCi3NxAH4AAAAAAAJzcQB+AAT///////////////7////+/////3VxAH4ABwAAAAQB7nrWeHh3RQIeAAIBAgICJwIEAgUCBgIHAggCCQIKAgsCDAINAggCCAIIAggCCAIIAggCCAIIAggCCAIIAggCCAIIAggCCAIUAgMCjHNxAH4AAAAAAAJzcQB+AAT///////////////7////+/////3VxAH4ABwAAAAQCG6dueHh3igIeAAIBAgICUAIEAgUCBgIHAggCCQIhAgsCDAINAggCCAIIAggCCAIIAggCCAIIAggCCAIIAggCCAIIAggCCAIUAgMCJgIeAAIBAgICfQIEAgUCBgIHAggCCQIKAgsCDAINAggCCAIIAggCCAIIAggCCAIIAggCCAIIAggCCAIIAggCCAIUAgMCjXNxAH4AAAAAAAJzcQB+AAT///////////////7////+/////3VxAH4ABwAAAAQCCvb0eHh3RQIeAAIBAgICKQIEAgUCBgIHAggCCQIhAgsCDAINAggCCAIIAggCCAIIAggCCAIIAggCCAIIAggCCAIIAggCCAIUAgMCjnNxAH4AAAAAAAJzcQB+AAT///////////////7////+/////3VxAH4ABwAAAAMFP694eHdFAh4AAgECAgIdAgQCBQIGAgcCCAIJAgoCCwIMAg0CCAIIAggCCAIIAggCCAIIAggCCAIIAggCCAIIAggCCAIIAhQCAwKPc3EAfgAAAAAAAnNxAH4ABP///////////////v////7/////dXEAfgAHAAAABBtHMdN4eHdFAh4AAgECAgIyAgQCBQIGAgcCCAIJAh4CCwIMAg0CCAIIAggCCAIIAggCCAIIAggCCAIIAggCCAIIAggCCAIIAhQCAwKQc3EAfgAAAAAAAnNxAH4ABP///////////////v////7/////dXEAfgAHAAAABD0VO3Z4eHdFAh4AAgECAgI8AgQCBQIGAgcCCAIJAh4CCwIMAg0CCAIIAggCCAIIAggCCAIIAggCCAIIAggCCAIIAggCCAIIAhQCAwKRc3EAfgAAAAAAAnNxAH4ABP///////////////v////7/////dXEAfgAHAAAABEI0vHx4eHdFAh4AAgECAgIuAgQCBQIGAgcCCAIJAh4CCwIMAg0CCAIIAggCCAIIAggCCAIIAggCCAIIAggCCAIIAggCCAIIAhQCAwKSc3EAfgAAAAAAAnNxAH4ABP///////////////v////7/////dXEAfgAHAAAABF1XUMl4eHdFAh4AAgECAgJrAgQCBQIGAgcCCAIJAiECCwIMAg0CCAIIAggCCAIIAggCCAIIAggCCAIIAggCCAIIAggCCAIIAhQCAwKTc3EAfgAAAAAAAnNxAH4ABP///////////////v////7/////dXEAfgAHAAAAAwSrl3h4egAABAACHgAClAAJNTQwNjE0MDcyAgICIAIEAgUCBgIHAggCCQIKAgsCDAINAggCCAIIAggCCAIIAggCCAIIAggCCAIIAggCCAIIAggCCAISAgMCgQIeAAKUAgICUgIEAgUCBgIHAggCCQIhAgsCDAINAggCCAIIAggCCAIIAggCCAIIAggCCAIIAggCCAIIAggCCAISAgMCUwIeAAKUAgICVAIEAgUCBgIHAggCCQIhAgsCDAINAggCCAIIAggCCAIIAggCCAIIAggCCAIIAggCCAIIAggCCAISAgMCJgIeAAKUAgICOQIEAgUCBgIHAggCCQIeAgsCDAINAggCCAIIAggCCAIIAggCCAIIAggCCAIIAggCCAIIAggCCAISAgMCggIeAAKUAgICPgIEAgUCBgIHAggCCQIeAgsCDAINAggCCAIIAggCCAIIAggCCAIIAggCCAIIAggCCAIIAggCCAISAgMCWAIeAAKUAgICVQIEAgUCBgIHAggCCQIhAgsCDAINAggCCAIIAggCCAIIAggCCAIIAggCCAIIAggCCAIIAggCCAISAgMCJgIeAAKUAgICJQIEAgUCBgIHAggCCQIKAgsCDAINAggCCAIIAggCCAIIAggCCAIIAggCCAIIAggCCAIIAggCCAISAgMChQIeAAKUAgICWQIEAgUCBgIHAggCCQIhAgsCDAINAggCCAIIAggCCAIIAggCCAIIAggCCAIIAggCCAIIAggCCAISAgMCWgIeAAKUAgICaAIEAgUCBgIHAggCCQIhAgsCDAINAggCCAIIAggCCAIIAggCCAIIAggCCAIIAggCCAIIAggCCAISAgMCdwIeAAKUAgICSwIEAgUCBgIHAggCCQIeAgsCDAINAggCCAIIAggCCAIIAggCCAIIAggCCAIIAggCCAIIAggCCAISAgMCWwIeAAKUAgICSAIEAgUCBgIHAggCCQIeAgsCDAINAggCCAIIAggCCAIIAggCCAIIAggCCAIIAggCCAIIAggCCAISAgMCXgIeAAKUAgICLgIEAgUCBgIHAggCCQIKAgsCDAINAggCCAIIAggCCAIIAggCCAIIAggCCAIIAggCCAIIAggCCAISAgMChAIeAAKUAgICMgIEAgUCBgIHAggCCQIKAgsCDAINAggCCAIIAggCCAIIAggCCAIIAggCCAIIAggCCAIIAggCCAISAgMCdgIeAAKUAgICPAIEAgUCBgIHAggCCQIKAgsCDAINAggCCAIIAggCCAIIAggCCAIIAggCCAIIAggCCAIIAggCCAISAgMCPQIeAAKUAgICOQIEAgUCBgIHAggCCQIKAgsCDAINAggCCAIIAggCCAIIAggCCAIIegAABAACCAIIAggCCAIIAggCCAIIAhICAwI6Ah4AApQCAgIlAgQCBQIGAgcCCAIJAh4CCwIMAg0CCAIIAggCCAIIAggCCAIIAggCCAIIAggCCAIIAggCCAIIAhICAwJ/Ah4AApQCAgIgAgQCBQIGAgcCCAIJAh4CCwIMAg0CCAIIAggCCAIIAggCCAIIAggCCAIIAggCCAIIAggCCAIIAhICAwJ5Ah4AApQCAgIpAgQCBQIGAgcCCAIJAh4CCwIMAg0CCAIIAggCCAIIAggCCAIIAggCCAIIAggCCAIIAggCCAIIAhICAwJDAh4AApQCAgJAAgQCBQIGAgcCCAIJAiECCwIMAg0CCAIIAggCCAIIAggCCAIIAggCCAIIAggCCAIIAggCCAIIAhICAwImAh4AApQCAgJEAgQCBQIGAgcCCAIJAh4CCwIMAg0CCAIIAggCCAIIAggCCAIIAggCCAIIAggCCAIIAggCCAIIAhICAwJFAh4AApQCAgJrAgQCBQIGAgcCCAIJAgoCCwIMAg0CCAIIAggCCAIIAggCCAIIAggCCAIIAggCCAIIAggCCAIIAhICAwJsAh4AApQCAgJ9AgQCBQIGAgcCCAIJAiECCwIMAg0CCAIIAggCCAIIAggCCAIIAggCCAIIAggCCAIIAggCCAIIAhICAwJ+Ah4AApQCAgIwAgQCBQIGAgcCCAIJAh4CCwIMAg0CCAIIAggCCAIIAggCCAIIAggCCAIIAggCCAIIAggCCAIIAhICAwJGAh4AApQCAgJMAgQCBQIGAgcCCAIJAiECCwIMAg0CCAIIAggCCAIIAggCCAIIAggCCAIIAggCCAIIAggCCAIIAhICAwJNAh4AApQCAgJMAgQCBQIGAgcCCAIJAgoCCwIMAg0CCAIIAggCCAIIAggCCAIIAggCCAIIAggCCAIIAggCCAIIAhICAwJNAh4AApQCAgJSAgQCBQIGAgcCCAIJAgoCCwIMAg0CCAIIAggCCAIIAggCCAIIAggCCAIIAggCCAIIAggCCAIIAhICAwJuAh4AApQCAgIgAgQCBQIGAgcCCAIJAiECCwIMAg0CCAIIAggCCAIIAggCCAIIAggCCAIIAggCCAIIAggCCAIIAhICAwIiAh4AApQCAgIdAgQCBQIGAgcCCAIJAh4CCwIMAg0CCAIIAggCCAIIAggCCAIIAggCCAIIAggCCAIIAggCCAIIAhICAwIfAh4AApQCAgInAgQCBQIGAgcCCAIJAh4CCwIMAg0CCAIIAggCCAIIAggCCAIIAggCCAIIAggCCAIIAggCCAIIAhICAwIoAh4AApQCAgIpAgQCBQIGAgcCCAIJAgoCCwIMAg0CCAIIAggCegAABAAIAggCCAIIAggCCAIIAggCCAIIAggCCAIIAggCEgIDAioCHgAClAICAiUCBAIFAgYCBwIIAgkCIQILAgwCDQIIAggCCAIIAggCCAIIAggCCAIIAggCCAIIAggCCAIIAggCEgIDAiYCHgAClAICAjUCBAIFAgYCBwIIAgkCHgILAgwCDQIIAggCCAIIAggCCAIIAggCCAIIAggCCAIIAggCCAIIAggCEgIDAjYCHgAClAICAiwCBAIFAgYCBwIIAgkCHgILAgwCDQIIAggCCAIIAggCCAIIAggCCAIIAggCCAIIAggCCAIIAggCEgIDAi0CHgAClAICAiMCBAIFAgYCBwIIAgkCHgILAgwCDQIIAggCCAIIAggCCAIIAggCCAIIAggCCAIIAggCCAIIAggCEgIDAisCHgAClAICAicCBAIFAgYCBwIIAgkCIQILAgwCDQIIAggCCAIIAggCCAIIAggCCAIIAggCCAIIAggCCAIIAggCEgIDAnECHgAClAICAjcCBAIFAgYCBwIIAgkCIQILAgwCDQIIAggCCAIIAggCCAIIAggCCAIIAggCCAIIAggCCAIIAggCEgIDAiYCHgAClAICAkwCBAIFAgYCBwIIAgkCHgILAgwCDQIIAggCCAIIAggCCAIIAggCCAIIAggCCAIIAggCCAIIAggCEgIDAk0CHgAClAICAlUCBAIFAgYCBwIIAgkCCgILAgwCDQIIAggCCAIIAggCCAIIAggCCAIIAggCCAIIAggCCAIIAggCEgIDAnICHgAClAICAlwCBAIFAgYCBwIIAgkCIQILAgwCDQIIAggCCAIIAggCCAIIAggCCAIIAggCCAIIAggCCAIIAggCEgIDAnMCHgAClAICAjACBAIFAgYCBwIIAgkCCgILAgwCDQIIAggCCAIIAggCCAIIAggCCAIIAggCCAIIAggCCAIIAggCEgIDAjECHgAClAICAlUCBAIFAgYCBwIIAgkCHgILAgwCDQIIAggCCAIIAggCCAIIAggCCAIIAggCCAIIAggCCAIIAggCEgIDAokCHgAClAICAlICBAIFAgYCBwIIAgkCHgILAgwCDQIIAggCCAIIAggCCAIIAggCCAIIAggCCAIIAggCCAIIAggCEgIDAogCHgAClAICAlYCBAIFAgYCBwIIAgkCIQILAgwCDQIIAggCCAIIAggCCAIIAggCCAIIAggCCAIIAggCCAIIAggCEgIDAooCHgAClAICAicCBAIFAgYCBwIIAgkCCgILAgwCDQIIAggCCAIIAggCCAIIAggCCAIIAggCCAIIAggCCAIIAggCEgIDAowCHgAClAICAkQCBAIFAgYCBwIIAgkCCgILegAABAACDAINAggCCAIIAggCCAIIAggCCAIIAggCCAIIAggCCAIIAggCCAISAgMCiwIeAAKUAgICUAIEAgUCBgIHAggCCQIhAgsCDAINAggCCAIIAggCCAIIAggCCAIIAggCCAIIAggCCAIIAggCCAISAgMCJgIeAAKUAgICfQIEAgUCBgIHAggCCQIKAgsCDAINAggCCAIIAggCCAIIAggCCAIIAggCCAIIAggCCAIIAggCCAISAgMCjQIeAAKUAgICawIEAgUCBgIHAggCCQIhAgsCDAINAggCCAIIAggCCAIIAggCCAIIAggCCAIIAggCCAIIAggCCAISAgMCkwIeAAKUAgICHQIEAgUCBgIHAggCCQIKAgsCDAINAggCCAIIAggCCAIIAggCCAIIAggCCAIIAggCCAIIAggCCAISAgMCjwIeAAKUAgICKQIEAgUCBgIHAggCCQIhAgsCDAINAggCCAIIAggCCAIIAggCCAIIAggCCAIIAggCCAIIAggCCAISAgMCjgIeAAKUAgICMgIEAgUCBgIHAggCCQIeAgsCDAINAggCCAIIAggCCAIIAggCCAIIAggCCAIIAggCCAIIAggCCAISAgMCkAIeAAKUAgICPAIEAgUCBgIHAggCCQIeAgsCDAINAggCCAIIAggCCAIIAggCCAIIAggCCAIIAggCCAIIAggCCAISAgMCkQIeAAKUAgICLgIEAgUCBgIHAggCCQIeAgsCDAINAggCCAIIAggCCAIIAggCCAIIAggCCAIIAggCCAIIAggCCAISAgMCkgIeAAKUAgICQQIEAgUCBgIHAggCCQIKAgsCDAINAggCCAIIAggCCAIIAggCCAIIAggCCAIIAggCCAIIAggCCAISAgMCTgIeAAKUAgICOwIEAgUCBgIHAggCCQIKAgsCDAINAggCCAIIAggCCAIIAggCCAIIAggCCAIIAggCCAIIAggCCAISAgMCRwIeAAKUAgICGwIEAgUCBgIHAggCCQIhAgsCDAINAggCCAIIAggCCAIIAggCCAIIAggCCAIIAggCCAIIAggCCAISAgMCgwIeAAKUAgICUAIEAgUCBgIHAggCCQIeAgsCDAINAggCCAIIAggCCAIIAggCCAIIAggCCAIIAggCCAIIAggCCAISAgMCUQIeAAKUAgICVgIEAgUCBgIHAggCCQIeAgsCDAINAggCCAIIAggCCAIIAggCCAIIAggCCAIIAggCCAIIAggCCAISAgMCVwIeAAKUAgICXAIEAgUCBgIHAggCCQIKAgsCDAINAggCCAIIAggCCAIIAggCCAIIAggCCAIIAggCCAIIAggCCAISAgMCXQIeAAKUAgICMAIEAgUCegAABAAGAgcCCAIJAiECCwIMAg0CCAIIAggCCAIIAggCCAIIAggCCAIIAggCCAIIAggCCAIIAhICAwKGAh4AApQCAgJ9AgQCBQIGAgcCCAIJAh4CCwIMAg0CCAIIAggCCAIIAggCCAIIAggCCAIIAggCCAIIAggCCAIIAhICAwKHAh4AApQCAgI8AgQCBQIGAgcCCAIJAiECCwIMAg0CCAIIAggCCAIIAggCCAIIAggCCAIIAggCCAIIAggCCAIIAhICAwImAh4AApQCAgJEAgQCBQIGAgcCCAIJAiECCwIMAg0CCAIIAggCCAIIAggCCAIIAggCCAIIAggCCAIIAggCCAIIAhICAwImAh4AApQCAgJWAgQCBQIGAgcCCAIJAgoCCwIMAg0CCAIIAggCCAIIAggCCAIIAggCCAIIAggCCAIIAggCCAIIAhICAwJ7Ah4AApQCAgJQAgQCBQIGAgcCCAIJAgoCCwIMAg0CCAIIAggCCAIIAggCCAIIAggCCAIIAggCCAIIAggCCAIIAhICAwKAAh4AApQCAgI3AgQCBQIGAgcCCAIJAgoCCwIMAg0CCAIIAggCCAIIAggCCAIIAggCCAIIAggCCAIIAggCCAIIAhICAwI4Ah4AApQCAgI+AgQCBQIGAgcCCAIJAiECCwIMAg0CCAIIAggCCAIIAggCCAIIAggCCAIIAggCCAIIAggCCAIIAhICAwI/Ah4AApQCAgI7AgQCBQIGAgcCCAIJAh4CCwIMAg0CCAIIAggCCAIIAggCCAIIAggCCAIIAggCCAIIAggCCAIIAhICAwItAh4AApQCAgJUAgQCBQIGAgcCCAIJAh4CCwIMAg0CCAIIAggCCAIIAggCCAIIAggCCAIIAggCCAIIAggCCAIIAhICAwJ4Ah4AApQCAgJBAgQCBQIGAgcCCAIJAh4CCwIMAg0CCAIIAggCCAIIAggCCAIIAggCCAIIAggCCAIIAggCCAIIAhICAwJCAh4AApQCAgIdAgQCBQIGAgcCCAIJAiECCwIMAg0CCAIIAggCCAIIAggCCAIIAggCCAIIAggCCAIIAggCCAIIAhICAwJ6Ah4AApQCAgJZAgQCBQIGAgcCCAIJAh4CCwIMAg0CCAIIAggCCAIIAggCCAIIAggCCAIIAggCCAIIAggCCAIIAhICAwJ8Ah4AApQCAgIsAgQCBQIGAgcCCAIJAgoCCwIMAg0CCAIIAggCCAIIAggCCAIIAggCCAIIAggCCAIIAggCCAIIAhICAwJHAh4AApQCAgJIAgQCBQIGAgcCCAIJAiECCwIMAg0CCAIIAggCCAIIAggCCAIIAggCCAIIAggCCAIIAggCCAIIAhICAwJJAh4AegAABAAClAICAjUCBAIFAgYCBwIIAgkCCgILAgwCDQIIAggCCAIIAggCCAIIAggCCAIIAggCCAIIAggCCAIIAggCEgIDAkoCHgAClAICAgMCBAIFAgYCBwIIAgkCIQILAgwCDQIIAggCCAIIAggCCAIIAggCCAIIAggCCAIIAggCCAIIAggCEgIDAk8CHgAClAICAksCBAIFAgYCBwIIAgkCIQILAgwCDQIIAggCCAIIAggCCAIIAggCCAIIAggCCAIIAggCCAIIAggCEgIDAiYCHgAClAICAgMCBAIFAgYCBwIIAgkCCgILAgwCDQIIAggCCAIIAggCCAIIAggCCAIIAggCCAIIAggCCAIIAggCEgIDAg4CHgAClAICAkACBAIFAgYCBwIIAgkCHgILAgwCDQIIAggCCAIIAggCCAIIAggCCAIIAggCCAIIAggCCAIIAggCEgIDAmoCHgAClAICAhsCBAIFAgYCBwIIAgkCCgILAgwCDQIIAggCCAIIAggCCAIIAggCCAIIAggCCAIIAggCCAIIAggCEgIDAhwCHgAClAICAkECBAIFAgYCBwIIAgkCIQILAgwCDQIIAggCCAIIAggCCAIIAggCCAIIAggCCAIIAggCCAIIAggCEgIDAm0CHgAClAICAi4CBAIFAgYCBwIIAgkCIQILAgwCDQIIAggCCAIIAggCCAIIAggCCAIIAggCCAIIAggCCAIIAggCEgIDAi8CHgAClAICAiMCBAIFAgYCBwIIAgkCCgILAgwCDQIIAggCCAIIAggCCAIIAggCCAIIAggCCAIIAggCCAIIAggCEgIDAiQCHgAClAICAjsCBAIFAgYCBwIIAgkCIQILAgwCDQIIAggCCAIIAggCCAIIAggCCAIIAggCCAIIAggCCAIIAggCEgIDAiYCHgAClAICAmsCBAIFAgYCBwIIAgkCHgILAgwCDQIIAggCCAIIAggCCAIIAggCCAIIAggCCAIIAggCCAIIAggCEgIDAnQCHgAClAICAlkCBAIFAgYCBwIIAgkCCgILAgwCDQIIAggCCAIIAggCCAIIAggCCAIIAggCCAIIAggCCAIIAggCEgIDAnACHgAClAICAlQCBAIFAgYCBwIIAgkCCgILAgwCDQIIAggCCAIIAggCCAIIAggCCAIIAggCCAIIAggCCAIIAggCEgIDAm8CHgAClAICAgMCBAIFAgYCBwIIAgkCHgILAgwCDQIIAggCCAIIAggCCAIIAggCCAIIAggCCAIIAggCCAIIAggCEgIDAjQCHgAClAICAjICBAIFAgYCBwIIAgkCIQILAgwCDQIIAggCCAIIAggCCAIIAggCCAIIAggCCAIIAggCCAIIegAAA90CCAISAgMCMwIeAAKUAgICaAIEAgUCBgIHAggCCQIKAgsCDAINAggCCAIIAggCCAIIAggCCAIIAggCCAIIAggCCAIIAggCCAISAgMCdQIeAAKUAgICGwIEAgUCBgIHAggCCQIeAgsCDAINAggCCAIIAggCCAIIAggCCAIIAggCCAIIAggCCAIIAggCCAISAgMCXwIeAAKUAgICOQIEAgUCBgIHAggCCQIhAgsCDAINAggCCAIIAggCCAIIAggCCAIIAggCCAIIAggCCAIIAggCCAISAgMCYAIeAAKUAgICPgIEAgUCBgIHAggCCQIKAgsCDAINAggCCAIIAggCCAIIAggCCAIIAggCCAIIAggCCAIIAggCCAISAgMCYQIeAAKUAgICLAIEAgUCBgIHAggCCQIhAgsCDAINAggCCAIIAggCCAIIAggCCAIIAggCCAIIAggCCAIIAggCCAISAgMCJgIeAAKUAgICSAIEAgUCBgIHAggCCQIKAgsCDAINAggCCAIIAggCCAIIAggCCAIIAggCCAIIAggCCAIIAggCCAISAgMCYgIeAAKUAgICSwIEAgUCBgIHAggCCQIKAgsCDAINAggCCAIIAggCCAIIAggCCAIIAggCCAIIAggCCAIIAggCCAISAgMCZAIeAAKUAgICNwIEAgUCBgIHAggCCQIeAgsCDAINAggCCAIIAggCCAIIAggCCAIIAggCCAIIAggCCAIIAggCCAISAgMCZwIeAAKUAgICNQIEAgUCBgIHAggCCQIhAgsCDAINAggCCAIIAggCCAIIAggCCAIIAggCCAIIAggCCAIIAggCCAISAgMCZQIeAAKUAgICXAIEAgUCBgIHAggCCQIeAgsCDAINAggCCAIIAggCCAIIAggCCAIIAggCCAIIAggCCAIIAggCCAISAgMCZgIeAAKUAgICQAIEAgUCBgIHAggCCQIKAgsCDAINAggCCAIIAggCCAIIAggCCAIIAggCCAIIAggCCAIIAggCCAISAgMCYwIeAAKUAgICaAIEAgUCBgIHAggCCQIeAgsCDAINAggCCAIIAggCCAIIAggCCAIIAggCCAIIAggCCAIIAggCCAISAgMCaQIeAAKUAgICIwIEAgUCBgIHAggCCQIhAgsCDAINAggCCAIIAggCCAIIAggCCAIIAggCCAIIAggCCAIIAggCCAISAgMCJgIeAAKVAAk4MzQ3NjA3MDQCAgJIAgQCBQIGAgcCCAIJAh4CCwKWAAJJRAINAggCCAIIAggCCAIIAggCCAIIAggCCAIIAggCCAIIAggCCAIhAgMCl3NxAH4AAAAAAAJzcQB+AAT///////////////7////+/////3VxAH4ABwAAAAQrEAtReHh3TQIeAAKVAgICOQIEAgUCBgIHAggCCQKYAAYxOTEwMTUCCwKWAg0CCAIIAggCCAIIAggCCAIIAggCCAIIAggCCAIIAggCCAIIAiECAwKZc3EAfgAAAAAAAnNxAH4ABP///////////////v////7/////dXEAfgAHAAAAAxKWwHh4d0UCHgAClQICAi4CBAIFAgYCBwIIAgkCCgILApYCDQIIAggCCAIIAggCCAIIAggCCAIIAggCCAIIAggCCAIIAggCIQIDAppzcQB+AAAAAAACc3EAfgAE///////////////+/////v////91cQB+AAcAAAADnrKqeHh3RQIeAAKVAgICfQIEAgUCBgIHAggCCQIeAgsClgINAggCCAIIAggCCAIIAggCCAIIAggCCAIIAggCCAIIAggCCAIhAgMCm3NxAH4AAAAAAAJzcQB+AAT///////////////7////+/////3VxAH4ABwAAAAQukYUreHh3RQIeAAKVAgICJQIEAgUCBgIHAggCCQIKAgsClgINAggCCAIIAggCCAIIAggCCAIIAggCCAIIAggCCAIIAggCCAIhAgMCnHNxAH4AAAAAAAJzcQB+AAT///////////////7////+/////3VxAH4ABwAAAAQQposkeHh3RQIeAAKVAgICIAIEAgUCBgIHAggCCQIKAgsClgINAggCCAIIAggCCAIIAggCCAIIAggCCAIIAggCCAIIAggCCAIhAgMCnXNxAH4AAAAAAAJzcQB+AAT///////////////7////+AAAAAXVxAH4ABwAAAAP/iV54eHdFAh4AApUCAgJIAgQCBQIGAgcCCAIJApgCCwKWAg0CCAIIAggCCAIIAggCCAIIAggCCAIIAggCCAIIAggCCAIIAiECAwKec3EAfgAAAAAAAnNxAH4ABP///////////////v////7/////dXEAfgAHAAAAAxJna3h4d0UCHgAClQICAmgCBAIFAgYCBwIIAgkCmAILApYCDQIIAggCCAIIAggCCAIIAggCCAIIAggCCAIIAggCCAIIAggCIQIDAp9zcQB+AAAAAAACc3EAfgAE///////////////+/////v////91cQB+AAcAAAADEnsVeHh3RQIeAAKVAgICMAIEAgUCBgIHAggCCQKYAgsClgINAggCCAIIAggCCAIIAggCCAIIAggCCAIIAggCCAIIAggCCAIhAgMCoHNxAH4AAAAAAAJzcQB+AAT///////////////7////+/////3VxAH4ABwAAAAMSX5R4eHdFAh4AApUCAgJoAgQCBQIGAgcCCAIJAh4CCwKWAg0CCAIIAggCCAIIAggCCAIIAggCCAIIAggCCAIIAggCCAIIAiECAwKhc3EAfgAAAAAAAnNxAH4ABP///////////////v////7/////dXEAfgAHAAAABAvREnR4eHdFAh4AApUCAgI5AgQCBQIGAgcCCAIJAh4CCwKWAg0CCAIIAggCCAIIAggCCAIIAggCCAIIAggCCAIIAggCCAIIAiECAwKic3EAfgAAAAAAAnNxAH4ABP///////////////v////7/////dXEAfgAHAAAABCoLRiF4eHdFAh4AApUCAgJWAgQCBQIGAgcCCAIJAh4CCwKWAg0CCAIIAggCCAIIAggCCAIIAggCCAIIAggCCAIIAggCCAIIAiECAwKjc3EAfgAAAAAAAnNxAH4ABP///////////////v////7/////dXEAfgAHAAAABCYvMsJ4eHeKAh4AApUCAgI8AgQCBQIGAgcCCAIJApgCCwKWAg0CCAIIAggCCAIIAggCCAIIAggCCAIIAggCCAIIAggCCAIIAiECAwImAh4AApUCAgJZAgQCBQIGAgcCCAIJApgCCwKWAg0CCAIIAggCCAIIAggCCAIIAggCCAIIAggCCAIIAggCCAIIAiECAwKkc3EAfgAAAAAAAnNxAH4ABP///////////////v////7/////dXEAfgAHAAAAAxKSynh4d0UCHgAClQICAkECBAIFAgYCBwIIAgkCCgILApYCDQIIAggCCAIIAggCCAIIAggCCAIIAggCCAIIAggCCAIIAggCIQIDAqVzcQB+AAAAAAACc3EAfgAE///////////////+/////v////91cQB+AAcAAAAEAQaUYHh4d0UCHgAClQICAjwCBAIFAgYCBwIIAgkCHgILApYCDQIIAggCCAIIAggCCAIIAggCCAIIAggCCAIIAggCCAIIAggCIQIDAqZzcQB+AAAAAAACc3EAfgAE///////////////+/////v////91cQB+AAcAAAAEJDRt9Hh4d0UCHgAClQICAkgCBAIFAgYCBwIIAgkCCgILApYCDQIIAggCCAIIAggCCAIIAggCCAIIAggCCAIIAggCCAIIAggCIQIDAqdzcQB+AAAAAAACc3EAfgAE///////////////+/////v////91cQB+AAcAAAAEAWTK8nh4d0UCHgAClQICAn0CBAIFAgYCBwIIAgkCCgILApYCDQIIAggCCAIIAggCCAIIAggCCAIIAggCCAIIAggCCAIIAggCIQIDAqhzcQB+AAAAAAACc3EAfgAE///////////////+/////v////91cQB+AAcAAAADTrgKeHh3RQIeAAKVAgICPgIEAgUCBgIHAggCCQIeAgsClgINAggCCAIIAggCCAIIAggCCAIIAggCCAIIAggCCAIIAggCCAIhAgMCqXNxAH4AAAAAAAJzcQB+AAT///////////////7////+/////3VxAH4ABwAAAAQVrLWfeHh3RQIeAAKVAgICVgIEAgUCBgIHAggCCQKYAgsClgINAggCCAIIAggCCAIIAggCCAIIAggCCAIIAggCCAIIAggCCAIhAgMCqnNxAH4AAAAAAAJzcQB+AAT///////////////7////+/////3VxAH4ABwAAAAMSY394eHdFAh4AApUCAgI+AgQCBQIGAgcCCAIJApgCCwKWAg0CCAIIAggCCAIIAggCCAIIAggCCAIIAggCCAIIAggCCAIIAiECAwKrc3EAfgAAAAAAAnNxAH4ABP///////////////v////7/////dXEAfgAHAAAAAxJ/Bnh4d0UCHgAClQICAlICBAIFAgYCBwIIAgkCmAILApYCDQIIAggCCAIIAggCCAIIAggCCAIIAggCCAIIAggCCAIIAggCIQIDAqxzcQB+AAAAAAACc3EAfgAE///////////////+/////v////91cQB+AAcAAAADElupeHh3RQIeAAKVAgICGwIEAgUCBgIHAggCCQKYAgsClgINAggCCAIIAggCCAIIAggCCAIIAggCCAIIAggCCAIIAggCCAIhAgMCrXNxAH4AAAAAAAJzcQB+AAT///////////////7////+/////3VxAH4ABwAAAAMSjtR4eHdFAh4AApUCAgIuAgQCBQIGAgcCCAIJAh4CCwKWAg0CCAIIAggCCAIIAggCCAIIAggCCAIIAggCCAIIAggCCAIIAiECAwKuc3EAfgAAAAAAAnNxAH4ABP///////////////v////7/////dXEAfgAHAAAABDHvtRl4eHdFAh4AApUCAgJcAgQCBQIGAgcCCAIJApgCCwKWAg0CCAIIAggCCAIIAggCCAIIAggCCAIIAggCCAIIAggCCAIIAiECAwKvc3EAfgAAAAAAAnNxAH4ABP///////////////v////7/////dXEAfgAHAAAAAxKiqHh4d0UCHgAClQICAgMCBAIFAgYCBwIIAgkCmAILApYCDQIIAggCCAIIAggCCAIIAggCCAIIAggCCAIIAggCCAIIAggCIQIDArBzcQB+AAAAAAACc3EAfgAE///////////////+/////v////91cQB+AAcAAAADEqaieHh3RQIeAAKVAgICXAIEAgUCBgIHAggCCQIeAgsClgINAggCCAIIAggCCAIIAggCCAIIAggCCAIIAggCCAIIAggCCAIhAgMCsXNxAH4AAAAAAAJzcQB+AAT///////////////7////+/////3VxAH4ABwAAAAQ5RS7+eHh3RQIeAAKVAgICPgIEAgUCBgIHAggCCQIKAgsClgINAggCCAIIAggCCAIIAggCCAIIAggCCAIIAggCCAIIAggCCAIhAgMCsnNxAH4AAAAAAAJzcQB+AAT///////////////7////+/////3VxAH4ABwAAAAQdEKl0eHh3RQIeAAKVAgICGwIEAgUCBgIHAggCCQIeAgsClgINAggCCAIIAggCCAIIAggCCAIIAggCCAIIAggCCAIIAggCCAIhAgMCs3NxAH4AAAAAAAJzcQB+AAT///////////////7////+/////3VxAH4ABwAAAAQp4OUTeHh3RQIeAAKVAgICLgIEAgUCBgIHAggCCQKYAgsClgINAggCCAIIAggCCAIIAggCCAIIAggCCAIIAggCCAIIAggCCAIhAgMCtHNxAH4AAAAAAAJzcQB+AAT///////////////7////+/////3VxAH4ABwAAAAMSb0Z4eHdFAh4AApUCAgIdAgQCBQIGAgcCCAIJAgoCCwKWAg0CCAIIAggCCAIIAggCCAIIAggCCAIIAggCCAIIAggCCAIIAiECAwK1c3EAfgAAAAAAAnNxAH4ABP///////////////v////7/////dXEAfgAHAAAABA4LHEp4eHdFAh4AApUCAgIwAgQCBQIGAgcCCAIJAgoCCwKWAg0CCAIIAggCCAIIAggCCAIIAggCCAIIAggCCAIIAggCCAIIAiECAwK2c3EAfgAAAAAAAnNxAH4ABP///////////////v////7/////dXEAfgAHAAAABAJQHul4eHdFAh4AApUCAgJ9AgQCBQIGAgcCCAIJApgCCwKWAg0CCAIIAggCCAIIAggCCAIIAggCCAIIAggCCAIIAggCCAIIAiECAwK3c3EAfgAAAAAAAnNxAH4ABP///////////////v////7/////dXEAfgAHAAAAAxKat3h4d0UCHgAClQICAicCBAIFAgYCBwIIAgkCCgILApYCDQIIAggCCAIIAggCCAIIAggCCAIIAggCCAIIAggCCAIIAggCIQIDArhzcQB+AAAAAAACc3EAfgAE///////////////+/////v////91cQB+AAcAAAADMvcReHh3RQIeAAKVAgICAwIEAgUCBgIHAggCCQIeAgsClgINAggCCAIIAggCCAIIAggCCAIIAggCCAIIAggCCAIIAggCCAIhAgMCuXNxAH4AAAAAAAJzcQB+AAT///////////////7////+/////3VxAH4ABwAAAARDRE3geHh3RQIeAAKVAgICUgIEAgUCBgIHAggCCQIeAgsClgINAggCCAIIAggCCAIIAggCCAIIAggCCAIIAggCCAIIAggCCAIhAgMCunNxAH4AAAAAAAJzcQB+AAT///////////////7////+/////3VxAH4ABwAAAAQerglPeHh3RQIeAAKVAgICWQIEAgUCBgIHAggCCQIKAgsClgINAggCCAIIAggCCAIIAggCCAIIAggCCAIIAggCCAIIAggCCAIhAgMCu3NxAH4AAAAAAAJzcQB+AAT///////////////7////+/////3VxAH4ABwAAAAQC12dUeHh3RQIeAAKVAgICUgIEAgUCBgIHAggCCQIKAgsClgINAggCCAIIAggCCAIIAggCCAIIAggCCAIIAggCCAIIAggCCAIhAgMCvHNxAH4AAAAAAAJzcQB+AAT///////////////7////+/////3VxAH4ABwAAAAQC+0uLeHh3RQIeAAKVAgICGwIEAgUCBgIHAggCCQIKAgsClgINAggCCAIIAggCCAIIAggCCAIIAggCCAIIAggCCAIIAggCCAIhAgMCvXNxAH4AAAAAAAJzcQB+AAT///////////////7////+/////3VxAH4ABwAAAAQFBKNBeHh3RQIeAAKVAgICHQIEAgUCBgIHAggCCQKYAgsClgINAggCCAIIAggCCAIIAggCCAIIAggCCAIIAggCCAIIAggCCAIhAgMCvnNxAH4AAAAAAAJzcQB+AAT///////////////7////+/////3VxAH4ABwAAAAMShut4eHdFAh4AApUCAgIdAgQCBQIGAgcCCAIJAh4CCwKWAg0CCAIIAggCCAIIAggCCAIIAggCCAIIAggCCAIIAggCCAIIAiECAwK/c3EAfgAAAAAAAnNxAH4ABP///////////////v////7/////dXEAfgAHAAAABCIKrDF4eHdFAh4AApUCAgIpAgQCBQIGAgcCCAIJAgoCCwKWAg0CCAIIAggCCAIIAggCCAIIAggCCAIIAggCCAIIAggCCAIIAiECAwLAc3EAfgAAAAAAAnNxAH4ABP///////////////v////4AAAABdXEAfgAHAAAAA7lyfHh4d0UCHgAClQICAlQCBAIFAgYCBwIIAgkCCgILApYCDQIIAggCCAIIAggCCAIIAggCCAIIAggCCAIIAggCCAIIAggCIQIDAsFzcQB+AAAAAAACc3EAfgAE///////////////+/////v////91cQB+AAcAAAAEHsB0bHh4d0UCHgAClQICAjUCBAIFAgYCBwIIAgkCHgILApYCDQIIAggCCAIIAggCCAIIAggCCAIIAggCCAIIAggCCAIIAggCIQIDAsJzcQB+AAAAAAACc3EAfgAE///////////////+/////v////91cQB+AAcAAAAEG7MeXHh4d0UCHgAClQICAmsCBAIFAgYCBwIIAgkCCgILApYCDQIIAggCCAIIAggCCAIIAggCCAIIAggCCAIIAggCCAIIAggCIQIDAsNzcQB+AAAAAAACc3EAfgAE///////////////+/////v////91cQB+AAcAAAAECL1IIXh4d0UCHgAClQICAjUCBAIFAgYCBwIIAgkCCgILApYCDQIIAggCCAIIAggCCAIIAggCCAIIAggCCAIIAggCCAIIAggCIQIDAsRzcQB+AAAAAAACc3EAfgAE///////////////+/////v////91cQB+AAcAAAAEBFuSEHh4d0UCHgAClQICAjcCBAIFAgYCBwIIAgkCHgILApYCDQIIAggCCAIIAggCCAIIAggCCAIIAggCCAIIAggCCAIIAggCIQIDAsVzcQB+AAAAAAACc3EAfgAE///////////////+/////v////91cQB+AAcAAAAEKUaEtnh4d0UCHgAClQICAicCBAIFAgYCBwIIAgkCHgILApYCDQIIAggCCAIIAggCCAIIAggCCAIIAggCCAIIAggCCAIIAggCIQIDAsZzcQB+AAAAAAACc3EAfgAE///////////////+/////v////91cQB+AAcAAAAEM7yWknh4d0UCHgAClQICAjICBAIFAgYCBwIIAgkCmAILApYCDQIIAggCCAIIAggCCAIIAggCCAIIAggCCAIIAggCCAIIAggCIQIDAsdzcQB+AAAAAAACc3EAfgAE///////////////+/////v////91cQB+AAcAAAADEoL4eHh3RQIeAAKVAgICMgIEAgUCBgIHAggCCQIeAgsClgINAggCCAIIAggCCAIIAggCCAIIAggCCAIIAggCCAIIAggCCAIhAgMCyHNxAH4AAAAAAAJzcQB+AAT///////////////7////+/////3VxAH4ABwAAAAQdsfpMeHh3RQIeAAKVAgICAwIEAgUCBgIHAggCCQIKAgsClgINAggCCAIIAggCCAIIAggCCAIIAggCCAIIAggCCAIIAggCCAIhAgMCyXNxAH4AAAAAAAJzcQB+AAT///////////////7////+AAAAAXVxAH4ABwAAAAQGG1pqeHh3igIeAAKVAgICNwIEAgUCBgIHAggCCQKYAgsClgINAggCCAIIAggCCAIIAggCCAIIAggCCAIIAggCCAIIAggCCAIhAgMCJgIeAAKVAgICJwIEAgUCBgIHAggCCQKYAgsClgINAggCCAIIAggCCAIIAggCCAIIAggCCAIIAggCCAIIAggCCAIhAgMCynNxAH4AAAAAAAJzcQB+AAT///////////////7////+/////3VxAH4ABwAAAAMSczV4eHdFAh4AApUCAgIlAgQCBQIGAgcCCAIJAh4CCwKWAg0CCAIIAggCCAIIAggCCAIIAggCCAIIAggCCAIIAggCCAIIAiECAwLLc3EAfgAAAAAAAnNxAH4ABP///////////////v////7/////dXEAfgAHAAAABCkgj4V4eHdFAh4AApUCAgIpAgQCBQIGAgcCCAIJAh4CCwKWAg0CCAIIAggCCAIIAggCCAIIAggCCAIIAggCCAIIAggCCAIIAiECAwLMc3EAfgAAAAAAAnNxAH4ABP///////////////v////7/////dXEAfgAHAAAABDSYRyN4eHdFAh4AApUCAgJWAgQCBQIGAgcCCAIJAgoCCwKWAg0CCAIIAggCCAIIAggCCAIIAggCCAIIAggCCAIIAggCCAIIAiECAwLNc3EAfgAAAAAAAnNxAH4ABP///////////////v////7/////dXEAfgAHAAAABAHNSnd4eHdFAh4AApUCAgJZAgQCBQIGAgcCCAIJAh4CCwKWAg0CCAIIAggCCAIIAggCCAIIAggCCAIIAggCCAIIAggCCAIIAiECAwLOc3EAfgAAAAAAAnNxAH4ABP///////////////v////7/////dXEAfgAHAAAABComTwt4eHdFAh4AApUCAgJUAgQCBQIGAgcCCAIJAh4CCwKWAg0CCAIIAggCCAIIAggCCAIIAggCCAIIAggCCAIIAggCCAIIAiECAwLPc3EAfgAAAAAAAnNxAH4ABP///////////////v////7/////dXEAfgAHAAAABBwjfJB4eHdFAh4AApUCAgIwAgQCBQIGAgcCCAIJAh4CCwKWAg0CCAIIAggCCAIIAggCCAIIAggCCAIIAggCCAIIAggCCAIIAiECAwLQc3EAfgAAAAAAAnNxAH4ABP///////////////v////7/////dXEAfgAHAAAABCPGeP14eHeKAh4AApUCAgIlAgQCBQIGAgcCCAIJApgCCwKWAg0CCAIIAggCCAIIAggCCAIIAggCCAIIAggCCAIIAggCCAIIAiECAwImAh4AApUCAgI5AgQCBQIGAgcCCAIJAgoCCwKWAg0CCAIIAggCCAIIAggCCAIIAggCCAIIAggCCAIIAggCCAIIAiECAwLRc3EAfgAAAAAAAnNxAH4ABP///////////////v////7/////dXEAfgAHAAAABAFtStJ4eHdFAh4AApUCAgJBAgQCBQIGAgcCCAIJAh4CCwKWAg0CCAIIAggCCAIIAggCCAIIAggCCAIIAggCCAIIAggCCAIIAiECAwLSc3EAfgAAAAAAAnNxAH4ABP///////////////v////7/////dXEAfgAHAAAABC794JJ4eHdFAh4AApUCAgIgAgQCBQIGAgcCCAIJAh4CCwKWAg0CCAIIAggCCAIIAggCCAIIAggCCAIIAggCCAIIAggCCAIIAiECAwLTc3EAfgAAAAAAAnNxAH4ABP///////////////v////7/////dXEAfgAHAAAABDQ5VOh4eHdFAh4AApUCAgI1AgQCBQIGAgcCCAIJApgCCwKWAg0CCAIIAggCCAIIAggCCAIIAggCCAIIAggCCAIIAggCCAIIAiECAwLUc3EAfgAAAAAAAnNxAH4ABP///////////////v////7/////dXEAfgAHAAAAAxJXv3h4d0UCHgAClQICAmgCBAIFAgYCBwIIAgkCCgILApYCDQIIAggCCAIIAggCCAIIAggCCAIIAggCCAIIAggCCAIIAggCIQIDAtVzcQB+AAAAAAACc3EAfgAE///////////////+/////v////91cQB+AAcAAAAEJZDR+3h4d0UCHgAClQICAmsCBAIFAgYCBwIIAgkCmAILApYCDQIIAggCCAIIAggCCAIIAggCCAIIAggCCAIIAggCCAIIAggCIQIDAtZzcQB+AAAAAAACc3EAfgAE///////////////+/////v////91cQB+AAcAAAADEorfeHh3RQIeAAKVAgICawIEAgUCBgIHAggCCQIeAgsClgINAggCCAIIAggCCAIIAggCCAIIAggCCAIIAggCCAIIAggCCAIhAgMC13NxAH4AAAAAAAJzcQB+AAT///////////////7////+/////3VxAH4ABwAAAAQmeB9xeHh3igIeAAKVAgICVAIEAgUCBgIHAggCCQKYAgsClgINAggCCAIIAggCCAIIAggCCAIIAggCCAIIAggCCAIIAggCCAIhAgMCJgIeAAKVAgICQQIEAgUCBgIHAggCCQKYAgsClgINAggCCAIIAggCCAIIAggCCAIIAggCCAIIAggCCAIIAggCCAIhAgMC2HNxAH4AAAAAAAJzcQB+AAT///////////////7////+/////3VxAH4ABwAAAAMSa1h4eHdFAh4AApUCAgIgAgQCBQIGAgcCCAIJApgCCwKWAg0CCAIIAggCCAIIAggCCAIIAggCCAIIAggCCAIIAggCCAIIAiECAwLZc3EAfgAAAAAAAnNxAH4ABP///////////////v////7/////dXEAfgAHAAAAAxKer3h4d0UCHgAClQICAikCBAIFAgYCBwIIAgkCmAILApYCDQIIAggCCAIIAggCCAIIAggCCAIIAggCCAIIAggCCAIIAggCIQIDAtpzcQB+AAAAAAACc3EAfgAE///////////////+/////v////91cQB+AAcAAAADEncleHh3RQIeAAKVAgICPAIEAgUCBgIHAggCCQIKAgsClgINAggCCAIIAggCCAIIAggCCAIIAggCCAIIAggCCAIIAggCCAIhAgMC23NxAH4AAAAAAAJzcQB+AAT///////////////7////+/////3VxAH4ABwAAAAQWt6iieHh3RQIeAAKVAgICXAIEAgUCBgIHAggCCQIKAgsClgINAggCCAIIAggCCAIIAggCCAIIAggCCAIIAggCCAIIAggCCAIhAgMC3HNxAH4AAAAAAAJzcQB+AAT///////////////7////+AAAAAXVxAH4ABwAAAAQCWhLSeHh3RQIeAAKVAgICMgIEAgUCBgIHAggCCQIKAgsClgINAggCCAIIAggCCAIIAggCCAIIAggCCAIIAggCCAIIAggCCAIhAgMC3XNxAH4AAAAAAAJzcQB+AAT///////////////7////+/////3VxAH4ABwAAAAQUOveDeHh3RQIeAAKVAgICNwIEAgUCBgIHAggCCQIKAgsClgINAggCCAIIAggCCAIIAggCCAIIAggCCAIIAggCCAIIAggCCAIhAgMC3nNxAH4AAAAAAAJzcQB+AAT///////////////7////+/////3VxAH4ABwAAAAQKK9PneHh6AAAEAAIeAALfAAk3Nzk4OTU4NDgCAgInAgQCBQIGAgcCCAIJAh4CCwIMAg0CCAIIAggCCAIIAggCCAIIAggCCAIIAggCCAIIAggCCAIIAhYCAwIoAh4AAt8CAgIdAgQCBQIGAgcCCAIJAgoCCwIMAg0CCAIIAggCCAIIAggCCAIIAggCCAIIAggCCAIIAggCCAIIAhYCAwKPAh4AAt8CAgJIAgQCBQIGAgcCCAIJAiECCwIMAg0CCAIIAggCCAIIAggCCAIIAggCCAIIAggCCAIIAggCCAIIAhYCAwJJAh4AAt8CAgIsAgQCBQIGAgcCCAIJAgoCCwIMAg0CCAIIAggCCAIIAggCCAIIAggCCAIIAggCCAIIAggCCAIIAhYCAwJHAh4AAt8CAgI3AgQCBQIGAgcCCAIJAh4CCwIMAg0CCAIIAggCCAIIAggCCAIIAggCCAIIAggCCAIIAggCCAIIAhYCAwJnAh4AAt8CAgI+AgQCBQIGAgcCCAIJAiECCwIMAg0CCAIIAggCCAIIAggCCAIIAggCCAIIAggCCAIIAggCCAIIAhYCAwI/Ah4AAt8CAgJLAgQCBQIGAgcCCAIJAiECCwIMAg0CCAIIAggCCAIIAggCCAIIAggCCAIIAggCCAIIAggCCAIIAhYCAwImAh4AAt8CAgJcAgQCBQIGAgcCCAIJAh4CCwIMAg0CCAIIAggCCAIIAggCCAIIAggCCAIIAggCCAIIAggCCAIIAhYCAwJmAh4AAt8CAgI1AgQCBQIGAgcCCAIJAgoCCwIMAg0CCAIIAggCCAIIAggCCAIIAggCCAIIAggCCAIIAggCCAIIAhYCAwJKAh4AAt8CAgIDAgQCBQIGAgcCCAIJAgoCCwIMAg0CCAIIAggCCAIIAggCCAIIAggCCAIIAggCCAIIAggCCAIIAhYCAwIOAh4AAt8CAgIgAgQCBQIGAgcCCAIJAiECCwIMAg0CCAIIAggCCAIIAggCCAIIAggCCAIIAggCCAIIAggCCAIIAhYCAwIiAh4AAt8CAgIjAgQCBQIGAgcCCAIJAgoCCwIMAg0CCAIIAggCCAIIAggCCAIIAggCCAIIAggCCAIIAggCCAIIAhYCAwIkAh4AAt8CAgIuAgQCBQIGAgcCCAIJAiECCwIMAg0CCAIIAggCCAIIAggCCAIIAggCCAIIAggCCAIIAggCCAIIAhYCAwIvAh4AAt8CAgIbAgQCBQIGAgcCCAIJAgoCCwIMAg0CCAIIAggCCAIIAggCCAIIAggCCAIIAggCCAIIAggCCAIIAhYCAwIcAh4AAt8CAgIlAgQCBQIGAgcCCAIJAiECCwIMAg0CCAIIAggCCAIIAggCCAIIAgh6AAAEAAIIAggCCAIIAggCCAIIAggCFgIDAiYCHgAC3wICAh0CBAIFAgYCBwIIAgkCHgILAgwCDQIIAggCCAIIAggCCAIIAggCCAIIAggCCAIIAggCCAIIAggCFgIDAh8CHgAC3wICAikCBAIFAgYCBwIIAgkCCgILAgwCDQIIAggCCAIIAggCCAIIAggCCAIIAggCCAIIAggCCAIIAggCFgIDAioCHgAC3wICAkQCBAIFAgYCBwIIAgkCCgILAgwCDQIIAggCCAIIAggCCAIIAggCCAIIAggCCAIIAggCCAIIAggCFgIDAosCHgAC3wICAjwCBAIFAgYCBwIIAgkCIQILAgwCDQIIAggCCAIIAggCCAIIAggCCAIIAggCCAIIAggCCAIIAggCFgIDAiYCHgAC3wICAjICBAIFAgYCBwIIAgkCIQILAgwCDQIIAggCCAIIAggCCAIIAggCCAIIAggCCAIIAggCCAIIAggCFgIDAjMCHgAC3wICAikCBAIFAgYCBwIIAgkCIQILAgwCDQIIAggCCAIIAggCCAIIAggCCAIIAggCCAIIAggCCAIIAggCFgIDAo4CHgAC3wICAgMCBAIFAgYCBwIIAgkCHgILAgwCDQIIAggCCAIIAggCCAIIAggCCAIIAggCCAIIAggCCAIIAggCFgIDAjQCHgAC3wICAn0CBAIFAgYCBwIIAgkCHgILAgwCDQIIAggCCAIIAggCCAIIAggCCAIIAggCCAIIAggCCAIIAggCFgIDAocCHgAC3wICAjACBAIFAgYCBwIIAgkCCgILAgwCDQIIAggCCAIIAggCCAIIAggCCAIIAggCCAIIAggCCAIIAggCFgIDAjECHgAC3wICAjkCBAIFAgYCBwIIAgkCIQILAgwCDQIIAggCCAIIAggCCAIIAggCCAIIAggCCAIIAggCCAIIAggCFgIDAmACHgAC3wICAicCBAIFAgYCBwIIAgkCCgILAgwCDQIIAggCCAIIAggCCAIIAggCCAIIAggCCAIIAggCCAIIAggCFgIDAowCHgAC3wICAhsCBAIFAgYCBwIIAgkCHgILAgwCDQIIAggCCAIIAggCCAIIAggCCAIIAggCCAIIAggCCAIIAggCFgIDAl8CHgAC3wICAj4CBAIFAgYCBwIIAgkCCgILAgwCDQIIAggCCAIIAggCCAIIAggCCAIIAggCCAIIAggCCAIIAggCFgIDAmECHgAC3wICAkQCBAIFAgYCBwIIAgkCHgILAgwCDQIIAggCCAIIAggCCAIIAggCCAIIAggCCAIIAggCCAIIAggCFgIDAkUCHgAC3wICAjACBAIFAgYCBwIIAgkCHgILAgwCDQIIAggCCAJ6AAAEAAgCCAIIAggCCAIIAggCCAIIAggCCAIIAggCCAIWAgMCRgIeAALfAgICNQIEAgUCBgIHAggCCQIhAgsCDAINAggCCAIIAggCCAIIAggCCAIIAggCCAIIAggCCAIIAggCCAIWAgMCZQIeAALfAgICSwIEAgUCBgIHAggCCQIKAgsCDAINAggCCAIIAggCCAIIAggCCAIIAggCCAIIAggCCAIIAggCCAIWAgMCZAIeAALfAgICaAIEAgUCBgIHAggCCQIeAgsCDAINAggCCAIIAggCCAIIAggCCAIIAggCCAIIAggCCAIIAggCCAIWAgMCaQIeAALfAgICIwIEAgUCBgIHAggCCQIhAgsCDAINAggCCAIIAggCCAIIAggCCAIIAggCCAIIAggCCAIIAggCCAIWAgMCJgIeAALfAgICSAIEAgUCBgIHAggCCQIKAgsCDAINAggCCAIIAggCCAIIAggCCAIIAggCCAIIAggCCAIIAggCCAIWAgMCYgIeAALfAgICIAIEAgUCBgIHAggCCQIKAgsCDAINAggCCAIIAggCCAIIAggCCAIIAggCCAIIAggCCAIIAggCCAIWAgMCgQIeAALfAgICUAIEAgUCBgIHAggCCQIeAgsCDAINAggCCAIIAggCCAIIAggCCAIIAggCCAIIAggCCAIIAggCCAIWAgMCUQIeAALfAgICVgIEAgUCBgIHAggCCQIeAgsCDAINAggCCAIIAggCCAIIAggCCAIIAggCCAIIAggCCAIIAggCCAIWAgMCVwIeAALfAgICGwIEAgUCBgIHAggCCQIhAgsCDAINAggCCAIIAggCCAIIAggCCAIIAggCCAIIAggCCAIIAggCCAIWAgMCgwIeAALfAgICWQIEAgUCBgIHAggCCQIhAgsCDAINAggCCAIIAggCCAIIAggCCAIIAggCCAIIAggCCAIIAggCCAIWAgMCWgIeAALfAgICXAIEAgUCBgIHAggCCQIKAgsCDAINAggCCAIIAggCCAIIAggCCAIIAggCCAIIAggCCAIIAggCCAIWAgMCXQIeAALfAgICawIEAgUCBgIHAggCCQIeAgsCDAINAggCCAIIAggCCAIIAggCCAIIAggCCAIIAggCCAIIAggCCAIWAgMCdAIeAALfAgICaAIEAgUCBgIHAggCCQIKAgsCDAINAggCCAIIAggCCAIIAggCCAIIAggCCAIIAggCCAIIAggCCAIWAgMCdQIeAALfAgICUAIEAgUCBgIHAggCCQIKAgsCDAINAggCCAIIAggCCAIIAggCCAIIAggCCAIIAggCCAIIAggCCAIWAgMCgAIeAALfAgICAwIEAgUCBgIHAggCCQIhAgt6AAAEAAIMAg0CCAIIAggCCAIIAggCCAIIAggCCAIIAggCCAIIAggCCAIIAhYCAwJPAh4AAt8CAgI3AgQCBQIGAgcCCAIJAgoCCwIMAg0CCAIIAggCCAIIAggCCAIIAggCCAIIAggCCAIIAggCCAIIAhYCAwI4Ah4AAt8CAgIpAgQCBQIGAgcCCAIJAh4CCwIMAg0CCAIIAggCCAIIAggCCAIIAggCCAIIAggCCAIIAggCCAIIAhYCAwJDAh4AAt8CAgJAAgQCBQIGAgcCCAIJAiECCwIMAg0CCAIIAggCCAIIAggCCAIIAggCCAIIAggCCAIIAggCCAIIAhYCAwImAh4AAt8CAgIlAgQCBQIGAgcCCAIJAh4CCwIMAg0CCAIIAggCCAIIAggCCAIIAggCCAIIAggCCAIIAggCCAIIAhYCAwJ/Ah4AAt8CAgJWAgQCBQIGAgcCCAIJAgoCCwIMAg0CCAIIAggCCAIIAggCCAIIAggCCAIIAggCCAIIAggCCAIIAhYCAwJ7Ah4AAt8CAgIgAgQCBQIGAgcCCAIJAh4CCwIMAg0CCAIIAggCCAIIAggCCAIIAggCCAIIAggCCAIIAggCCAIIAhYCAwJ5Ah4AAt8CAgJAAgQCBQIGAgcCCAIJAgoCCwIMAg0CCAIIAggCCAIIAggCCAIIAggCCAIIAggCCAIIAggCCAIIAhYCAwJjAh4AAt8CAgJ9AgQCBQIGAgcCCAIJAiECCwIMAg0CCAIIAggCCAIIAggCCAIIAggCCAIIAggCCAIIAggCCAIIAhYCAwJ+Ah4AAt8CAgJrAgQCBQIGAgcCCAIJAgoCCwIMAg0CCAIIAggCCAIIAggCCAIIAggCCAIIAggCCAIIAggCCAIIAhYCAwJsAh4AAt8CAgJBAgQCBQIGAgcCCAIJAiECCwIMAg0CCAIIAggCCAIIAggCCAIIAggCCAIIAggCCAIIAggCCAIIAhYCAwJtAh4AAt8CAgIuAgQCBQIGAgcCCAIJAh4CCwIMAg0CCAIIAggCCAIIAggCCAIIAggCCAIIAggCCAIIAggCCAIIAhYCAwKSAh4AAt8CAgIyAgQCBQIGAgcCCAIJAh4CCwIMAg0CCAIIAggCCAIIAggCCAIIAggCCAIIAggCCAIIAggCCAIIAhYCAwKQAh4AAt8CAgJMAgQCBQIGAgcCCAIJAgoCCwIMAg0CCAIIAggCCAIIAggCCAIIAggCCAIIAggCCAIIAggCCAIIAhYCAwJNAh4AAt8CAgJAAgQCBQIGAgcCCAIJAh4CCwIMAg0CCAIIAggCCAIIAggCCAIIAggCCAIIAggCCAIIAggCCAIIAhYCAwJqAh4AAt8CAgJoAgQCBQJ6AAAEAAYCBwIIAgkCIQILAgwCDQIIAggCCAIIAggCCAIIAggCCAIIAggCCAIIAggCCAIIAggCFgIDAncCHgAC3wICAjsCBAIFAgYCBwIIAgkCIQILAgwCDQIIAggCCAIIAggCCAIIAggCCAIIAggCCAIIAggCCAIIAggCFgIDAiYCHgAC3wICAlICBAIFAgYCBwIIAgkCCgILAgwCDQIIAggCCAIIAggCCAIIAggCCAIIAggCCAIIAggCCAIIAggCFgIDAm4CHgAC3wICAiUCBAIFAgYCBwIIAgkCCgILAgwCDQIIAggCCAIIAggCCAIIAggCCAIIAggCCAIIAggCCAIIAggCFgIDAoUCHgAC3wICAlQCBAIFAgYCBwIIAgkCCgILAgwCDQIIAggCCAIIAggCCAIIAggCCAIIAggCCAIIAggCCAIIAggCFgIDAm8CHgAC3wICAlQCBAIFAgYCBwIIAgkCIQILAgwCDQIIAggCCAIIAggCCAIIAggCCAIIAggCCAIIAggCCAIIAggCFgIDAiYCHgAC3wICAlwCBAIFAgYCBwIIAgkCIQILAgwCDQIIAggCCAIIAggCCAIIAggCCAIIAggCCAIIAggCCAIIAggCFgIDAnMCHgAC3wICAjcCBAIFAgYCBwIIAgkCIQILAgwCDQIIAggCCAIIAggCCAIIAggCCAIIAggCCAIIAggCCAIIAggCFgIDAiYCHgAC3wICAlkCBAIFAgYCBwIIAgkCCgILAgwCDQIIAggCCAIIAggCCAIIAggCCAIIAggCCAIIAggCCAIIAggCFgIDAnACHgAC3wICAkwCBAIFAgYCBwIIAgkCHgILAgwCDQIIAggCCAIIAggCCAIIAggCCAIIAggCCAIIAggCCAIIAggCFgIDAk0CHgAC3wICAkgCBAIFAgYCBwIIAgkCHgILAgwCDQIIAggCCAIIAggCCAIIAggCCAIIAggCCAIIAggCCAIIAggCFgIDAl4CHgAC3wICAksCBAIFAgYCBwIIAgkCHgILAgwCDQIIAggCCAIIAggCCAIIAggCCAIIAggCCAIIAggCCAIIAggCFgIDAlsCHgAC3wICAlACBAIFAgYCBwIIAgkCIQILAgwCDQIIAggCCAIIAggCCAIIAggCCAIIAggCCAIIAggCCAIIAggCFgIDAiYCHgAC3wICAlYCBAIFAgYCBwIIAgkCIQILAgwCDQIIAggCCAIIAggCCAIIAggCCAIIAggCCAIIAggCCAIIAggCFgIDAooCHgAC3wICAlICBAIFAgYCBwIIAgkCHgILAgwCDQIIAggCCAIIAggCCAIIAggCCAIIAggCCAIIAggCCAIIAggCFgIDAogCHgB6AAAEAALfAgICVQIEAgUCBgIHAggCCQIeAgsCDAINAggCCAIIAggCCAIIAggCCAIIAggCCAIIAggCCAIIAggCCAIWAgMCiQIeAALfAgICfQIEAgUCBgIHAggCCQIKAgsCDAINAggCCAIIAggCCAIIAggCCAIIAggCCAIIAggCCAIIAggCCAIWAgMCjQIeAALfAgICLAIEAgUCBgIHAggCCQIhAgsCDAINAggCCAIIAggCCAIIAggCCAIIAggCCAIIAggCCAIIAggCCAIWAgMCJgIeAALfAgICawIEAgUCBgIHAggCCQIhAgsCDAINAggCCAIIAggCCAIIAggCCAIIAggCCAIIAggCCAIIAggCCAIWAgMCkwIeAALfAgICTAIEAgUCBgIHAggCCQIhAgsCDAINAggCCAIIAggCCAIIAggCCAIIAggCCAIIAggCCAIIAggCCAIWAgMCTQIeAALfAgICPAIEAgUCBgIHAggCCQIeAgsCDAINAggCCAIIAggCCAIIAggCCAIIAggCCAIIAggCCAIIAggCCAIWAgMCkQIeAALfAgICWQIEAgUCBgIHAggCCQIeAgsCDAINAggCCAIIAggCCAIIAggCCAIIAggCCAIIAggCCAIIAggCCAIWAgMCfAIeAALfAgICOwIEAgUCBgIHAggCCQIKAgsCDAINAggCCAIIAggCCAIIAggCCAIIAggCCAIIAggCCAIIAggCCAIWAgMCRwIeAALfAgICUgIEAgUCBgIHAggCCQIhAgsCDAINAggCCAIIAggCCAIIAggCCAIIAggCCAIIAggCCAIIAggCCAIWAgMCUwIeAALfAgICPgIEAgUCBgIHAggCCQIeAgsCDAINAggCCAIIAggCCAIIAggCCAIIAggCCAIIAggCCAIIAggCCAIWAgMCWAIeAALfAgICVQIEAgUCBgIHAggCCQIhAgsCDAINAggCCAIIAggCCAIIAggCCAIIAggCCAIIAggCCAIIAggCCAIWAgMCJgIeAALfAgICQQIEAgUCBgIHAggCCQIKAgsCDAINAggCCAIIAggCCAIIAggCCAIIAggCCAIIAggCCAIIAggCCAIWAgMCTgIeAALfAgICOQIEAgUCBgIHAggCCQIeAgsCDAINAggCCAIIAggCCAIIAggCCAIIAggCCAIIAggCCAIIAggCCAIWAgMCggIeAALfAgICMAIEAgUCBgIHAggCCQIhAgsCDAINAggCCAIIAggCCAIIAggCCAIIAggCCAIIAggCCAIIAggCCAIWAgMChgIeAALfAgICRAIEAgUCBgIHAggCCQIhAgsCDAINAggCCAIIAggCCAIIAggCCAIIAggCCAIIAggCCAIIAgh6AAAEAAIIAhYCAwImAh4AAt8CAgI1AgQCBQIGAgcCCAIJAh4CCwIMAg0CCAIIAggCCAIIAggCCAIIAggCCAIIAggCCAIIAggCCAIIAhYCAwI2Ah4AAt8CAgIjAgQCBQIGAgcCCAIJAh4CCwIMAg0CCAIIAggCCAIIAggCCAIIAggCCAIIAggCCAIIAggCCAIIAhYCAwIrAh4AAt8CAgIsAgQCBQIGAgcCCAIJAh4CCwIMAg0CCAIIAggCCAIIAggCCAIIAggCCAIIAggCCAIIAggCCAIIAhYCAwItAh4AAt8CAgJVAgQCBQIGAgcCCAIJAgoCCwIMAg0CCAIIAggCCAIIAggCCAIIAggCCAIIAggCCAIIAggCCAIIAhYCAwJyAh4AAt8CAgInAgQCBQIGAgcCCAIJAiECCwIMAg0CCAIIAggCCAIIAggCCAIIAggCCAIIAggCCAIIAggCCAIIAhYCAwJxAh4AAt8CAgIuAgQCBQIGAgcCCAIJAgoCCwIMAg0CCAIIAggCCAIIAggCCAIIAggCCAIIAggCCAIIAggCCAIIAhYCAwKEAh4AAt8CAgIyAgQCBQIGAgcCCAIJAgoCCwIMAg0CCAIIAggCCAIIAggCCAIIAggCCAIIAggCCAIIAggCCAIIAhYCAwJ2Ah4AAt8CAgI8AgQCBQIGAgcCCAIJAgoCCwIMAg0CCAIIAggCCAIIAggCCAIIAggCCAIIAggCCAIIAggCCAIIAhYCAwI9Ah4AAt8CAgI5AgQCBQIGAgcCCAIJAgoCCwIMAg0CCAIIAggCCAIIAggCCAIIAggCCAIIAggCCAIIAggCCAIIAhYCAwI6Ah4AAt8CAgIdAgQCBQIGAgcCCAIJAiECCwIMAg0CCAIIAggCCAIIAggCCAIIAggCCAIIAggCCAIIAggCCAIIAhYCAwJ6Ah4AAt8CAgJUAgQCBQIGAgcCCAIJAh4CCwIMAg0CCAIIAggCCAIIAggCCAIIAggCCAIIAggCCAIIAggCCAIIAhYCAwJ4Ah4AAt8CAgJBAgQCBQIGAgcCCAIJAh4CCwIMAg0CCAIIAggCCAIIAggCCAIIAggCCAIIAggCCAIIAggCCAIIAhYCAwJCAh4AAt8CAgI7AgQCBQIGAgcCCAIJAh4CCwIMAg0CCAIIAggCCAIIAggCCAIIAggCCAIIAggCCAIIAggCCAIIAhYCAwItAh4AAuAACTkzODM2OTQwMAICAgMCBAIFAgYCBwIIAgkCCgILApYCDQIIAggCCAIIAggCCAIIAggCCAIIAggCCAIIAggCCAIIAggCHQIDAskCHgAC4AICAjICBAIFAgYCBwIIAgkCmAILApYCDQIIAggCCAIIAgh37QIIAggCCAIIAggCCAIIAggCCAIIAggCCAIdAgMCxwIeAALgAgICNwIEAgUCBgIHAggCCQKYAgsClgINAggCCAIIAggCCAIIAggCCAIIAggCCAIIAggCCAIIAggCCAIdAgMCJgIeAALgAgICawIEAgUCBgIHAggCCQIKAgsClgINAggCCAIIAggCCAIIAggCCAIIAggCCAIIAggCCAIIAggCCAIdAgMCwwIeAALgAgICQAIEAgUCBgIHAggCCQIeAgsClgINAggCCAIIAggCCAIIAggCCAIIAggCCAIIAggCCAIIAggCCAIdAgMC4XNxAH4AAAAAAAJzcQB+AAT///////////////7////+/////3VxAH4ABwAAAAQqwrH4eHh6AAACbQIeAALgAgICGwIEAgUCBgIHAggCCQIKAgsClgINAggCCAIIAggCCAIIAggCCAIIAggCCAIIAggCCAIIAggCCAIdAgMCvQIeAALgAgICNQIEAgUCBgIHAggCCQIKAgsClgINAggCCAIIAggCCAIIAggCCAIIAggCCAIIAggCCAIIAggCCAIdAgMCxAIeAALgAgICMgIEAgUCBgIHAggCCQIeAgsClgINAggCCAIIAggCCAIIAggCCAIIAggCCAIIAggCCAIIAggCCAIdAgMCyAIeAALgAgICKQIEAgUCBgIHAggCCQIKAgsClgINAggCCAIIAggCCAIIAggCCAIIAggCCAIIAggCCAIIAggCCAIdAgMCwAIeAALgAgICQAIEAgUCBgIHAggCCQKYAgsClgINAggCCAIIAggCCAIIAggCCAIIAggCCAIIAggCCAIIAggCCAIdAgMCJgIeAALgAgICVAIEAgUCBgIHAggCCQIKAgsClgINAggCCAIIAggCCAIIAggCCAIIAggCCAIIAggCCAIIAggCCAIdAgMCwQIeAALgAgICNwIEAgUCBgIHAggCCQIeAgsClgINAggCCAIIAggCCAIIAggCCAIIAggCCAIIAggCCAIIAggCCAIdAgMCxQIeAALgAgICUgIEAgUCBgIHAggCCQIKAgsClgINAggCCAIIAggCCAIIAggCCAIIAggCCAIIAggCCAIIAggCCAIdAgMCvAIeAALgAgICIwIEAgUCBgIHAggCCQIKAgsClgINAggCCAIIAggCCAIIAggCCAIIAggCCAIIAggCCAIIAggCCAIdAgMC4nNxAH4AAAAAAAJzcQB+AAT///////////////7////+/////3VxAH4ABwAAAAQBMmvPeHh6AAAEAAIeAALgAgICJwIEAgUCBgIHAggCCQIeAgsClgINAggCCAIIAggCCAIIAggCCAIIAggCCAIIAggCCAIIAggCCAIdAgMCxgIeAALgAgICJwIEAgUCBgIHAggCCQKYAgsClgINAggCCAIIAggCCAIIAggCCAIIAggCCAIIAggCCAIIAggCCAIdAgMCygIeAALgAgICHQIEAgUCBgIHAggCCQIeAgsClgINAggCCAIIAggCCAIIAggCCAIIAggCCAIIAggCCAIIAggCCAIdAgMCvwIeAALgAgICHQIEAgUCBgIHAggCCQKYAgsClgINAggCCAIIAggCCAIIAggCCAIIAggCCAIIAggCCAIIAggCCAIdAgMCvgIeAALgAgICQQIEAgUCBgIHAggCCQKYAgsClgINAggCCAIIAggCCAIIAggCCAIIAggCCAIIAggCCAIIAggCCAIdAgMC2AIeAALgAgICIAIEAgUCBgIHAggCCQKYAgsClgINAggCCAIIAggCCAIIAggCCAIIAggCCAIIAggCCAIIAggCCAIdAgMC2QIeAALgAgICNwIEAgUCBgIHAggCCQIKAgsClgINAggCCAIIAggCCAIIAggCCAIIAggCCAIIAggCCAIIAggCCAIdAgMC3gIeAALgAgICVgIEAgUCBgIHAggCCQIKAgsClgINAggCCAIIAggCCAIIAggCCAIIAggCCAIIAggCCAIIAggCCAIdAgMCzQIeAALgAgICPAIEAgUCBgIHAggCCQIKAgsClgINAggCCAIIAggCCAIIAggCCAIIAggCCAIIAggCCAIIAggCCAIdAgMC2wIeAALgAgICIwIEAgUCBgIHAggCCQKYAgsClgINAggCCAIIAggCCAIIAggCCAIIAggCCAIIAggCCAIIAggCCAIdAgMCJgIeAALgAgICMgIEAgUCBgIHAggCCQIKAgsClgINAggCCAIIAggCCAIIAggCCAIIAggCCAIIAggCCAIIAggCCAIdAgMC3QIeAALgAgICOQIEAgUCBgIHAggCCQIKAgsClgINAggCCAIIAggCCAIIAggCCAIIAggCCAIIAggCCAIIAggCCAIdAgMC0QIeAALgAgICNQIEAgUCBgIHAggCCQKYAgsClgINAggCCAIIAggCCAIIAggCCAIIAggCCAIIAggCCAIIAggCCAIdAgMC1AIeAALgAgICaAIEAgUCBgIHAggCCQIKAgsClgINAggCCAIIAggCCAIIAggCCAIIAggCCAIIAggCCAIIAggCCAIdAgMC1QIeAALgAgICawIEAgUCBgIHAggCCQKYAgsClgINAggCCAIIAggCCAIIAggCCAIIAggCCAIIAggCCAJ6AAACeAgCCAIIAh0CAwLWAh4AAuACAgI1AgQCBQIGAgcCCAIJAh4CCwKWAg0CCAIIAggCCAIIAggCCAIIAggCCAIIAggCCAIIAggCCAIIAh0CAwLCAh4AAuACAgIwAgQCBQIGAgcCCAIJAh4CCwKWAg0CCAIIAggCCAIIAggCCAIIAggCCAIIAggCCAIIAggCCAIIAh0CAwLQAh4AAuACAgJUAgQCBQIGAgcCCAIJApgCCwKWAg0CCAIIAggCCAIIAggCCAIIAggCCAIIAggCCAIIAggCCAIIAh0CAwImAh4AAuACAgIpAgQCBQIGAgcCCAIJApgCCwKWAg0CCAIIAggCCAIIAggCCAIIAggCCAIIAggCCAIIAggCCAIIAh0CAwLaAh4AAuACAgIlAgQCBQIGAgcCCAIJApgCCwKWAg0CCAIIAggCCAIIAggCCAIIAggCCAIIAggCCAIIAggCCAIIAh0CAwImAh4AAuACAgJrAgQCBQIGAgcCCAIJAh4CCwKWAg0CCAIIAggCCAIIAggCCAIIAggCCAIIAggCCAIIAggCCAIIAh0CAwLXAh4AAuACAgIuAgQCBQIGAgcCCAIJAgoCCwKWAg0CCAIIAggCCAIIAggCCAIIAggCCAIIAggCCAIIAggCCAIIAh0CAwKaAh4AAuACAgJcAgQCBQIGAgcCCAIJAgoCCwKWAg0CCAIIAggCCAIIAggCCAIIAggCCAIIAggCCAIIAggCCAIIAh0CAwLcAh4AAuACAgIjAgQCBQIGAgcCCAIJAh4CCwKWAg0CCAIIAggCCAIIAggCCAIIAggCCAIIAggCCAIIAggCCAIIAh0CAwLjc3EAfgAAAAAAAnNxAH4ABP///////////////v////7/////dXEAfgAHAAAABC70FP94eHoAAAQAAh4AAuACAgIlAgQCBQIGAgcCCAIJAh4CCwKWAg0CCAIIAggCCAIIAggCCAIIAggCCAIIAggCCAIIAggCCAIIAh0CAwLLAh4AAuACAgJUAgQCBQIGAgcCCAIJAh4CCwKWAg0CCAIIAggCCAIIAggCCAIIAggCCAIIAggCCAIIAggCCAIIAh0CAwLPAh4AAuACAgJBAgQCBQIGAgcCCAIJAh4CCwKWAg0CCAIIAggCCAIIAggCCAIIAggCCAIIAggCCAIIAggCCAIIAh0CAwLSAh4AAuACAgIgAgQCBQIGAgcCCAIJAh4CCwKWAg0CCAIIAggCCAIIAggCCAIIAggCCAIIAggCCAIIAggCCAIIAh0CAwLTAh4AAuACAgIpAgQCBQIGAgcCCAIJAh4CCwKWAg0CCAIIAggCCAIIAggCCAIIAggCCAIIAggCCAIIAggCCAIIAh0CAwLMAh4AAuACAgJoAgQCBQIGAgcCCAIJApgCCwKWAg0CCAIIAggCCAIIAggCCAIIAggCCAIIAggCCAIIAggCCAIIAh0CAwKfAh4AAuACAgJBAgQCBQIGAgcCCAIJAgoCCwKWAg0CCAIIAggCCAIIAggCCAIIAggCCAIIAggCCAIIAggCCAIIAh0CAwKlAh4AAuACAgIgAgQCBQIGAgcCCAIJAgoCCwKWAg0CCAIIAggCCAIIAggCCAIIAggCCAIIAggCCAIIAggCCAIIAh0CAwKdAh4AAuACAgJZAgQCBQIGAgcCCAIJApgCCwKWAg0CCAIIAggCCAIIAggCCAIIAggCCAIIAggCCAIIAggCCAIIAh0CAwKkAh4AAuACAgIwAgQCBQIGAgcCCAIJApgCCwKWAg0CCAIIAggCCAIIAggCCAIIAggCCAIIAggCCAIIAggCCAIIAh0CAwKgAh4AAuACAgI8AgQCBQIGAgcCCAIJAh4CCwKWAg0CCAIIAggCCAIIAggCCAIIAggCCAIIAggCCAIIAggCCAIIAh0CAwKmAh4AAuACAgJ9AgQCBQIGAgcCCAIJAh4CCwKWAg0CCAIIAggCCAIIAggCCAIIAggCCAIIAggCCAIIAggCCAIIAh0CAwKbAh4AAuACAgJoAgQCBQIGAgcCCAIJAh4CCwKWAg0CCAIIAggCCAIIAggCCAIIAggCCAIIAggCCAIIAggCCAIIAh0CAwKhAh4AAuACAgI8AgQCBQIGAgcCCAIJApgCCwKWAg0CCAIIAggCCAIIAggCCAIIAggCCAIIAggCCAIIAggCCAIIAh0CAwImAh4AAuACAgJIAgQCBQIGAgcCCAIJAh4CCwKWAg0CCAIIAggCCAIIAggCCAIIAggCCAIIAggCCAIIAnoAAAQACAIIAggCHQIDApcCHgAC4AICAiUCBAIFAgYCBwIIAgkCCgILApYCDQIIAggCCAIIAggCCAIIAggCCAIIAggCCAIIAggCCAIIAggCHQIDApwCHgAC4AICAkgCBAIFAgYCBwIIAgkCmAILApYCDQIIAggCCAIIAggCCAIIAggCCAIIAggCCAIIAggCCAIIAggCHQIDAp4CHgAC4AICAlkCBAIFAgYCBwIIAgkCHgILApYCDQIIAggCCAIIAggCCAIIAggCCAIIAggCCAIIAggCCAIIAggCHQIDAs4CHgAC4AICAkgCBAIFAgYCBwIIAgkCCgILApYCDQIIAggCCAIIAggCCAIIAggCCAIIAggCCAIIAggCCAIIAggCHQIDAqcCHgAC4AICAn0CBAIFAgYCBwIIAgkCCgILApYCDQIIAggCCAIIAggCCAIIAggCCAIIAggCCAIIAggCCAIIAggCHQIDAqgCHgAC4AICAj4CBAIFAgYCBwIIAgkCmAILApYCDQIIAggCCAIIAggCCAIIAggCCAIIAggCCAIIAggCCAIIAggCHQIDAqsCHgAC4AICAlYCBAIFAgYCBwIIAgkCmAILApYCDQIIAggCCAIIAggCCAIIAggCCAIIAggCCAIIAggCCAIIAggCHQIDAqoCHgAC4AICAjkCBAIFAgYCBwIIAgkCHgILApYCDQIIAggCCAIIAggCCAIIAggCCAIIAggCCAIIAggCCAIIAggCHQIDAqICHgAC4AICAlYCBAIFAgYCBwIIAgkCHgILApYCDQIIAggCCAIIAggCCAIIAggCCAIIAggCCAIIAggCCAIIAggCHQIDAqMCHgAC4AICAjkCBAIFAgYCBwIIAgkCmAILApYCDQIIAggCCAIIAggCCAIIAggCCAIIAggCCAIIAggCCAIIAggCHQIDApkCHgAC4AICAj4CBAIFAgYCBwIIAgkCHgILApYCDQIIAggCCAIIAggCCAIIAggCCAIIAggCCAIIAggCCAIIAggCHQIDAqkCHgAC4AICAhsCBAIFAgYCBwIIAgkCHgILApYCDQIIAggCCAIIAggCCAIIAggCCAIIAggCCAIIAggCCAIIAggCHQIDArMCHgAC4AICAlICBAIFAgYCBwIIAgkCHgILApYCDQIIAggCCAIIAggCCAIIAggCCAIIAggCCAIIAggCCAIIAggCHQIDAroCHgAC4AICAgMCBAIFAgYCBwIIAgkCHgILApYCDQIIAggCCAIIAggCCAIIAggCCAIIAggCCAIIAggCCAIIAggCHQIDArkCHgAC4AICAlwCBAIFAgYCBwIIAgkCHgILApYCDQIIAggCCAIIAggCCAIIAggCCHegAggCCAIIAggCCAIIAggCCAIdAgMCsQIeAALgAgICMAIEAgUCBgIHAggCCQIKAgsClgINAggCCAIIAggCCAIIAggCCAIIAggCCAIIAggCCAIIAggCCAIdAgMCtgIeAALgAgICQAIEAgUCBgIHAggCCQIKAgsClgINAggCCAIIAggCCAIIAggCCAIIAggCCAIIAggCCAIIAggCCAIdAgMC5HNxAH4AAAAAAAJzcQB+AAT///////////////7////+/////3VxAH4ABwAAAAQE4d6ZeHh6AAAEAAIeAALgAgICfQIEAgUCBgIHAggCCQKYAgsClgINAggCCAIIAggCCAIIAggCCAIIAggCCAIIAggCCAIIAggCCAIdAgMCtwIeAALgAgICXAIEAgUCBgIHAggCCQKYAgsClgINAggCCAIIAggCCAIIAggCCAIIAggCCAIIAggCCAIIAggCCAIdAgMCrwIeAALgAgICAwIEAgUCBgIHAggCCQKYAgsClgINAggCCAIIAggCCAIIAggCCAIIAggCCAIIAggCCAIIAggCCAIdAgMCsAIeAALgAgICLgIEAgUCBgIHAggCCQIeAgsClgINAggCCAIIAggCCAIIAggCCAIIAggCCAIIAggCCAIIAggCCAIdAgMCrgIeAALgAgICLgIEAgUCBgIHAggCCQKYAgsClgINAggCCAIIAggCCAIIAggCCAIIAggCCAIIAggCCAIIAggCCAIdAgMCtAIeAALgAgICWQIEAgUCBgIHAggCCQIKAgsClgINAggCCAIIAggCCAIIAggCCAIIAggCCAIIAggCCAIIAggCCAIdAgMCuwIeAALgAgICHQIEAgUCBgIHAggCCQIKAgsClgINAggCCAIIAggCCAIIAggCCAIIAggCCAIIAggCCAIIAggCCAIdAgMCtQIeAALgAgICUgIEAgUCBgIHAggCCQKYAgsClgINAggCCAIIAggCCAIIAggCCAIIAggCCAIIAggCCAIIAggCCAIdAgMCrAIeAALgAgICGwIEAgUCBgIHAggCCQKYAgsClgINAggCCAIIAggCCAIIAggCCAIIAggCCAIIAggCCAIIAggCCAIdAgMCrQIeAALgAgICPgIEAgUCBgIHAggCCQIKAgsClgINAggCCAIIAggCCAIIAggCCAIIAggCCAIIAggCCAIIAggCCAIdAgMCsgIeAALgAgICJwIEAgUCBgIHAggCCQIKAgsClgINAggCCAIIAggCCAIIAggCCAIIAggCCAIIAggCCAIIAggCCAIdAgMCuAIeAALlAAk5MzgzNjU5MjACAgIyAgQCBQIGAgcCCAIJAh4CCwIMAg0CCAIIAggCCAIIAggCCAIIAggCCAIIAggCCAIIAggCCAIIAhoCAwKQAh4AAuUCAgI3AgQCBQIGAgcCCAIJAh4CCwIMAg0CCAIIAggCCAIIAggCCAIIAggCCAIIAggCCAIIAggCCAIIAhoCAwJnAh4AAuUCAgI1AgQCBQIGAgcCCAIJAgoCCwIMAg0CCAIIAggCCAIIAggCCAIIAggCCAIIAggCCAIIAggCCAIIAhoCAwJKAh4AAuUCAgIgAgQCBQIGAgcCCAIJAiECCwIMAg0CCAIIAggCCAIIAggCCAIIAgh6AAAEAAIIAggCCAIIAggCCAIIAggCGgIDAiICHgAC5QICAiMCBAIFAgYCBwIIAgkCCgILAgwCDQIIAggCCAIIAggCCAIIAggCCAIIAggCCAIIAggCCAIIAggCGgIDAiQCHgAC5QICAicCBAIFAgYCBwIIAgkCHgILAgwCDQIIAggCCAIIAggCCAIIAggCCAIIAggCCAIIAggCCAIIAggCGgIDAigCHgAC5QICAmsCBAIFAgYCBwIIAgkCCgILAgwCDQIIAggCCAIIAggCCAIIAggCCAIIAggCCAIIAggCCAIIAggCGgIDAmwCHgAC5QICAkECBAIFAgYCBwIIAgkCIQILAgwCDQIIAggCCAIIAggCCAIIAggCCAIIAggCCAIIAggCCAIIAggCGgIDAm0CHgAC5QICAgMCBAIFAgYCBwIIAgkCCgILAgwCDQIIAggCCAIIAggCCAIIAggCCAIIAggCCAIIAggCCAIIAggCGgIDAg4CHgAC5QICAlICBAIFAgYCBwIIAgkCCgILAgwCDQIIAggCCAIIAggCCAIIAggCCAIIAggCCAIIAggCCAIIAggCGgIDAm4CHgAC5QICAlUCBAIFAgYCBwIIAgkCCgILAgwCDQIIAggCCAIIAggCCAIIAggCCAIIAggCCAIIAggCCAIIAggCGgIDAnICHgAC5QICAi4CBAIFAgYCBwIIAgkCIQILAgwCDQIIAggCCAIIAggCCAIIAggCCAIIAggCCAIIAggCCAIIAggCGgIDAi8CHgAC5QICAhsCBAIFAgYCBwIIAgkCCgILAgwCDQIIAggCCAIIAggCCAIIAggCCAIIAggCCAIIAggCCAIIAggCGgIDAhwCHgAC5QICAlwCBAIFAgYCBwIIAgkCIQILAgwCDQIIAggCCAIIAggCCAIIAggCCAIIAggCCAIIAggCCAIIAggCGgIDAnMCHgAC5QICAh0CBAIFAgYCBwIIAgkCHgILAgwCDQIIAggCCAIIAggCCAIIAggCCAIIAggCCAIIAggCCAIIAggCGgIDAh8CHgAC5QICAiUCBAIFAgYCBwIIAgkCIQILAgwCDQIIAggCCAIIAggCCAIIAggCCAIIAggCCAIIAggCCAIIAggCGgIDAiYCHgAC5QICAlQCBAIFAgYCBwIIAgkCCgILAgwCDQIIAggCCAIIAggCCAIIAggCCAIIAggCCAIIAggCCAIIAggCGgIDAm8CHgAC5QICAikCBAIFAgYCBwIIAgkCCgILAgwCDQIIAggCCAIIAggCCAIIAggCCAIIAggCCAIIAggCCAIIAggCGgIDAioCHgAC5QICAkACBAIFAgYCBwIIAgkCHgILAgwCDQIIAggCCAJ6AAAEAAgCCAIIAggCCAIIAggCCAIIAggCCAIIAggCCAIaAgMCagIeAALlAgICJwIEAgUCBgIHAggCCQIhAgsCDAINAggCCAIIAggCCAIIAggCCAIIAggCCAIIAggCCAIIAggCCAIaAgMCcQIeAALlAgICIAIEAgUCBgIHAggCCQIeAgsCDAINAggCCAIIAggCCAIIAggCCAIIAggCCAIIAggCCAIIAggCCAIaAgMCeQIeAALlAgICNQIEAgUCBgIHAggCCQIeAgsCDAINAggCCAIIAggCCAIIAggCCAIIAggCCAIIAggCCAIIAggCCAIaAgMCNgIeAALlAgICQQIEAgUCBgIHAggCCQIeAgsCDAINAggCCAIIAggCCAIIAggCCAIIAggCCAIIAggCCAIIAggCCAIaAgMCQgIeAALlAgICXAIEAgUCBgIHAggCCQIKAgsCDAINAggCCAIIAggCCAIIAggCCAIIAggCCAIIAggCCAIIAggCCAIaAgMCXQIeAALlAgICMgIEAgUCBgIHAggCCQIKAgsCDAINAggCCAIIAggCCAIIAggCCAIIAggCCAIIAggCCAIIAggCCAIaAgMCdgIeAALlAgICNwIEAgUCBgIHAggCCQIKAgsCDAINAggCCAIIAggCCAIIAggCCAIIAggCCAIIAggCCAIIAggCCAIaAgMCOAIeAALlAgICaAIEAgUCBgIHAggCCQIKAgsCDAINAggCCAIIAggCCAIIAggCCAIIAggCCAIIAggCCAIIAggCCAIaAgMCdQIeAALlAgICLgIEAgUCBgIHAggCCQIKAgsCDAINAggCCAIIAggCCAIIAggCCAIIAggCCAIIAggCCAIIAggCCAIaAgMChAIeAALlAgICawIEAgUCBgIHAggCCQIeAgsCDAINAggCCAIIAggCCAIIAggCCAIIAggCCAIIAggCCAIIAggCCAIaAgMCdAIeAALlAgICIwIEAgUCBgIHAggCCQIeAgsCDAINAggCCAIIAggCCAIIAggCCAIIAggCCAIIAggCCAIIAggCCAIaAgMCKwIeAALlAgICPAIEAgUCBgIHAggCCQIKAgsCDAINAggCCAIIAggCCAIIAggCCAIIAggCCAIIAggCCAIIAggCCAIaAgMCPQIeAALlAgICPgIEAgUCBgIHAggCCQIhAgsCDAINAggCCAIIAggCCAIIAggCCAIIAggCCAIIAggCCAIIAggCCAIaAgMCPwIeAALlAgICQAIEAgUCBgIHAggCCQIhAgsCDAINAggCCAIIAggCCAIIAggCCAIIAggCCAIIAggCCAIIAggCCAIaAgMCJgIeAALlAgICHQIEAgUCBgIHAggCCQIhAgt6AAAEAAIMAg0CCAIIAggCCAIIAggCCAIIAggCCAIIAggCCAIIAggCCAIIAhoCAwJ6Ah4AAuUCAgJUAgQCBQIGAgcCCAIJAh4CCwIMAg0CCAIIAggCCAIIAggCCAIIAggCCAIIAggCCAIIAggCCAIIAhoCAwJ4Ah4AAuUCAgJ9AgQCBQIGAgcCCAIJAiECCwIMAg0CCAIIAggCCAIIAggCCAIIAggCCAIIAggCCAIIAggCCAIIAhoCAwJ+Ah4AAuUCAgIpAgQCBQIGAgcCCAIJAh4CCwIMAg0CCAIIAggCCAIIAggCCAIIAggCCAIIAggCCAIIAggCCAIIAhoCAwJDAh4AAuUCAgJWAgQCBQIGAgcCCAIJAgoCCwIMAg0CCAIIAggCCAIIAggCCAIIAggCCAIIAggCCAIIAggCCAIIAhoCAwJ7Ah4AAuUCAgJIAgQCBQIGAgcCCAIJAiECCwIMAg0CCAIIAggCCAIIAggCCAIIAggCCAIIAggCCAIIAggCCAIIAhoCAwJJAh4AAuUCAgI5AgQCBQIGAgcCCAIJAgoCCwIMAg0CCAIIAggCCAIIAggCCAIIAggCCAIIAggCCAIIAggCCAIIAhoCAwI6Ah4AAuUCAgIlAgQCBQIGAgcCCAIJAh4CCwIMAg0CCAIIAggCCAIIAggCCAIIAggCCAIIAggCCAIIAggCCAIIAhoCAwJ/Ah4AAuUCAgIjAgQCBQIGAgcCCAIJAiECCwIMAg0CCAIIAggCCAIIAggCCAIIAggCCAIIAggCCAIIAggCCAIIAhoCAwImAh4AAuUCAgI8AgQCBQIGAgcCCAIJAh4CCwIMAg0CCAIIAggCCAIIAggCCAIIAggCCAIIAggCCAIIAggCCAIIAhoCAwKRAh4AAuUCAgJrAgQCBQIGAgcCCAIJAiECCwIMAg0CCAIIAggCCAIIAggCCAIIAggCCAIIAggCCAIIAggCCAIIAhoCAwKTAh4AAuUCAgIDAgQCBQIGAgcCCAIJAiECCwIMAg0CCAIIAggCCAIIAggCCAIIAggCCAIIAggCCAIIAggCCAIIAhoCAwJPAh4AAuUCAgJWAgQCBQIGAgcCCAIJAh4CCwIMAg0CCAIIAggCCAIIAggCCAIIAggCCAIIAggCCAIIAggCCAIIAhoCAwJXAh4AAuUCAgJoAgQCBQIGAgcCCAIJAh4CCwIMAg0CCAIIAggCCAIIAggCCAIIAggCCAIIAggCCAIIAggCCAIIAhoCAwJpAh4AAuUCAgJZAgQCBQIGAgcCCAIJAh4CCwIMAg0CCAIIAggCCAIIAggCCAIIAggCCAIIAggCCAIIAggCCAIIAhoCAwJ8Ah4AAuUCAgIwAgQCBQJ6AAAEAAYCBwIIAgkCHgILAgwCDQIIAggCCAIIAggCCAIIAggCCAIIAggCCAIIAggCCAIIAggCGgIDAkYCHgAC5QICAkgCBAIFAgYCBwIIAgkCCgILAgwCDQIIAggCCAIIAggCCAIIAggCCAIIAggCCAIIAggCCAIIAggCGgIDAmICHgAC5QICAn0CBAIFAgYCBwIIAgkCCgILAgwCDQIIAggCCAIIAggCCAIIAggCCAIIAggCCAIIAggCCAIIAggCGgIDAo0CHgAC5QICAlICBAIFAgYCBwIIAgkCIQILAgwCDQIIAggCCAIIAggCCAIIAggCCAIIAggCCAIIAggCCAIIAggCGgIDAlMCHgAC5QICAkgCBAIFAgYCBwIIAgkCHgILAgwCDQIIAggCCAIIAggCCAIIAggCCAIIAggCCAIIAggCCAIIAggCGgIDAl4CHgAC5QICAlUCBAIFAgYCBwIIAgkCIQILAgwCDQIIAggCCAIIAggCCAIIAggCCAIIAggCCAIIAggCCAIIAggCGgIDAiYCHgAC5QICAlQCBAIFAgYCBwIIAgkCIQILAgwCDQIIAggCCAIIAggCCAIIAggCCAIIAggCCAIIAggCCAIIAggCGgIDAiYCHgAC5QICAhsCBAIFAgYCBwIIAgkCIQILAgwCDQIIAggCCAIIAggCCAIIAggCCAIIAggCCAIIAggCCAIIAggCGgIDAoMCHgAC5QICAj4CBAIFAgYCBwIIAgkCHgILAgwCDQIIAggCCAIIAggCCAIIAggCCAIIAggCCAIIAggCCAIIAggCGgIDAlgCHgAC5QICAkECBAIFAgYCBwIIAgkCCgILAgwCDQIIAggCCAIIAggCCAIIAggCCAIIAggCCAIIAggCCAIIAggCGgIDAk4CHgAC5QICAiUCBAIFAgYCBwIIAgkCCgILAgwCDQIIAggCCAIIAggCCAIIAggCCAIIAggCCAIIAggCCAIIAggCGgIDAoUCHgAC5QICAlkCBAIFAgYCBwIIAgkCIQILAgwCDQIIAggCCAIIAggCCAIIAggCCAIIAggCCAIIAggCCAIIAggCGgIDAloCHgAC5QICAiACBAIFAgYCBwIIAgkCCgILAgwCDQIIAggCCAIIAggCCAIIAggCCAIIAggCCAIIAggCCAIIAggCGgIDAoECHgAC5QICAjACBAIFAgYCBwIIAgkCIQILAgwCDQIIAggCCAIIAggCCAIIAggCCAIIAggCCAIIAggCCAIIAggCGgIDAoYCHgAC5QICAjkCBAIFAgYCBwIIAgkCHgILAgwCDQIIAggCCAIIAggCCAIIAggCCAIIAggCCAIIAggCCAIIAggCGgIDAoICHgB6AAAEAALlAgICaAIEAgUCBgIHAggCCQIhAgsCDAINAggCCAIIAggCCAIIAggCCAIIAggCCAIIAggCCAIIAggCCAIaAgMCdwIeAALlAgICWQIEAgUCBgIHAggCCQIKAgsCDAINAggCCAIIAggCCAIIAggCCAIIAggCCAIIAggCCAIIAggCCAIaAgMCcAIeAALlAgICPAIEAgUCBgIHAggCCQIhAgsCDAINAggCCAIIAggCCAIIAggCCAIIAggCCAIIAggCCAIIAggCCAIaAgMCJgIeAALlAgICNwIEAgUCBgIHAggCCQIhAgsCDAINAggCCAIIAggCCAIIAggCCAIIAggCCAIIAggCCAIIAggCCAIaAgMCJgIeAALlAgICMAIEAgUCBgIHAggCCQIKAgsCDAINAggCCAIIAggCCAIIAggCCAIIAggCCAIIAggCCAIIAggCCAIaAgMCMQIeAALlAgICAwIEAgUCBgIHAggCCQIeAgsCDAINAggCCAIIAggCCAIIAggCCAIIAggCCAIIAggCCAIIAggCCAIaAgMCNAIeAALlAgICMgIEAgUCBgIHAggCCQIhAgsCDAINAggCCAIIAggCCAIIAggCCAIIAggCCAIIAggCCAIIAggCCAIaAgMCMwIeAALlAgICVgIEAgUCBgIHAggCCQIhAgsCDAINAggCCAIIAggCCAIIAggCCAIIAggCCAIIAggCCAIIAggCCAIaAgMCigIeAALlAgICOQIEAgUCBgIHAggCCQIhAgsCDAINAggCCAIIAggCCAIIAggCCAIIAggCCAIIAggCCAIIAggCCAIaAgMCYAIeAALlAgICfQIEAgUCBgIHAggCCQIeAgsCDAINAggCCAIIAggCCAIIAggCCAIIAggCCAIIAggCCAIIAggCCAIaAgMChwIeAALlAgICKQIEAgUCBgIHAggCCQIhAgsCDAINAggCCAIIAggCCAIIAggCCAIIAggCCAIIAggCCAIIAggCCAIaAgMCjgIeAALlAgICXAIEAgUCBgIHAggCCQIeAgsCDAINAggCCAIIAggCCAIIAggCCAIIAggCCAIIAggCCAIIAggCCAIaAgMCZgIeAALlAgICLgIEAgUCBgIHAggCCQIeAgsCDAINAggCCAIIAggCCAIIAggCCAIIAggCCAIIAggCCAIIAggCCAIaAgMCkgIeAALlAgICQAIEAgUCBgIHAggCCQIKAgsCDAINAggCCAIIAggCCAIIAggCCAIIAggCCAIIAggCCAIIAggCCAIaAgMCYwIeAALlAgICUgIEAgUCBgIHAggCCQIeAgsCDAINAggCCAIIAggCCAIIAggCCAIIAggCCAIIAggCCAIIAgh6AAAEAAIIAhoCAwKIAh4AAuUCAgIbAgQCBQIGAgcCCAIJAh4CCwIMAg0CCAIIAggCCAIIAggCCAIIAggCCAIIAggCCAIIAggCCAIIAhoCAwJfAh4AAuUCAgInAgQCBQIGAgcCCAIJAgoCCwIMAg0CCAIIAggCCAIIAggCCAIIAggCCAIIAggCCAIIAggCCAIIAhoCAwKMAh4AAuUCAgI+AgQCBQIGAgcCCAIJAgoCCwIMAg0CCAIIAggCCAIIAggCCAIIAggCCAIIAggCCAIIAggCCAIIAhoCAwJhAh4AAuUCAgIdAgQCBQIGAgcCCAIJAgoCCwIMAg0CCAIIAggCCAIIAggCCAIIAggCCAIIAggCCAIIAggCCAIIAhoCAwKPAh4AAuUCAgI1AgQCBQIGAgcCCAIJAiECCwIMAg0CCAIIAggCCAIIAggCCAIIAggCCAIIAggCCAIIAggCCAIIAhoCAwJlAh4AAuUCAgJVAgQCBQIGAgcCCAIJAh4CCwIMAg0CCAIIAggCCAIIAggCCAIIAggCCAIIAggCCAIIAggCCAIIAhoCAwKJAh4AAuYACTc3OTg5ODE2OAICAiUCBAIFAgYCBwIIAgkCIQILAgwCDQIIAggCCAIIAggCCAIIAggCCAIIAggCCAIIAggCCAIIAggCGAIDAiYCHgAC5gICAlUCBAIFAgYCBwIIAgkCCgILAgwCDQIIAggCCAIIAggCCAIIAggCCAIIAggCCAIIAggCCAIIAggCGAIDAnICHgAC5gICAlwCBAIFAgYCBwIIAgkCIQILAgwCDQIIAggCCAIIAggCCAIIAggCCAIIAggCCAIIAggCCAIIAggCGAIDAnMCHgAC5gICAh0CBAIFAgYCBwIIAgkCHgILAgwCDQIIAggCCAIIAggCCAIIAggCCAIIAggCCAIIAggCCAIIAggCGAIDAh8CHgAC5gICAlQCBAIFAgYCBwIIAgkCCgILAgwCDQIIAggCCAIIAggCCAIIAggCCAIIAggCCAIIAggCCAIIAggCGAIDAm8CHgAC5gICAlICBAIFAgYCBwIIAgkCCgILAgwCDQIIAggCCAIIAggCCAIIAggCCAIIAggCCAIIAggCCAIIAggCGAIDAm4CHgAC5gICAikCBAIFAgYCBwIIAgkCCgILAgwCDQIIAggCCAIIAggCCAIIAggCCAIIAggCCAIIAggCCAIIAggCGAIDAioCHgAC5gICAi4CBAIFAgYCBwIIAgkCIQILAgwCDQIIAggCCAIIAggCCAIIAggCCAIIAggCCAIIAggCCAIIAggCGAIDAi8CHgAC5gICAhsCBAIFAgYCBwIIAgkCCgILAgwCDQIIAggCCAIIAgh6AAAEAAIIAggCCAIIAggCCAIIAggCCAIIAggCCAIYAgMCHAIeAALmAgICQAIEAgUCBgIHAggCCQIeAgsCDAINAggCCAIIAggCCAIIAggCCAIIAggCCAIIAggCCAIIAggCCAIYAgMCagIeAALmAgICawIEAgUCBgIHAggCCQIKAgsCDAINAggCCAIIAggCCAIIAggCCAIIAggCCAIIAggCCAIIAggCCAIYAgMCbAIeAALmAgICQQIEAgUCBgIHAggCCQIhAgsCDAINAggCCAIIAggCCAIIAggCCAIIAggCCAIIAggCCAIIAggCCAIYAgMCbQIeAALmAgICIAIEAgUCBgIHAggCCQIhAgsCDAINAggCCAIIAggCCAIIAggCCAIIAggCCAIIAggCCAIIAggCCAIYAgMCIgIeAALmAgICIwIEAgUCBgIHAggCCQIKAgsCDAINAggCCAIIAggCCAIIAggCCAIIAggCCAIIAggCCAIIAggCCAIYAgMCJAIeAALmAgICNQIEAgUCBgIHAggCCQIKAgsCDAINAggCCAIIAggCCAIIAggCCAIIAggCCAIIAggCCAIIAggCCAIYAgMCSgIeAALmAgICJwIEAgUCBgIHAggCCQIeAgsCDAINAggCCAIIAggCCAIIAggCCAIIAggCCAIIAggCCAIIAggCCAIYAgMCKAIeAALmAgICMgIEAgUCBgIHAggCCQIeAgsCDAINAggCCAIIAggCCAIIAggCCAIIAggCCAIIAggCCAIIAggCCAIYAgMCkAIeAALmAgICNwIEAgUCBgIHAggCCQIeAgsCDAINAggCCAIIAggCCAIIAggCCAIIAggCCAIIAggCCAIIAggCCAIYAgMCZwIeAALmAgICAwIEAgUCBgIHAggCCQIKAgsCDAINAggCCAIIAggCCAIIAggCCAIIAggCCAIIAggCCAIIAggCCAIYAgMCDgIeAALmAgICPgIEAgUCBgIHAggCCQIKAgsCDAINAggCCAIIAggCCAIIAggCCAIIAggCCAIIAggCCAIIAggCCAIYAgMCYQIeAALmAgICQAIEAgUCBgIHAggCCQIKAgsCDAINAggCCAIIAggCCAIIAggCCAIIAggCCAIIAggCCAIIAggCCAIYAgMCYwIeAALmAgICHQIEAgUCBgIHAggCCQIKAgsCDAINAggCCAIIAggCCAIIAggCCAIIAggCCAIIAggCCAIIAggCCAIYAgMCjwIeAALmAgICLgIEAgUCBgIHAggCCQIeAgsCDAINAggCCAIIAggCCAIIAggCCAIIAggCCAIIAggCCAIIAggCCAIYAgMCkgIeAALmAgICawIEAgUCBgIHAggCCQIhAgsCDAJ6AAAEAA0CCAIIAggCCAIIAggCCAIIAggCCAIIAggCCAIIAggCCAIIAhgCAwKTAh4AAuYCAgI1AgQCBQIGAgcCCAIJAiECCwIMAg0CCAIIAggCCAIIAggCCAIIAggCCAIIAggCCAIIAggCCAIIAhgCAwJlAh4AAuYCAgIbAgQCBQIGAgcCCAIJAh4CCwIMAg0CCAIIAggCCAIIAggCCAIIAggCCAIIAggCCAIIAggCCAIIAhgCAwJfAh4AAuYCAgJVAgQCBQIGAgcCCAIJAh4CCwIMAg0CCAIIAggCCAIIAggCCAIIAggCCAIIAggCCAIIAggCCAIIAhgCAwKJAh4AAuYCAgInAgQCBQIGAgcCCAIJAgoCCwIMAg0CCAIIAggCCAIIAggCCAIIAggCCAIIAggCCAIIAggCCAIIAhgCAwKMAh4AAuYCAgI3AgQCBQIGAgcCCAIJAiECCwIMAg0CCAIIAggCCAIIAggCCAIIAggCCAIIAggCCAIIAggCCAIIAhgCAwImAh4AAuYCAgIDAgQCBQIGAgcCCAIJAh4CCwIMAg0CCAIIAggCCAIIAggCCAIIAggCCAIIAggCCAIIAggCCAIIAhgCAwI0Ah4AAuYCAgI8AgQCBQIGAgcCCAIJAiECCwIMAg0CCAIIAggCCAIIAggCCAIIAggCCAIIAggCCAIIAggCCAIIAhgCAwImAh4AAuYCAgJEAgQCBQIGAgcCCAIJAgoCCwIMAg0CCAIIAggCCAIIAggCCAIIAggCCAIIAggCCAIIAggCCAIIAhgCAwKLAh4AAuYCAgI5AgQCBQIGAgcCCAIJAiECCwIMAg0CCAIIAggCCAIIAggCCAIIAggCCAIIAggCCAIIAggCCAIIAhgCAwJgAh4AAuYCAgJSAgQCBQIGAgcCCAIJAh4CCwIMAg0CCAIIAggCCAIIAggCCAIIAggCCAIIAggCCAIIAggCCAIIAhgCAwKIAh4AAuYCAgIyAgQCBQIGAgcCCAIJAiECCwIMAg0CCAIIAggCCAIIAggCCAIIAggCCAIIAggCCAIIAggCCAIIAhgCAwIzAh4AAuYCAgIwAgQCBQIGAgcCCAIJAgoCCwIMAg0CCAIIAggCCAIIAggCCAIIAggCCAIIAggCCAIIAggCCAIIAhgCAwIxAh4AAuYCAgJZAgQCBQIGAgcCCAIJAgoCCwIMAg0CCAIIAggCCAIIAggCCAIIAggCCAIIAggCCAIIAggCCAIIAhgCAwJwAh4AAuYCAgJWAgQCBQIGAgcCCAIJAiECCwIMAg0CCAIIAggCCAIIAggCCAIIAggCCAIIAggCCAIIAggCCAIIAhgCAwKKAh4AAuYCAgJ9AgQCBQIGAgd6AAAEAAIIAgkCHgILAgwCDQIIAggCCAIIAggCCAIIAggCCAIIAggCCAIIAggCCAIIAggCGAIDAocCHgAC5gICAkgCBAIFAgYCBwIIAgkCHgILAgwCDQIIAggCCAIIAggCCAIIAggCCAIIAggCCAIIAggCCAIIAggCGAIDAl4CHgAC5gICAlQCBAIFAgYCBwIIAgkCIQILAgwCDQIIAggCCAIIAggCCAIIAggCCAIIAggCCAIIAggCCAIIAggCGAIDAiYCHgAC5gICAi4CBAIFAgYCBwIIAgkCCgILAgwCDQIIAggCCAIIAggCCAIIAggCCAIIAggCCAIIAggCCAIIAggCGAIDAoQCHgAC5gICAiUCBAIFAgYCBwIIAgkCCgILAgwCDQIIAggCCAIIAggCCAIIAggCCAIIAggCCAIIAggCCAIIAggCGAIDAoUCHgAC5gICAlkCBAIFAgYCBwIIAgkCIQILAgwCDQIIAggCCAIIAggCCAIIAggCCAIIAggCCAIIAggCCAIIAggCGAIDAloCHgAC5gICAj4CBAIFAgYCBwIIAgkCHgILAgwCDQIIAggCCAIIAggCCAIIAggCCAIIAggCCAIIAggCCAIIAggCGAIDAlgCHgAC5gICAlUCBAIFAgYCBwIIAgkCIQILAgwCDQIIAggCCAIIAggCCAIIAggCCAIIAggCCAIIAggCCAIIAggCGAIDAiYCHgAC5gICAmgCBAIFAgYCBwIIAgkCIQILAgwCDQIIAggCCAIIAggCCAIIAggCCAIIAggCCAIIAggCCAIIAggCGAIDAncCHgAC5gICAkECBAIFAgYCBwIIAgkCCgILAgwCDQIIAggCCAIIAggCCAIIAggCCAIIAggCCAIIAggCCAIIAggCGAIDAk4CHgAC5gICAiACBAIFAgYCBwIIAgkCCgILAgwCDQIIAggCCAIIAggCCAIIAggCCAIIAggCCAIIAggCCAIIAggCGAIDAoECHgAC5gICAjACBAIFAgYCBwIIAgkCIQILAgwCDQIIAggCCAIIAggCCAIIAggCCAIIAggCCAIIAggCCAIIAggCGAIDAoYCHgAC5gICAgMCBAIFAgYCBwIIAgkCIQILAgwCDQIIAggCCAIIAggCCAIIAggCCAIIAggCCAIIAggCCAIIAggCGAIDAk8CHgAC5gICAjkCBAIFAgYCBwIIAgkCHgILAgwCDQIIAggCCAIIAggCCAIIAggCCAIIAggCCAIIAggCCAIIAggCGAIDAoICHgAC5gICAlYCBAIFAgYCBwIIAgkCHgILAgwCDQIIAggCCAIIAggCCAIIAggCCAIIAggCCAIIAggCCAIIAggCGAIDAlcCHgAC5gJ6AAAEAAICaAIEAgUCBgIHAggCCQIeAgsCDAINAggCCAIIAggCCAIIAggCCAIIAggCCAIIAggCCAIIAggCCAIYAgMCaQIeAALmAgICfQIEAgUCBgIHAggCCQIKAgsCDAINAggCCAIIAggCCAIIAggCCAIIAggCCAIIAggCCAIIAggCCAIYAgMCjQIeAALmAgICUgIEAgUCBgIHAggCCQIhAgsCDAINAggCCAIIAggCCAIIAggCCAIIAggCCAIIAggCCAIIAggCCAIYAgMCUwIeAALmAgICGwIEAgUCBgIHAggCCQIhAgsCDAINAggCCAIIAggCCAIIAggCCAIIAggCCAIIAggCCAIIAggCCAIYAgMCgwIeAALmAgICSAIEAgUCBgIHAggCCQIKAgsCDAINAggCCAIIAggCCAIIAggCCAIIAggCCAIIAggCCAIIAggCCAIYAgMCYgIeAALmAgICIwIEAgUCBgIHAggCCQIhAgsCDAINAggCCAIIAggCCAIIAggCCAIIAggCCAIIAggCCAIIAggCCAIYAgMCJgIeAALmAgICPAIEAgUCBgIHAggCCQIeAgsCDAINAggCCAIIAggCCAIIAggCCAIIAggCCAIIAggCCAIIAggCCAIYAgMCkQIeAALmAgICXAIEAgUCBgIHAggCCQIeAgsCDAINAggCCAIIAggCCAIIAggCCAIIAggCCAIIAggCCAIIAggCCAIYAgMCZgIeAALmAgICWQIEAgUCBgIHAggCCQIeAgsCDAINAggCCAIIAggCCAIIAggCCAIIAggCCAIIAggCCAIIAggCCAIYAgMCfAIeAALmAgICRAIEAgUCBgIHAggCCQIeAgsCDAINAggCCAIIAggCCAIIAggCCAIIAggCCAIIAggCCAIIAggCCAIYAgMCRQIeAALmAgICKQIEAgUCBgIHAggCCQIhAgsCDAINAggCCAIIAggCCAIIAggCCAIIAggCCAIIAggCCAIIAggCCAIYAgMCjgIeAALmAgICfQIEAgUCBgIHAggCCQIhAgsCDAINAggCCAIIAggCCAIIAggCCAIIAggCCAIIAggCCAIIAggCCAIYAgMCfgIeAALmAgICSAIEAgUCBgIHAggCCQIhAgsCDAINAggCCAIIAggCCAIIAggCCAIIAggCCAIIAggCCAIIAggCCAIYAgMCSQIeAALmAgICVAIEAgUCBgIHAggCCQIeAgsCDAINAggCCAIIAggCCAIIAggCCAIIAggCCAIIAggCCAIIAggCCAIYAgMCeAIeAALmAgICQAIEAgUCBgIHAggCCQIhAgsCDAINAggCCAIIAggCCAIIAggCCAIIAggCCAIIAggCCAIIAggCCAJ6AAAEABgCAwImAh4AAuYCAgIwAgQCBQIGAgcCCAIJAh4CCwIMAg0CCAIIAggCCAIIAggCCAIIAggCCAIIAggCCAIIAggCCAIIAhgCAwJGAh4AAuYCAgIdAgQCBQIGAgcCCAIJAiECCwIMAg0CCAIIAggCCAIIAggCCAIIAggCCAIIAggCCAIIAggCCAIIAhgCAwJ6Ah4AAuYCAgIpAgQCBQIGAgcCCAIJAh4CCwIMAg0CCAIIAggCCAIIAggCCAIIAggCCAIIAggCCAIIAggCCAIIAhgCAwJDAh4AAuYCAgJWAgQCBQIGAgcCCAIJAgoCCwIMAg0CCAIIAggCCAIIAggCCAIIAggCCAIIAggCCAIIAggCCAIIAhgCAwJ7Ah4AAuYCAgI5AgQCBQIGAgcCCAIJAgoCCwIMAg0CCAIIAggCCAIIAggCCAIIAggCCAIIAggCCAIIAggCCAIIAhgCAwI6Ah4AAuYCAgIlAgQCBQIGAgcCCAIJAh4CCwIMAg0CCAIIAggCCAIIAggCCAIIAggCCAIIAggCCAIIAggCCAIIAhgCAwJ/Ah4AAuYCAgJoAgQCBQIGAgcCCAIJAgoCCwIMAg0CCAIIAggCCAIIAggCCAIIAggCCAIIAggCCAIIAggCCAIIAhgCAwJ1Ah4AAuYCAgIgAgQCBQIGAgcCCAIJAh4CCwIMAg0CCAIIAggCCAIIAggCCAIIAggCCAIIAggCCAIIAggCCAIIAhgCAwJ5Ah4AAuYCAgI3AgQCBQIGAgcCCAIJAgoCCwIMAg0CCAIIAggCCAIIAggCCAIIAggCCAIIAggCCAIIAggCCAIIAhgCAwI4Ah4AAuYCAgJBAgQCBQIGAgcCCAIJAh4CCwIMAg0CCAIIAggCCAIIAggCCAIIAggCCAIIAggCCAIIAggCCAIIAhgCAwJCAh4AAuYCAgJrAgQCBQIGAgcCCAIJAh4CCwIMAg0CCAIIAggCCAIIAggCCAIIAggCCAIIAggCCAIIAggCCAIIAhgCAwJ0Ah4AAuYCAgI1AgQCBQIGAgcCCAIJAh4CCwIMAg0CCAIIAggCCAIIAggCCAIIAggCCAIIAggCCAIIAggCCAIIAhgCAwI2Ah4AAuYCAgIjAgQCBQIGAgcCCAIJAh4CCwIMAg0CCAIIAggCCAIIAggCCAIIAggCCAIIAggCCAIIAggCCAIIAhgCAwIrAh4AAuYCAgJEAgQCBQIGAgcCCAIJAiECCwIMAg0CCAIIAggCCAIIAggCCAIIAggCCAIIAggCCAIIAggCCAIIAhgCAwImAh4AAuYCAgJcAgQCBQIGAgcCCAIJAgoCCwIMAg0CCAIIAggCCAIIAggCCAIIAggCCAIIAgh6AAAEAAIIAggCCAIIAggCGAIDAl0CHgAC5gICAjICBAIFAgYCBwIIAgkCCgILAgwCDQIIAggCCAIIAggCCAIIAggCCAIIAggCCAIIAggCCAIIAggCGAIDAnYCHgAC5gICAicCBAIFAgYCBwIIAgkCIQILAgwCDQIIAggCCAIIAggCCAIIAggCCAIIAggCCAIIAggCCAIIAggCGAIDAnECHgAC5gICAjwCBAIFAgYCBwIIAgkCCgILAgwCDQIIAggCCAIIAggCCAIIAggCCAIIAggCCAIIAggCCAIIAggCGAIDAj0CHgAC5gICAj4CBAIFAgYCBwIIAgkCIQILAgwCDQIIAggCCAIIAggCCAIIAggCCAIIAggCCAIIAggCCAIIAggCGAIDAj8CHgAC5wAJNTQwNTc0MzQ0AgICVAIEAgUCBgIHAggCCQIeAgsCDAINAggCCAIIAggCCAIIAggCCAIIAggCCAIIAggCCAIIAggCCAICAgMCeAIeAALnAgICXAIEAgUCBgIHAggCCQIeAgsCDAINAggCCAIIAggCCAIIAggCCAIIAggCCAIIAggCCAIIAggCCAICAgMCZgIeAALnAgICHQIEAgUCBgIHAggCCQIeAgsCDAINAggCCAIIAggCCAIIAggCCAIIAggCCAIIAggCCAIIAggCCAICAgMCHwIeAALnAgICOQIEAgUCBgIHAggCCQIeAgsCDAINAggCCAIIAggCCAIIAggCCAIIAggCCAIIAggCCAIIAggCCAICAgMCggIeAALnAgICGwIEAgUCBgIHAggCCQIeAgsCDAINAggCCAIIAggCCAIIAggCCAIIAggCCAIIAggCCAIIAggCCAICAgMCXwIeAALnAgICJQIEAgUCBgIHAggCCQIeAgsCDAINAggCCAIIAggCCAIIAggCCAIIAggCCAIIAggCCAIIAggCCAICAgMCfwIeAALnAgICQAIEAgUCBgIHAggCCQIeAgsCDAINAggCCAIIAggCCAIIAggCCAIIAggCCAIIAggCCAIIAggCCAICAgMCagIeAALnAgICVQIEAgUCBgIHAggCCQIeAgsCDAINAggCCAIIAggCCAIIAggCCAIIAggCCAIIAggCCAIIAggCCAICAgMCiQIeAALnAgICPAIEAgUCBgIHAggCCQIeAgsCDAINAggCCAIIAggCCAIIAggCCAIIAggCCAIIAggCCAIIAggCCAICAgMCkQIeAALnAgICawIEAgUCBgIHAggCCQIeAgsCDAINAggCCAIIAggCCAIIAggCCAIIAggCCAIIAggCCAIIAggCCAICAgMCdAIeAALnAgICMgIEAgUCBgIHAggCCQIeAgsCDAINAgh6AAACWQIIAggCCAIIAggCCAIIAggCCAIIAggCCAIIAggCCAIIAgICAwKQAh4AAucCAgIgAgQCBQIGAgcCCAIJAh4CCwIMAg0CCAIIAggCCAIIAggCCAIIAggCCAIIAggCCAIIAggCCAIIAgICAwJ5Ah4AAucCAgIDAgQCBQIGAgcCCAIJAh4CCwIMAg0CCAIIAggCCAIIAggCCAIIAggCCAIIAggCCAIIAggCCAIIAgICAwI0Ah4AAucCAgJ9AgQCBQIGAgcCCAIJAh4CCwIMAg0CCAIIAggCCAIIAggCCAIIAggCCAIIAggCCAIIAggCCAIIAgICAwKHAh4AAucCAgJZAgQCBQIGAgcCCAIJAh4CCwIMAg0CCAIIAggCCAIIAggCCAIIAggCCAIIAggCCAIIAggCCAIIAgICAwJ8Ah4AAucCAgJEAgQCBQIGAgcCCAIJAh4CCwIMAg0CCAIIAggCCAIIAggCCAIIAggCCAIIAggCCAIIAggCCAIIAgICAwJFAh4AAucCAgI3AgQCBQIGAgcCCAIJAh4CCwIMAg0CCAIIAggCCAIIAggCCAIIAggCCAIIAggCCAIIAggCCAIIAgICAwJnAh4AAucCAgIjAgQCBQIGAgcCCAIJAh4CCwIMAg0CCAIIAggCCAIIAggCCAIIAggCCAIIAggCCAIIAggCCAIIAgICAwIrAh4AAugACTU0MDU3NzgyNAICAlUCBAIFAgYCBwIIAgkCCgILApYCDQIIAggCCAIIAggCCAIIAggCCAIIAggCCAIIAggCCAIIAggCBQIDAulzcQB+AAAAAAACc3EAfgAE///////////////+/////gAAAAF1cQB+AAcAAAADNqW2eHh6AAACsgIeAALoAgICAwIEAgUCBgIHAggCCQIKAgsClgINAggCCAIIAggCCAIIAggCCAIIAggCCAIIAggCCAIIAggCCAIFAgMCyQIeAALoAgICOQIEAgUCBgIHAggCCQIKAgsClgINAggCCAIIAggCCAIIAggCCAIIAggCCAIIAggCCAIIAggCCAIFAgMC0QIeAALoAgICIAIEAgUCBgIHAggCCQIKAgsClgINAggCCAIIAggCCAIIAggCCAIIAggCCAIIAggCCAIIAggCCAIFAgMCnQIeAALoAgICMgIEAgUCBgIHAggCCQIKAgsClgINAggCCAIIAggCCAIIAggCCAIIAggCCAIIAggCCAIIAggCCAIFAgMC3QIeAALoAgICHQIEAgUCBgIHAggCCQIKAgsClgINAggCCAIIAggCCAIIAggCCAIIAggCCAIIAggCCAIIAggCCAIFAgMCtQIeAALoAgICGwIEAgUCBgIHAggCCQIKAgsClgINAggCCAIIAggCCAIIAggCCAIIAggCCAIIAggCCAIIAggCCAIFAgMCvQIeAALoAgICNwIEAgUCBgIHAggCCQIKAgsClgINAggCCAIIAggCCAIIAggCCAIIAggCCAIIAggCCAIIAggCCAIFAgMC3gIeAALoAgICIwIEAgUCBgIHAggCCQIKAgsClgINAggCCAIIAggCCAIIAggCCAIIAggCCAIIAggCCAIIAggCCAIFAgMC4gIeAALoAgICWQIEAgUCBgIHAggCCQIKAgsClgINAggCCAIIAggCCAIIAggCCAIIAggCCAIIAggCCAIIAggCCAIFAgMCuwIeAALoAgICRAIEAgUCBgIHAggCCQIKAgsClgINAggCCAIIAggCCAIIAggCCAIIAggCCAIIAggCCAIIAggCCAIFAgMC6nNxAH4AAAAAAAJzcQB+AAT///////////////7////+AAAAAXVxAH4ABwAAAAQBo3C7eHh6AAAEAAIeAALoAgICfQIEAgUCBgIHAggCCQIKAgsClgINAggCCAIIAggCCAIIAggCCAIIAggCCAIIAggCCAIIAggCCAIFAgMCqAIeAALoAgICVAIEAgUCBgIHAggCCQIKAgsClgINAggCCAIIAggCCAIIAggCCAIIAggCCAIIAggCCAIIAggCCAIFAgMCwQIeAALoAgICawIEAgUCBgIHAggCCQIKAgsClgINAggCCAIIAggCCAIIAggCCAIIAggCCAIIAggCCAIIAggCCAIFAgMCwwIeAALoAgICXAIEAgUCBgIHAggCCQIKAgsClgINAggCCAIIAggCCAIIAggCCAIIAggCCAIIAggCCAIIAggCCAIFAgMC3AIeAALoAgICPAIEAgUCBgIHAggCCQIKAgsClgINAggCCAIIAggCCAIIAggCCAIIAggCCAIIAggCCAIIAggCCAIFAgMC2wIeAALoAgICJQIEAgUCBgIHAggCCQIKAgsClgINAggCCAIIAggCCAIIAggCCAIIAggCCAIIAggCCAIIAggCCAIFAgMCnAIeAALoAgICQAIEAgUCBgIHAggCCQIKAgsClgINAggCCAIIAggCCAIIAggCCAIIAggCCAIIAggCCAIIAggCCAIFAgMC5AIeAALrAAk4MzQ3NjMwMjQCAgIgAgQCBQIGAgcCCAIJApgCCwKWAg0CCAIIAggCCAIIAggCCAIIAggCCAIIAggCCAIIAggCCAIIAiMCAwLZAh4AAusCAgJcAgQCBQIGAgcCCAIJAh4CCwKWAg0CCAIIAggCCAIIAggCCAIIAggCCAIIAggCCAIIAggCCAIIAiMCAwKxAh4AAusCAgInAgQCBQIGAgcCCAIJAgoCCwKWAg0CCAIIAggCCAIIAggCCAIIAggCCAIIAggCCAIIAggCCAIIAiMCAwK4Ah4AAusCAgIyAgQCBQIGAgcCCAIJAgoCCwKWAg0CCAIIAggCCAIIAggCCAIIAggCCAIIAggCCAIIAggCCAIIAiMCAwLdAh4AAusCAgJBAgQCBQIGAgcCCAIJAh4CCwKWAg0CCAIIAggCCAIIAggCCAIIAggCCAIIAggCCAIIAggCCAIIAiMCAwLSAh4AAusCAgJBAgQCBQIGAgcCCAIJApgCCwKWAg0CCAIIAggCCAIIAggCCAIIAggCCAIIAggCCAIIAggCCAIIAiMCAwLYAh4AAusCAgIgAgQCBQIGAgcCCAIJAh4CCwKWAg0CCAIIAggCCAIIAggCCAIIAggCCAIIAggCCAIIAggCCAIIAiMCAwLTAh4AAusCAgIyAgQCBQIGAgcCCAIJAh4CCwKWAg0CCAIIAggCCAIIAggCCAIIAgh6AAAEAAIIAggCCAIIAggCCAIIAggCIwIDAsgCHgAC6wICAiUCBAIFAgYCBwIIAgkCmAILApYCDQIIAggCCAIIAggCCAIIAggCCAIIAggCCAIIAggCCAIIAggCIwIDAiYCHgAC6wICAjUCBAIFAgYCBwIIAgkCCgILApYCDQIIAggCCAIIAggCCAIIAggCCAIIAggCCAIIAggCCAIIAggCIwIDAsQCHgAC6wICAh0CBAIFAgYCBwIIAgkCCgILApYCDQIIAggCCAIIAggCCAIIAggCCAIIAggCCAIIAggCCAIIAggCIwIDArUCHgAC6wICAiUCBAIFAgYCBwIIAgkCHgILApYCDQIIAggCCAIIAggCCAIIAggCCAIIAggCCAIIAggCCAIIAggCIwIDAssCHgAC6wICAlwCBAIFAgYCBwIIAgkCmAILApYCDQIIAggCCAIIAggCCAIIAggCCAIIAggCCAIIAggCCAIIAggCIwIDAq8CHgAC6wICAjICBAIFAgYCBwIIAgkCmAILApYCDQIIAggCCAIIAggCCAIIAggCCAIIAggCCAIIAggCCAIIAggCIwIDAscCHgAC6wICAi4CBAIFAgYCBwIIAgkCHgILApYCDQIIAggCCAIIAggCCAIIAggCCAIIAggCCAIIAggCCAIIAggCIwIDAq4CHgAC6wICAi4CBAIFAgYCBwIIAgkCmAILApYCDQIIAggCCAIIAggCCAIIAggCCAIIAggCCAIIAggCCAIIAggCIwIDArQCHgAC6wICAj4CBAIFAgYCBwIIAgkCHgILApYCDQIIAggCCAIIAggCCAIIAggCCAIIAggCCAIIAggCCAIIAggCIwIDAqkCHgAC6wICAh0CBAIFAgYCBwIIAgkCHgILApYCDQIIAggCCAIIAggCCAIIAggCCAIIAggCCAIIAggCCAIIAggCIwIDAr8CHgAC6wICAiACBAIFAgYCBwIIAgkCCgILApYCDQIIAggCCAIIAggCCAIIAggCCAIIAggCCAIIAggCCAIIAggCIwIDAp0CHgAC6wICAkECBAIFAgYCBwIIAgkCCgILApYCDQIIAggCCAIIAggCCAIIAggCCAIIAggCCAIIAggCCAIIAggCIwIDAqUCHgAC6wICAj4CBAIFAgYCBwIIAgkCmAILApYCDQIIAggCCAIIAggCCAIIAggCCAIIAggCCAIIAggCCAIIAggCIwIDAqsCHgAC6wICAmsCBAIFAgYCBwIIAgkCCgILApYCDQIIAggCCAIIAggCCAIIAggCCAIIAggCCAIIAggCCAIIAggCIwIDAsMCHgAC6wICAh0CBAIFAgYCBwIIAgkCmAILApYCDQIIAggCCAJ6AAAEAAgCCAIIAggCCAIIAggCCAIIAggCCAIIAggCCAIjAgMCvgIeAALrAgICJwIEAgUCBgIHAggCCQKYAgsClgINAggCCAIIAggCCAIIAggCCAIIAggCCAIIAggCCAIIAggCCAIjAgMCygIeAALrAgICJwIEAgUCBgIHAggCCQIeAgsClgINAggCCAIIAggCCAIIAggCCAIIAggCCAIIAggCCAIIAggCCAIjAgMCxgIeAALrAgICMAIEAgUCBgIHAggCCQIKAgsClgINAggCCAIIAggCCAIIAggCCAIIAggCCAIIAggCCAIIAggCCAIjAgMCtgIeAALrAgICWQIEAgUCBgIHAggCCQIKAgsClgINAggCCAIIAggCCAIIAggCCAIIAggCCAIIAggCCAIIAggCCAIjAgMCuwIeAALrAgICfQIEAgUCBgIHAggCCQKYAgsClgINAggCCAIIAggCCAIIAggCCAIIAggCCAIIAggCCAIIAggCCAIjAgMCtwIeAALrAgICVAIEAgUCBgIHAggCCQIKAgsClgINAggCCAIIAggCCAIIAggCCAIIAggCCAIIAggCCAIIAggCCAIjAgMCwQIeAALrAgICKQIEAgUCBgIHAggCCQIKAgsClgINAggCCAIIAggCCAIIAggCCAIIAggCCAIIAggCCAIIAggCCAIjAgMCwAIeAALrAgICSAIEAgUCBgIHAggCCQIeAgsClgINAggCCAIIAggCCAIIAggCCAIIAggCCAIIAggCCAIIAggCCAIjAgMClwIeAALrAgICfQIEAgUCBgIHAggCCQIeAgsClgINAggCCAIIAggCCAIIAggCCAIIAggCCAIIAggCCAIIAggCCAIjAgMCmwIeAALrAgICAwIEAgUCBgIHAggCCQIeAgsClgINAggCCAIIAggCCAIIAggCCAIIAggCCAIIAggCCAIIAggCCAIjAgMCuQIeAALrAgICJQIEAgUCBgIHAggCCQIKAgsClgINAggCCAIIAggCCAIIAggCCAIIAggCCAIIAggCCAIIAggCCAIjAgMCnAIeAALrAgICSAIEAgUCBgIHAggCCQKYAgsClgINAggCCAIIAggCCAIIAggCCAIIAggCCAIIAggCCAIIAggCCAIjAgMCngIeAALrAgICOQIEAgUCBgIHAggCCQIKAgsClgINAggCCAIIAggCCAIIAggCCAIIAggCCAIIAggCCAIIAggCCAIjAgMC0QIeAALrAgICVgIEAgUCBgIHAggCCQIKAgsClgINAggCCAIIAggCCAIIAggCCAIIAggCCAIIAggCCAIIAggCCAIjAgMCzQIeAALrAgICAwIEAgUCBgIHAggCCQKYAgt6AAAEAAKWAg0CCAIIAggCCAIIAggCCAIIAggCCAIIAggCCAIIAggCCAIIAiMCAwKwAh4AAusCAgJUAgQCBQIGAgcCCAIJAh4CCwKWAg0CCAIIAggCCAIIAggCCAIIAggCCAIIAggCCAIIAggCCAIIAiMCAwLPAh4AAusCAgIbAgQCBQIGAgcCCAIJAh4CCwKWAg0CCAIIAggCCAIIAggCCAIIAggCCAIIAggCCAIIAggCCAIIAiMCAwKzAh4AAusCAgI8AgQCBQIGAgcCCAIJAgoCCwKWAg0CCAIIAggCCAIIAggCCAIIAggCCAIIAggCCAIIAggCCAIIAiMCAwLbAh4AAusCAgI+AgQCBQIGAgcCCAIJAgoCCwKWAg0CCAIIAggCCAIIAggCCAIIAggCCAIIAggCCAIIAggCCAIIAiMCAwKyAh4AAusCAgIbAgQCBQIGAgcCCAIJApgCCwKWAg0CCAIIAggCCAIIAggCCAIIAggCCAIIAggCCAIIAggCCAIIAiMCAwKtAh4AAusCAgJUAgQCBQIGAgcCCAIJApgCCwKWAg0CCAIIAggCCAIIAggCCAIIAggCCAIIAggCCAIIAggCCAIIAiMCAwImAh4AAusCAgIpAgQCBQIGAgcCCAIJAh4CCwKWAg0CCAIIAggCCAIIAggCCAIIAggCCAIIAggCCAIIAggCCAIIAiMCAwLMAh4AAusCAgIpAgQCBQIGAgcCCAIJApgCCwKWAg0CCAIIAggCCAIIAggCCAIIAggCCAIIAggCCAIIAggCCAIIAiMCAwLaAh4AAusCAgJSAgQCBQIGAgcCCAIJAh4CCwKWAg0CCAIIAggCCAIIAggCCAIIAggCCAIIAggCCAIIAggCCAIIAiMCAwK6Ah4AAusCAgJSAgQCBQIGAgcCCAIJApgCCwKWAg0CCAIIAggCCAIIAggCCAIIAggCCAIIAggCCAIIAggCCAIIAiMCAwKsAh4AAusCAgJ9AgQCBQIGAgcCCAIJAgoCCwKWAg0CCAIIAggCCAIIAggCCAIIAggCCAIIAggCCAIIAggCCAIIAiMCAwKoAh4AAusCAgI8AgQCBQIGAgcCCAIJAh4CCwKWAg0CCAIIAggCCAIIAggCCAIIAggCCAIIAggCCAIIAggCCAIIAiMCAwKmAh4AAusCAgJZAgQCBQIGAgcCCAIJApgCCwKWAg0CCAIIAggCCAIIAggCCAIIAggCCAIIAggCCAIIAggCCAIIAiMCAwKkAh4AAusCAgJIAgQCBQIGAgcCCAIJAgoCCwKWAg0CCAIIAggCCAIIAggCCAIIAggCCAIIAggCCAIIAggCCAIIAiMCAwKnAh4AAusCAgJZAgQCBQJ6AAAEAAYCBwIIAgkCHgILApYCDQIIAggCCAIIAggCCAIIAggCCAIIAggCCAIIAggCCAIIAggCIwIDAs4CHgAC6wICAjwCBAIFAgYCBwIIAgkCmAILApYCDQIIAggCCAIIAggCCAIIAggCCAIIAggCCAIIAggCCAIIAggCIwIDAiYCHgAC6wICAjACBAIFAgYCBwIIAgkCHgILApYCDQIIAggCCAIIAggCCAIIAggCCAIIAggCCAIIAggCCAIIAggCIwIDAtACHgAC6wICAmgCBAIFAgYCBwIIAgkCHgILApYCDQIIAggCCAIIAggCCAIIAggCCAIIAggCCAIIAggCCAIIAggCIwIDAqECHgAC6wICAmgCBAIFAgYCBwIIAgkCmAILApYCDQIIAggCCAIIAggCCAIIAggCCAIIAggCCAIIAggCCAIIAggCIwIDAp8CHgAC6wICAjACBAIFAgYCBwIIAgkCmAILApYCDQIIAggCCAIIAggCCAIIAggCCAIIAggCCAIIAggCCAIIAggCIwIDAqACHgAC6wICAjkCBAIFAgYCBwIIAgkCmAILApYCDQIIAggCCAIIAggCCAIIAggCCAIIAggCCAIIAggCCAIIAggCIwIDApkCHgAC6wICAlICBAIFAgYCBwIIAgkCCgILApYCDQIIAggCCAIIAggCCAIIAggCCAIIAggCCAIIAggCCAIIAggCIwIDArwCHgAC6wICAhsCBAIFAgYCBwIIAgkCCgILApYCDQIIAggCCAIIAggCCAIIAggCCAIIAggCCAIIAggCCAIIAggCIwIDAr0CHgAC6wICAgMCBAIFAgYCBwIIAgkCCgILApYCDQIIAggCCAIIAggCCAIIAggCCAIIAggCCAIIAggCCAIIAggCIwIDAskCHgAC6wICAjkCBAIFAgYCBwIIAgkCHgILApYCDQIIAggCCAIIAggCCAIIAggCCAIIAggCCAIIAggCCAIIAggCIwIDAqICHgAC6wICAlYCBAIFAgYCBwIIAgkCHgILApYCDQIIAggCCAIIAggCCAIIAggCCAIIAggCCAIIAggCCAIIAggCIwIDAqMCHgAC6wICAlwCBAIFAgYCBwIIAgkCCgILApYCDQIIAggCCAIIAggCCAIIAggCCAIIAggCCAIIAggCCAIIAggCIwIDAtwCHgAC6wICAlYCBAIFAgYCBwIIAgkCmAILApYCDQIIAggCCAIIAggCCAIIAggCCAIIAggCCAIIAggCCAIIAggCIwIDAqoCHgAC6wICAjUCBAIFAgYCBwIIAgkCHgILApYCDQIIAggCCAIIAggCCAIIAggCCAIIAggCCAIIAggCCAIIAggCIwIDAsICHgB6AAACugLrAgICawIEAgUCBgIHAggCCQIeAgsClgINAggCCAIIAggCCAIIAggCCAIIAggCCAIIAggCCAIIAggCCAIjAgMC1wIeAALrAgICaAIEAgUCBgIHAggCCQIKAgsClgINAggCCAIIAggCCAIIAggCCAIIAggCCAIIAggCCAIIAggCCAIjAgMC1QIeAALrAgICLgIEAgUCBgIHAggCCQIKAgsClgINAggCCAIIAggCCAIIAggCCAIIAggCCAIIAggCCAIIAggCCAIjAgMCmgIeAALrAgICawIEAgUCBgIHAggCCQKYAgsClgINAggCCAIIAggCCAIIAggCCAIIAggCCAIIAggCCAIIAggCCAIjAgMC1gIeAALrAgICNQIEAgUCBgIHAggCCQKYAgsClgINAggCCAIIAggCCAIIAggCCAIIAggCCAIIAggCCAIIAggCCAIjAgMC1AIeAALsAAk1NDA1NzU1MDQCAgIjAgQCBQIGAgcCCAIJAh4CCwKWAg0CCAIIAggCCAIIAggCCAIIAggCCAIIAggCCAIIAggCCAIIAgMCAwLjAh4AAuwCAgJrAgQCBQIGAgcCCAIJAh4CCwKWAg0CCAIIAggCCAIIAggCCAIIAggCCAIIAggCCAIIAggCCAIIAgMCAwLXAh4AAuwCAgI8AgQCBQIGAgcCCAIJAh4CCwKWAg0CCAIIAggCCAIIAggCCAIIAggCCAIIAggCCAIIAggCCAIIAgMCAwKmAh4AAuwCAgIgAgQCBQIGAgcCCAIJAh4CCwKWAg0CCAIIAggCCAIIAggCCAIIAggCCAIIAggCCAIIAggCCAIIAgMCAwLTAh4AAuwCAgJEAgQCBQIGAgcCCAIJAh4CCwKWAg0CCAIIAggCCAIIAggCCAIIAggCCAIIAggCCAIIAggCCAIIAgMCAwLtc3EAfgAAAAAAAnNxAH4ABP///////////////v////7/////dXEAfgAHAAAABDDwgSh4eHoAAAM8Ah4AAuwCAgI3AgQCBQIGAgcCCAIJAh4CCwKWAg0CCAIIAggCCAIIAggCCAIIAggCCAIIAggCCAIIAggCCAIIAgMCAwLFAh4AAuwCAgJZAgQCBQIGAgcCCAIJAh4CCwKWAg0CCAIIAggCCAIIAggCCAIIAggCCAIIAggCCAIIAggCCAIIAgMCAwLOAh4AAuwCAgIyAgQCBQIGAgcCCAIJAh4CCwKWAg0CCAIIAggCCAIIAggCCAIIAggCCAIIAggCCAIIAggCCAIIAgMCAwLIAh4AAuwCAgIDAgQCBQIGAgcCCAIJAh4CCwKWAg0CCAIIAggCCAIIAggCCAIIAggCCAIIAggCCAIIAggCCAIIAgMCAwK5Ah4AAuwCAgJ9AgQCBQIGAgcCCAIJAh4CCwKWAg0CCAIIAggCCAIIAggCCAIIAggCCAIIAggCCAIIAggCCAIIAgMCAwKbAh4AAuwCAgIdAgQCBQIGAgcCCAIJAh4CCwKWAg0CCAIIAggCCAIIAggCCAIIAggCCAIIAggCCAIIAggCCAIIAgMCAwK/Ah4AAuwCAgJAAgQCBQIGAgcCCAIJAh4CCwKWAg0CCAIIAggCCAIIAggCCAIIAggCCAIIAggCCAIIAggCCAIIAgMCAwLhAh4AAuwCAgJcAgQCBQIGAgcCCAIJAh4CCwKWAg0CCAIIAggCCAIIAggCCAIIAggCCAIIAggCCAIIAggCCAIIAgMCAwKxAh4AAuwCAgJUAgQCBQIGAgcCCAIJAh4CCwKWAg0CCAIIAggCCAIIAggCCAIIAggCCAIIAggCCAIIAggCCAIIAgMCAwLPAh4AAuwCAgIbAgQCBQIGAgcCCAIJAh4CCwKWAg0CCAIIAggCCAIIAggCCAIIAggCCAIIAggCCAIIAggCCAIIAgMCAwKzAh4AAuwCAgIlAgQCBQIGAgcCCAIJAh4CCwKWAg0CCAIIAggCCAIIAggCCAIIAggCCAIIAggCCAIIAggCCAIIAgMCAwLLAh4AAuwCAgJVAgQCBQIGAgcCCAIJAh4CCwKWAg0CCAIIAggCCAIIAggCCAIIAggCCAIIAggCCAIIAggCCAIIAgMCAwLuc3EAfgAAAAAAAnNxAH4ABP///////////////v////7/////dXEAfgAHAAAABC/+xlx4eHoAAAQAAh4AAuwCAgI5AgQCBQIGAgcCCAIJAh4CCwKWAg0CCAIIAggCCAIIAggCCAIIAggCCAIIAggCCAIIAggCCAIIAgMCAwKiAh4AAu8ACTU0MDU3NjY2NAICAlkCBAIFAgYCBwIIAgkCCgILAgwCDQIIAggCCAIIAggCCAIIAggCCAIIAggCCAIIAggCCAIIAggCBAIDAnACHgAC7wICAkQCBAIFAgYCBwIIAgkCCgILAgwCDQIIAggCCAIIAggCCAIIAggCCAIIAggCCAIIAggCCAIIAggCBAIDAosCHgAC7wICAlwCBAIFAgYCBwIIAgkCCgILAgwCDQIIAggCCAIIAggCCAIIAggCCAIIAggCCAIIAggCCAIIAggCBAIDAl0CHgAC7wICAjICBAIFAgYCBwIIAgkCCgILAgwCDQIIAggCCAIIAggCCAIIAggCCAIIAggCCAIIAggCCAIIAggCBAIDAnYCHgAC7wICAjcCBAIFAgYCBwIIAgkCCgILAgwCDQIIAggCCAIIAggCCAIIAggCCAIIAggCCAIIAggCCAIIAggCBAIDAjgCHgAC7wICAjwCBAIFAgYCBwIIAgkCCgILAgwCDQIIAggCCAIIAggCCAIIAggCCAIIAggCCAIIAggCCAIIAggCBAIDAj0CHgAC7wICAgMCBAIFAgYCBwIIAgkCCgILAgwCDQIIAggCCAIIAggCCAIIAggCCAIIAggCCAIIAggCCAIIAggCBAIDAg4CHgAC7wICAn0CBAIFAgYCBwIIAgkCCgILAgwCDQIIAggCCAIIAggCCAIIAggCCAIIAggCCAIIAggCCAIIAggCBAIDAo0CHgAC7wICAmsCBAIFAgYCBwIIAgkCCgILAgwCDQIIAggCCAIIAggCCAIIAggCCAIIAggCCAIIAggCCAIIAggCBAIDAmwCHgAC7wICAiMCBAIFAgYCBwIIAgkCCgILAgwCDQIIAggCCAIIAggCCAIIAggCCAIIAggCCAIIAggCCAIIAggCBAIDAiQCHgAC7wICAlUCBAIFAgYCBwIIAgkCCgILAgwCDQIIAggCCAIIAggCCAIIAggCCAIIAggCCAIIAggCCAIIAggCBAIDAnICHgAC7wICAhsCBAIFAgYCBwIIAgkCCgILAgwCDQIIAggCCAIIAggCCAIIAggCCAIIAggCCAIIAggCCAIIAggCBAIDAhwCHgAC7wICAlQCBAIFAgYCBwIIAgkCCgILAgwCDQIIAggCCAIIAggCCAIIAggCCAIIAggCCAIIAggCCAIIAggCBAIDAm8CHgAC7wICAiUCBAIFAgYCBwIIAgkCCgILAgwCDQIIAggCCAIIAggCCAIIAggCCHoAAAQAAggCCAIIAggCCAIIAggCCAIEAgMChQIeAALvAgICIAIEAgUCBgIHAggCCQIKAgsCDAINAggCCAIIAggCCAIIAggCCAIIAggCCAIIAggCCAIIAggCCAIEAgMCgQIeAALvAgICQAIEAgUCBgIHAggCCQIKAgsCDAINAggCCAIIAggCCAIIAggCCAIIAggCCAIIAggCCAIIAggCCAIEAgMCYwIeAALvAgICHQIEAgUCBgIHAggCCQIKAgsCDAINAggCCAIIAggCCAIIAggCCAIIAggCCAIIAggCCAIIAggCCAIEAgMCjwIeAALvAgICOQIEAgUCBgIHAggCCQIKAgsCDAINAggCCAIIAggCCAIIAggCCAIIAggCCAIIAggCCAIIAggCCAIEAgMCOgIeAALwAAk5MzgzNjgyNDACAgJrAgQCBQIGAgcCCAIJAh4CCwIMAg0CCAIIAggCCAIIAggCCAIIAggCCAIIAggCCAIIAggCCAIIAhwCAwJ0Ah4AAvACAgI1AgQCBQIGAgcCCAIJAh4CCwIMAg0CCAIIAggCCAIIAggCCAIIAggCCAIIAggCCAIIAggCCAIIAhwCAwI2Ah4AAvACAgIjAgQCBQIGAgcCCAIJAh4CCwIMAg0CCAIIAggCCAIIAggCCAIIAggCCAIIAggCCAIIAggCCAIIAhwCAwIrAh4AAvACAgIpAgQCBQIGAgcCCAIJAgoCCwIMAg0CCAIIAggCCAIIAggCCAIIAggCCAIIAggCCAIIAggCCAIIAhwCAwIqAh4AAvACAgIwAgQCBQIGAgcCCAIJAgoCCwIMAg0CCAIIAggCCAIIAggCCAIIAggCCAIIAggCCAIIAggCCAIIAhwCAwIxAh4AAvACAgI3AgQCBQIGAgcCCAIJAiECCwIMAg0CCAIIAggCCAIIAggCCAIIAggCCAIIAggCCAIIAggCCAIIAhwCAwImAh4AAvACAgIlAgQCBQIGAgcCCAIJAiECCwIMAg0CCAIIAggCCAIIAggCCAIIAggCCAIIAggCCAIIAggCCAIIAhwCAwImAh4AAvACAgJcAgQCBQIGAgcCCAIJAiECCwIMAg0CCAIIAggCCAIIAggCCAIIAggCCAIIAggCCAIIAggCCAIIAhwCAwJzAh4AAvACAgIyAgQCBQIGAgcCCAIJAiECCwIMAg0CCAIIAggCCAIIAggCCAIIAggCCAIIAggCCAIIAggCCAIIAhwCAwIzAh4AAvACAgJAAgQCBQIGAgcCCAIJAh4CCwIMAg0CCAIIAggCCAIIAggCCAIIAggCCAIIAggCCAIIAggCCAIIAhwCAwJqAh4AAvACAgJUAgQCBQIGAgcCCAIJAgoCC3oAAAQAAgwCDQIIAggCCAIIAggCCAIIAggCCAIIAggCCAIIAggCCAIIAggCHAIDAm8CHgAC8AICAi4CBAIFAgYCBwIIAgkCIQILAgwCDQIIAggCCAIIAggCCAIIAggCCAIIAggCCAIIAggCCAIIAggCHAIDAi8CHgAC8AICAhsCBAIFAgYCBwIIAgkCCgILAgwCDQIIAggCCAIIAggCCAIIAggCCAIIAggCCAIIAggCCAIIAggCHAIDAhwCHgAC8AICAgMCBAIFAgYCBwIIAgkCCgILAgwCDQIIAggCCAIIAggCCAIIAggCCAIIAggCCAIIAggCCAIIAggCHAIDAg4CHgAC8AICAlICBAIFAgYCBwIIAgkCCgILAgwCDQIIAggCCAIIAggCCAIIAggCCAIIAggCCAIIAggCCAIIAggCHAIDAm4CHgAC8AICAh0CBAIFAgYCBwIIAgkCHgILAgwCDQIIAggCCAIIAggCCAIIAggCCAIIAggCCAIIAggCCAIIAggCHAIDAh8CHgAC8AICAmsCBAIFAgYCBwIIAgkCCgILAgwCDQIIAggCCAIIAggCCAIIAggCCAIIAggCCAIIAggCCAIIAggCHAIDAmwCHgAC8AICAkECBAIFAgYCBwIIAgkCIQILAgwCDQIIAggCCAIIAggCCAIIAggCCAIIAggCCAIIAggCCAIIAggCHAIDAm0CHgAC8AICAiACBAIFAgYCBwIIAgkCIQILAgwCDQIIAggCCAIIAggCCAIIAggCCAIIAggCCAIIAggCCAIIAggCHAIDAiICHgAC8AICAiMCBAIFAgYCBwIIAgkCCgILAgwCDQIIAggCCAIIAggCCAIIAggCCAIIAggCCAIIAggCCAIIAggCHAIDAiQCHgAC8AICAjUCBAIFAgYCBwIIAgkCCgILAgwCDQIIAggCCAIIAggCCAIIAggCCAIIAggCCAIIAggCCAIIAggCHAIDAkoCHgAC8AICAjcCBAIFAgYCBwIIAgkCHgILAgwCDQIIAggCCAIIAggCCAIIAggCCAIIAggCCAIIAggCCAIIAggCHAIDAmcCHgAC8AICAlkCBAIFAgYCBwIIAgkCHgILAgwCDQIIAggCCAIIAggCCAIIAggCCAIIAggCCAIIAggCCAIIAggCHAIDAnwCHgAC8AICAjACBAIFAgYCBwIIAgkCHgILAgwCDQIIAggCCAIIAggCCAIIAggCCAIIAggCCAIIAggCCAIIAggCHAIDAkYCHgAC8AICAiUCBAIFAgYCBwIIAgkCHgILAgwCDQIIAggCCAIIAggCCAIIAggCCAIIAggCCAIIAggCCAIIAggCHAIDAn8CHgAC8AICAn0CBAIFAnoAAAQABgIHAggCCQIhAgsCDAINAggCCAIIAggCCAIIAggCCAIIAggCCAIIAggCCAIIAggCCAIcAgMCfgIeAALwAgICAwIEAgUCBgIHAggCCQIhAgsCDAINAggCCAIIAggCCAIIAggCCAIIAggCCAIIAggCCAIIAggCCAIcAgMCTwIeAALwAgICSAIEAgUCBgIHAggCCQIhAgsCDAINAggCCAIIAggCCAIIAggCCAIIAggCCAIIAggCCAIIAggCCAIcAgMCSQIeAALwAgICOQIEAgUCBgIHAggCCQIKAgsCDAINAggCCAIIAggCCAIIAggCCAIIAggCCAIIAggCCAIIAggCCAIcAgMCOgIeAALwAgICVgIEAgUCBgIHAggCCQIKAgsCDAINAggCCAIIAggCCAIIAggCCAIIAggCCAIIAggCCAIIAggCCAIcAgMCewIeAALwAgICaAIEAgUCBgIHAggCCQIKAgsCDAINAggCCAIIAggCCAIIAggCCAIIAggCCAIIAggCCAIIAggCCAIcAgMCdQIeAALwAgICVAIEAgUCBgIHAggCCQIeAgsCDAINAggCCAIIAggCCAIIAggCCAIIAggCCAIIAggCCAIIAggCCAIcAgMCeAIeAALwAgICQAIEAgUCBgIHAggCCQIhAgsCDAINAggCCAIIAggCCAIIAggCCAIIAggCCAIIAggCCAIIAggCCAIcAgMCJgIeAALwAgICQQIEAgUCBgIHAggCCQIeAgsCDAINAggCCAIIAggCCAIIAggCCAIIAggCCAIIAggCCAIIAggCCAIcAgMCQgIeAALwAgICKQIEAgUCBgIHAggCCQIeAgsCDAINAggCCAIIAggCCAIIAggCCAIIAggCCAIIAggCCAIIAggCCAIcAgMCQwIeAALwAgICXAIEAgUCBgIHAggCCQIKAgsCDAINAggCCAIIAggCCAIIAggCCAIIAggCCAIIAggCCAIIAggCCAIcAgMCXQIeAALwAgICMgIEAgUCBgIHAggCCQIKAgsCDAINAggCCAIIAggCCAIIAggCCAIIAggCCAIIAggCCAIIAggCCAIcAgMCdgIeAALwAgICJwIEAgUCBgIHAggCCQIhAgsCDAINAggCCAIIAggCCAIIAggCCAIIAggCCAIIAggCCAIIAggCCAIcAgMCcQIeAALwAgICHQIEAgUCBgIHAggCCQIhAgsCDAINAggCCAIIAggCCAIIAggCCAIIAggCCAIIAggCCAIIAggCCAIcAgMCegIeAALwAgICNwIEAgUCBgIHAggCCQIKAgsCDAINAggCCAIIAggCCAIIAggCCAIIAggCCAIIAggCCAIIAggCCAIcAgMCOAIeAHoAAAQAAvACAgI8AgQCBQIGAgcCCAIJAgoCCwIMAg0CCAIIAggCCAIIAggCCAIIAggCCAIIAggCCAIIAggCCAIIAhwCAwI9Ah4AAvACAgI+AgQCBQIGAgcCCAIJAiECCwIMAg0CCAIIAggCCAIIAggCCAIIAggCCAIIAggCCAIIAggCCAIIAhwCAwI/Ah4AAvACAgIlAgQCBQIGAgcCCAIJAgoCCwIMAg0CCAIIAggCCAIIAggCCAIIAggCCAIIAggCCAIIAggCCAIIAhwCAwKFAh4AAvACAgJZAgQCBQIGAgcCCAIJAiECCwIMAg0CCAIIAggCCAIIAggCCAIIAggCCAIIAggCCAIIAggCCAIIAhwCAwJaAh4AAvACAgIuAgQCBQIGAgcCCAIJAgoCCwIMAg0CCAIIAggCCAIIAggCCAIIAggCCAIIAggCCAIIAggCCAIIAhwCAwKEAh4AAvACAgInAgQCBQIGAgcCCAIJAgoCCwIMAg0CCAIIAggCCAIIAggCCAIIAggCCAIIAggCCAIIAggCCAIIAhwCAwKMAh4AAvACAgJIAgQCBQIGAgcCCAIJAh4CCwIMAg0CCAIIAggCCAIIAggCCAIIAggCCAIIAggCCAIIAggCCAIIAhwCAwJeAh4AAvACAgIgAgQCBQIGAgcCCAIJAh4CCwIMAg0CCAIIAggCCAIIAggCCAIIAggCCAIIAggCCAIIAggCCAIIAhwCAwJ5Ah4AAvACAgI8AgQCBQIGAgcCCAIJAiECCwIMAg0CCAIIAggCCAIIAggCCAIIAggCCAIIAggCCAIIAggCCAIIAhwCAwImAh4AAvACAgJoAgQCBQIGAgcCCAIJAiECCwIMAg0CCAIIAggCCAIIAggCCAIIAggCCAIIAggCCAIIAggCCAIIAhwCAwJ3Ah4AAvACAgIwAgQCBQIGAgcCCAIJAiECCwIMAg0CCAIIAggCCAIIAggCCAIIAggCCAIIAggCCAIIAggCCAIIAhwCAwKGAh4AAvACAgJSAgQCBQIGAgcCCAIJAiECCwIMAg0CCAIIAggCCAIIAggCCAIIAggCCAIIAggCCAIIAggCCAIIAhwCAwJTAh4AAvACAgIbAgQCBQIGAgcCCAIJAiECCwIMAg0CCAIIAggCCAIIAggCCAIIAggCCAIIAggCCAIIAggCCAIIAhwCAwKDAh4AAvACAgI+AgQCBQIGAgcCCAIJAh4CCwIMAg0CCAIIAggCCAIIAggCCAIIAggCCAIIAggCCAIIAggCCAIIAhwCAwJYAh4AAvACAgJBAgQCBQIGAgcCCAIJAgoCCwIMAg0CCAIIAggCCAIIAggCCAIIAggCCAIIAggCCAIIAggCCHoAAAQAAggCHAIDAk4CHgAC8AICAlwCBAIFAgYCBwIIAgkCHgILAgwCDQIIAggCCAIIAggCCAIIAggCCAIIAggCCAIIAggCCAIIAggCHAIDAmYCHgAC8AICAlYCBAIFAgYCBwIIAgkCHgILAgwCDQIIAggCCAIIAggCCAIIAggCCAIIAggCCAIIAggCCAIIAggCHAIDAlcCHgAC8AICAjkCBAIFAgYCBwIIAgkCHgILAgwCDQIIAggCCAIIAggCCAIIAggCCAIIAggCCAIIAggCCAIIAggCHAIDAoICHgAC8AICAi4CBAIFAgYCBwIIAgkCHgILAgwCDQIIAggCCAIIAggCCAIIAggCCAIIAggCCAIIAggCCAIIAggCHAIDApICHgAC8AICAlQCBAIFAgYCBwIIAgkCIQILAgwCDQIIAggCCAIIAggCCAIIAggCCAIIAggCCAIIAggCCAIIAggCHAIDAiYCHgAC8AICAikCBAIFAgYCBwIIAgkCIQILAgwCDQIIAggCCAIIAggCCAIIAggCCAIIAggCCAIIAggCCAIIAggCHAIDAo4CHgAC8AICAn0CBAIFAgYCBwIIAgkCCgILAgwCDQIIAggCCAIIAggCCAIIAggCCAIIAggCCAIIAggCCAIIAggCHAIDAo0CHgAC8AICAkgCBAIFAgYCBwIIAgkCCgILAgwCDQIIAggCCAIIAggCCAIIAggCCAIIAggCCAIIAggCCAIIAggCHAIDAmICHgAC8AICAmsCBAIFAgYCBwIIAgkCIQILAgwCDQIIAggCCAIIAggCCAIIAggCCAIIAggCCAIIAggCCAIIAggCHAIDApMCHgAC8AICAicCBAIFAgYCBwIIAgkCHgILAgwCDQIIAggCCAIIAggCCAIIAggCCAIIAggCCAIIAggCCAIIAggCHAIDAigCHgAC8AICAmgCBAIFAgYCBwIIAgkCHgILAgwCDQIIAggCCAIIAggCCAIIAggCCAIIAggCCAIIAggCCAIIAggCHAIDAmkCHgAC8AICAjwCBAIFAgYCBwIIAgkCHgILAgwCDQIIAggCCAIIAggCCAIIAggCCAIIAggCCAIIAggCCAIIAggCHAIDApECHgAC8AICAjICBAIFAgYCBwIIAgkCHgILAgwCDQIIAggCCAIIAggCCAIIAggCCAIIAggCCAIIAggCCAIIAggCHAIDApACHgAC8AICAiMCBAIFAgYCBwIIAgkCIQILAgwCDQIIAggCCAIIAggCCAIIAggCCAIIAggCCAIIAggCCAIIAggCHAIDAiYCHgAC8AICAj4CBAIFAgYCBwIIAgkCCgILAgwCDQIIAggCCAIIAggCCAIIAggCCAIIAnoAAANiCAIIAggCCAIIAggCCAIcAgMCYQIeAALwAgICQAIEAgUCBgIHAggCCQIKAgsCDAINAggCCAIIAggCCAIIAggCCAIIAggCCAIIAggCCAIIAggCCAIcAgMCYwIeAALwAgICHQIEAgUCBgIHAggCCQIKAgsCDAINAggCCAIIAggCCAIIAggCCAIIAggCCAIIAggCCAIIAggCCAIcAgMCjwIeAALwAgICNQIEAgUCBgIHAggCCQIhAgsCDAINAggCCAIIAggCCAIIAggCCAIIAggCCAIIAggCCAIIAggCCAIcAgMCZQIeAALwAgICIAIEAgUCBgIHAggCCQIKAgsCDAINAggCCAIIAggCCAIIAggCCAIIAggCCAIIAggCCAIIAggCCAIcAgMCgQIeAALwAgICUgIEAgUCBgIHAggCCQIeAgsCDAINAggCCAIIAggCCAIIAggCCAIIAggCCAIIAggCCAIIAggCCAIcAgMCiAIeAALwAgICGwIEAgUCBgIHAggCCQIeAgsCDAINAggCCAIIAggCCAIIAggCCAIIAggCCAIIAggCCAIIAggCCAIcAgMCXwIeAALwAgICAwIEAgUCBgIHAggCCQIeAgsCDAINAggCCAIIAggCCAIIAggCCAIIAggCCAIIAggCCAIIAggCCAIcAgMCNAIeAALwAgICfQIEAgUCBgIHAggCCQIeAgsCDAINAggCCAIIAggCCAIIAggCCAIIAggCCAIIAggCCAIIAggCCAIcAgMChwIeAALwAgICWQIEAgUCBgIHAggCCQIKAgsCDAINAggCCAIIAggCCAIIAggCCAIIAggCCAIIAggCCAIIAggCCAIcAgMCcAIeAALwAgICVgIEAgUCBgIHAggCCQIhAgsCDAINAggCCAIIAggCCAIIAggCCAIIAggCCAIIAggCCAIIAggCCAIcAgMCigIeAALwAgICOQIEAgUCBgIHAggCCQIhAgsCDAINAggCCAIIAggCCAIIAggCCAIIAggCCAIIAggCCAIIAggCCAIcAgMCYAIeAALxAAk4MzQ3ODc2MDACAgLyAAYyMDEzMTICBAIFAgYCBwIIAgkCIQILAgwCDQIIAggCCAIIAggCCAIIAggCCAIIAggCCAIIAggCCAIIAggCKgIDAvNzcQB+AAAAAAACc3EAfgAE///////////////+/////v////91cQB+AAcAAAADFOXkeHh6AAAEAAIeAAL0AAk5MzgzNzA1NjACAgJSAgQCBQIGAgcCCAIJAh4CCwIMAg0CCAIIAggCCAIIAggCCAIIAggCCAIIAggCCAIIAggCCAIIAh4CAwKIAh4AAvQCAgI8AgQCBQIGAgcCCAIJAgoCCwIMAg0CCAIIAggCCAIIAggCCAIIAggCCAIIAggCCAIIAggCCAIIAh4CAwI9Ah4AAvQCAgI5AgQCBQIGAgcCCAIJAgoCCwIMAg0CCAIIAggCCAIIAggCCAIIAggCCAIIAggCCAIIAggCCAIIAh4CAwI6Ah4AAvQCAgIdAgQCBQIGAgcCCAIJAiECCwIMAg0CCAIIAggCCAIIAggCCAIIAggCCAIIAggCCAIIAggCCAIIAh4CAwJ6Ah4AAvQCAgJUAgQCBQIGAgcCCAIJAh4CCwIMAg0CCAIIAggCCAIIAggCCAIIAggCCAIIAggCCAIIAggCCAIIAh4CAwJ4Ah4AAvQCAgIpAgQCBQIGAgcCCAIJAh4CCwIMAg0CCAIIAggCCAIIAggCCAIIAggCCAIIAggCCAIIAggCCAIIAh4CAwJDAh4AAvQCAgJAAgQCBQIGAgcCCAIJAiECCwIMAg0CCAIIAggCCAIIAggCCAIIAggCCAIIAggCCAIIAggCCAIIAh4CAwImAh4AAvQCAgI+AgQCBQIGAgcCCAIJAgoCCwIMAg0CCAIIAggCCAIIAggCCAIIAggCCAIIAggCCAIIAggCCAIIAh4CAwJhAh4AAvQCAgJWAgQCBQIGAgcCCAIJAgoCCwIMAg0CCAIIAggCCAIIAggCCAIIAggCCAIIAggCCAIIAggCCAIIAh4CAwJ7Ah4AAvQCAgIbAgQCBQIGAgcCCAIJAh4CCwIMAg0CCAIIAggCCAIIAggCCAIIAggCCAIIAggCCAIIAggCCAIIAh4CAwJfAh4AAvQCAgIwAgQCBQIGAgcCCAIJAh4CCwIMAg0CCAIIAggCCAIIAggCCAIIAggCCAIIAggCCAIIAggCCAIIAh4CAwJGAh4AAvQCAgJ9AgQCBQIGAgcCCAIJAgoCCwIMAg0CCAIIAggCCAIIAggCCAIIAggCCAIIAggCCAIIAggCCAIIAh4CAwKNAh4AAvQCAgJrAgQCBQIGAgcCCAIJAiECCwIMAg0CCAIIAggCCAIIAggCCAIIAggCCAIIAggCCAIIAggCCAIIAh4CAwKTAh4AAvQCAgI1AgQCBQIGAgcCCAIJAiECCwIMAg0CCAIIAggCCAIIAggCCAIIAggCCAIIAggCCAIIAggCCAIIAh4CAwJlAh4AAvQCAgJoAgQCBQIGAgcCCAIJAh4CCwIMAg0CCAIIAggCCAIIAggCCAIIAgh6AAAEAAIIAggCCAIIAggCCAIIAggCHgIDAmkCHgAC9AICAjwCBAIFAgYCBwIIAgkCHgILAgwCDQIIAggCCAIIAggCCAIIAggCCAIIAggCCAIIAggCCAIIAggCHgIDApECHgAC9AICAlkCBAIFAgYCBwIIAgkCHgILAgwCDQIIAggCCAIIAggCCAIIAggCCAIIAggCCAIIAggCCAIIAggCHgIDAnwCHgAC9AICAkgCBAIFAgYCBwIIAgkCCgILAgwCDQIIAggCCAIIAggCCAIIAggCCAIIAggCCAIIAggCCAIIAggCHgIDAmICHgAC9AICAgMCBAIFAgYCBwIIAgkCCgILAgwCDQIIAggCCAIIAggCCAIIAggCCAIIAggCCAIIAggCCAIIAggCHgIDAg4CHgAC9AICAlYCBAIFAgYCBwIIAgkCHgILAgwCDQIIAggCCAIIAggCCAIIAggCCAIIAggCCAIIAggCCAIIAggCHgIDAlcCHgAC9AICAiACBAIFAgYCBwIIAgkCIQILAgwCDQIIAggCCAIIAggCCAIIAggCCAIIAggCCAIIAggCCAIIAggCHgIDAiICHgAC9AICAgMCBAIFAgYCBwIIAgkCIQILAgwCDQIIAggCCAIIAggCCAIIAggCCAIIAggCCAIIAggCCAIIAggCHgIDAk8CHgAC9AICAhsCBAIFAgYCBwIIAgkCCgILAgwCDQIIAggCCAIIAggCCAIIAggCCAIIAggCCAIIAggCCAIIAggCHgIDAhwCHgAC9AICAiUCBAIFAgYCBwIIAgkCIQILAgwCDQIIAggCCAIIAggCCAIIAggCCAIIAggCCAIIAggCCAIIAggCHgIDAiYCHgAC9AICAlICBAIFAgYCBwIIAgkCCgILAgwCDQIIAggCCAIIAggCCAIIAggCCAIIAggCCAIIAggCCAIIAggCHgIDAm4CHgAC9AICAjkCBAIFAgYCBwIIAgkCHgILAgwCDQIIAggCCAIIAggCCAIIAggCCAIIAggCCAIIAggCCAIIAggCHgIDAoICHgAC9AICAlkCBAIFAgYCBwIIAgkCIQILAgwCDQIIAggCCAIIAggCCAIIAggCCAIIAggCCAIIAggCCAIIAggCHgIDAloCHgAC9AICAjACBAIFAgYCBwIIAgkCIQILAgwCDQIIAggCCAIIAggCCAIIAggCCAIIAggCCAIIAggCCAIIAggCHgIDAoYCHgAC9AICAjUCBAIFAgYCBwIIAgkCHgILAgwCDQIIAggCCAIIAggCCAIIAggCCAIIAggCCAIIAggCCAIIAggCHgIDAjYCHgAC9AICAlwCBAIFAgYCBwIIAgkCCgILAgwCDQIIAggCCAJ6AAAEAAgCCAIIAggCCAIIAggCCAIIAggCCAIIAggCCAIeAgMCXQIeAAL0AgICJwIEAgUCBgIHAggCCQIhAgsCDAINAggCCAIIAggCCAIIAggCCAIIAggCCAIIAggCCAIIAggCCAIeAgMCcQIeAAL0AgICPgIEAgUCBgIHAggCCQIhAgsCDAINAggCCAIIAggCCAIIAggCCAIIAggCCAIIAggCCAIIAggCCAIeAgMCPwIeAAL0AgICaAIEAgUCBgIHAggCCQIKAgsCDAINAggCCAIIAggCCAIIAggCCAIIAggCCAIIAggCCAIIAggCCAIeAgMCdQIeAAL0AgICawIEAgUCBgIHAggCCQIeAgsCDAINAggCCAIIAggCCAIIAggCCAIIAggCCAIIAggCCAIIAggCCAIeAgMCdAIeAAL0AgICLgIEAgUCBgIHAggCCQIKAgsCDAINAggCCAIIAggCCAIIAggCCAIIAggCCAIIAggCCAIIAggCCAIeAgMChAIeAAL0AgICMgIEAgUCBgIHAggCCQIKAgsCDAINAggCCAIIAggCCAIIAggCCAIIAggCCAIIAggCCAIIAggCCAIeAgMCdgIeAAL0AgICVgIEAgUCBgIHAggCCQIhAgsCDAINAggCCAIIAggCCAIIAggCCAIIAggCCAIIAggCCAIIAggCCAIeAgMCigIeAAL0AgICNwIEAgUCBgIHAggCCQIKAgsCDAINAggCCAIIAggCCAIIAggCCAIIAggCCAIIAggCCAIIAggCCAIeAgMCOAIeAAL0AgICOQIEAgUCBgIHAggCCQIhAgsCDAINAggCCAIIAggCCAIIAggCCAIIAggCCAIIAggCCAIIAggCCAIeAgMCYAIeAAL0AgICQQIEAgUCBgIHAggCCQIeAgsCDAINAggCCAIIAggCCAIIAggCCAIIAggCCAIIAggCCAIIAggCCAIeAgMCQgIeAAL0AgICaAIEAgUCBgIHAggCCQIhAgsCDAINAggCCAIIAggCCAIIAggCCAIIAggCCAIIAggCCAIIAggCCAIeAgMCdwIeAAL0AgICJQIEAgUCBgIHAggCCQIeAgsCDAINAggCCAIIAggCCAIIAggCCAIIAggCCAIIAggCCAIIAggCCAIeAgMCfwIeAAL0AgICJwIEAgUCBgIHAggCCQIKAgsCDAINAggCCAIIAggCCAIIAggCCAIIAggCCAIIAggCCAIIAggCCAIeAgMCjAIeAAL0AgICIAIEAgUCBgIHAggCCQIeAgsCDAINAggCCAIIAggCCAIIAggCCAIIAggCCAIIAggCCAIIAggCCAIeAgMCeQIeAAL0AgICQAIEAgUCBgIHAggCCQIKAgt6AAAEAAIMAg0CCAIIAggCCAIIAggCCAIIAggCCAIIAggCCAIIAggCCAIIAh4CAwJjAh4AAvQCAgJ9AgQCBQIGAgcCCAIJAiECCwIMAg0CCAIIAggCCAIIAggCCAIIAggCCAIIAggCCAIIAggCCAIIAh4CAwJ+Ah4AAvQCAgInAgQCBQIGAgcCCAIJAh4CCwIMAg0CCAIIAggCCAIIAggCCAIIAggCCAIIAggCCAIIAggCCAIIAh4CAwIoAh4AAvQCAgIdAgQCBQIGAgcCCAIJAgoCCwIMAg0CCAIIAggCCAIIAggCCAIIAggCCAIIAggCCAIIAggCCAIIAh4CAwKPAh4AAvQCAgJIAgQCBQIGAgcCCAIJAiECCwIMAg0CCAIIAggCCAIIAggCCAIIAggCCAIIAggCCAIIAggCCAIIAh4CAwJJAh4AAvQCAgJUAgQCBQIGAgcCCAIJAiECCwIMAg0CCAIIAggCCAIIAggCCAIIAggCCAIIAggCCAIIAggCCAIIAh4CAwImAh4AAvQCAgJrAgQCBQIGAgcCCAIJAgoCCwIMAg0CCAIIAggCCAIIAggCCAIIAggCCAIIAggCCAIIAggCCAIIAh4CAwJsAh4AAvQCAgJBAgQCBQIGAgcCCAIJAiECCwIMAg0CCAIIAggCCAIIAggCCAIIAggCCAIIAggCCAIIAggCCAIIAh4CAwJtAh4AAvQCAgIuAgQCBQIGAgcCCAIJAh4CCwIMAg0CCAIIAggCCAIIAggCCAIIAggCCAIIAggCCAIIAggCCAIIAh4CAwKSAh4AAvQCAgI3AgQCBQIGAgcCCAIJAh4CCwIMAg0CCAIIAggCCAIIAggCCAIIAggCCAIIAggCCAIIAggCCAIIAh4CAwJnAh4AAvQCAgIpAgQCBQIGAgcCCAIJAiECCwIMAg0CCAIIAggCCAIIAggCCAIIAggCCAIIAggCCAIIAggCCAIIAh4CAwKOAh4AAvQCAgJcAgQCBQIGAgcCCAIJAh4CCwIMAg0CCAIIAggCCAIIAggCCAIIAggCCAIIAggCCAIIAggCCAIIAh4CAwJmAh4AAvQCAgIyAgQCBQIGAgcCCAIJAh4CCwIMAg0CCAIIAggCCAIIAggCCAIIAggCCAIIAggCCAIIAggCCAIIAh4CAwKQAh4AAvQCAgI1AgQCBQIGAgcCCAIJAgoCCwIMAg0CCAIIAggCCAIIAggCCAIIAggCCAIIAggCCAIIAggCCAIIAh4CAwJKAh4AAvQCAgJSAgQCBQIGAgcCCAIJAiECCwIMAg0CCAIIAggCCAIIAggCCAIIAggCCAIIAggCCAIIAggCCAIIAh4CAwJTAh4AAvQCAgIgAgQCBQJ6AAAEAAYCBwIIAgkCCgILAgwCDQIIAggCCAIIAggCCAIIAggCCAIIAggCCAIIAggCCAIIAggCHgIDAoECHgAC9AICAj4CBAIFAgYCBwIIAgkCHgILAgwCDQIIAggCCAIIAggCCAIIAggCCAIIAggCCAIIAggCCAIIAggCHgIDAlgCHgAC9AICAhsCBAIFAgYCBwIIAgkCIQILAgwCDQIIAggCCAIIAggCCAIIAggCCAIIAggCCAIIAggCCAIIAggCHgIDAoMCHgAC9AICAi4CBAIFAgYCBwIIAgkCIQILAgwCDQIIAggCCAIIAggCCAIIAggCCAIIAggCCAIIAggCCAIIAggCHgIDAi8CHgAC9AICAkACBAIFAgYCBwIIAgkCHgILAgwCDQIIAggCCAIIAggCCAIIAggCCAIIAggCCAIIAggCCAIIAggCHgIDAmoCHgAC9AICAikCBAIFAgYCBwIIAgkCCgILAgwCDQIIAggCCAIIAggCCAIIAggCCAIIAggCCAIIAggCCAIIAggCHgIDAioCHgAC9AICAkECBAIFAgYCBwIIAgkCCgILAgwCDQIIAggCCAIIAggCCAIIAggCCAIIAggCCAIIAggCCAIIAggCHgIDAk4CHgAC9AICAh0CBAIFAgYCBwIIAgkCHgILAgwCDQIIAggCCAIIAggCCAIIAggCCAIIAggCCAIIAggCCAIIAggCHgIDAh8CHgAC9AICAiUCBAIFAgYCBwIIAgkCCgILAgwCDQIIAggCCAIIAggCCAIIAggCCAIIAggCCAIIAggCCAIIAggCHgIDAoUCHgAC9AICAlQCBAIFAgYCBwIIAgkCCgILAgwCDQIIAggCCAIIAggCCAIIAggCCAIIAggCCAIIAggCCAIIAggCHgIDAm8CHgAC9AICAjwCBAIFAgYCBwIIAgkCIQILAgwCDQIIAggCCAIIAggCCAIIAggCCAIIAggCCAIIAggCCAIIAggCHgIDAiYCHgAC9AICAjICBAIFAgYCBwIIAgkCIQILAgwCDQIIAggCCAIIAggCCAIIAggCCAIIAggCCAIIAggCCAIIAggCHgIDAjMCHgAC9AICAlwCBAIFAgYCBwIIAgkCIQILAgwCDQIIAggCCAIIAggCCAIIAggCCAIIAggCCAIIAggCCAIIAggCHgIDAnMCHgAC9AICAjcCBAIFAgYCBwIIAgkCIQILAgwCDQIIAggCCAIIAggCCAIIAggCCAIIAggCCAIIAggCCAIIAggCHgIDAiYCHgAC9AICAkgCBAIFAgYCBwIIAgkCHgILAgwCDQIIAggCCAIIAggCCAIIAggCCAIIAggCCAIIAggCCAIIAggCHgIDAl4CHgB6AAAEAAL0AgICWQIEAgUCBgIHAggCCQIKAgsCDAINAggCCAIIAggCCAIIAggCCAIIAggCCAIIAggCCAIIAggCCAIeAgMCcAIeAAL0AgICAwIEAgUCBgIHAggCCQIeAgsCDAINAggCCAIIAggCCAIIAggCCAIIAggCCAIIAggCCAIIAggCCAIeAgMCNAIeAAL0AgICfQIEAgUCBgIHAggCCQIeAgsCDAINAggCCAIIAggCCAIIAggCCAIIAggCCAIIAggCCAIIAggCCAIeAgMChwIeAAL0AgICMAIEAgUCBgIHAggCCQIKAgsCDAINAggCCAIIAggCCAIIAggCCAIIAggCCAIIAggCCAIIAggCCAIeAgMCMQIeAAL1AAk5MzgzNzI4ODACAgJrAgQCBQIGAgcCCAIJAh4CCwIMAg0CCAIIAggCCAIIAggCCAIIAggCCAIIAggCCAIIAggCCAIIAiACAwJ0Ah4AAvUCAgIpAgQCBQIGAgcCCAIJAgoCCwIMAg0CCAIIAggCCAIIAggCCAIIAggCCAIIAggCCAIIAggCCAIIAiACAwIqAh4AAvUCAgI1AgQCBQIGAgcCCAIJAh4CCwIMAg0CCAIIAggCCAIIAggCCAIIAggCCAIIAggCCAIIAggCCAIIAiACAwI2Ah4AAvUCAgI3AgQCBQIGAgcCCAIJAiECCwIMAg0CCAIIAggCCAIIAggCCAIIAggCCAIIAggCCAIIAggCCAIIAiACAwImAh4AAvUCAgIDAgQCBQIGAgcCCAIJAh4CCwIMAg0CCAIIAggCCAIIAggCCAIIAggCCAIIAggCCAIIAggCCAIIAiACAwI0Ah4AAvUCAgJoAgQCBQIGAgcCCAIJAgoCCwIMAg0CCAIIAggCCAIIAggCCAIIAggCCAIIAggCCAIIAggCCAIIAiACAwJ1Ah4AAvUCAgI8AgQCBQIGAgcCCAIJAgoCCwIMAg0CCAIIAggCCAIIAggCCAIIAggCCAIIAggCCAIIAggCCAIIAiACAwI9Ah4AAvUCAgIwAgQCBQIGAgcCCAIJAgoCCwIMAg0CCAIIAggCCAIIAggCCAIIAggCCAIIAggCCAIIAggCCAIIAiACAwIxAh4AAvUCAgJZAgQCBQIGAgcCCAIJAgoCCwIMAg0CCAIIAggCCAIIAggCCAIIAggCCAIIAggCCAIIAggCCAIIAiACAwJwAh4AAvUCAgInAgQCBQIGAgcCCAIJAiECCwIMAg0CCAIIAggCCAIIAggCCAIIAggCCAIIAggCCAIIAggCCAIIAiACAwJxAh4AAvUCAgJSAgQCBQIGAgcCCAIJAh4CCwIMAg0CCAIIAggCCAIIAggCCAIIAggCCAJ6AAAEAAgCCAIIAggCCAIIAggCIAIDAogCHgAC9QICAhsCBAIFAgYCBwIIAgkCHgILAgwCDQIIAggCCAIIAggCCAIIAggCCAIIAggCCAIIAggCCAIIAggCIAIDAl8CHgAC9QICAlYCBAIFAgYCBwIIAgkCCgILAgwCDQIIAggCCAIIAggCCAIIAggCCAIIAggCCAIIAggCCAIIAggCIAIDAnsCHgAC9QICAh0CBAIFAgYCBwIIAgkCIQILAgwCDQIIAggCCAIIAggCCAIIAggCCAIIAggCCAIIAggCCAIIAggCIAIDAnoCHgAC9QICAikCBAIFAgYCBwIIAgkCHgILAgwCDQIIAggCCAIIAggCCAIIAggCCAIIAggCCAIIAggCCAIIAggCIAIDAkMCHgAC9QICAj4CBAIFAgYCBwIIAgkCCgILAgwCDQIIAggCCAIIAggCCAIIAggCCAIIAggCCAIIAggCCAIIAggCIAIDAmECHgAC9QICAlQCBAIFAgYCBwIIAgkCHgILAgwCDQIIAggCCAIIAggCCAIIAggCCAIIAggCCAIIAggCCAIIAggCIAIDAngCHgAC9QICAjkCBAIFAgYCBwIIAgkCCgILAgwCDQIIAggCCAIIAggCCAIIAggCCAIIAggCCAIIAggCCAIIAggCIAIDAjoCHgAC9QICAlkCBAIFAgYCBwIIAgkCHgILAgwCDQIIAggCCAIIAggCCAIIAggCCAIIAggCCAIIAggCCAIIAggCIAIDAnwCHgAC9QICAicCBAIFAgYCBwIIAgkCHgILAgwCDQIIAggCCAIIAggCCAIIAggCCAIIAggCCAIIAggCCAIIAggCIAIDAigCHgAC9QICAn0CBAIFAgYCBwIIAgkCIQILAgwCDQIIAggCCAIIAggCCAIIAggCCAIIAggCCAIIAggCCAIIAggCIAIDAn4CHgAC9QICAjACBAIFAgYCBwIIAgkCHgILAgwCDQIIAggCCAIIAggCCAIIAggCCAIIAggCCAIIAggCCAIIAggCIAIDAkYCHgAC9QICAjUCBAIFAgYCBwIIAgkCCgILAgwCDQIIAggCCAIIAggCCAIIAggCCAIIAggCCAIIAggCCAIIAggCIAIDAkoCHgAC9QICAmsCBAIFAgYCBwIIAgkCCgILAgwCDQIIAggCCAIIAggCCAIIAggCCAIIAggCCAIIAggCCAIIAggCIAIDAmwCHgAC9QICAlICBAIFAgYCBwIIAgkCIQILAgwCDQIIAggCCAIIAggCCAIIAggCCAIIAggCCAIIAggCCAIIAggCIAIDAlMCHgAC9QICAiACBAIFAgYCBwIIAgkCCgILAgwCDQIIAggCCAIIAgh6AAAEAAIIAggCCAIIAggCCAIIAggCCAIIAggCCAIgAgMCgQIeAAL1AgICGwIEAgUCBgIHAggCCQIhAgsCDAINAggCCAIIAggCCAIIAggCCAIIAggCCAIIAggCCAIIAggCCAIgAgMCgwIeAAL1AgICQQIEAgUCBgIHAggCCQIKAgsCDAINAggCCAIIAggCCAIIAggCCAIIAggCCAIIAggCCAIIAggCCAIgAgMCTgIeAAL1AgICPgIEAgUCBgIHAggCCQIeAgsCDAINAggCCAIIAggCCAIIAggCCAIIAggCCAIIAggCCAIIAggCCAIgAgMCWAIeAAL1AgICMgIEAgUCBgIHAggCCQIhAgsCDAINAggCCAIIAggCCAIIAggCCAIIAggCCAIIAggCCAIIAggCCAIgAgMCMwIeAAL1AgICPAIEAgUCBgIHAggCCQIhAgsCDAINAggCCAIIAggCCAIIAggCCAIIAggCCAIIAggCCAIIAggCCAIgAgMCJgIeAAL1AgICLgIEAgUCBgIHAggCCQIhAgsCDAINAggCCAIIAggCCAIIAggCCAIIAggCCAIIAggCCAIIAggCCAIgAgMCLwIeAAL1AgICXAIEAgUCBgIHAggCCQIhAgsCDAINAggCCAIIAggCCAIIAggCCAIIAggCCAIIAggCCAIIAggCCAIgAgMCcwIeAAL1AgICHQIEAgUCBgIHAggCCQIeAgsCDAINAggCCAIIAggCCAIIAggCCAIIAggCCAIIAggCCAIIAggCCAIgAgMCHwIeAAL1AgICVAIEAgUCBgIHAggCCQIKAgsCDAINAggCCAIIAggCCAIIAggCCAIIAggCCAIIAggCCAIIAggCCAIgAgMCbwIeAAL1AgICaAIEAgUCBgIHAggCCQIhAgsCDAINAggCCAIIAggCCAIIAggCCAIIAggCCAIIAggCCAIIAggCCAIgAgMCdwIeAAL1AgICJQIEAgUCBgIHAggCCQIKAgsCDAINAggCCAIIAggCCAIIAggCCAIIAggCCAIIAggCCAIIAggCCAIgAgMChQIeAAL1AgICWQIEAgUCBgIHAggCCQIhAgsCDAINAggCCAIIAggCCAIIAggCCAIIAggCCAIIAggCCAIIAggCCAIgAgMCWgIeAAL1AgICMAIEAgUCBgIHAggCCQIhAgsCDAINAggCCAIIAggCCAIIAggCCAIIAggCCAIIAggCCAIIAggCCAIgAgMChgIeAAL1AgICSAIEAgUCBgIHAggCCQIeAgsCDAINAggCCAIIAggCCAIIAggCCAIIAggCCAIIAggCCAIIAggCCAIgAgMCXgIeAAL1AgICKQIEAgUCBgIHAggCCQIhAgsCDAJ6AAAEAA0CCAIIAggCCAIIAggCCAIIAggCCAIIAggCCAIIAggCCAIIAiACAwKOAh4AAvUCAgJUAgQCBQIGAgcCCAIJAiECCwIMAg0CCAIIAggCCAIIAggCCAIIAggCCAIIAggCCAIIAggCCAIIAiACAwImAh4AAvUCAgJ9AgQCBQIGAgcCCAIJAh4CCwIMAg0CCAIIAggCCAIIAggCCAIIAggCCAIIAggCCAIIAggCCAIIAiACAwKHAh4AAvUCAgIuAgQCBQIGAgcCCAIJAgoCCwIMAg0CCAIIAggCCAIIAggCCAIIAggCCAIIAggCCAIIAggCCAIIAiACAwKEAh4AAvUCAgJcAgQCBQIGAgcCCAIJAgoCCwIMAg0CCAIIAggCCAIIAggCCAIIAggCCAIIAggCCAIIAggCCAIIAiACAwJdAh4AAvUCAgIyAgQCBQIGAgcCCAIJAgoCCwIMAg0CCAIIAggCCAIIAggCCAIIAggCCAIIAggCCAIIAggCCAIIAiACAwJ2Ah4AAvUCAgJWAgQCBQIGAgcCCAIJAiECCwIMAg0CCAIIAggCCAIIAggCCAIIAggCCAIIAggCCAIIAggCCAIIAiACAwKKAh4AAvUCAgIDAgQCBQIGAgcCCAIJAiECCwIMAg0CCAIIAggCCAIIAggCCAIIAggCCAIIAggCCAIIAggCCAIIAiACAwJPAh4AAvUCAgI3AgQCBQIGAgcCCAIJAgoCCwIMAg0CCAIIAggCCAIIAggCCAIIAggCCAIIAggCCAIIAggCCAIIAiACAwI4Ah4AAvUCAgI5AgQCBQIGAgcCCAIJAiECCwIMAg0CCAIIAggCCAIIAggCCAIIAggCCAIIAggCCAIIAggCCAIIAiACAwJgAh4AAvUCAgIuAgQCBQIGAgcCCAIJAh4CCwIMAg0CCAIIAggCCAIIAggCCAIIAggCCAIIAggCCAIIAggCCAIIAiACAwKSAh4AAvUCAgJBAgQCBQIGAgcCCAIJAh4CCwIMAg0CCAIIAggCCAIIAggCCAIIAggCCAIIAggCCAIIAggCCAIIAiACAwJCAh4AAvUCAgIlAgQCBQIGAgcCCAIJAh4CCwIMAg0CCAIIAggCCAIIAggCCAIIAggCCAIIAggCCAIIAggCCAIIAiACAwJ/Ah4AAvUCAgIgAgQCBQIGAgcCCAIJAh4CCwIMAg0CCAIIAggCCAIIAggCCAIIAggCCAIIAggCCAIIAggCCAIIAiACAwJ5Ah4AAvUCAgInAgQCBQIGAgcCCAIJAgoCCwIMAg0CCAIIAggCCAIIAggCCAIIAggCCAIIAggCCAIIAggCCAIIAiACAwKMAh4AAvUCAgIdAgQCBQIGAgd6AAAEAAIIAgkCCgILAgwCDQIIAggCCAIIAggCCAIIAggCCAIIAggCCAIIAggCCAIIAggCIAIDAo8CHgAC9QICAkgCBAIFAgYCBwIIAgkCIQILAgwCDQIIAggCCAIIAggCCAIIAggCCAIIAggCCAIIAggCCAIIAggCIAIDAkkCHgAC9QICAjUCBAIFAgYCBwIIAgkCIQILAgwCDQIIAggCCAIIAggCCAIIAggCCAIIAggCCAIIAggCCAIIAggCIAIDAmUCHgAC9QICAkgCBAIFAgYCBwIIAgkCCgILAgwCDQIIAggCCAIIAggCCAIIAggCCAIIAggCCAIIAggCCAIIAggCIAIDAmICHgAC9QICAn0CBAIFAgYCBwIIAgkCCgILAgwCDQIIAggCCAIIAggCCAIIAggCCAIIAggCCAIIAggCCAIIAggCIAIDAo0CHgAC9QICAmsCBAIFAgYCBwIIAgkCIQILAgwCDQIIAggCCAIIAggCCAIIAggCCAIIAggCCAIIAggCCAIIAggCIAIDApMCHgAC9QICAmgCBAIFAgYCBwIIAgkCHgILAgwCDQIIAggCCAIIAggCCAIIAggCCAIIAggCCAIIAggCCAIIAggCIAIDAmkCHgAC9QICAkECBAIFAgYCBwIIAgkCIQILAgwCDQIIAggCCAIIAggCCAIIAggCCAIIAggCCAIIAggCCAIIAggCIAIDAm0CHgAC9QICAiACBAIFAgYCBwIIAgkCIQILAgwCDQIIAggCCAIIAggCCAIIAggCCAIIAggCCAIIAggCCAIIAggCIAIDAiICHgAC9QICAlwCBAIFAgYCBwIIAgkCHgILAgwCDQIIAggCCAIIAggCCAIIAggCCAIIAggCCAIIAggCCAIIAggCIAIDAmYCHgAC9QICAjICBAIFAgYCBwIIAgkCHgILAgwCDQIIAggCCAIIAggCCAIIAggCCAIIAggCCAIIAggCCAIIAggCIAIDApACHgAC9QICAjwCBAIFAgYCBwIIAgkCHgILAgwCDQIIAggCCAIIAggCCAIIAggCCAIIAggCCAIIAggCCAIIAggCIAIDApECHgAC9QICAj4CBAIFAgYCBwIIAgkCIQILAgwCDQIIAggCCAIIAggCCAIIAggCCAIIAggCCAIIAggCCAIIAggCIAIDAj8CHgAC9QICAjcCBAIFAgYCBwIIAgkCHgILAgwCDQIIAggCCAIIAggCCAIIAggCCAIIAggCCAIIAggCCAIIAggCIAIDAmcCHgAC9QICAgMCBAIFAgYCBwIIAgkCCgILAgwCDQIIAggCCAIIAggCCAIIAggCCAIIAggCCAIIAggCCAIIAggCIAIDAg4CHgAC9QJ6AAAEAAICVgIEAgUCBgIHAggCCQIeAgsCDAINAggCCAIIAggCCAIIAggCCAIIAggCCAIIAggCCAIIAggCCAIgAgMCVwIeAAL1AgICGwIEAgUCBgIHAggCCQIKAgsCDAINAggCCAIIAggCCAIIAggCCAIIAggCCAIIAggCCAIIAggCCAIgAgMCHAIeAAL1AgICUgIEAgUCBgIHAggCCQIKAgsCDAINAggCCAIIAggCCAIIAggCCAIIAggCCAIIAggCCAIIAggCCAIgAgMCbgIeAAL1AgICJQIEAgUCBgIHAggCCQIhAgsCDAINAggCCAIIAggCCAIIAggCCAIIAggCCAIIAggCCAIIAggCCAIgAgMCJgIeAAL1AgICOQIEAgUCBgIHAggCCQIeAgsCDAINAggCCAIIAggCCAIIAggCCAIIAggCCAIIAggCCAIIAggCCAIgAgMCggIeAAL2AAk3Nzk4OTIzNjgCAgJZAgQCBQIGAgcCCAIJApgCCwKWAg0CCAIIAggCCAIIAggCCAIIAggCCAIIAggCCAIIAggCCAIIAhMCAwKkAh4AAvYCAgI5AgQCBQIGAgcCCAIJAh4CCwKWAg0CCAIIAggCCAIIAggCCAIIAggCCAIIAggCCAIIAggCCAIIAhMCAwKiAh4AAvYCAgI8AgQCBQIGAgcCCAIJAh4CCwKWAg0CCAIIAggCCAIIAggCCAIIAggCCAIIAggCCAIIAggCCAIIAhMCAwKmAh4AAvYCAgJoAgQCBQIGAgcCCAIJApgCCwKWAg0CCAIIAggCCAIIAggCCAIIAggCCAIIAggCCAIIAggCCAIIAhMCAwKfAh4AAvYCAgJUAgQCBQIGAgcCCAIJApgCCwKWAg0CCAIIAggCCAIIAggCCAIIAggCCAIIAggCCAIIAggCCAIIAhMCAwImAh4AAvYCAgJQAgQCBQIGAgcCCAIJApgCCwKWAg0CCAIIAggCCAIIAggCCAIIAggCCAIIAggCCAIIAggCCAIIAhMCAwImAh4AAvYCAgIgAgQCBQIGAgcCCAIJAgoCCwKWAg0CCAIIAggCCAIIAggCCAIIAggCCAIIAggCCAIIAggCCAIIAhMCAwKdAh4AAvYCAgJWAgQCBQIGAgcCCAIJApgCCwKWAg0CCAIIAggCCAIIAggCCAIIAggCCAIIAggCCAIIAggCCAIIAhMCAwKqAh4AAvYCAgI+AgQCBQIGAgcCCAIJAh4CCwKWAg0CCAIIAggCCAIIAggCCAIIAggCCAIIAggCCAIIAggCCAIIAhMCAwKpAh4AAvYCAgIwAgQCBQIGAgcCCAIJAh4CCwKWAg0CCAIIAggCCAIIAggCCAIIAggCCAIIAgh3mgIIAggCCAIIAggCEwIDAtACHgAC9gICAkgCBAIFAgYCBwIIAgkCCgILApYCDQIIAggCCAIIAggCCAIIAggCCAIIAggCCAIIAggCCAIIAggCEwIDAqcCHgAC9gICAksCBAIFAgYCBwIIAgkCCgILApYCDQIIAggCCAIIAggCCAIIAggCCAIIAggCCAIIAggCCAIIAggCEwIDAvdzcQB+AAAAAAACc3EAfgAE///////////////+/////gAAAAF1cQB+AAcAAAAEA+4zBnh4egAAAeMCHgAC9gICAkQCBAIFAgYCBwIIAgkCHgILApYCDQIIAggCCAIIAggCCAIIAggCCAIIAggCCAIIAggCCAIIAggCEwIDAu0CHgAC9gICAmsCBAIFAgYCBwIIAgkCmAILApYCDQIIAggCCAIIAggCCAIIAggCCAIIAggCCAIIAggCCAIIAggCEwIDAtYCHgAC9gICAiACBAIFAgYCBwIIAgkCHgILApYCDQIIAggCCAIIAggCCAIIAggCCAIIAggCCAIIAggCCAIIAggCEwIDAtMCHgAC9gICAjUCBAIFAgYCBwIIAgkCHgILApYCDQIIAggCCAIIAggCCAIIAggCCAIIAggCCAIIAggCCAIIAggCEwIDAsICHgAC9gICAjsCBAIFAgYCBwIIAgkCmAILApYCDQIIAggCCAIIAggCCAIIAggCCAIIAggCCAIIAggCCAIIAggCEwIDAiYCHgAC9gICAjkCBAIFAgYCBwIIAgkCCgILApYCDQIIAggCCAIIAggCCAIIAggCCAIIAggCCAIIAggCCAIIAggCEwIDAtECHgAC9gICAiwCBAIFAgYCBwIIAgkCHgILApYCDQIIAggCCAIIAggCCAIIAggCCAIIAggCCAIIAggCCAIIAggCEwIDAvhzcQB+AAAAAAACc3EAfgAE///////////////+/////v////91cQB+AAcAAAAEPiM+uHh4egAAAvcCHgAC9gICAikCBAIFAgYCBwIIAgkCHgILApYCDQIIAggCCAIIAggCCAIIAggCCAIIAggCCAIIAggCCAIIAggCEwIDAswCHgAC9gICAkECBAIFAgYCBwIIAgkCmAILApYCDQIIAggCCAIIAggCCAIIAggCCAIIAggCCAIIAggCCAIIAggCEwIDAtgCHgAC9gICAjICBAIFAgYCBwIIAgkCCgILApYCDQIIAggCCAIIAggCCAIIAggCCAIIAggCCAIIAggCCAIIAggCEwIDAt0CHgAC9gICAi4CBAIFAgYCBwIIAgkCCgILApYCDQIIAggCCAIIAggCCAIIAggCCAIIAggCCAIIAggCCAIIAggCEwIDApoCHgAC9gICAiMCBAIFAgYCBwIIAgkCHgILApYCDQIIAggCCAIIAggCCAIIAggCCAIIAggCCAIIAggCCAIIAggCEwIDAuMCHgAC9gICAjwCBAIFAgYCBwIIAgkCCgILApYCDQIIAggCCAIIAggCCAIIAggCCAIIAggCCAIIAggCCAIIAggCEwIDAtsCHgAC9gICAjUCBAIFAgYCBwIIAgkCCgILApYCDQIIAggCCAIIAggCCAIIAggCCAIIAggCCAIIAggCCAIIAggCEwIDAsQCHgAC9gICAiMCBAIFAgYCBwIIAgkCCgILApYCDQIIAggCCAIIAggCCAIIAggCCAIIAggCCAIIAggCCAIIAggCEwIDAuICHgAC9gICAicCBAIFAgYCBwIIAgkCmAILApYCDQIIAggCCAIIAggCCAIIAggCCAIIAggCCAIIAggCCAIIAggCEwIDAsoCHgAC9gICAiUCBAIFAgYCBwIIAgkCmAILApYCDQIIAggCCAIIAggCCAIIAggCCAIIAggCCAIIAggCCAIIAggCEwIDAiYCHgAC9gICAiwCBAIFAgYCBwIIAgkCCgILApYCDQIIAggCCAIIAggCCAIIAggCCAIIAggCCAIIAggCCAIIAggCEwIDAvlzcQB+AAAAAAACc3EAfgAE///////////////+/////gAAAAF1cQB+AAcAAAAEBXlFQnh4egAABAACHgAC9gICAkACBAIFAgYCBwIIAgkCHgILApYCDQIIAggCCAIIAggCCAIIAggCCAIIAggCCAIIAggCCAIIAggCEwIDAuECHgAC9gICAhsCBAIFAgYCBwIIAgkCCgILApYCDQIIAggCCAIIAggCCAIIAggCCAIIAggCCAIIAggCCAIIAggCEwIDAr0CHgAC9gICAlwCBAIFAgYCBwIIAgkCHgILApYCDQIIAggCCAIIAggCCAIIAggCCAIIAggCCAIIAggCCAIIAggCEwIDArECHgAC9gICAh0CBAIFAgYCBwIIAgkCmAILApYCDQIIAggCCAIIAggCCAIIAggCCAIIAggCCAIIAggCCAIIAggCEwIDAr4CHgAC9gICAkACBAIFAgYCBwIIAgkCCgILApYCDQIIAggCCAIIAggCCAIIAggCCAIIAggCCAIIAggCCAIIAggCEwIDAuQCHgAC9gICAi4CBAIFAgYCBwIIAgkCmAILApYCDQIIAggCCAIIAggCCAIIAggCCAIIAggCCAIIAggCCAIIAggCEwIDArQCHgAC9gICAjICBAIFAgYCBwIIAgkCmAILApYCDQIIAggCCAIIAggCCAIIAggCCAIIAggCCAIIAggCCAIIAggCEwIDAscCHgAC9gICAjcCBAIFAgYCBwIIAgkCHgILApYCDQIIAggCCAIIAggCCAIIAggCCAIIAggCCAIIAggCCAIIAggCEwIDAsUCHgAC9gICAgMCBAIFAgYCBwIIAgkCCgILApYCDQIIAggCCAIIAggCCAIIAggCCAIIAggCCAIIAggCCAIIAggCEwIDAskCHgAC9gICAgMCBAIFAgYCBwIIAgkCHgILApYCDQIIAggCCAIIAggCCAIIAggCCAIIAggCCAIIAggCCAIIAggCEwIDArkCHgAC9gICAhsCBAIFAgYCBwIIAgkCHgILApYCDQIIAggCCAIIAggCCAIIAggCCAIIAggCCAIIAggCCAIIAggCEwIDArMCHgAC9gICAlQCBAIFAgYCBwIIAgkCCgILApYCDQIIAggCCAIIAggCCAIIAggCCAIIAggCCAIIAggCCAIIAggCEwIDAsECHgAC9gICAlUCBAIFAgYCBwIIAgkCmAILApYCDQIIAggCCAIIAggCCAIIAggCCAIIAggCCAIIAggCCAIIAggCEwIDAiYCHgAC9gICAlICBAIFAgYCBwIIAgkCmAILApYCDQIIAggCCAIIAggCCAIIAggCCAIIAggCCAIIAggCCAIIAggCEwIDAqwCHgAC9gICAj4CBAIFAgYCBwIIAgkCCgILApYCDQIIAggCCAIIAggCCAIIAggCCAIIAggCCAIIAggCegAAAWQIAggCCAITAgMCsgIeAAL2AgICSAIEAgUCBgIHAggCCQIeAgsClgINAggCCAIIAggCCAIIAggCCAIIAggCCAIIAggCCAIIAggCCAITAgMClwIeAAL2AgICTAIEAgUCBgIHAggCCQKYAgsClgINAggCCAIIAggCCAIIAggCCAIIAggCCAIIAggCCAIIAggCCAITAgMCTQIeAAL2AgICfQIEAgUCBgIHAggCCQKYAgsClgINAggCCAIIAggCCAIIAggCCAIIAggCCAIIAggCCAIIAggCCAITAgMCtwIeAAL2AgICWQIEAgUCBgIHAggCCQIKAgsClgINAggCCAIIAggCCAIIAggCCAIIAggCCAIIAggCCAIIAggCCAITAgMCuwIeAAL2AgICSwIEAgUCBgIHAggCCQIeAgsClgINAggCCAIIAggCCAIIAggCCAIIAggCCAIIAggCCAIIAggCCAITAgMC+nNxAH4AAAAAAAJzcQB+AAT///////////////7////+/////3VxAH4ABwAAAAQ789EkeHh6AAAB4wIeAAL2AgICaAIEAgUCBgIHAggCCQIeAgsClgINAggCCAIIAggCCAIIAggCCAIIAggCCAIIAggCCAIIAggCCAITAgMCoQIeAAL2AgICPAIEAgUCBgIHAggCCQKYAgsClgINAggCCAIIAggCCAIIAggCCAIIAggCCAIIAggCCAIIAggCCAITAgMCJgIeAAL2AgICMAIEAgUCBgIHAggCCQKYAgsClgINAggCCAIIAggCCAIIAggCCAIIAggCCAIIAggCCAIIAggCCAITAgMCoAIeAAL2AgICVgIEAgUCBgIHAggCCQIeAgsClgINAggCCAIIAggCCAIIAggCCAIIAggCCAIIAggCCAIIAggCCAITAgMCowIeAAL2AgICOwIEAgUCBgIHAggCCQIKAgsClgINAggCCAIIAggCCAIIAggCCAIIAggCCAIIAggCCAIIAggCCAITAgMC+QIeAAL2AgICQQIEAgUCBgIHAggCCQIKAgsClgINAggCCAIIAggCCAIIAggCCAIIAggCCAIIAggCCAIIAggCCAITAgMCpQIeAAL2AgICUAIEAgUCBgIHAggCCQIeAgsClgINAggCCAIIAggCCAIIAggCCAIIAggCCAIIAggCCAIIAggCCAITAgMC+3NxAH4AAAAAAAJzcQB+AAT///////////////7////+/////3VxAH4ABwAAAAQ1pvvleHh6AAADgQIeAAL2AgICPgIEAgUCBgIHAggCCQKYAgsClgINAggCCAIIAggCCAIIAggCCAIIAggCCAIIAggCCAIIAggCCAITAgMCqwIeAAL2AgICOQIEAgUCBgIHAggCCQKYAgsClgINAggCCAIIAggCCAIIAggCCAIIAggCCAIIAggCCAIIAggCCAITAgMCmQIeAAL2AgICfQIEAgUCBgIHAggCCQIKAgsClgINAggCCAIIAggCCAIIAggCCAIIAggCCAIIAggCCAIIAggCCAITAgMCqAIeAAL2AgICWQIEAgUCBgIHAggCCQIeAgsClgINAggCCAIIAggCCAIIAggCCAIIAggCCAIIAggCCAIIAggCCAITAgMCzgIeAAL2AgICRAIEAgUCBgIHAggCCQKYAgsClgINAggCCAIIAggCCAIIAggCCAIIAggCCAIIAggCCAIIAggCCAITAgMCJgIeAAL2AgICOwIEAgUCBgIHAggCCQIeAgsClgINAggCCAIIAggCCAIIAggCCAIIAggCCAIIAggCCAIIAggCCAITAgMC+AIeAAL2AgICNQIEAgUCBgIHAggCCQKYAgsClgINAggCCAIIAggCCAIIAggCCAIIAggCCAIIAggCCAIIAggCCAITAgMC1AIeAAL2AgICaAIEAgUCBgIHAggCCQIKAgsClgINAggCCAIIAggCCAIIAggCCAIIAggCCAIIAggCCAIIAggCCAITAgMC1QIeAAL2AgICNwIEAgUCBgIHAggCCQIKAgsClgINAggCCAIIAggCCAIIAggCCAIIAggCCAIIAggCCAIIAggCCAITAgMC3gIeAAL2AgICQQIEAgUCBgIHAggCCQIeAgsClgINAggCCAIIAggCCAIIAggCCAIIAggCCAIIAggCCAIIAggCCAITAgMC0gIeAAL2AgICIAIEAgUCBgIHAggCCQKYAgsClgINAggCCAIIAggCCAIIAggCCAIIAggCCAIIAggCCAIIAggCCAITAgMC2QIeAAL2AgICVgIEAgUCBgIHAggCCQIKAgsClgINAggCCAIIAggCCAIIAggCCAIIAggCCAIIAggCCAIIAggCCAITAgMCzQIeAAL2AgICUAIEAgUCBgIHAggCCQIKAgsClgINAggCCAIIAggCCAIIAggCCAIIAggCCAIIAggCCAIIAggCCAITAgMC/HNxAH4AAAAAAAJzcQB+AAT///////////////7////+AAAAAXVxAH4ABwAAAAQC1DjseHh6AAAEAAIeAAL2AgICLAIEAgUCBgIHAggCCQKYAgsClgINAggCCAIIAggCCAIIAggCCAIIAggCCAIIAggCCAIIAggCCAITAgMCJgIeAAL2AgICVQIEAgUCBgIHAggCCQIKAgsClgINAggCCAIIAggCCAIIAggCCAIIAggCCAIIAggCCAIIAggCCAITAgMC6QIeAAL2AgICVAIEAgUCBgIHAggCCQIeAgsClgINAggCCAIIAggCCAIIAggCCAIIAggCCAIIAggCCAIIAggCCAITAgMCzwIeAAL2AgICKQIEAgUCBgIHAggCCQKYAgsClgINAggCCAIIAggCCAIIAggCCAIIAggCCAIIAggCCAIIAggCCAITAgMC2gIeAAL2AgICawIEAgUCBgIHAggCCQIeAgsClgINAggCCAIIAggCCAIIAggCCAIIAggCCAIIAggCCAIIAggCCAITAgMC1wIeAAL2AgICXAIEAgUCBgIHAggCCQIKAgsClgINAggCCAIIAggCCAIIAggCCAIIAggCCAIIAggCCAIIAggCCAITAgMC3AIeAAL2AgICIwIEAgUCBgIHAggCCQKYAgsClgINAggCCAIIAggCCAIIAggCCAIIAggCCAIIAggCCAIIAggCCAITAgMCJgIeAAL2AgICawIEAgUCBgIHAggCCQIKAgsClgINAggCCAIIAggCCAIIAggCCAIIAggCCAIIAggCCAIIAggCCAITAgMCwwIeAAL2AgICMgIEAgUCBgIHAggCCQIeAgsClgINAggCCAIIAggCCAIIAggCCAIIAggCCAIIAggCCAIIAggCCAITAgMCyAIeAAL2AgICJwIEAgUCBgIHAggCCQIeAgsClgINAggCCAIIAggCCAIIAggCCAIIAggCCAIIAggCCAIIAggCCAITAgMCxgIeAAL2AgICHQIEAgUCBgIHAggCCQIeAgsClgINAggCCAIIAggCCAIIAggCCAIIAggCCAIIAggCCAIIAggCCAITAgMCvwIeAAL2AgICHQIEAgUCBgIHAggCCQIKAgsClgINAggCCAIIAggCCAIIAggCCAIIAggCCAIIAggCCAIIAggCCAITAgMCtQIeAAL2AgICJQIEAgUCBgIHAggCCQIeAgsClgINAggCCAIIAggCCAIIAggCCAIIAggCCAIIAggCCAIIAggCCAITAgMCywIeAAL2AgICUgIEAgUCBgIHAggCCQIKAgsClgINAggCCAIIAggCCAIIAggCCAIIAggCCAIIAggCCAIIAggCCAITAgMCvAIeAAL2AgICXAIEAgUCBgIHAggCCQKYAgsClgINAggCCAIIAggCCAIIAggCCAIIAggCCAIIAggCCAJ6AAAEAAgCCAIIAhMCAwKvAh4AAvYCAgIuAgQCBQIGAgcCCAIJAh4CCwKWAg0CCAIIAggCCAIIAggCCAIIAggCCAIIAggCCAIIAggCCAIIAhMCAwKuAh4AAvYCAgJMAgQCBQIGAgcCCAIJAgoCCwKWAg0CCAIIAggCCAIIAggCCAIIAggCCAIIAggCCAIIAggCCAIIAhMCAwJNAh4AAvYCAgI3AgQCBQIGAgcCCAIJApgCCwKWAg0CCAIIAggCCAIIAggCCAIIAggCCAIIAggCCAIIAggCCAIIAhMCAwImAh4AAvYCAgInAgQCBQIGAgcCCAIJAgoCCwKWAg0CCAIIAggCCAIIAggCCAIIAggCCAIIAggCCAIIAggCCAIIAhMCAwK4Ah4AAvYCAgJEAgQCBQIGAgcCCAIJAgoCCwKWAg0CCAIIAggCCAIIAggCCAIIAggCCAIIAggCCAIIAggCCAIIAhMCAwLqAh4AAvYCAgJSAgQCBQIGAgcCCAIJAh4CCwKWAg0CCAIIAggCCAIIAggCCAIIAggCCAIIAggCCAIIAggCCAIIAhMCAwK6Ah4AAvYCAgJVAgQCBQIGAgcCCAIJAh4CCwKWAg0CCAIIAggCCAIIAggCCAIIAggCCAIIAggCCAIIAggCCAIIAhMCAwLuAh4AAvYCAgIlAgQCBQIGAgcCCAIJAgoCCwKWAg0CCAIIAggCCAIIAggCCAIIAggCCAIIAggCCAIIAggCCAIIAhMCAwKcAh4AAvYCAgJIAgQCBQIGAgcCCAIJApgCCwKWAg0CCAIIAggCCAIIAggCCAIIAggCCAIIAggCCAIIAggCCAIIAhMCAwKeAh4AAvYCAgIpAgQCBQIGAgcCCAIJAgoCCwKWAg0CCAIIAggCCAIIAggCCAIIAggCCAIIAggCCAIIAggCCAIIAhMCAwLAAh4AAvYCAgJAAgQCBQIGAgcCCAIJApgCCwKWAg0CCAIIAggCCAIIAggCCAIIAggCCAIIAggCCAIIAggCCAIIAhMCAwImAh4AAvYCAgIbAgQCBQIGAgcCCAIJApgCCwKWAg0CCAIIAggCCAIIAggCCAIIAggCCAIIAggCCAIIAggCCAIIAhMCAwKtAh4AAvYCAgJ9AgQCBQIGAgcCCAIJAh4CCwKWAg0CCAIIAggCCAIIAggCCAIIAggCCAIIAggCCAIIAggCCAIIAhMCAwKbAh4AAvYCAgIDAgQCBQIGAgcCCAIJApgCCwKWAg0CCAIIAggCCAIIAggCCAIIAggCCAIIAggCCAIIAggCCAIIAhMCAwKwAh4AAvYCAgIwAgQCBQIGAgcCCAIJAgoCCwKWAg0CCAIIAggCCAIIAggCCAIIAgh6AAAEAAIIAggCCAIIAggCCAIIAggCEwIDArYCHgAC9gICAksCBAIFAgYCBwIIAgkCmAILApYCDQIIAggCCAIIAggCCAIIAggCCAIIAggCCAIIAggCCAIIAggCEwIDAiYCHgAC9gICAkwCBAIFAgYCBwIIAgkCHgILApYCDQIIAggCCAIIAggCCAIIAggCCAIIAggCCAIIAggCCAIIAggCEwIDAk0CHgAC/QAJOTM4MzcxNzIwAgICVAIEAgUCBgIHAggCCQIKAgsClgINAggCCAIIAggCCAIIAggCCAIIAggCCAIIAggCCAIIAggCCAIfAgMCwQIeAAL9AgICKQIEAgUCBgIHAggCCQIKAgsClgINAggCCAIIAggCCAIIAggCCAIIAggCCAIIAggCCAIIAggCCAIfAgMCwAIeAAL9AgICQAIEAgUCBgIHAggCCQKYAgsClgINAggCCAIIAggCCAIIAggCCAIIAggCCAIIAggCCAIIAggCCAIfAgMCJgIeAAL9AgICNQIEAgUCBgIHAggCCQIeAgsClgINAggCCAIIAggCCAIIAggCCAIIAggCCAIIAggCCAIIAggCCAIfAgMCwgIeAAL9AgICawIEAgUCBgIHAggCCQIeAgsClgINAggCCAIIAggCCAIIAggCCAIIAggCCAIIAggCCAIIAggCCAIfAgMC1wIeAAL9AgICHQIEAgUCBgIHAggCCQKYAgsClgINAggCCAIIAggCCAIIAggCCAIIAggCCAIIAggCCAIIAggCCAIfAgMCvgIeAAL9AgICUgIEAgUCBgIHAggCCQIKAgsClgINAggCCAIIAggCCAIIAggCCAIIAggCCAIIAggCCAIIAggCCAIfAgMCvAIeAAL9AgICQAIEAgUCBgIHAggCCQIeAgsClgINAggCCAIIAggCCAIIAggCCAIIAggCCAIIAggCCAIIAggCCAIfAgMC4QIeAAL9AgICGwIEAgUCBgIHAggCCQIKAgsClgINAggCCAIIAggCCAIIAggCCAIIAggCCAIIAggCCAIIAggCCAIfAgMCvQIeAAL9AgICNQIEAgUCBgIHAggCCQKYAgsClgINAggCCAIIAggCCAIIAggCCAIIAggCCAIIAggCCAIIAggCCAIfAgMC1AIeAAL9AgICJwIEAgUCBgIHAggCCQKYAgsClgINAggCCAIIAggCCAIIAggCCAIIAggCCAIIAggCCAIIAggCCAIfAgMCygIeAAL9AgICAwIEAgUCBgIHAggCCQIKAgsClgINAggCCAIIAggCCAIIAggCCAIIAggCCAIIAggCCAIIAggCCAIfAgMCyQIeAAL9AgICNwIEAgUCBgIHAggCCQKYAgt6AAAEAAKWAg0CCAIIAggCCAIIAggCCAIIAggCCAIIAggCCAIIAggCCAIIAh8CAwImAh4AAv0CAgI1AgQCBQIGAgcCCAIJAgoCCwKWAg0CCAIIAggCCAIIAggCCAIIAggCCAIIAggCCAIIAggCCAIIAh8CAwLEAh4AAv0CAgIdAgQCBQIGAgcCCAIJAh4CCwKWAg0CCAIIAggCCAIIAggCCAIIAggCCAIIAggCCAIIAggCCAIIAh8CAwK/Ah4AAv0CAgIyAgQCBQIGAgcCCAIJApgCCwKWAg0CCAIIAggCCAIIAggCCAIIAggCCAIIAggCCAIIAggCCAIIAh8CAwLHAh4AAv0CAgIyAgQCBQIGAgcCCAIJAh4CCwKWAg0CCAIIAggCCAIIAggCCAIIAggCCAIIAggCCAIIAggCCAIIAh8CAwLIAh4AAv0CAgI3AgQCBQIGAgcCCAIJAh4CCwKWAg0CCAIIAggCCAIIAggCCAIIAggCCAIIAggCCAIIAggCCAIIAh8CAwLFAh4AAv0CAgInAgQCBQIGAgcCCAIJAh4CCwKWAg0CCAIIAggCCAIIAggCCAIIAggCCAIIAggCCAIIAggCCAIIAh8CAwLGAh4AAv0CAgJrAgQCBQIGAgcCCAIJAgoCCwKWAg0CCAIIAggCCAIIAggCCAIIAggCCAIIAggCCAIIAggCCAIIAh8CAwLDAh4AAv0CAgJZAgQCBQIGAgcCCAIJAh4CCwKWAg0CCAIIAggCCAIIAggCCAIIAggCCAIIAggCCAIIAggCCAIIAh8CAwLOAh4AAv0CAgIwAgQCBQIGAgcCCAIJAh4CCwKWAg0CCAIIAggCCAIIAggCCAIIAggCCAIIAggCCAIIAggCCAIIAh8CAwLQAh4AAv0CAgIpAgQCBQIGAgcCCAIJApgCCwKWAg0CCAIIAggCCAIIAggCCAIIAggCCAIIAggCCAIIAggCCAIIAh8CAwLaAh4AAv0CAgIlAgQCBQIGAgcCCAIJApgCCwKWAg0CCAIIAggCCAIIAggCCAIIAggCCAIIAggCCAIIAggCCAIIAh8CAwImAh4AAv0CAgJUAgQCBQIGAgcCCAIJApgCCwKWAg0CCAIIAggCCAIIAggCCAIIAggCCAIIAggCCAIIAggCCAIIAh8CAwImAh4AAv0CAgJUAgQCBQIGAgcCCAIJAh4CCwKWAg0CCAIIAggCCAIIAggCCAIIAggCCAIIAggCCAIIAggCCAIIAh8CAwLPAh4AAv0CAgJZAgQCBQIGAgcCCAIJApgCCwKWAg0CCAIIAggCCAIIAggCCAIIAggCCAIIAggCCAIIAggCCAIIAh8CAwKkAh4AAv0CAgIwAgQCBQJ6AAAEAAYCBwIIAgkCmAILApYCDQIIAggCCAIIAggCCAIIAggCCAIIAggCCAIIAggCCAIIAggCHwIDAqACHgAC/QICAjkCBAIFAgYCBwIIAgkCCgILApYCDQIIAggCCAIIAggCCAIIAggCCAIIAggCCAIIAggCCAIIAggCHwIDAtECHgAC/QICAiUCBAIFAgYCBwIIAgkCHgILApYCDQIIAggCCAIIAggCCAIIAggCCAIIAggCCAIIAggCCAIIAggCHwIDAssCHgAC/QICAjICBAIFAgYCBwIIAgkCCgILApYCDQIIAggCCAIIAggCCAIIAggCCAIIAggCCAIIAggCCAIIAggCHwIDAt0CHgAC/QICAjcCBAIFAgYCBwIIAgkCCgILApYCDQIIAggCCAIIAggCCAIIAggCCAIIAggCCAIIAggCCAIIAggCHwIDAt4CHgAC/QICAkECBAIFAgYCBwIIAgkCmAILApYCDQIIAggCCAIIAggCCAIIAggCCAIIAggCCAIIAggCCAIIAggCHwIDAtgCHgAC/QICAjwCBAIFAgYCBwIIAgkCCgILApYCDQIIAggCCAIIAggCCAIIAggCCAIIAggCCAIIAggCCAIIAggCHwIDAtsCHgAC/QICAmsCBAIFAgYCBwIIAgkCmAILApYCDQIIAggCCAIIAggCCAIIAggCCAIIAggCCAIIAggCCAIIAggCHwIDAtYCHgAC/QICAlYCBAIFAgYCBwIIAgkCCgILApYCDQIIAggCCAIIAggCCAIIAggCCAIIAggCCAIIAggCCAIIAggCHwIDAs0CHgAC/QICAmgCBAIFAgYCBwIIAgkCCgILApYCDQIIAggCCAIIAggCCAIIAggCCAIIAggCCAIIAggCCAIIAggCHwIDAtUCHgAC/QICAiACBAIFAgYCBwIIAgkCmAILApYCDQIIAggCCAIIAggCCAIIAggCCAIIAggCCAIIAggCCAIIAggCHwIDAtkCHgAC/QICAiACBAIFAgYCBwIIAgkCHgILApYCDQIIAggCCAIIAggCCAIIAggCCAIIAggCCAIIAggCCAIIAggCHwIDAtMCHgAC/QICAkECBAIFAgYCBwIIAgkCHgILApYCDQIIAggCCAIIAggCCAIIAggCCAIIAggCCAIIAggCCAIIAggCHwIDAtICHgAC/QICAikCBAIFAgYCBwIIAgkCHgILApYCDQIIAggCCAIIAggCCAIIAggCCAIIAggCCAIIAggCCAIIAggCHwIDAswCHgAC/QICAiUCBAIFAgYCBwIIAgkCCgILApYCDQIIAggCCAIIAggCCAIIAggCCAIIAggCCAIIAggCCAIIAggCHwIDApwCHgB6AAAEAAL9AgICXAIEAgUCBgIHAggCCQIKAgsClgINAggCCAIIAggCCAIIAggCCAIIAggCCAIIAggCCAIIAggCCAIfAgMC3AIeAAL9AgICLgIEAgUCBgIHAggCCQIKAgsClgINAggCCAIIAggCCAIIAggCCAIIAggCCAIIAggCCAIIAggCCAIfAgMCmgIeAAL9AgICfQIEAgUCBgIHAggCCQKYAgsClgINAggCCAIIAggCCAIIAggCCAIIAggCCAIIAggCCAIIAggCCAIfAgMCtwIeAAL9AgICSAIEAgUCBgIHAggCCQIeAgsClgINAggCCAIIAggCCAIIAggCCAIIAggCCAIIAggCCAIIAggCCAIfAgMClwIeAAL9AgICfQIEAgUCBgIHAggCCQIeAgsClgINAggCCAIIAggCCAIIAggCCAIIAggCCAIIAggCCAIIAggCCAIfAgMCmwIeAAL9AgICSAIEAgUCBgIHAggCCQKYAgsClgINAggCCAIIAggCCAIIAggCCAIIAggCCAIIAggCCAIIAggCCAIfAgMCngIeAAL9AgICPAIEAgUCBgIHAggCCQKYAgsClgINAggCCAIIAggCCAIIAggCCAIIAggCCAIIAggCCAIIAggCCAIfAgMCJgIeAAL9AgICaAIEAgUCBgIHAggCCQKYAgsClgINAggCCAIIAggCCAIIAggCCAIIAggCCAIIAggCCAIIAggCCAIfAgMCnwIeAAL9AgICQQIEAgUCBgIHAggCCQIKAgsClgINAggCCAIIAggCCAIIAggCCAIIAggCCAIIAggCCAIIAggCCAIfAgMCpQIeAAL9AgICIAIEAgUCBgIHAggCCQIKAgsClgINAggCCAIIAggCCAIIAggCCAIIAggCCAIIAggCCAIIAggCCAIfAgMCnQIeAAL9AgICVgIEAgUCBgIHAggCCQIeAgsClgINAggCCAIIAggCCAIIAggCCAIIAggCCAIIAggCCAIIAggCCAIfAgMCowIeAAL9AgICOQIEAgUCBgIHAggCCQIeAgsClgINAggCCAIIAggCCAIIAggCCAIIAggCCAIIAggCCAIIAggCCAIfAgMCogIeAAL9AgICOQIEAgUCBgIHAggCCQKYAgsClgINAggCCAIIAggCCAIIAggCCAIIAggCCAIIAggCCAIIAggCCAIfAgMCmQIeAAL9AgICXAIEAgUCBgIHAggCCQIeAgsClgINAggCCAIIAggCCAIIAggCCAIIAggCCAIIAggCCAIIAggCCAIfAgMCsQIeAAL9AgICVgIEAgUCBgIHAggCCQKYAgsClgINAggCCAIIAggCCAIIAggCCAIIAggCCAIIAggCCAIIAgh6AAAEAAIIAh8CAwKqAh4AAv0CAgI+AgQCBQIGAgcCCAIJAh4CCwKWAg0CCAIIAggCCAIIAggCCAIIAggCCAIIAggCCAIIAggCCAIIAh8CAwKpAh4AAv0CAgJ9AgQCBQIGAgcCCAIJAgoCCwKWAg0CCAIIAggCCAIIAggCCAIIAggCCAIIAggCCAIIAggCCAIIAh8CAwKoAh4AAv0CAgI+AgQCBQIGAgcCCAIJApgCCwKWAg0CCAIIAggCCAIIAggCCAIIAggCCAIIAggCCAIIAggCCAIIAh8CAwKrAh4AAv0CAgJcAgQCBQIGAgcCCAIJApgCCwKWAg0CCAIIAggCCAIIAggCCAIIAggCCAIIAggCCAIIAggCCAIIAh8CAwKvAh4AAv0CAgIuAgQCBQIGAgcCCAIJApgCCwKWAg0CCAIIAggCCAIIAggCCAIIAggCCAIIAggCCAIIAggCCAIIAh8CAwK0Ah4AAv0CAgI+AgQCBQIGAgcCCAIJAgoCCwKWAg0CCAIIAggCCAIIAggCCAIIAggCCAIIAggCCAIIAggCCAIIAh8CAwKyAh4AAv0CAgJIAgQCBQIGAgcCCAIJAgoCCwKWAg0CCAIIAggCCAIIAggCCAIIAggCCAIIAggCCAIIAggCCAIIAh8CAwKnAh4AAv0CAgIbAgQCBQIGAgcCCAIJApgCCwKWAg0CCAIIAggCCAIIAggCCAIIAggCCAIIAggCCAIIAggCCAIIAh8CAwKtAh4AAv0CAgI8AgQCBQIGAgcCCAIJAh4CCwKWAg0CCAIIAggCCAIIAggCCAIIAggCCAIIAggCCAIIAggCCAIIAh8CAwKmAh4AAv0CAgIuAgQCBQIGAgcCCAIJAh4CCwKWAg0CCAIIAggCCAIIAggCCAIIAggCCAIIAggCCAIIAggCCAIIAh8CAwKuAh4AAv0CAgJoAgQCBQIGAgcCCAIJAh4CCwKWAg0CCAIIAggCCAIIAggCCAIIAggCCAIIAggCCAIIAggCCAIIAh8CAwKhAh4AAv0CAgJAAgQCBQIGAgcCCAIJAgoCCwKWAg0CCAIIAggCCAIIAggCCAIIAggCCAIIAggCCAIIAggCCAIIAh8CAwLkAh4AAv0CAgIdAgQCBQIGAgcCCAIJAgoCCwKWAg0CCAIIAggCCAIIAggCCAIIAggCCAIIAggCCAIIAggCCAIIAh8CAwK1Ah4AAv0CAgJSAgQCBQIGAgcCCAIJAh4CCwKWAg0CCAIIAggCCAIIAggCCAIIAggCCAIIAggCCAIIAggCCAIIAh8CAwK6Ah4AAv0CAgInAgQCBQIGAgcCCAIJAgoCCwKWAg0CCAIIAggCCAIIAggCCAIIAggCCAJ6AAAEAAgCCAIIAggCCAIIAggCHwIDArgCHgAC/QICAgMCBAIFAgYCBwIIAgkCmAILApYCDQIIAggCCAIIAggCCAIIAggCCAIIAggCCAIIAggCCAIIAggCHwIDArACHgAC/QICAhsCBAIFAgYCBwIIAgkCHgILApYCDQIIAggCCAIIAggCCAIIAggCCAIIAggCCAIIAggCCAIIAggCHwIDArMCHgAC/QICAgMCBAIFAgYCBwIIAgkCHgILApYCDQIIAggCCAIIAggCCAIIAggCCAIIAggCCAIIAggCCAIIAggCHwIDArkCHgAC/QICAlkCBAIFAgYCBwIIAgkCCgILApYCDQIIAggCCAIIAggCCAIIAggCCAIIAggCCAIIAggCCAIIAggCHwIDArsCHgAC/QICAjACBAIFAgYCBwIIAgkCCgILApYCDQIIAggCCAIIAggCCAIIAggCCAIIAggCCAIIAggCCAIIAggCHwIDArYCHgAC/QICAlICBAIFAgYCBwIIAgkCmAILApYCDQIIAggCCAIIAggCCAIIAggCCAIIAggCCAIIAggCCAIIAggCHwIDAqwCHgAC/gAJOTM4MzY3MDgwAgICPgIEAgUCBgIHAggCCQKYAgsClgINAggCCAIIAggCCAIIAggCCAIIAggCCAIIAggCCAIIAggCCAIbAgMCqwIeAAL+AgICLgIEAgUCBgIHAggCCQIKAgsClgINAggCCAIIAggCCAIIAggCCAIIAggCCAIIAggCCAIIAggCCAIbAgMCmgIeAAL+AgICfQIEAgUCBgIHAggCCQIeAgsClgINAggCCAIIAggCCAIIAggCCAIIAggCCAIIAggCCAIIAggCCAIbAgMCmwIeAAL+AgICXAIEAgUCBgIHAggCCQIKAgsClgINAggCCAIIAggCCAIIAggCCAIIAggCCAIIAggCCAIIAggCCAIbAgMC3AIeAAL+AgICfQIEAgUCBgIHAggCCQKYAgsClgINAggCCAIIAggCCAIIAggCCAIIAggCCAIIAggCCAIIAggCCAIbAgMCtwIeAAL+AgICSAIEAgUCBgIHAggCCQKYAgsClgINAggCCAIIAggCCAIIAggCCAIIAggCCAIIAggCCAIIAggCCAIbAgMCngIeAAL+AgICJQIEAgUCBgIHAggCCQIKAgsClgINAggCCAIIAggCCAIIAggCCAIIAggCCAIIAggCCAIIAggCCAIbAgMCnAIeAAL+AgICPAIEAgUCBgIHAggCCQKYAgsClgINAggCCAIIAggCCAIIAggCCAIIAggCCAIIAggCCAIIAggCCAIbAgMCJgIeAAL+AgICSAIEAgUCBgIHAggCCQIeAgsClgJ6AAAEAA0CCAIIAggCCAIIAggCCAIIAggCCAIIAggCCAIIAggCCAIIAhsCAwKXAh4AAv4CAgJoAgQCBQIGAgcCCAIJApgCCwKWAg0CCAIIAggCCAIIAggCCAIIAggCCAIIAggCCAIIAggCCAIIAhsCAwKfAh4AAv4CAgI3AgQCBQIGAgcCCAIJAgoCCwKWAg0CCAIIAggCCAIIAggCCAIIAggCCAIIAggCCAIIAggCCAIIAhsCAwLeAh4AAv4CAgInAgQCBQIGAgcCCAIJAgoCCwKWAg0CCAIIAggCCAIIAggCCAIIAggCCAIIAggCCAIIAggCCAIIAhsCAwK4Ah4AAv4CAgIgAgQCBQIGAgcCCAIJAh4CCwKWAg0CCAIIAggCCAIIAggCCAIIAggCCAIIAggCCAIIAggCCAIIAhsCAwLTAh4AAv4CAgIyAgQCBQIGAgcCCAIJAgoCCwKWAg0CCAIIAggCCAIIAggCCAIIAggCCAIIAggCCAIIAggCCAIIAhsCAwLdAh4AAv4CAgJUAgQCBQIGAgcCCAIJApgCCwKWAg0CCAIIAggCCAIIAggCCAIIAggCCAIIAggCCAIIAggCCAIIAhsCAwImAh4AAv4CAgJBAgQCBQIGAgcCCAIJApgCCwKWAg0CCAIIAggCCAIIAggCCAIIAggCCAIIAggCCAIIAggCCAIIAhsCAwLYAh4AAv4CAgIpAgQCBQIGAgcCCAIJApgCCwKWAg0CCAIIAggCCAIIAggCCAIIAggCCAIIAggCCAIIAggCCAIIAhsCAwLaAh4AAv4CAgJBAgQCBQIGAgcCCAIJAh4CCwKWAg0CCAIIAggCCAIIAggCCAIIAggCCAIIAggCCAIIAggCCAIIAhsCAwLSAh4AAv4CAgIgAgQCBQIGAgcCCAIJApgCCwKWAg0CCAIIAggCCAIIAggCCAIIAggCCAIIAggCCAIIAggCCAIIAhsCAwLZAh4AAv4CAgJAAgQCBQIGAgcCCAIJAgoCCwKWAg0CCAIIAggCCAIIAggCCAIIAggCCAIIAggCCAIIAggCCAIIAhsCAwLkAh4AAv4CAgIuAgQCBQIGAgcCCAIJApgCCwKWAg0CCAIIAggCCAIIAggCCAIIAggCCAIIAggCCAIIAggCCAIIAhsCAwK0Ah4AAv4CAgI+AgQCBQIGAgcCCAIJAgoCCwKWAg0CCAIIAggCCAIIAggCCAIIAggCCAIIAggCCAIIAggCCAIIAhsCAwKyAh4AAv4CAgJVAgQCBQIGAgcCCAIJApgCCwKWAg0CCAIIAggCCAIIAggCCAIIAggCCAIIAggCCAIIAggCCAIIAhsCAwImAh4AAv4CAgJ9AgQCBQIGAgd6AAAEAAIIAgkCCgILApYCDQIIAggCCAIIAggCCAIIAggCCAIIAggCCAIIAggCCAIIAggCGwIDAqgCHgAC/gICAh0CBAIFAgYCBwIIAgkCCgILApYCDQIIAggCCAIIAggCCAIIAggCCAIIAggCCAIIAggCCAIIAggCGwIDArUCHgAC/gICAjwCBAIFAgYCBwIIAgkCHgILApYCDQIIAggCCAIIAggCCAIIAggCCAIIAggCCAIIAggCCAIIAggCGwIDAqYCHgAC/gICAkgCBAIFAgYCBwIIAgkCCgILApYCDQIIAggCCAIIAggCCAIIAggCCAIIAggCCAIIAggCCAIIAggCGwIDAqcCHgAC/gICAlwCBAIFAgYCBwIIAgkCHgILApYCDQIIAggCCAIIAggCCAIIAggCCAIIAggCCAIIAggCCAIIAggCGwIDArECHgAC/gICAjICBAIFAgYCBwIIAgkCHgILApYCDQIIAggCCAIIAggCCAIIAggCCAIIAggCCAIIAggCCAIIAggCGwIDAsgCHgAC/gICAlwCBAIFAgYCBwIIAgkCmAILApYCDQIIAggCCAIIAggCCAIIAggCCAIIAggCCAIIAggCCAIIAggCGwIDAq8CHgAC/gICAmgCBAIFAgYCBwIIAgkCHgILApYCDQIIAggCCAIIAggCCAIIAggCCAIIAggCCAIIAggCCAIIAggCGwIDAqECHgAC/gICAi4CBAIFAgYCBwIIAgkCHgILApYCDQIIAggCCAIIAggCCAIIAggCCAIIAggCCAIIAggCCAIIAggCGwIDAq4CHgAC/gICAlYCBAIFAgYCBwIIAgkCHgILApYCDQIIAggCCAIIAggCCAIIAggCCAIIAggCCAIIAggCCAIIAggCGwIDAqMCHgAC/gICAjUCBAIFAgYCBwIIAgkCmAILApYCDQIIAggCCAIIAggCCAIIAggCCAIIAggCCAIIAggCCAIIAggCGwIDAtQCHgAC/gICAjkCBAIFAgYCBwIIAgkCHgILApYCDQIIAggCCAIIAggCCAIIAggCCAIIAggCCAIIAggCCAIIAggCGwIDAqICHgAC/gICAjcCBAIFAgYCBwIIAgkCmAILApYCDQIIAggCCAIIAggCCAIIAggCCAIIAggCCAIIAggCCAIIAggCGwIDAiYCHgAC/gICAjcCBAIFAgYCBwIIAgkCHgILApYCDQIIAggCCAIIAggCCAIIAggCCAIIAggCCAIIAggCCAIIAggCGwIDAsUCHgAC/gICAgMCBAIFAgYCBwIIAgkCCgILApYCDQIIAggCCAIIAggCCAIIAggCCAIIAggCCAIIAggCCAIIAggCGwIDAskCHgAC/gJ6AAAEAAICVgIEAgUCBgIHAggCCQKYAgsClgINAggCCAIIAggCCAIIAggCCAIIAggCCAIIAggCCAIIAggCCAIbAgMCqgIeAAL+AgICOQIEAgUCBgIHAggCCQKYAgsClgINAggCCAIIAggCCAIIAggCCAIIAggCCAIIAggCCAIIAggCCAIbAgMCmQIeAAL+AgICUgIEAgUCBgIHAggCCQIKAgsClgINAggCCAIIAggCCAIIAggCCAIIAggCCAIIAggCCAIIAggCCAIbAgMCvAIeAAL+AgICQAIEAgUCBgIHAggCCQKYAgsClgINAggCCAIIAggCCAIIAggCCAIIAggCCAIIAggCCAIIAggCCAIbAgMCJgIeAAL+AgICHQIEAgUCBgIHAggCCQKYAgsClgINAggCCAIIAggCCAIIAggCCAIIAggCCAIIAggCCAIIAggCCAIbAgMCvgIeAAL+AgICKQIEAgUCBgIHAggCCQIKAgsClgINAggCCAIIAggCCAIIAggCCAIIAggCCAIIAggCCAIIAggCCAIbAgMCwAIeAAL+AgICVAIEAgUCBgIHAggCCQIKAgsClgINAggCCAIIAggCCAIIAggCCAIIAggCCAIIAggCCAIIAggCCAIbAgMCwQIeAAL+AgICIwIEAgUCBgIHAggCCQIeAgsClgINAggCCAIIAggCCAIIAggCCAIIAggCCAIIAggCCAIIAggCCAIbAgMC4wIeAAL+AgICQAIEAgUCBgIHAggCCQIeAgsClgINAggCCAIIAggCCAIIAggCCAIIAggCCAIIAggCCAIIAggCCAIbAgMC4QIeAAL+AgICGwIEAgUCBgIHAggCCQIKAgsClgINAggCCAIIAggCCAIIAggCCAIIAggCCAIIAggCCAIIAggCCAIbAgMCvQIeAAL+AgICMAIEAgUCBgIHAggCCQIKAgsClgINAggCCAIIAggCCAIIAggCCAIIAggCCAIIAggCCAIIAggCCAIbAgMCtgIeAAL+AgICawIEAgUCBgIHAggCCQIeAgsClgINAggCCAIIAggCCAIIAggCCAIIAggCCAIIAggCCAIIAggCCAIbAgMC1wIeAAL+AgICVQIEAgUCBgIHAggCCQIKAgsClgINAggCCAIIAggCCAIIAggCCAIIAggCCAIIAggCCAIIAggCCAIbAgMC6QIeAAL+AgICMgIEAgUCBgIHAggCCQKYAgsClgINAggCCAIIAggCCAIIAggCCAIIAggCCAIIAggCCAIIAggCCAIbAgMCxwIeAAL+AgICNQIEAgUCBgIHAggCCQIeAgsClgINAggCCAIIAggCCAIIAggCCAIIAggCCAIIAggCCAIIAggCCAJ6AAAEABsCAwLCAh4AAv4CAgJoAgQCBQIGAgcCCAIJAgoCCwKWAg0CCAIIAggCCAIIAggCCAIIAggCCAIIAggCCAIIAggCCAIIAhsCAwLVAh4AAv4CAgJrAgQCBQIGAgcCCAIJApgCCwKWAg0CCAIIAggCCAIIAggCCAIIAggCCAIIAggCCAIIAggCCAIIAhsCAwLWAh4AAv4CAgIjAgQCBQIGAgcCCAIJApgCCwKWAg0CCAIIAggCCAIIAggCCAIIAggCCAIIAggCCAIIAggCCAIIAhsCAwImAh4AAv4CAgIDAgQCBQIGAgcCCAIJAh4CCwKWAg0CCAIIAggCCAIIAggCCAIIAggCCAIIAggCCAIIAggCCAIIAhsCAwK5Ah4AAv4CAgJZAgQCBQIGAgcCCAIJAgoCCwKWAg0CCAIIAggCCAIIAggCCAIIAggCCAIIAggCCAIIAggCCAIIAhsCAwK7Ah4AAv4CAgI8AgQCBQIGAgcCCAIJAgoCCwKWAg0CCAIIAggCCAIIAggCCAIIAggCCAIIAggCCAIIAggCCAIIAhsCAwLbAh4AAv4CAgI5AgQCBQIGAgcCCAIJAgoCCwKWAg0CCAIIAggCCAIIAggCCAIIAggCCAIIAggCCAIIAggCCAIIAhsCAwLRAh4AAv4CAgJVAgQCBQIGAgcCCAIJAh4CCwKWAg0CCAIIAggCCAIIAggCCAIIAggCCAIIAggCCAIIAggCCAIIAhsCAwLuAh4AAv4CAgJWAgQCBQIGAgcCCAIJAgoCCwKWAg0CCAIIAggCCAIIAggCCAIIAggCCAIIAggCCAIIAggCCAIIAhsCAwLNAh4AAv4CAgIbAgQCBQIGAgcCCAIJAh4CCwKWAg0CCAIIAggCCAIIAggCCAIIAggCCAIIAggCCAIIAggCCAIIAhsCAwKzAh4AAv4CAgIpAgQCBQIGAgcCCAIJAh4CCwKWAg0CCAIIAggCCAIIAggCCAIIAggCCAIIAggCCAIIAggCCAIIAhsCAwLMAh4AAv4CAgJUAgQCBQIGAgcCCAIJAh4CCwKWAg0CCAIIAggCCAIIAggCCAIIAggCCAIIAggCCAIIAggCCAIIAhsCAwLPAh4AAv4CAgJSAgQCBQIGAgcCCAIJAh4CCwKWAg0CCAIIAggCCAIIAggCCAIIAggCCAIIAggCCAIIAggCCAIIAhsCAwK6Ah4AAv4CAgJSAgQCBQIGAgcCCAIJApgCCwKWAg0CCAIIAggCCAIIAggCCAIIAggCCAIIAggCCAIIAggCCAIIAhsCAwKsAh4AAv4CAgIbAgQCBQIGAgcCCAIJApgCCwKWAg0CCAIIAggCCAIIAggCCAIIAggCCAIIAgh6AAAEAAIIAggCCAIIAggCGwIDAq0CHgAC/gICAlkCBAIFAgYCBwIIAgkCHgILApYCDQIIAggCCAIIAggCCAIIAggCCAIIAggCCAIIAggCCAIIAggCGwIDAs4CHgAC/gICAiUCBAIFAgYCBwIIAgkCmAILApYCDQIIAggCCAIIAggCCAIIAggCCAIIAggCCAIIAggCCAIIAggCGwIDAiYCHgAC/gICAiUCBAIFAgYCBwIIAgkCHgILApYCDQIIAggCCAIIAggCCAIIAggCCAIIAggCCAIIAggCCAIIAggCGwIDAssCHgAC/gICAlkCBAIFAgYCBwIIAgkCmAILApYCDQIIAggCCAIIAggCCAIIAggCCAIIAggCCAIIAggCCAIIAggCGwIDAqQCHgAC/gICAjACBAIFAgYCBwIIAgkCmAILApYCDQIIAggCCAIIAggCCAIIAggCCAIIAggCCAIIAggCCAIIAggCGwIDAqACHgAC/gICAgMCBAIFAgYCBwIIAgkCmAILApYCDQIIAggCCAIIAggCCAIIAggCCAIIAggCCAIIAggCCAIIAggCGwIDArACHgAC/gICAjACBAIFAgYCBwIIAgkCHgILApYCDQIIAggCCAIIAggCCAIIAggCCAIIAggCCAIIAggCCAIIAggCGwIDAtACHgAC/gICAicCBAIFAgYCBwIIAgkCmAILApYCDQIIAggCCAIIAggCCAIIAggCCAIIAggCCAIIAggCCAIIAggCGwIDAsoCHgAC/gICAiMCBAIFAgYCBwIIAgkCCgILApYCDQIIAggCCAIIAggCCAIIAggCCAIIAggCCAIIAggCCAIIAggCGwIDAuICHgAC/gICAkECBAIFAgYCBwIIAgkCCgILApYCDQIIAggCCAIIAggCCAIIAggCCAIIAggCCAIIAggCCAIIAggCGwIDAqUCHgAC/gICAjUCBAIFAgYCBwIIAgkCCgILApYCDQIIAggCCAIIAggCCAIIAggCCAIIAggCCAIIAggCCAIIAggCGwIDAsQCHgAC/gICAmsCBAIFAgYCBwIIAgkCCgILApYCDQIIAggCCAIIAggCCAIIAggCCAIIAggCCAIIAggCCAIIAggCGwIDAsMCHgAC/gICAiACBAIFAgYCBwIIAgkCCgILApYCDQIIAggCCAIIAggCCAIIAggCCAIIAggCCAIIAggCCAIIAggCGwIDAp0CHgAC/gICAicCBAIFAgYCBwIIAgkCHgILApYCDQIIAggCCAIIAggCCAIIAggCCAIIAggCCAIIAggCCAIIAggCGwIDAsYCHgAC/gICAj4CBAIFAgYCBwIIAgkCHgILApYCDQIIAggCCAIIAggCCAJ6AAAEAAgCCAIIAggCCAIIAggCCAIIAggCCAIbAgMCqQIeAAL+AgICHQIEAgUCBgIHAggCCQIeAgsClgINAggCCAIIAggCCAIIAggCCAIIAggCCAIIAggCCAIIAggCCAIbAgMCvwIeAAL/AAk3Nzk4OTQ2ODgCAgI+AgQCBQIGAgcCCAIJAgoCCwKWAg0CCAIIAggCCAIIAggCCAIIAggCCAIIAggCCAIIAggCCAIIAhUCAwKyAh4AAv8CAgIpAgQCBQIGAgcCCAIJAh4CCwKWAg0CCAIIAggCCAIIAggCCAIIAggCCAIIAggCCAIIAggCCAIIAhUCAwLMAh4AAv8CAgJSAgQCBQIGAgcCCAIJApgCCwKWAg0CCAIIAggCCAIIAggCCAIIAggCCAIIAggCCAIIAggCCAIIAhUCAwKsAh4AAv8CAgJVAgQCBQIGAgcCCAIJApgCCwKWAg0CCAIIAggCCAIIAggCCAIIAggCCAIIAggCCAIIAggCCAIIAhUCAwImAh4AAv8CAgIwAgQCBQIGAgcCCAIJAh4CCwKWAg0CCAIIAggCCAIIAggCCAIIAggCCAIIAggCCAIIAggCCAIIAhUCAwLQAh4AAv8CAgJUAgQCBQIGAgcCCAIJApgCCwKWAg0CCAIIAggCCAIIAggCCAIIAggCCAIIAggCCAIIAggCCAIIAhUCAwImAh4AAv8CAgJMAgQCBQIGAgcCCAIJApgCCwKWAg0CCAIIAggCCAIIAggCCAIIAggCCAIIAggCCAIIAggCCAIIAhUCAwJNAh4AAv8CAgJLAgQCBQIGAgcCCAIJAgoCCwKWAg0CCAIIAggCCAIIAggCCAIIAggCCAIIAggCCAIIAggCCAIIAhUCAwL3Ah4AAv8CAgJIAgQCBQIGAgcCCAIJAgoCCwKWAg0CCAIIAggCCAIIAggCCAIIAggCCAIIAggCCAIIAggCCAIIAhUCAwKnAh4AAv8CAgI8AgQCBQIGAgcCCAIJAgoCCwKWAg0CCAIIAggCCAIIAggCCAIIAggCCAIIAggCCAIIAggCCAIIAhUCAwLbAh4AAv8CAgJEAgQCBQIGAgcCCAIJAh4CCwKWAg0CCAIIAggCCAIIAggCCAIIAggCCAIIAggCCAIIAggCCAIIAhUCAwLtAh4AAv8CAgI8AgQCBQIGAgcCCAIJAh4CCwKWAg0CCAIIAggCCAIIAggCCAIIAggCCAIIAggCCAIIAggCCAIIAhUCAwKmAh4AAv8CAgJZAgQCBQIGAgcCCAIJApgCCwKWAg0CCAIIAggCCAIIAggCCAIIAggCCAIIAggCCAIIAggCCAIIAhUCAwKkAh4AAv8CAgI5AgQCBQIGAgcCCAJ6AAAEAAkCCgILApYCDQIIAggCCAIIAggCCAIIAggCCAIIAggCCAIIAggCCAIIAggCFQIDAtECHgAC/wICAhsCBAIFAgYCBwIIAgkCHgILApYCDQIIAggCCAIIAggCCAIIAggCCAIIAggCCAIIAggCCAIIAggCFQIDArMCHgAC/wICAmgCBAIFAgYCBwIIAgkCmAILApYCDQIIAggCCAIIAggCCAIIAggCCAIIAggCCAIIAggCCAIIAggCFQIDAp8CHgAC/wICAkgCBAIFAgYCBwIIAgkCHgILApYCDQIIAggCCAIIAggCCAIIAggCCAIIAggCCAIIAggCCAIIAggCFQIDApcCHgAC/wICAksCBAIFAgYCBwIIAgkCHgILApYCDQIIAggCCAIIAggCCAIIAggCCAIIAggCCAIIAggCCAIIAggCFQIDAvoCHgAC/wICAkACBAIFAgYCBwIIAgkCmAILApYCDQIIAggCCAIIAggCCAIIAggCCAIIAggCCAIIAggCCAIIAggCFQIDAiYCHgAC/wICAikCBAIFAgYCBwIIAgkCCgILApYCDQIIAggCCAIIAggCCAIIAggCCAIIAggCCAIIAggCCAIIAggCFQIDAsACHgAC/wICAh0CBAIFAgYCBwIIAgkCHgILApYCDQIIAggCCAIIAggCCAIIAggCCAIIAggCCAIIAggCCAIIAggCFQIDAr8CHgAC/wICAj4CBAIFAgYCBwIIAgkCHgILApYCDQIIAggCCAIIAggCCAIIAggCCAIIAggCCAIIAggCCAIIAggCFQIDAqkCHgAC/wICAkQCBAIFAgYCBwIIAgkCCgILApYCDQIIAggCCAIIAggCCAIIAggCCAIIAggCCAIIAggCCAIIAggCFQIDAuoCHgAC/wICAgMCBAIFAgYCBwIIAgkCHgILApYCDQIIAggCCAIIAggCCAIIAggCCAIIAggCCAIIAggCCAIIAggCFQIDArkCHgAC/wICAiMCBAIFAgYCBwIIAgkCCgILApYCDQIIAggCCAIIAggCCAIIAggCCAIIAggCCAIIAggCCAIIAggCFQIDAuICHgAC/wICAjACBAIFAgYCBwIIAgkCCgILApYCDQIIAggCCAIIAggCCAIIAggCCAIIAggCCAIIAggCCAIIAggCFQIDArYCHgAC/wICAn0CBAIFAgYCBwIIAgkCmAILApYCDQIIAggCCAIIAggCCAIIAggCCAIIAggCCAIIAggCCAIIAggCFQIDArcCHgAC/wICAiUCBAIFAgYCBwIIAgkCCgILApYCDQIIAggCCAIIAggCCAIIAggCCAIIAggCCAIIAggCCAIIAggCFQIDApwCHgAC/wICAiB6AAAEAAIEAgUCBgIHAggCCQIKAgsClgINAggCCAIIAggCCAIIAggCCAIIAggCCAIIAggCCAIIAggCCAIVAgMCnQIeAAL/AgICJQIEAgUCBgIHAggCCQIeAgsClgINAggCCAIIAggCCAIIAggCCAIIAggCCAIIAggCCAIIAggCCAIVAgMCywIeAAL/AgICQAIEAgUCBgIHAggCCQIKAgsClgINAggCCAIIAggCCAIIAggCCAIIAggCCAIIAggCCAIIAggCCAIVAgMC5AIeAAL/AgICXAIEAgUCBgIHAggCCQIeAgsClgINAggCCAIIAggCCAIIAggCCAIIAggCCAIIAggCCAIIAggCCAIVAgMCsQIeAAL/AgICQQIEAgUCBgIHAggCCQKYAgsClgINAggCCAIIAggCCAIIAggCCAIIAggCCAIIAggCCAIIAggCCAIVAgMC2AIeAAL/AgICJwIEAgUCBgIHAggCCQIeAgsClgINAggCCAIIAggCCAIIAggCCAIIAggCCAIIAggCCAIIAggCCAIVAgMCxgIeAAL/AgICNwIEAgUCBgIHAggCCQIKAgsClgINAggCCAIIAggCCAIIAggCCAIIAggCCAIIAggCCAIIAggCCAIVAgMC3gIeAAL/AgICNwIEAgUCBgIHAggCCQIeAgsClgINAggCCAIIAggCCAIIAggCCAIIAggCCAIIAggCCAIIAggCCAIVAgMCxQIeAAL/AgICawIEAgUCBgIHAggCCQIKAgsClgINAggCCAIIAggCCAIIAggCCAIIAggCCAIIAggCCAIIAggCCAIVAgMCwwIeAAL/AgICIAIEAgUCBgIHAggCCQIeAgsClgINAggCCAIIAggCCAIIAggCCAIIAggCCAIIAggCCAIIAggCCAIVAgMC0wIeAAL/AgICMgIEAgUCBgIHAggCCQKYAgsClgINAggCCAIIAggCCAIIAggCCAIIAggCCAIIAggCCAIIAggCCAIVAgMCxwIeAAL/AgICOwIEAgUCBgIHAggCCQKYAgsClgINAggCCAIIAggCCAIIAggCCAIIAggCCAIIAggCCAIIAggCCAIVAgMCJgIeAAL/AgICLgIEAgUCBgIHAggCCQKYAgsClgINAggCCAIIAggCCAIIAggCCAIIAggCCAIIAggCCAIIAggCCAIVAgMCtAIeAAL/AgICOQIEAgUCBgIHAggCCQKYAgsClgINAggCCAIIAggCCAIIAggCCAIIAggCCAIIAggCCAIIAggCCAIVAgMCmQIeAAL/AgICAwIEAgUCBgIHAggCCQIKAgsClgINAggCCAIIAggCCAIIAggCCAIIAggCCAIIAggCCAIIAggCCAIVAgN6AAAEAALJAh4AAv8CAgJrAgQCBQIGAgcCCAIJAh4CCwKWAg0CCAIIAggCCAIIAggCCAIIAggCCAIIAggCCAIIAggCCAIIAhUCAwLXAh4AAv8CAgJcAgQCBQIGAgcCCAIJAgoCCwKWAg0CCAIIAggCCAIIAggCCAIIAggCCAIIAggCCAIIAggCCAIIAhUCAwLcAh4AAv8CAgJWAgQCBQIGAgcCCAIJAh4CCwKWAg0CCAIIAggCCAIIAggCCAIIAggCCAIIAggCCAIIAggCCAIIAhUCAwKjAh4AAv8CAgI1AgQCBQIGAgcCCAIJApgCCwKWAg0CCAIIAggCCAIIAggCCAIIAggCCAIIAggCCAIIAggCCAIIAhUCAwLUAh4AAv8CAgIjAgQCBQIGAgcCCAIJApgCCwKWAg0CCAIIAggCCAIIAggCCAIIAggCCAIIAggCCAIIAggCCAIIAhUCAwImAh4AAv8CAgJoAgQCBQIGAgcCCAIJAgoCCwKWAg0CCAIIAggCCAIIAggCCAIIAggCCAIIAggCCAIIAggCCAIIAhUCAwLVAh4AAv8CAgIsAgQCBQIGAgcCCAIJApgCCwKWAg0CCAIIAggCCAIIAggCCAIIAggCCAIIAggCCAIIAggCCAIIAhUCAwImAh4AAv8CAgIbAgQCBQIGAgcCCAIJAgoCCwKWAg0CCAIIAggCCAIIAggCCAIIAggCCAIIAggCCAIIAggCCAIIAhUCAwK9Ah4AAv8CAgJQAgQCBQIGAgcCCAIJAh4CCwKWAg0CCAIIAggCCAIIAggCCAIIAggCCAIIAggCCAIIAggCCAIIAhUCAwL7Ah4AAv8CAgJZAgQCBQIGAgcCCAIJAh4CCwKWAg0CCAIIAggCCAIIAggCCAIIAggCCAIIAggCCAIIAggCCAIIAhUCAwLOAh4AAv8CAgJUAgQCBQIGAgcCCAIJAh4CCwKWAg0CCAIIAggCCAIIAggCCAIIAggCCAIIAggCCAIIAggCCAIIAhUCAwLPAh4AAv8CAgIbAgQCBQIGAgcCCAIJApgCCwKWAg0CCAIIAggCCAIIAggCCAIIAggCCAIIAggCCAIIAggCCAIIAhUCAwKtAh4AAv8CAgJ9AgQCBQIGAgcCCAIJAgoCCwKWAg0CCAIIAggCCAIIAggCCAIIAggCCAIIAggCCAIIAggCCAIIAhUCAwKoAh4AAv8CAgIpAgQCBQIGAgcCCAIJApgCCwKWAg0CCAIIAggCCAIIAggCCAIIAggCCAIIAggCCAIIAggCCAIIAhUCAwLaAh4AAv8CAgJSAgQCBQIGAgcCCAIJAh4CCwKWAg0CCAIIAggCCAIIAggCCAIIAggCCAIIAggCCAJ6AAAEAAgCCAIIAggCFQIDAroCHgAC/wICAkQCBAIFAgYCBwIIAgkCmAILApYCDQIIAggCCAIIAggCCAIIAggCCAIIAggCCAIIAggCCAIIAggCFQIDAiYCHgAC/wICAjACBAIFAgYCBwIIAgkCmAILApYCDQIIAggCCAIIAggCCAIIAggCCAIIAggCCAIIAggCCAIIAggCFQIDAqACHgAC/wICAmgCBAIFAgYCBwIIAgkCHgILApYCDQIIAggCCAIIAggCCAIIAggCCAIIAggCCAIIAggCCAIIAggCFQIDAqECHgAC/wICAjwCBAIFAgYCBwIIAgkCmAILApYCDQIIAggCCAIIAggCCAIIAggCCAIIAggCCAIIAggCCAIIAggCFQIDAiYCHgAC/wICAlYCBAIFAgYCBwIIAgkCCgILApYCDQIIAggCCAIIAggCCAIIAggCCAIIAggCCAIIAggCCAIIAggCFQIDAs0CHgAC/wICAlUCBAIFAgYCBwIIAgkCHgILApYCDQIIAggCCAIIAggCCAIIAggCCAIIAggCCAIIAggCCAIIAggCFQIDAu4CHgAC/wICAlACBAIFAgYCBwIIAgkCCgILApYCDQIIAggCCAIIAggCCAIIAggCCAIIAggCCAIIAggCCAIIAggCFQIDAvwCHgAC/wICAn0CBAIFAgYCBwIIAgkCHgILApYCDQIIAggCCAIIAggCCAIIAggCCAIIAggCCAIIAggCCAIIAggCFQIDApsCHgAC/wICAj4CBAIFAgYCBwIIAgkCmAILApYCDQIIAggCCAIIAggCCAIIAggCCAIIAggCCAIIAggCCAIIAggCFQIDAqsCHgAC/wICAh0CBAIFAgYCBwIIAgkCmAILApYCDQIIAggCCAIIAggCCAIIAggCCAIIAggCCAIIAggCCAIIAggCFQIDAr4CHgAC/wICAksCBAIFAgYCBwIIAgkCmAILApYCDQIIAggCCAIIAggCCAIIAggCCAIIAggCCAIIAggCCAIIAggCFQIDAiYCHgAC/wICAlkCBAIFAgYCBwIIAgkCCgILApYCDQIIAggCCAIIAggCCAIIAggCCAIIAggCCAIIAggCCAIIAggCFQIDArsCHgAC/wICAkwCBAIFAgYCBwIIAgkCHgILApYCDQIIAggCCAIIAggCCAIIAggCCAIIAggCCAIIAggCCAIIAggCFQIDAk0CHgAC/wICAicCBAIFAgYCBwIIAgkCmAILApYCDQIIAggCCAIIAggCCAIIAggCCAIIAggCCAIIAggCCAIIAggCFQIDAsoCHgAC/wICAkECBAIFAgYCBwIIAgkCCgILApYCDQIIAggCCAIIAggCCAIIAgh6AAAEAAIIAggCCAIIAggCCAIIAggCCAIVAgMCpQIeAAL/AgICAwIEAgUCBgIHAggCCQKYAgsClgINAggCCAIIAggCCAIIAggCCAIIAggCCAIIAggCCAIIAggCCAIVAgMCsAIeAAL/AgICSAIEAgUCBgIHAggCCQKYAgsClgINAggCCAIIAggCCAIIAggCCAIIAggCCAIIAggCCAIIAggCCAIVAgMCngIeAAL/AgICOwIEAgUCBgIHAggCCQIKAgsClgINAggCCAIIAggCCAIIAggCCAIIAggCCAIIAggCCAIIAggCCAIVAgMC+QIeAAL/AgICVAIEAgUCBgIHAggCCQIKAgsClgINAggCCAIIAggCCAIIAggCCAIIAggCCAIIAggCCAIIAggCCAIVAgMCwQIeAAL/AgICQAIEAgUCBgIHAggCCQIeAgsClgINAggCCAIIAggCCAIIAggCCAIIAggCCAIIAggCCAIIAggCCAIVAgMC4QIeAAL/AgICHQIEAgUCBgIHAggCCQIKAgsClgINAggCCAIIAggCCAIIAggCCAIIAggCCAIIAggCCAIIAggCCAIVAgMCtQIeAAL/AgICLgIEAgUCBgIHAggCCQIeAgsClgINAggCCAIIAggCCAIIAggCCAIIAggCCAIIAggCCAIIAggCCAIVAgMCrgIeAAL/AgICXAIEAgUCBgIHAggCCQKYAgsClgINAggCCAIIAggCCAIIAggCCAIIAggCCAIIAggCCAIIAggCCAIVAgMCrwIeAAL/AgICMgIEAgUCBgIHAggCCQIKAgsClgINAggCCAIIAggCCAIIAggCCAIIAggCCAIIAggCCAIIAggCCAIVAgMC3QIeAAL/AgICJwIEAgUCBgIHAggCCQIKAgsClgINAggCCAIIAggCCAIIAggCCAIIAggCCAIIAggCCAIIAggCCAIVAgMCuAIeAAL/AgICNQIEAgUCBgIHAggCCQIKAgsClgINAggCCAIIAggCCAIIAggCCAIIAggCCAIIAggCCAIIAggCCAIVAgMCxAIeAAL/AgICOwIEAgUCBgIHAggCCQIeAgsClgINAggCCAIIAggCCAIIAggCCAIIAggCCAIIAggCCAIIAggCCAIVAgMC+AIeAAL/AgICQQIEAgUCBgIHAggCCQIeAgsClgINAggCCAIIAggCCAIIAggCCAIIAggCCAIIAggCCAIIAggCCAIVAgMC0gIeAAL/AgICMgIEAgUCBgIHAggCCQIeAgsClgINAggCCAIIAggCCAIIAggCCAIIAggCCAIIAggCCAIIAggCCAIVAgMCyAIeAAL/AgICIAIEAgUCBgIHAggCCQKYAgsClgINAggCCAJ6AAAEAAgCCAIIAggCCAIIAggCCAIIAggCCAIIAggCCAIIAhUCAwLZAh4AAv8CAgIsAgQCBQIGAgcCCAIJAgoCCwKWAg0CCAIIAggCCAIIAggCCAIIAggCCAIIAggCCAIIAggCCAIIAhUCAwL5Ah4AAv8CAgIlAgQCBQIGAgcCCAIJApgCCwKWAg0CCAIIAggCCAIIAggCCAIIAggCCAIIAggCCAIIAggCCAIIAhUCAwImAh4AAv8CAgJVAgQCBQIGAgcCCAIJAgoCCwKWAg0CCAIIAggCCAIIAggCCAIIAggCCAIIAggCCAIIAggCCAIIAhUCAwLpAh4AAv8CAgIsAgQCBQIGAgcCCAIJAh4CCwKWAg0CCAIIAggCCAIIAggCCAIIAggCCAIIAggCCAIIAggCCAIIAhUCAwL4Ah4AAv8CAgJSAgQCBQIGAgcCCAIJAgoCCwKWAg0CCAIIAggCCAIIAggCCAIIAggCCAIIAggCCAIIAggCCAIIAhUCAwK8Ah4AAv8CAgIuAgQCBQIGAgcCCAIJAgoCCwKWAg0CCAIIAggCCAIIAggCCAIIAggCCAIIAggCCAIIAggCCAIIAhUCAwKaAh4AAv8CAgJMAgQCBQIGAgcCCAIJAgoCCwKWAg0CCAIIAggCCAIIAggCCAIIAggCCAIIAggCCAIIAggCCAIIAhUCAwJNAh4AAv8CAgIjAgQCBQIGAgcCCAIJAh4CCwKWAg0CCAIIAggCCAIIAggCCAIIAggCCAIIAggCCAIIAggCCAIIAhUCAwLjAh4AAv8CAgJWAgQCBQIGAgcCCAIJApgCCwKWAg0CCAIIAggCCAIIAggCCAIIAggCCAIIAggCCAIIAggCCAIIAhUCAwKqAh4AAv8CAgI3AgQCBQIGAgcCCAIJApgCCwKWAg0CCAIIAggCCAIIAggCCAIIAggCCAIIAggCCAIIAggCCAIIAhUCAwImAh4AAv8CAgI5AgQCBQIGAgcCCAIJAh4CCwKWAg0CCAIIAggCCAIIAggCCAIIAggCCAIIAggCCAIIAggCCAIIAhUCAwKiAh4AAv8CAgJrAgQCBQIGAgcCCAIJApgCCwKWAg0CCAIIAggCCAIIAggCCAIIAggCCAIIAggCCAIIAggCCAIIAhUCAwLWAh4AAv8CAgI1AgQCBQIGAgcCCAIJAh4CCwKWAg0CCAIIAggCCAIIAggCCAIIAggCCAIIAggCCAIIAggCCAIIAhUCAwLCAh4AAv8CAgJQAgQCBQIGAgcCCAIJApgCCwKWAg0CCAIIAggCCAIIAggCCAIIAggCCAIIAggCCAIIAggCCAIIAhUCAwImAh4ABAABAAk3Nzk4OTkzMjgCAgJrAgR6AAAEAAIFAgYCBwIIAgkCCgILApYCDQIIAggCCAIIAggCCAIIAggCCAIIAggCCAIIAggCCAIIAggCGQIDAsMCHgAEAAECAgI1AgQCBQIGAgcCCAIJAgoCCwKWAg0CCAIIAggCCAIIAggCCAIIAggCCAIIAggCCAIIAggCCAIIAhkCAwLEAh4ABAABAgICIwIEAgUCBgIHAggCCQIKAgsClgINAggCCAIIAggCCAIIAggCCAIIAggCCAIIAggCCAIIAggCCAIZAgMC4gIeAAQAAQICAjcCBAIFAgYCBwIIAgkCHgILApYCDQIIAggCCAIIAggCCAIIAggCCAIIAggCCAIIAggCCAIIAggCGQIDAsUCHgAEAAECAgI3AgQCBQIGAgcCCAIJApgCCwKWAg0CCAIIAggCCAIIAggCCAIIAggCCAIIAggCCAIIAggCCAIIAhkCAwImAh4ABAABAgICMgIEAgUCBgIHAggCCQIeAgsClgINAggCCAIIAggCCAIIAggCCAIIAggCCAIIAggCCAIIAggCCAIZAgMCyAIeAAQAAQICAiUCBAIFAgYCBwIIAgkCmAILApYCDQIIAggCCAIIAggCCAIIAggCCAIIAggCCAIIAggCCAIIAggCGQIDAiYCHgAEAAECAgIyAgQCBQIGAgcCCAIJApgCCwKWAg0CCAIIAggCCAIIAggCCAIIAggCCAIIAggCCAIIAggCCAIIAhkCAwLHAh4ABAABAgICXAIEAgUCBgIHAggCCQKYAgsClgINAggCCAIIAggCCAIIAggCCAIIAggCCAIIAggCCAIIAggCCAIZAgMCrwIeAAQAAQICAlUCBAIFAgYCBwIIAgkCCgILApYCDQIIAggCCAIIAggCCAIIAggCCAIIAggCCAIIAggCCAIIAggCGQIDAukCHgAEAAECAgJAAgQCBQIGAgcCCAIJAgoCCwKWAg0CCAIIAggCCAIIAggCCAIIAggCCAIIAggCCAIIAggCCAIIAhkCAwLkAh4ABAABAgICLgIEAgUCBgIHAggCCQKYAgsClgINAggCCAIIAggCCAIIAggCCAIIAggCCAIIAggCCAIIAggCCAIZAgMCtAIeAAQAAQICAhsCBAIFAgYCBwIIAgkCCgILApYCDQIIAggCCAIIAggCCAIIAggCCAIIAggCCAIIAggCCAIIAggCGQIDAr0CHgAEAAECAgJAAgQCBQIGAgcCCAIJApgCCwKWAg0CCAIIAggCCAIIAggCCAIIAggCCAIIAggCCAIIAggCCAIIAhkCAwImAh4ABAABAgICHQIEAgUCBgIHAggCCQKYAgsClgINAggCCAIIAggCCAIIAggCCAIIAggCCAIIAgh6AAAEAAIIAggCCAIIAhkCAwK+Ah4ABAABAgICQAIEAgUCBgIHAggCCQIeAgsClgINAggCCAIIAggCCAIIAggCCAIIAggCCAIIAggCCAIIAggCCAIZAgMC4QIeAAQAAQICAlQCBAIFAgYCBwIIAgkCCgILApYCDQIIAggCCAIIAggCCAIIAggCCAIIAggCCAIIAggCCAIIAggCGQIDAsECHgAEAAECAgIpAgQCBQIGAgcCCAIJAgoCCwKWAg0CCAIIAggCCAIIAggCCAIIAggCCAIIAggCCAIIAggCCAIIAhkCAwLAAh4ABAABAgICHQIEAgUCBgIHAggCCQIeAgsClgINAggCCAIIAggCCAIIAggCCAIIAggCCAIIAggCCAIIAggCCAIZAgMCvwIeAAQAAQICAlwCBAIFAgYCBwIIAgkCHgILApYCDQIIAggCCAIIAggCCAIIAggCCAIIAggCCAIIAggCCAIIAggCGQIDArECHgAEAAECAgJSAgQCBQIGAgcCCAIJAgoCCwKWAg0CCAIIAggCCAIIAggCCAIIAggCCAIIAggCCAIIAggCCAIIAhkCAwK8Ah4ABAABAgICAwIEAgUCBgIHAggCCQIKAgsClgINAggCCAIIAggCCAIIAggCCAIIAggCCAIIAggCCAIIAggCCAIZAgMCyQIeAAQAAQICAicCBAIFAgYCBwIIAgkCHgILApYCDQIIAggCCAIIAggCCAIIAggCCAIIAggCCAIIAggCCAIIAggCGQIDAsYCHgAEAAECAgInAgQCBQIGAgcCCAIJApgCCwKWAg0CCAIIAggCCAIIAggCCAIIAggCCAIIAggCCAIIAggCCAIIAhkCAwLKAh4ABAABAgICAwIEAgUCBgIHAggCCQIeAgsClgINAggCCAIIAggCCAIIAggCCAIIAggCCAIIAggCCAIIAggCCAIZAgMCuQIeAAQAAQICAlkCBAIFAgYCBwIIAgkCCgILApYCDQIIAggCCAIIAggCCAIIAggCCAIIAggCCAIIAggCCAIIAggCGQIDArsCHgAEAAECAgIwAgQCBQIGAgcCCAIJAgoCCwKWAg0CCAIIAggCCAIIAggCCAIIAggCCAIIAggCCAIIAggCCAIIAhkCAwK2Ah4ABAABAgICJwIEAgUCBgIHAggCCQIKAgsClgINAggCCAIIAggCCAIIAggCCAIIAggCCAIIAggCCAIIAggCCAIZAgMCuAIeAAQAAQICAlUCBAIFAgYCBwIIAgkCHgILApYCDQIIAggCCAIIAggCCAIIAggCCAIIAggCCAIIAggCCAIIAggCGQIDAu4CHgAEAAECAgJ9AgQCBQIGAgcCCAIJApgCCwKWAg16AAAEAAIIAggCCAIIAggCCAIIAggCCAIIAggCCAIIAggCCAIIAggCGQIDArcCHgAEAAECAgIDAgQCBQIGAgcCCAIJApgCCwKWAg0CCAIIAggCCAIIAggCCAIIAggCCAIIAggCCAIIAggCCAIIAhkCAwKwAh4ABAABAgICLgIEAgUCBgIHAggCCQIeAgsClgINAggCCAIIAggCCAIIAggCCAIIAggCCAIIAggCCAIIAggCCAIZAgMCrgIeAAQAAQICAiUCBAIFAgYCBwIIAgkCCgILApYCDQIIAggCCAIIAggCCAIIAggCCAIIAggCCAIIAggCCAIIAggCGQIDApwCHgAEAAECAgJIAgQCBQIGAgcCCAIJApgCCwKWAg0CCAIIAggCCAIIAggCCAIIAggCCAIIAggCCAIIAggCCAIIAhkCAwKeAh4ABAABAgICVQIEAgUCBgIHAggCCQKYAgsClgINAggCCAIIAggCCAIIAggCCAIIAggCCAIIAggCCAIIAggCCAIZAgMCJgIeAAQAAQICAhsCBAIFAgYCBwIIAgkCmAILApYCDQIIAggCCAIIAggCCAIIAggCCAIIAggCCAIIAggCCAIIAggCGQIDAq0CHgAEAAECAgJIAgQCBQIGAgcCCAIJAh4CCwKWAg0CCAIIAggCCAIIAggCCAIIAggCCAIIAggCCAIIAggCCAIIAhkCAwKXAh4ABAABAgICPgIEAgUCBgIHAggCCQIKAgsClgINAggCCAIIAggCCAIIAggCCAIIAggCCAIIAggCCAIIAggCCAIZAgMCsgIeAAQAAQICAn0CBAIFAgYCBwIIAgkCHgILApYCDQIIAggCCAIIAggCCAIIAggCCAIIAggCCAIIAggCCAIIAggCGQIDApsCHgAEAAECAgIdAgQCBQIGAgcCCAIJAgoCCwKWAg0CCAIIAggCCAIIAggCCAIIAggCCAIIAggCCAIIAggCCAIIAhkCAwK1Ah4ABAABAgICGwIEAgUCBgIHAggCCQIeAgsClgINAggCCAIIAggCCAIIAggCCAIIAggCCAIIAggCCAIIAggCCAIZAgMCswIeAAQAAQICAlICBAIFAgYCBwIIAgkCHgILApYCDQIIAggCCAIIAggCCAIIAggCCAIIAggCCAIIAggCCAIIAggCGQIDAroCHgAEAAECAgJEAgQCBQIGAgcCCAIJAgoCCwKWAg0CCAIIAggCCAIIAggCCAIIAggCCAIIAggCCAIIAggCCAIIAhkCAwLqAh4ABAABAgICUgIEAgUCBgIHAggCCQKYAgsClgINAggCCAIIAggCCAIIAggCCAIIAggCCAIIAggCCAIIAggCCAIZAgMCrAIeAAR6AAAEAAABAgICWQIEAgUCBgIHAggCCQKYAgsClgINAggCCAIIAggCCAIIAggCCAIIAggCCAIIAggCCAIIAggCCAIZAgMCpAIeAAQAAQICAjkCBAIFAgYCBwIIAgkCHgILApYCDQIIAggCCAIIAggCCAIIAggCCAIIAggCCAIIAggCCAIIAggCGQIDAqICHgAEAAECAgI8AgQCBQIGAgcCCAIJAh4CCwKWAg0CCAIIAggCCAIIAggCCAIIAggCCAIIAggCCAIIAggCCAIIAhkCAwKmAh4ABAABAgICQQIEAgUCBgIHAggCCQIKAgsClgINAggCCAIIAggCCAIIAggCCAIIAggCCAIIAggCCAIIAggCCAIZAgMCpQIeAAQAAQICAkQCBAIFAgYCBwIIAgkCmAILApYCDQIIAggCCAIIAggCCAIIAggCCAIIAggCCAIIAggCCAIIAggCGQIDAiYCHgAEAAECAgJIAgQCBQIGAgcCCAIJAgoCCwKWAg0CCAIIAggCCAIIAggCCAIIAggCCAIIAggCCAIIAggCCAIIAhkCAwKnAh4ABAABAgICIAIEAgUCBgIHAggCCQIKAgsClgINAggCCAIIAggCCAIIAggCCAIIAggCCAIIAggCCAIIAggCCAIZAgMCnQIeAAQAAQICAjwCBAIFAgYCBwIIAgkCmAILApYCDQIIAggCCAIIAggCCAIIAggCCAIIAggCCAIIAggCCAIIAggCGQIDAiYCHgAEAAECAgJoAgQCBQIGAgcCCAIJAh4CCwKWAg0CCAIIAggCCAIIAggCCAIIAggCCAIIAggCCAIIAggCCAIIAhkCAwKhAh4ABAABAgICaAIEAgUCBgIHAggCCQKYAgsClgINAggCCAIIAggCCAIIAggCCAIIAggCCAIIAggCCAIIAggCCAIZAgMCnwIeAAQAAQICAjACBAIFAgYCBwIIAgkCHgILApYCDQIIAggCCAIIAggCCAIIAggCCAIIAggCCAIIAggCCAIIAggCGQIDAtACHgAEAAECAgIwAgQCBQIGAgcCCAIJApgCCwKWAg0CCAIIAggCCAIIAggCCAIIAggCCAIIAggCCAIIAggCCAIIAhkCAwKgAh4ABAABAgICOQIEAgUCBgIHAggCCQKYAgsClgINAggCCAIIAggCCAIIAggCCAIIAggCCAIIAggCCAIIAggCCAIZAgMCmQIeAAQAAQICAlkCBAIFAgYCBwIIAgkCHgILApYCDQIIAggCCAIIAggCCAIIAggCCAIIAggCCAIIAggCCAIIAggCGQIDAs4CHgAEAAECAgJ9AgQCBQIGAgcCCAIJAgoCCwKWAg0CCAIIAggCCAIIAggCCAIIAgh6AAAEAAIIAggCCAIIAggCCAIIAggCGQIDAqgCHgAEAAECAgJEAgQCBQIGAgcCCAIJAh4CCwKWAg0CCAIIAggCCAIIAggCCAIIAggCCAIIAggCCAIIAggCCAIIAhkCAwLtAh4ABAABAgICVgIEAgUCBgIHAggCCQIeAgsClgINAggCCAIIAggCCAIIAggCCAIIAggCCAIIAggCCAIIAggCCAIZAgMCowIeAAQAAQICAj4CBAIFAgYCBwIIAgkCHgILApYCDQIIAggCCAIIAggCCAIIAggCCAIIAggCCAIIAggCCAIIAggCGQIDAqkCHgAEAAECAgI+AgQCBQIGAgcCCAIJApgCCwKWAg0CCAIIAggCCAIIAggCCAIIAggCCAIIAggCCAIIAggCCAIIAhkCAwKrAh4ABAABAgICVgIEAgUCBgIHAggCCQKYAgsClgINAggCCAIIAggCCAIIAggCCAIIAggCCAIIAggCCAIIAggCCAIZAgMCqgIeAAQAAQICAkECBAIFAgYCBwIIAgkCHgILApYCDQIIAggCCAIIAggCCAIIAggCCAIIAggCCAIIAggCCAIIAggCGQIDAtICHgAEAAECAgIgAgQCBQIGAgcCCAIJAh4CCwKWAg0CCAIIAggCCAIIAggCCAIIAggCCAIIAggCCAIIAggCCAIIAhkCAwLTAh4ABAABAgICawIEAgUCBgIHAggCCQKYAgsClgINAggCCAIIAggCCAIIAggCCAIIAggCCAIIAggCCAIIAggCCAIZAgMC1gIeAAQAAQICAjICBAIFAgYCBwIIAgkCCgILApYCDQIIAggCCAIIAggCCAIIAggCCAIIAggCCAIIAggCCAIIAggCGQIDAt0CHgAEAAECAgI8AgQCBQIGAgcCCAIJAgoCCwKWAg0CCAIIAggCCAIIAggCCAIIAggCCAIIAggCCAIIAggCCAIIAhkCAwLbAh4ABAABAgICaAIEAgUCBgIHAggCCQIKAgsClgINAggCCAIIAggCCAIIAggCCAIIAggCCAIIAggCCAIIAggCCAIZAgMC1QIeAAQAAQICAiMCBAIFAgYCBwIIAgkCmAILApYCDQIIAggCCAIIAggCCAIIAggCCAIIAggCCAIIAggCCAIIAggCGQIDAiYCHgAEAAECAgI1AgQCBQIGAgcCCAIJAh4CCwKWAg0CCAIIAggCCAIIAggCCAIIAggCCAIIAggCCAIIAggCCAIIAhkCAwLCAh4ABAABAgICawIEAgUCBgIHAggCCQIeAgsClgINAggCCAIIAggCCAIIAggCCAIIAggCCAIIAggCCAIIAggCCAIZAgMC1wIeAAQAAQICAjkCBAIFAgYCBwIIAgl6AAAEAAIKAgsClgINAggCCAIIAggCCAIIAggCCAIIAggCCAIIAggCCAIIAggCCAIZAgMC0QIeAAQAAQICAjUCBAIFAgYCBwIIAgkCmAILApYCDQIIAggCCAIIAggCCAIIAggCCAIIAggCCAIIAggCCAIIAggCGQIDAtQCHgAEAAECAgIlAgQCBQIGAgcCCAIJAh4CCwKWAg0CCAIIAggCCAIIAggCCAIIAggCCAIIAggCCAIIAggCCAIIAhkCAwLLAh4ABAABAgICVAIEAgUCBgIHAggCCQIeAgsClgINAggCCAIIAggCCAIIAggCCAIIAggCCAIIAggCCAIIAggCCAIZAgMCzwIeAAQAAQICAlwCBAIFAgYCBwIIAgkCCgILApYCDQIIAggCCAIIAggCCAIIAggCCAIIAggCCAIIAggCCAIIAggCGQIDAtwCHgAEAAECAgIuAgQCBQIGAgcCCAIJAgoCCwKWAg0CCAIIAggCCAIIAggCCAIIAggCCAIIAggCCAIIAggCCAIIAhkCAwKaAh4ABAABAgICVgIEAgUCBgIHAggCCQIKAgsClgINAggCCAIIAggCCAIIAggCCAIIAggCCAIIAggCCAIIAggCCAIZAgMCzQIeAAQAAQICAiACBAIFAgYCBwIIAgkCmAILApYCDQIIAggCCAIIAggCCAIIAggCCAIIAggCCAIIAggCCAIIAggCGQIDAtkCHgAEAAECAgIjAgQCBQIGAgcCCAIJAh4CCwKWAg0CCAIIAggCCAIIAggCCAIIAggCCAIIAggCCAIIAggCCAIIAhkCAwLjAh4ABAABAgICVAIEAgUCBgIHAggCCQKYAgsClgINAggCCAIIAggCCAIIAggCCAIIAggCCAIIAggCCAIIAggCCAIZAgMCJgIeAAQAAQICAikCBAIFAgYCBwIIAgkCHgILApYCDQIIAggCCAIIAggCCAIIAggCCAIIAggCCAIIAggCCAIIAggCGQIDAswCHgAEAAECAgJBAgQCBQIGAgcCCAIJApgCCwKWAg0CCAIIAggCCAIIAggCCAIIAggCCAIIAggCCAIIAggCCAIIAhkCAwLYAh4ABAABAgICNwIEAgUCBgIHAggCCQIKAgsClgINAggCCAIIAggCCAIIAggCCAIIAggCCAIIAggCCAIIAggCCAIZAgMC3gIeAAQAAQICAikCBAIFAgYCBwIIAgkCmAILApYCDQIIAggCCAIIAggCCAIIAggCCAIIAggCCAIIAggCCAIIAggCGQIDAtoCHgAEAQEACTc3OTg5NzAwOAICAlUCBAIFAgYCBwIIAgkCCgILApYCDQIIAggCCAIIAggCCAIIAggCCAIIAggCCAJ6AAAEAAgCCAIIAggCCAIXAgMC6QIeAAQBAQICAlICBAIFAgYCBwIIAgkCCgILApYCDQIIAggCCAIIAggCCAIIAggCCAIIAggCCAIIAggCCAIIAggCFwIDArwCHgAEAQECAgIdAgQCBQIGAgcCCAIJApgCCwKWAg0CCAIIAggCCAIIAggCCAIIAggCCAIIAggCCAIIAggCCAIIAhcCAwK+Ah4ABAEBAgICTAIEAgUCBgIHAggCCQIKAgsClgINAggCCAIIAggCCAIIAggCCAIIAggCCAIIAggCCAIIAggCCAIXAgMCTQIeAAQBAQICAjcCBAIFAgYCBwIIAgkCmAILApYCDQIIAggCCAIIAggCCAIIAggCCAIIAggCCAIIAggCCAIIAggCFwIDAiYCHgAEAQECAgInAgQCBQIGAgcCCAIJApgCCwKWAg0CCAIIAggCCAIIAggCCAIIAggCCAIIAggCCAIIAggCCAIIAhcCAwLKAh4ABAEBAgICWQIEAgUCBgIHAggCCQIKAgsClgINAggCCAIIAggCCAIIAggCCAIIAggCCAIIAggCCAIIAggCCAIXAgMCuwIeAAQBAQICAjUCBAIFAgYCBwIIAgkCmAILApYCDQIIAggCCAIIAggCCAIIAggCCAIIAggCCAIIAggCCAIIAggCFwIDAtQCHgAEAQECAgJMAgQCBQIGAgcCCAIJAh4CCwKWAg0CCAIIAggCCAIIAggCCAIIAggCCAIIAggCCAIIAggCCAIIAhcCAwJNAh4ABAEBAgICIwIEAgUCBgIHAggCCQKYAgsClgINAggCCAIIAggCCAIIAggCCAIIAggCCAIIAggCCAIIAggCCAIXAgMCJgIeAAQBAQICAmgCBAIFAgYCBwIIAgkCCgILApYCDQIIAggCCAIIAggCCAIIAggCCAIIAggCCAIIAggCCAIIAggCFwIDAtUCHgAEAQECAgIsAgQCBQIGAgcCCAIJApgCCwKWAg0CCAIIAggCCAIIAggCCAIIAggCCAIIAggCCAIIAggCCAIIAhcCAwImAh4ABAEBAgICawIEAgUCBgIHAggCCQIeAgsClgINAggCCAIIAggCCAIIAggCCAIIAggCCAIIAggCCAIIAggCCAIXAgMC1wIeAAQBAQICAlQCBAIFAgYCBwIIAgkCCgILApYCDQIIAggCCAIIAggCCAIIAggCCAIIAggCCAIIAggCCAIIAggCFwIDAsECHgAEAQECAgJAAgQCBQIGAgcCCAIJAh4CCwKWAg0CCAIIAggCCAIIAggCCAIIAggCCAIIAggCCAIIAggCCAIIAhcCAwLhAh4ABAEBAgICJQIEAgUCBgIHAggCCQIeAgsClgJ6AAAEAA0CCAIIAggCCAIIAggCCAIIAggCCAIIAggCCAIIAggCCAIIAhcCAwLLAh4ABAEBAgICVgIEAgUCBgIHAggCCQIKAgsClgINAggCCAIIAggCCAIIAggCCAIIAggCCAIIAggCCAIIAggCCAIXAgMCzQIeAAQBAQICAlkCBAIFAgYCBwIIAgkCHgILApYCDQIIAggCCAIIAggCCAIIAggCCAIIAggCCAIIAggCCAIIAggCFwIDAs4CHgAEAQECAgJUAgQCBQIGAgcCCAIJAh4CCwKWAg0CCAIIAggCCAIIAggCCAIIAggCCAIIAggCCAIIAggCCAIIAhcCAwLPAh4ABAEBAgICQQIEAgUCBgIHAggCCQKYAgsClgINAggCCAIIAggCCAIIAggCCAIIAggCCAIIAggCCAIIAggCCAIXAgMC2AIeAAQBAQICAikCBAIFAgYCBwIIAgkCmAILApYCDQIIAggCCAIIAggCCAIIAggCCAIIAggCCAIIAggCCAIIAggCFwIDAtoCHgAEAQECAgIyAgQCBQIGAgcCCAIJAgoCCwKWAg0CCAIIAggCCAIIAggCCAIIAggCCAIIAggCCAIIAggCCAIIAhcCAwLdAh4ABAEBAgICIAIEAgUCBgIHAggCCQIeAgsClgINAggCCAIIAggCCAIIAggCCAIIAggCCAIIAggCCAIIAggCCAIXAgMC0wIeAAQBAQICAmsCBAIFAgYCBwIIAgkCCgILApYCDQIIAggCCAIIAggCCAIIAggCCAIIAggCCAIIAggCCAIIAggCFwIDAsMCHgAEAQECAgIwAgQCBQIGAgcCCAIJApgCCwKWAg0CCAIIAggCCAIIAggCCAIIAggCCAIIAggCCAIIAggCCAIIAhcCAwKgAh4ABAEBAgICRAIEAgUCBgIHAggCCQKYAgsClgINAggCCAIIAggCCAIIAggCCAIIAggCCAIIAggCCAIIAggCCAIXAgMCJgIeAAQBAQICAjsCBAIFAgYCBwIIAgkCmAILApYCDQIIAggCCAIIAggCCAIIAggCCAIIAggCCAIIAggCCAIIAggCFwIDAiYCHgAEAQECAgJQAgQCBQIGAgcCCAIJAgoCCwKWAg0CCAIIAggCCAIIAggCCAIIAggCCAIIAggCCAIIAggCCAIIAhcCAwL8Ah4ABAEBAgICSAIEAgUCBgIHAggCCQIeAgsClgINAggCCAIIAggCCAIIAggCCAIIAggCCAIIAggCCAIIAggCCAIXAgMClwIeAAQBAQICAksCBAIFAgYCBwIIAgkCHgILApYCDQIIAggCCAIIAggCCAIIAggCCAIIAggCCAIIAggCCAIIAggCFwIDAvoCHgB6AAAEAAQBAQICAjkCBAIFAgYCBwIIAgkCmAILApYCDQIIAggCCAIIAggCCAIIAggCCAIIAggCCAIIAggCCAIIAggCFwIDApkCHgAEAQECAgI+AgQCBQIGAgcCCAIJAh4CCwKWAg0CCAIIAggCCAIIAggCCAIIAggCCAIIAggCCAIIAggCCAIIAhcCAwKpAh4ABAEBAgICXAIEAgUCBgIHAggCCQIKAgsClgINAggCCAIIAggCCAIIAggCCAIIAggCCAIIAggCCAIIAggCCAIXAgMC3AIeAAQBAQICAlYCBAIFAgYCBwIIAgkCHgILApYCDQIIAggCCAIIAggCCAIIAggCCAIIAggCCAIIAggCCAIIAggCFwIDAqMCHgAEAQECAgJ9AgQCBQIGAgcCCAIJApgCCwKWAg0CCAIIAggCCAIIAggCCAIIAggCCAIIAggCCAIIAggCCAIIAhcCAwK3Ah4ABAEBAgICOwIEAgUCBgIHAggCCQIKAgsClgINAggCCAIIAggCCAIIAggCCAIIAggCCAIIAggCCAIIAggCCAIXAgMC+QIeAAQBAQICAkECBAIFAgYCBwIIAgkCCgILApYCDQIIAggCCAIIAggCCAIIAggCCAIIAggCCAIIAggCCAIIAggCFwIDAqUCHgAEAQECAgJQAgQCBQIGAgcCCAIJAh4CCwKWAg0CCAIIAggCCAIIAggCCAIIAggCCAIIAggCCAIIAggCCAIIAhcCAwL7Ah4ABAEBAgICUgIEAgUCBgIHAggCCQKYAgsClgINAggCCAIIAggCCAIIAggCCAIIAggCCAIIAggCCAIIAggCCAIXAgMCrAIeAAQBAQICAlUCBAIFAgYCBwIIAgkCmAILApYCDQIIAggCCAIIAggCCAIIAggCCAIIAggCCAIIAggCCAIIAggCFwIDAiYCHgAEAQECAgJcAgQCBQIGAgcCCAIJAh4CCwKWAg0CCAIIAggCCAIIAggCCAIIAggCCAIIAggCCAIIAggCCAIIAhcCAwKxAh4ABAEBAgICPgIEAgUCBgIHAggCCQIKAgsClgINAggCCAIIAggCCAIIAggCCAIIAggCCAIIAggCCAIIAggCCAIXAgMCsgIeAAQBAQICAkgCBAIFAgYCBwIIAgkCCgILApYCDQIIAggCCAIIAggCCAIIAggCCAIIAggCCAIIAggCCAIIAggCFwIDAqcCHgAEAQECAgJLAgQCBQIGAgcCCAIJAgoCCwKWAg0CCAIIAggCCAIIAggCCAIIAggCCAIIAggCCAIIAggCCAIIAhcCAwL3Ah4ABAEBAgICTAIEAgUCBgIHAggCCQKYAgsClgINAggCCAIIAggCCAIIAggCCAJ6AAAEAAgCCAIIAggCCAIIAggCCAIIAhcCAwJNAh4ABAEBAgICNwIEAgUCBgIHAggCCQIeAgsClgINAggCCAIIAggCCAIIAggCCAIIAggCCAIIAggCCAIIAggCCAIXAgMCxQIeAAQBAQICAmgCBAIFAgYCBwIIAgkCHgILApYCDQIIAggCCAIIAggCCAIIAggCCAIIAggCCAIIAggCCAIIAggCFwIDAqECHgAEAQECAgIyAgQCBQIGAgcCCAIJApgCCwKWAg0CCAIIAggCCAIIAggCCAIIAggCCAIIAggCCAIIAggCCAIIAhcCAwLHAh4ABAEBAgICPAIEAgUCBgIHAggCCQKYAgsClgINAggCCAIIAggCCAIIAggCCAIIAggCCAIIAggCCAIIAggCCAIXAgMCJgIeAAQBAQICAhsCBAIFAgYCBwIIAgkCHgILApYCDQIIAggCCAIIAggCCAIIAggCCAIIAggCCAIIAggCCAIIAggCFwIDArMCHgAEAQECAgIuAgQCBQIGAgcCCAIJApgCCwKWAg0CCAIIAggCCAIIAggCCAIIAggCCAIIAggCCAIIAggCCAIIAhcCAwK0Ah4ABAEBAgICQAIEAgUCBgIHAggCCQIKAgsClgINAggCCAIIAggCCAIIAggCCAIIAggCCAIIAggCCAIIAggCCAIXAgMC5AIeAAQBAQICAhsCBAIFAgYCBwIIAgkCCgILApYCDQIIAggCCAIIAggCCAIIAggCCAIIAggCCAIIAggCCAIIAggCFwIDAr0CHgAEAQECAgIdAgQCBQIGAgcCCAIJAh4CCwKWAg0CCAIIAggCCAIIAggCCAIIAggCCAIIAggCCAIIAggCCAIIAhcCAwK/Ah4ABAEBAgICKQIEAgUCBgIHAggCCQIKAgsClgINAggCCAIIAggCCAIIAggCCAIIAggCCAIIAggCCAIIAggCCAIXAgMCwAIeAAQBAQICAgMCBAIFAgYCBwIIAgkCCgILApYCDQIIAggCCAIIAggCCAIIAggCCAIIAggCCAIIAggCCAIIAggCFwIDAskCHgAEAQECAgJEAgQCBQIGAgcCCAIJAgoCCwKWAg0CCAIIAggCCAIIAggCCAIIAggCCAIIAggCCAIIAggCCAIIAhcCAwLqAh4ABAEBAgICIwIEAgUCBgIHAggCCQIeAgsClgINAggCCAIIAggCCAIIAggCCAIIAggCCAIIAggCCAIIAggCCAIXAgMC4wIeAAQBAQICAiMCBAIFAgYCBwIIAgkCCgILApYCDQIIAggCCAIIAggCCAIIAggCCAIIAggCCAIIAggCCAIIAggCFwIDAuICHgAEAQECAgInAgQCBQIGAgcCCAJ6AAAEAAkCHgILApYCDQIIAggCCAIIAggCCAIIAggCCAIIAggCCAIIAggCCAIIAggCFwIDAsYCHgAEAQECAgIwAgQCBQIGAgcCCAIJAgoCCwKWAg0CCAIIAggCCAIIAggCCAIIAggCCAIIAggCCAIIAggCCAIIAhcCAwK2Ah4ABAEBAgICawIEAgUCBgIHAggCCQKYAgsClgINAggCCAIIAggCCAIIAggCCAIIAggCCAIIAggCCAIIAggCCAIXAgMC1gIeAAQBAQICAgMCBAIFAgYCBwIIAgkCHgILApYCDQIIAggCCAIIAggCCAIIAggCCAIIAggCCAIIAggCCAIIAggCFwIDArkCHgAEAQECAgI1AgQCBQIGAgcCCAIJAh4CCwKWAg0CCAIIAggCCAIIAggCCAIIAggCCAIIAggCCAIIAggCCAIIAhcCAwLCAh4ABAEBAgICQAIEAgUCBgIHAggCCQKYAgsClgINAggCCAIIAggCCAIIAggCCAIIAggCCAIIAggCCAIIAggCCAIXAgMCJgIeAAQBAQICAiwCBAIFAgYCBwIIAgkCHgILApYCDQIIAggCCAIIAggCCAIIAggCCAIIAggCCAIIAggCCAIIAggCFwIDAvgCHgAEAQECAgIpAgQCBQIGAgcCCAIJAh4CCwKWAg0CCAIIAggCCAIIAggCCAIIAggCCAIIAggCCAIIAggCCAIIAhcCAwLMAh4ABAEBAgICVAIEAgUCBgIHAggCCQKYAgsClgINAggCCAIIAggCCAIIAggCCAIIAggCCAIIAggCCAIIAggCCAIXAgMCJgIeAAQBAQICAiACBAIFAgYCBwIIAgkCmAILApYCDQIIAggCCAIIAggCCAIIAggCCAIIAggCCAIIAggCCAIIAggCFwIDAtkCHgAEAQECAgJEAgQCBQIGAgcCCAIJAh4CCwKWAg0CCAIIAggCCAIIAggCCAIIAggCCAIIAggCCAIIAggCCAIIAhcCAwLtAh4ABAEBAgICPAIEAgUCBgIHAggCCQIKAgsClgINAggCCAIIAggCCAIIAggCCAIIAggCCAIIAggCCAIIAggCCAIXAgMC2wIeAAQBAQICAjcCBAIFAgYCBwIIAgkCCgILApYCDQIIAggCCAIIAggCCAIIAggCCAIIAggCCAIIAggCCAIIAggCFwIDAt4CHgAEAQECAgI7AgQCBQIGAgcCCAIJAh4CCwKWAg0CCAIIAggCCAIIAggCCAIIAggCCAIIAggCCAIIAggCCAIIAhcCAwL4Ah4ABAEBAgICQQIEAgUCBgIHAggCCQIeAgsClgINAggCCAIIAggCCAIIAggCCAIIAggCCAIIAggCCAIIAggCCAJ6AAAEABcCAwLSAh4ABAEBAgICNQIEAgUCBgIHAggCCQIKAgsClgINAggCCAIIAggCCAIIAggCCAIIAggCCAIIAggCCAIIAggCCAIXAgMCxAIeAAQBAQICAlkCBAIFAgYCBwIIAgkCmAILApYCDQIIAggCCAIIAggCCAIIAggCCAIIAggCCAIIAggCCAIIAggCFwIDAqQCHgAEAQECAgIwAgQCBQIGAgcCCAIJAh4CCwKWAg0CCAIIAggCCAIIAggCCAIIAggCCAIIAggCCAIIAggCCAIIAhcCAwLQAh4ABAEBAgICJQIEAgUCBgIHAggCCQKYAgsClgINAggCCAIIAggCCAIIAggCCAIIAggCCAIIAggCCAIIAggCCAIXAgMCJgIeAAQBAQICAjkCBAIFAgYCBwIIAgkCCgILApYCDQIIAggCCAIIAggCCAIIAggCCAIIAggCCAIIAggCCAIIAggCFwIDAtECHgAEAQECAgIsAgQCBQIGAgcCCAIJAgoCCwKWAg0CCAIIAggCCAIIAggCCAIIAggCCAIIAggCCAIIAggCCAIIAhcCAwL5Ah4ABAEBAgICUAIEAgUCBgIHAggCCQKYAgsClgINAggCCAIIAggCCAIIAggCCAIIAggCCAIIAggCCAIIAggCCAIXAgMCJgIeAAQBAQICAi4CBAIFAgYCBwIIAgkCCgILApYCDQIIAggCCAIIAggCCAIIAggCCAIIAggCCAIIAggCCAIIAggCFwIDApoCHgAEAQECAgJ9AgQCBQIGAgcCCAIJAh4CCwKWAg0CCAIIAggCCAIIAggCCAIIAggCCAIIAggCCAIIAggCCAIIAhcCAwKbAh4ABAEBAgICSwIEAgUCBgIHAggCCQKYAgsClgINAggCCAIIAggCCAIIAggCCAIIAggCCAIIAggCCAIIAggCCAIXAgMCJgIeAAQBAQICAlYCBAIFAgYCBwIIAgkCmAILApYCDQIIAggCCAIIAggCCAIIAggCCAIIAggCCAIIAggCCAIIAggCFwIDAqoCHgAEAQECAgI+AgQCBQIGAgcCCAIJApgCCwKWAg0CCAIIAggCCAIIAggCCAIIAggCCAIIAggCCAIIAggCCAIIAhcCAwKrAh4ABAEBAgICOQIEAgUCBgIHAggCCQIeAgsClgINAggCCAIIAggCCAIIAggCCAIIAggCCAIIAggCCAIIAggCCAIXAgMCogIeAAQBAQICAiUCBAIFAgYCBwIIAgkCCgILApYCDQIIAggCCAIIAggCCAIIAggCCAIIAggCCAIIAggCCAIIAggCFwIDApwCHgAEAQECAgIgAgQCBQIGAgcCCAIJAgoCCwKWAg0CCAIIAggCCAJ6AAAEAAgCCAIIAggCCAIIAggCCAIIAggCCAIIAggCFwIDAp0CHgAEAQECAgJIAgQCBQIGAgcCCAIJApgCCwKWAg0CCAIIAggCCAIIAggCCAIIAggCCAIIAggCCAIIAggCCAIIAhcCAwKeAh4ABAEBAgICGwIEAgUCBgIHAggCCQKYAgsClgINAggCCAIIAggCCAIIAggCCAIIAggCCAIIAggCCAIIAggCCAIXAgMCrQIeAAQBAQICAi4CBAIFAgYCBwIIAgkCHgILApYCDQIIAggCCAIIAggCCAIIAggCCAIIAggCCAIIAggCCAIIAggCFwIDAq4CHgAEAQECAgJcAgQCBQIGAgcCCAIJApgCCwKWAg0CCAIIAggCCAIIAggCCAIIAggCCAIIAggCCAIIAggCCAIIAhcCAwKvAh4ABAEBAgICAwIEAgUCBgIHAggCCQKYAgsClgINAggCCAIIAggCCAIIAggCCAIIAggCCAIIAggCCAIIAggCCAIXAgMCsAIeAAQBAQICAlICBAIFAgYCBwIIAgkCHgILApYCDQIIAggCCAIIAggCCAIIAggCCAIIAggCCAIIAggCCAIIAggCFwIDAroCHgAEAQECAgJ9AgQCBQIGAgcCCAIJAgoCCwKWAg0CCAIIAggCCAIIAggCCAIIAggCCAIIAggCCAIIAggCCAIIAhcCAwKoAh4ABAEBAgICJwIEAgUCBgIHAggCCQIKAgsClgINAggCCAIIAggCCAIIAggCCAIIAggCCAIIAggCCAIIAggCCAIXAgMCuAIeAAQBAQICAjICBAIFAgYCBwIIAgkCHgILApYCDQIIAggCCAIIAggCCAIIAggCCAIIAggCCAIIAggCCAIIAggCFwIDAsgCHgAEAQECAgI8AgQCBQIGAgcCCAIJAh4CCwKWAg0CCAIIAggCCAIIAggCCAIIAggCCAIIAggCCAIIAggCCAIIAhcCAwKmAh4ABAEBAgICVQIEAgUCBgIHAggCCQIeAgsClgINAggCCAIIAggCCAIIAggCCAIIAggCCAIIAggCCAIIAggCCAIXAgMC7gIeAAQBAQICAmgCBAIFAgYCBwIIAgkCmAILApYCDQIIAggCCAIIAggCCAIIAggCCAIIAggCCAIIAggCCAIIAggCFwIDAp8CHgAEAQECAgIdAgQCBQIGAgcCCAIJAgoCCwKWAg0CCAIIAggCCAIIAggCCAIIAggCCAIIAggCCAIIAggCCAIIAhcCAwK1Ah4ABAIBAAk4MzQ3NjE4NjQCAgJ9AgQCBQIGAgcCCAIJAh4CCwIMAg0CCAIIAggCCAIIAggCCAIIAggCCAIIAggCCAIIAggCCAIIAiICAwKHAh56AAAEAAAEAgECAgJUAgQCBQIGAgcCCAIJAiECCwIMAg0CCAIIAggCCAIIAggCCAIIAggCCAIIAggCCAIIAggCCAIIAiICAwImAh4ABAIBAgICLgIEAgUCBgIHAggCCQIKAgsCDAINAggCCAIIAggCCAIIAggCCAIIAggCCAIIAggCCAIIAggCCAIiAgMChAIeAAQCAQICAiUCBAIFAgYCBwIIAgkCCgILAgwCDQIIAggCCAIIAggCCAIIAggCCAIIAggCCAIIAggCCAIIAggCIgIDAoUCHgAEAgECAgJZAgQCBQIGAgcCCAIJAiECCwIMAg0CCAIIAggCCAIIAggCCAIIAggCCAIIAggCCAIIAggCCAIIAiICAwJaAh4ABAIBAgICSAIEAgUCBgIHAggCCQIeAgsCDAINAggCCAIIAggCCAIIAggCCAIIAggCCAIIAggCCAIIAggCCAIiAgMCXgIeAAQCAQICAj4CBAIFAgYCBwIIAgkCHgILAgwCDQIIAggCCAIIAggCCAIIAggCCAIIAggCCAIIAggCCAIIAggCIgIDAlgCHgAEAgECAgJSAgQCBQIGAgcCCAIJAiECCwIMAg0CCAIIAggCCAIIAggCCAIIAggCCAIIAggCCAIIAggCCAIIAiICAwJTAh4ABAIBAgICGwIEAgUCBgIHAggCCQIhAgsCDAINAggCCAIIAggCCAIIAggCCAIIAggCCAIIAggCCAIIAggCCAIiAgMCgwIeAAQCAQICAlwCBAIFAgYCBwIIAgkCCgILAgwCDQIIAggCCAIIAggCCAIIAggCCAIIAggCCAIIAggCCAIIAggCIgIDAl0CHgAEAgECAgIpAgQCBQIGAgcCCAIJAiECCwIMAg0CCAIIAggCCAIIAggCCAIIAggCCAIIAggCCAIIAggCCAIIAiICAwKOAh4ABAIBAgICJwIEAgUCBgIHAggCCQIKAgsCDAINAggCCAIIAggCCAIIAggCCAIIAggCCAIIAggCCAIIAggCCAIiAgMCjAIeAAQCAQICAgMCBAIFAgYCBwIIAgkCIQILAgwCDQIIAggCCAIIAggCCAIIAggCCAIIAggCCAIIAggCCAIIAggCIgIDAk8CHgAEAgECAgIgAgQCBQIGAgcCCAIJAh4CCwIMAg0CCAIIAggCCAIIAggCCAIIAggCCAIIAggCCAIIAggCCAIIAiICAwJ5Ah4ABAIBAgICOQIEAgUCBgIHAggCCQIhAgsCDAINAggCCAIIAggCCAIIAggCCAIIAggCCAIIAggCCAIIAggCCAIiAgMCYAIeAAQCAQICAmgCBAIFAgYCBwIIAgkCHgILAgwCDQIIAggCCAIIAggCCAIIAgh6AAAEAAIIAggCCAIIAggCCAIIAggCCAIiAgMCaQIeAAQCAQICAkECBAIFAgYCBwIIAgkCHgILAgwCDQIIAggCCAIIAggCCAIIAggCCAIIAggCCAIIAggCCAIIAggCIgIDAkICHgAEAgECAgJrAgQCBQIGAgcCCAIJAiECCwIMAg0CCAIIAggCCAIIAggCCAIIAggCCAIIAggCCAIIAggCCAIIAiICAwKTAh4ABAIBAgICNQIEAgUCBgIHAggCCQIhAgsCDAINAggCCAIIAggCCAIIAggCCAIIAggCCAIIAggCCAIIAggCCAIiAgMCZQIeAAQCAQICAiUCBAIFAgYCBwIIAgkCHgILAgwCDQIIAggCCAIIAggCCAIIAggCCAIIAggCCAIIAggCCAIIAggCIgIDAn8CHgAEAgECAgIdAgQCBQIGAgcCCAIJAgoCCwIMAg0CCAIIAggCCAIIAggCCAIIAggCCAIIAggCCAIIAggCCAIIAiICAwKPAh4ABAIBAgICVAIEAgUCBgIHAggCCQIeAgsCDAINAggCCAIIAggCCAIIAggCCAIIAggCCAIIAggCCAIIAggCCAIiAgMCeAIeAAQCAQICAh0CBAIFAgYCBwIIAgkCIQILAgwCDQIIAggCCAIIAggCCAIIAggCCAIIAggCCAIIAggCCAIIAggCIgIDAnoCHgAEAgECAgIpAgQCBQIGAgcCCAIJAh4CCwIMAg0CCAIIAggCCAIIAggCCAIIAggCCAIIAggCCAIIAggCCAIIAiICAwJDAh4ABAIBAgICLgIEAgUCBgIHAggCCQIeAgsCDAINAggCCAIIAggCCAIIAggCCAIIAggCCAIIAggCCAIIAggCCAIiAgMCkgIeAAQCAQICAn0CBAIFAgYCBwIIAgkCCgILAgwCDQIIAggCCAIIAggCCAIIAggCCAIIAggCCAIIAggCCAIIAggCIgIDAo0CHgAEAgECAgJIAgQCBQIGAgcCCAIJAgoCCwIMAg0CCAIIAggCCAIIAggCCAIIAggCCAIIAggCCAIIAggCCAIIAiICAwJiAh4ABAIBAgICPAIEAgUCBgIHAggCCQIeAgsCDAINAggCCAIIAggCCAIIAggCCAIIAggCCAIIAggCCAIIAggCCAIiAgMCkQIeAAQCAQICAlwCBAIFAgYCBwIIAgkCHgILAgwCDQIIAggCCAIIAggCCAIIAggCCAIIAggCCAIIAggCCAIIAggCIgIDAmYCHgAEAgECAgIyAgQCBQIGAgcCCAIJAh4CCwIMAg0CCAIIAggCCAIIAggCCAIIAggCCAIIAggCCAIIAggCCAIIAiICAwKQAh4ABAIBAgICMgIEAgUCBgIHAgh6AAAEAAIJAgoCCwIMAg0CCAIIAggCCAIIAggCCAIIAggCCAIIAggCCAIIAggCCAIIAiICAwJ2Ah4ABAIBAgICPAIEAgUCBgIHAggCCQIKAgsCDAINAggCCAIIAggCCAIIAggCCAIIAggCCAIIAggCCAIIAggCCAIiAgMCPQIeAAQCAQICAj4CBAIFAgYCBwIIAgkCIQILAgwCDQIIAggCCAIIAggCCAIIAggCCAIIAggCCAIIAggCCAIIAggCIgIDAj8CHgAEAgECAgJBAgQCBQIGAgcCCAIJAiECCwIMAg0CCAIIAggCCAIIAggCCAIIAggCCAIIAggCCAIIAggCCAIIAiICAwJtAh4ABAIBAgICIAIEAgUCBgIHAggCCQIhAgsCDAINAggCCAIIAggCCAIIAggCCAIIAggCCAIIAggCCAIIAggCCAIiAgMCIgIeAAQCAQICAjkCBAIFAgYCBwIIAgkCHgILAgwCDQIIAggCCAIIAggCCAIIAggCCAIIAggCCAIIAggCCAIIAggCIgIDAoICHgAEAgECAgJoAgQCBQIGAgcCCAIJAgoCCwIMAg0CCAIIAggCCAIIAggCCAIIAggCCAIIAggCCAIIAggCCAIIAiICAwJ1Ah4ABAIBAgICVgIEAgUCBgIHAggCCQIeAgsCDAINAggCCAIIAggCCAIIAggCCAIIAggCCAIIAggCCAIIAggCCAIiAgMCVwIeAAQCAQICAlICBAIFAgYCBwIIAgkCCgILAgwCDQIIAggCCAIIAggCCAIIAggCCAIIAggCCAIIAggCCAIIAggCIgIDAm4CHgAEAgECAgIwAgQCBQIGAgcCCAIJAiECCwIMAg0CCAIIAggCCAIIAggCCAIIAggCCAIIAggCCAIIAggCCAIIAiICAwKGAh4ABAIBAgICGwIEAgUCBgIHAggCCQIKAgsCDAINAggCCAIIAggCCAIIAggCCAIIAggCCAIIAggCCAIIAggCCAIiAgMCHAIeAAQCAQICAiUCBAIFAgYCBwIIAgkCIQILAgwCDQIIAggCCAIIAggCCAIIAggCCAIIAggCCAIIAggCCAIIAggCIgIDAiYCHgAEAgECAgIpAgQCBQIGAgcCCAIJAgoCCwIMAg0CCAIIAggCCAIIAggCCAIIAggCCAIIAggCCAIIAggCCAIIAiICAwIqAh4ABAIBAgICXAIEAgUCBgIHAggCCQIhAgsCDAINAggCCAIIAggCCAIIAggCCAIIAggCCAIIAggCCAIIAggCCAIiAgMCcwIeAAQCAQICAmsCBAIFAgYCBwIIAgkCHgILAgwCDQIIAggCCAIIAggCCAIIAggCCAIIAggCCAIIAggCCAIIAgh6AAAEAAIiAgMCdAIeAAQCAQICAjUCBAIFAgYCBwIIAgkCHgILAgwCDQIIAggCCAIIAggCCAIIAggCCAIIAggCCAIIAggCCAIIAggCIgIDAjYCHgAEAgECAgIwAgQCBQIGAgcCCAIJAgoCCwIMAg0CCAIIAggCCAIIAggCCAIIAggCCAIIAggCCAIIAggCCAIIAiICAwIxAh4ABAIBAgICWQIEAgUCBgIHAggCCQIKAgsCDAINAggCCAIIAggCCAIIAggCCAIIAggCCAIIAggCCAIIAggCCAIiAgMCcAIeAAQCAQICAicCBAIFAgYCBwIIAgkCIQILAgwCDQIIAggCCAIIAggCCAIIAggCCAIIAggCCAIIAggCCAIIAggCIgIDAnECHgAEAgECAgIDAgQCBQIGAgcCCAIJAgoCCwIMAg0CCAIIAggCCAIIAggCCAIIAggCCAIIAggCCAIIAggCCAIIAiICAwIOAh4ABAIBAgICNQIEAgUCBgIHAggCCQIKAgsCDAINAggCCAIIAggCCAIIAggCCAIIAggCCAIIAggCCAIIAggCCAIiAgMCSgIeAAQCAQICAlICBAIFAgYCBwIIAgkCHgILAgwCDQIIAggCCAIIAggCCAIIAggCCAIIAggCCAIIAggCCAIIAggCIgIDAogCHgAEAgECAgJWAgQCBQIGAgcCCAIJAgoCCwIMAg0CCAIIAggCCAIIAggCCAIIAggCCAIIAggCCAIIAggCCAIIAiICAwJ7Ah4ABAIBAgICOQIEAgUCBgIHAggCCQIKAgsCDAINAggCCAIIAggCCAIIAggCCAIIAggCCAIIAggCCAIIAggCCAIiAgMCOgIeAAQCAQICAhsCBAIFAgYCBwIIAgkCHgILAgwCDQIIAggCCAIIAggCCAIIAggCCAIIAggCCAIIAggCCAIIAggCIgIDAl8CHgAEAgECAgJ9AgQCBQIGAgcCCAIJAiECCwIMAg0CCAIIAggCCAIIAggCCAIIAggCCAIIAggCCAIIAggCCAIIAiICAwJ+Ah4ABAIBAgICSAIEAgUCBgIHAggCCQIhAgsCDAINAggCCAIIAggCCAIIAggCCAIIAggCCAIIAggCCAIIAggCCAIiAgMCSQIeAAQCAQICAj4CBAIFAgYCBwIIAgkCCgILAgwCDQIIAggCCAIIAggCCAIIAggCCAIIAggCCAIIAggCCAIIAggCIgIDAmECHgAEAgECAgIwAgQCBQIGAgcCCAIJAh4CCwIMAg0CCAIIAggCCAIIAggCCAIIAggCCAIIAggCCAIIAggCCAIIAiICAwJGAh4ABAIBAgICWQIEAgUCBgIHAggCCQIeAgsCDAINAggCCAIIAgh6AAADaAIIAggCCAIIAggCCAIIAggCCAIIAggCCAIIAiICAwJ8Ah4ABAIBAgICVgIEAgUCBgIHAggCCQIhAgsCDAINAggCCAIIAggCCAIIAggCCAIIAggCCAIIAggCCAIIAggCCAIiAgMCigIeAAQCAQICAmsCBAIFAgYCBwIIAgkCCgILAgwCDQIIAggCCAIIAggCCAIIAggCCAIIAggCCAIIAggCCAIIAggCIgIDAmwCHgAEAgECAgIDAgQCBQIGAgcCCAIJAh4CCwIMAg0CCAIIAggCCAIIAggCCAIIAggCCAIIAggCCAIIAggCCAIIAiICAwI0Ah4ABAIBAgICPAIEAgUCBgIHAggCCQIhAgsCDAINAggCCAIIAggCCAIIAggCCAIIAggCCAIIAggCCAIIAggCCAIiAgMCJgIeAAQCAQICAjICBAIFAgYCBwIIAgkCIQILAgwCDQIIAggCCAIIAggCCAIIAggCCAIIAggCCAIIAggCCAIIAggCIgIDAjMCHgAEAgECAgInAgQCBQIGAgcCCAIJAh4CCwIMAg0CCAIIAggCCAIIAggCCAIIAggCCAIIAggCCAIIAggCCAIIAiICAwIoAh4ABAIBAgICHQIEAgUCBgIHAggCCQIeAgsCDAINAggCCAIIAggCCAIIAggCCAIIAggCCAIIAggCCAIIAggCCAIiAgMCHwIeAAQCAQICAlQCBAIFAgYCBwIIAgkCCgILAgwCDQIIAggCCAIIAggCCAIIAggCCAIIAggCCAIIAggCCAIIAggCIgIDAm8CHgAEAgECAgJoAgQCBQIGAgcCCAIJAiECCwIMAg0CCAIIAggCCAIIAggCCAIIAggCCAIIAggCCAIIAggCCAIIAiICAwJ3Ah4ABAIBAgICQQIEAgUCBgIHAggCCQIKAgsCDAINAggCCAIIAggCCAIIAggCCAIIAggCCAIIAggCCAIIAggCCAIiAgMCTgIeAAQCAQICAiACBAIFAgYCBwIIAgkCCgILAgwCDQIIAggCCAIIAggCCAIIAggCCAIIAggCCAIIAggCCAIIAggCIgIDAoECHgAEAgECAgIuAgQCBQIGAgcCCAIJAiECCwIMAg0CCAIIAggCCAIIAggCCAIIAggCCAIIAggCCAIIAggCCAIIAiICAwIv]]></xxe4awand>
</file>

<file path=customXml/item45.xml><?xml version="1.0" encoding="utf-8"?>
<xxe4awand xmlns="http://www.excel4apps.com"><![CDATA[rO0ABXfZCMCtii8ABMMEAh4AAERjb20uZXhjZWw0YXBwcy53YW5kLm9yYWNsZS5n
bHdhbmQuY2FsY3VsYXRpb25zLmdldGJhbGFuY2UuR2V0QmFsYW5jZQIBAAk1NTYx
MTE3MDQCAgABMAIDAAYyMDE4MDICBAADWVREAgUAA1VTRAIGAAVUb3RhbAIHAAFB
AggAAAIJAAMwMDECCgAGMTkxMDE1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ODExAgQCBQIGAgcCCAIJAhwABjE5MTAwMAIL
AgwCDQIIAggCCAIIAggCCAIIAggCCAIIAggCCAIIAggCCAIIAggCEwIDAh1zcQB+
AAAAAAAAcQB+AAZ4d00CHgACAQICAh4ABjIwMTYwOQIEAgUCBgIHAggCCQIKAgsC
DAINAggCCAIIAggCCAIIAggCCAIIAggCCAIIAggCCAIIAggCCAITAgMCH3NxAH4A
AAAAAAJzcQB+AAT///////////////7////+/////3VxAH4ABwAAAAMSczV4eHdNAh4AAgECAgIgAAYyMDE4MDUCBAIFAgYCBwIIAgkCHAILAgwCDQIIAggCCAIIAggCCAIIAggCCAIIAggCCAIIAggCCAIIAggCEwIDAiFzcQB+AAAAAAACc3EAfgAE///////////////+/////gAAAAF1cQB+AAcAAAADNqW2eHh3TQIeAAIBAgICIgAGMjAxNjAzAgQCBQIGAgcCCAIJAhwCCwIMAg0CCAIIAggCCAIIAggCCAIIAggCCAIIAggCCAIIAggCCAIIAhMCAwIjc3EAfgAAAAAAAnNxAH4ABP///////////////v////7/////dXEAfgAHAAAABAL7S4t4eHdNAh4AAgECAgIkAAYyMDE3MTECBAIFAgYCBwIIAgkCHAILAgwCDQIIAggCCAIIAggCCAIIAggCCAIIAggCCAIIAggCCAIIAggCEwIDAiVzcQB+AAAAAAACc3EAfgAE///////////////+/////v////91cQB+AAcAAAAEHsB0bHh4d1UCHgACAQICAiYABjIwMTgwMwIEAgUCBgIHAggCCQInAAYxOTEwMTACCwIMAg0CCAIIAggCCAIIAggCCAIIAggCCAIIAggCCAIIAggCCAIIAhMCAwIoc3EAfgAAAAAAAnNxAH4ABP///////////////v////7/////dXEAfgAHAAAABCrCsfh4eHdNAh4AAgECAgIpAAYyMDE3MDkCBAIFAgYCBwIIAgkCCgILAgwCDQIIAggCCAIIAggCCAIIAggCCAIIAggCCAIIAggCCAIIAggCEwIDAipzcQB+AAAAAAACc3EAfgAE///////////////+/////v////91cQB+AAcAAAADEqKoeHh3RQIeAAIBAgICJgIEAgUCBgIHAggCCQIcAgsCDAINAggCCAIIAggCCAIIAggCCAIIAggCCAIIAggCCAIIAggCCAITAgMCK3NxAH4AAAAAAAJzcQB+AAT///////////////7////+/////3VxAH4ABwAAAAQE4d6ZeHh3TQIeAAIBAgICLAAGMjAxNzAyAgQCBQIGAgcCCAIJAgoCCwIMAg0CCAIIAggCCAIIAggCCAIIAggCCAIIAggCCAIIAggCCAIIAhMCAwItc3EAfgAAAAAAAnNxAH4ABP///////////////v////7/////dXEAfgAHAAAAAxKG63h4d00CHgACAQICAi4ABjIwMTcwMQIEAgUCBgIHAggCCQInAgsCDAINAggCCAIIAggCCAIIAggCCAIIAggCCAIIAggCCAIIAggCCAITAgMCL3NxAH4AAAAAAAJzcQB+AAT///////////////7////+/////3VxAH4ABwAAAAQdsfpMeHh3TQIeAAIBAgICMAAGMjAxNzAzAgQCBQIGAgcCCAIJAhwCCwIMAg0CCAIIAggCCAIIAggCCAIIAggCCAIIAggCCAIIAggCCAIIAhMCAwIxc3EAfgAAAAAAAnNxAH4ABP///////////////v////7/////dXEAfgAHAAAABAi9SCF4eHdNAh4AAgECAgIyAAYyMDE2MDcCBAIFAgYCBwIIAgkCCgILAgwCDQIIAggCCAIIAggCCAIIAggCCAIIAggCCAIIAggCCAIIAggCEwIDAjNzcQB+AAAAAAACc3EAfgAE///////////////+/////v////91cQB+AAcAAAADEmtYeHh3mgIeAAIBAgICNAAGMjAxODA5AgQCBQIGAgcCCAIJAgoCCwIMAg0CCAIIAggCCAIIAggCCAIIAggCCAIIAggCCAIIAggCCAIIAhMCAwIdAh4AAgECAgI1AAYyMDE2MDUCBAIFAgYCBwIIAgkCHAILAgwCDQIIAggCCAIIAggCCAIIAggCCAIIAggCCAIIAggCCAIIAggCEwIDAjZzcQB+AAAAAAACc3EAfgAE///////////////+/////v////91cQB+AAcAAAAEAc1Kd3h4d00CHgACAQICAjcABjIwMTgwNwIEAgUCBgIHAggCCQIcAgsCDAINAggCCAIIAggCCAIIAggCCAIIAggCCAIIAggCCAIIAggCCAITAgMCOHNxAH4AAAAAAAJzcQB+AAT///////////////7////+AAAAAXVxAH4ABwAAAAQC1DjseHh3TQIeAAIBAgICOQAGMjAxNjExAgQCBQIGAgcCCAIJAhwCCwIMAg0CCAIIAggCCAIIAggCCAIIAggCCAIIAggCCAIIAggCCAIIAhMCAwI6c3EAfgAAAAAAAnNxAH4ABP///////////////v////7/////dXEAfgAHAAAABCWQ0ft4eHdFAh4AAgECAgIkAgQCBQIGAgcCCAIJAicCCwIMAg0CCAIIAggCCAIIAggCCAIIAggCCAIIAggCCAIIAggCCAIIAhMCAwI7c3EAfgAAAAAAAnNxAH4ABP///////////////v////7/////dXEAfgAHAAAABBwjfJB4eHdNAh4AAgECAgI8AAYyMDE3MDgCBAIFAgYCBwIIAgkCJwILAgwCDQIIAggCCAIIAggCCAIIAggCCAIIAggCCAIIAggCCAIIAggCEwIDAj1zcQB+AAAAAAACc3EAfgAE///////////////+/////v////91cQB+AAcAAAAENDlU6Hh4d00CHgACAQICAj4ABjIwMTYwMgIEAgUCBgIHAggCCQIKAgsCDAINAggCCAIIAggCCAIIAggCCAIIAggCCAIIAggCCAIIAggCCAITAgMCP3NxAH4AAAAAAAJzcQB+AAT///////////////7////+/////3VxAH4ABwAAAAMSV794eHeaAh4AAgECAgJAAAYyMDE4MTACBAIFAgYCBwIIAgkCCgILAgwCDQIIAggCCAIIAggCCAIIAggCCAIIAggCCAIIAggCCAIIAggCEwIDAh0CHgACAQICAkEABjIwMTgwMQIEAgUCBgIHAggCCQInAgsCDAINAggCCAIIAggCCAIIAggCCAIIAggCCAIIAggCCAIIAggCCAITAgMCQnNxAH4AAAAAAAJzcQB+AAT///////////////7////+/////3VxAH4ABwAAAAQpII+FeHh3TQIeAAIBAgICQwAGMjAxNjEwAgQCBQIGAgcCCAIJAgoCCwIMAg0CCAIIAggCCAIIAggCCAIIAggCCAIIAggCCAIIAggCCAIIAhMCAwJEc3EAfgAAAAAAAnNxAH4ABP///////////////v////7/////dXEAfgAHAAAAAxJ3JXh4d0UCHgACAQICAjACBAIFAgYCBwIIAgkCJwILAgwCDQIIAggCCAIIAggCCAIIAggCCAIIAggCCAIIAggCCAIIAggCEwIDAkVzcQB+AAAAAAACc3EAfgAE///////////////+/////v////91cQB+AAcAAAAEJngfcXh4d00CHgACAQICAkYABjIwMTYwOAIEAgUCBgIHAggCCQIcAgsCDAINAggCCAIIAggCCAIIAggCCAIIAggCCAIIAggCCAIIAggCCAITAgMCR3NxAH4AAAAAAAJzcQB+AAT///////////////7////+/////3VxAH4ABwAAAAOesqp4eHeSAh4AAgECAgJIAAYyMDE4MDQCBAIFAgYCBwIIAgkCCgILAgwCDQIIAggCCAIIAggCCAIIAggCCAIIAggCCAIIAggCCAIIAggCEwIDAg4CHgACAQICAi4CBAIFAgYCBwIIAgkCHAILAgwCDQIIAggCCAIIAggCCAIIAggCCAIIAggCCAIIAggCCAIIAggCEwIDAklzcQB+AAAAAAACc3EAfgAE///////////////+/////v////91cQB+AAcAAAAEFDr3g3h4d0UCHgACAQICAjICBAIFAgYCBwIIAgkCHAILAgwCDQIIAggCCAIIAggCCAIIAggCCAIIAggCCAIIAggCCAIIAggCEwIDAkpzcQB+AAAAAAACc3EAfgAE///////////////+/////v////91cQB+AAcAAAAEAQaUYHh4d4oCHgACAQICAjQCBAIFAgYCBwIIAgkCHAILAgwCDQIIAggCCAIIAggCCAIIAggCCAIIAggCCAIIAggCCAIIAggCEwIDAh0CHgACAQICAjUCBAIFAgYCBwIIAgkCJwILAgwCDQIIAggCCAIIAggCCAIIAggCCAIIAggCCAIIAggCCAIIAggCEwIDAktzcQB+AAAAAAACc3EAfgAE///////////////+/////v////91cQB+AAcAAAAEJi8ywnh4d00CHgACAQICAkwABjIwMTYxMgIEAgUCBgIHAggCCQInAgsCDAINAggCCAIIAggCCAIIAggCCAIIAggCCAIIAggCCAIIAggCCAITAgMCTXNxAH4AAAAAAAJzcQB+AAT///////////////7////+/////3VxAH4ABwAAAAQVrLWfeHh3TQIeAAIBAgICTgAGMjAxNzA2AgQCBQIGAgcCCAIJAgoCCwIMAg0CCAIIAggCCAIIAggCCAIIAggCCAIIAggCCAIIAggCCAIIAhMCAwJPc3EAfgAAAAAAAnNxAH4ABP///////////////v////7/////dXEAfgAHAAAAAxKWwHh4d5oCHgACAQICAlAABjIwMTcxMgIEAgUCBgIHAggCCQIKAgsCDAINAggCCAIIAggCCAIIAggCCAIIAggCCAIIAggCCAIIAggCCAITAgMCDgIeAAIBAgICUQAGMjAxNjA0AgQCBQIGAgcCCAIJAgoCCwIMAg0CCAIIAggCCAIIAggCCAIIAggCCAIIAggCCAIIAggCCAIIAhMCAwJSc3EAfgAAAAAAAnNxAH4ABP///////////////v////7/////dXEAfgAHAAAAAxJflHh4d0UCHgACAQICAjcCBAIFAgYCBwIIAgkCJwILAgwCDQIIAggCCAIIAggCCAIIAggCCAIIAggCCAIIAggCCAIIAggCEwIDAlNzcQB+AAAAAAACc3EAfgAE///////////////+/////v////91cQB+AAcAAAAENab75Xh4d00CHgACAQICAlQABjIwMTcwNQIEAgUCBgIHAggCCQInAgsCDAINAggCCAIIAggCCAIIAggCCAIIAggCCAIIAggCCAIIAggCCAITAgMCVXNxAH4AAAAAAAJzcQB+AAT///////////////7////+/////3VxAH4ABwAAAAQqJk8LeHh3TQIeAAIBAgICVgAGMjAxNjA2AgQCBQIGAgcCCAIJAhwCCwIMAg0CCAIIAggCCAIIAggCCAIIAggCCAIIAggCCAIIAggCCAIIAhMCAwJXc3EAfgAAAAAAAnNxAH4ABP///////////////v////7/////dXEAfgAHAAAABAFkyvJ4eHeSAh4AAgECAgJYAAYyMDE4MDgCBAIFAgYCBwIIAgkCHAILAgwCDQIIAggCCAIIAggCCAIIAggCCAIIAggCCAIIAggCCAIIAggCEwIDAjgCHgACAQICAjkCBAIFAgYCBwIIAgkCJwILAgwCDQIIAggCCAIIAggCCAIIAggCCAIIAggCCAIIAggCCAIIAggCEwIDAllzcQB+AAAAAAACc3EAfgAE///////////////+/////v////91cQB+AAcAAAAEC9ESdHh4d5oCHgACAQICAloABjIwMTgwNgIEAgUCBgIHAggCCQIKAgsCDAINAggCCAIIAggCCAIIAggCCAIIAggCCAIIAggCCAIIAggCCAITAgMCDgIeAAIBAgICWwAGMjAxNzA0AgQCBQIGAgcCCAIJAicCCwIMAg0CCAIIAggCCAIIAggCCAIIAggCCAIIAggCCAIIAggCCAIIAhMCAwJcc3EAfgAAAAAAAnNxAH4ABP///////////////v////7/////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v////7/////dXEAfgAHAAAABB0QqXR4eHdNAh4AAgECAgJeAAYyMDE3MDcCBAIFAgYCBwIIAgkCCgILAgwCDQIIAggCCAIIAggCCAIIAggCCAIIAggCCAIIAggCCAIIAggCEwIDAl9zcQB+AAAAAAACc3EAfgAE///////////////+/////v////91cQB+AAcAAAADEpq3eHh3RQIeAAIBAgICVgIEAgUCBgIHAggCCQInAgsCDAINAggCCAIIAggCCAIIAggCCAIIAggCCAIIAggCCAIIAggCCAITAgMCYHNxAH4AAAAAAAJzcQB+AAT///////////////7////+/////3VxAH4ABwAAAAQrEAtReHh3RQIeAAIBAgICIgIEAgUCBgIHAggCCQIKAgsCDAINAggCCAIIAggCCAIIAggCCAIIAggCCAIIAggCCAIIAggCCAITAgMCYXNxAH4AAAAAAAJzcQB+AAT///////////////7////+/////3VxAH4ABwAAAAMSW6l4eHdNAh4AAgECAgJiAAYyMDE3MTACBAIFAgYCBwIIAgkCJwILAgwCDQIIAggCCAIIAggCCAIIAggCCAIIAggCCAIIAggCCAIIAggCEwIDAmNzcQB+AAAAAAACc3EAfgAE///////////////+/////v////91cQB+AAcAAAAEQ0RN4Hh4d0UCHgACAQICAlQCBAIFAgYCBwIIAgkCHAILAgwCDQIIAggCCAIIAggCCAIIAggCCAIIAggCCAIIAggCCAIIAggCEwIDAmRzcQB+AAAAAAACc3EAfgAE///////////////+/////v////91cQB+AAcAAAAEAtdnVHh4d4oCHgACAQICAlgCBAIFAgYCBwIIAgkCJwILAgwCDQIIAggCCAIIAggCCAIIAggCCAIIAggCCAIIAggCCAIIAggCEwIDAlMCHgACAQICAmICBAIFAgYCBwIIAgkCHAILAgwCDQIIAggCCAIIAggCCAIIAggCCAIIAggCCAIIAggCCAIIAggCEwIDAmVzcQB+AAAAAAACc3EAfgAE///////////////+/////gAAAAF1cQB+AAcAAAAEBhtaanh4d0UCHgACAQICAi4CBAIFAgYCBwIIAgkCCgILAgwCDQIIAggCCAIIAggCCAIIAggCCAIIAggCCAIIAggCCAIIAggCEwIDAmZzcQB+AAAAAAACc3EAfgAE///////////////+/////v////91cQB+AAcAAAADEoL4eHh3RQIeAAIBAgICLAIEAgUCBgIHAggCCQInAgsCDAINAggCCAIIAggCCAIIAggCCAIIAggCCAIIAggCCAIIAggCCAITAgMCZ3NxAH4AAAAAAAJzcQB+AAT///////////////7////+/////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AAT///////////////7////+/////3VxAH4ABwAAAAQFBKNBeHh3RQIeAAIBAgICQwIEAgUCBgIHAggCCQIcAgsCDAINAggCCAIIAggCCAIIAggCCAIIAggCCAIIAggCCAIIAggCCAITAgMCaXNxAH4AAAAAAAJzcQB+AAT///////////////7////+AAAAAXVxAH4ABwAAAAO5cnx4eHdFAh4AAgECAgJGAgQCBQIGAgcCCAIJAgoCCwIMAg0CCAIIAggCCAIIAggCCAIIAggCCAIIAggCCAIIAggCCAIIAhMCAwJqc3EAfgAAAAAAAnNxAH4ABP///////////////v////7/////dXEAfgAHAAAAAxJvRnh4d4oCHgACAQICAkACBAIFAgYCBwIIAgkCHAILAgwCDQIIAggCCAIIAggCCAIIAggCCAIIAggCCAIIAggCCAIIAggCEwIDAh0CHgACAQICAh4CBAIFAgYCBwIIAgkCJwILAgwCDQIIAggCCAIIAggCCAIIAggCCAIIAggCCAIIAggCCAIIAggCEwIDAmtzcQB+AAAAAAACc3EAfgAE///////////////+/////v////91cQB+AAcAAAAEM7yWknh4d0UCHgACAQICAikCBAIFAgYCBwIIAgkCJwILAgwCDQIIAggCCAIIAggCCAIIAggCCAIIAggCCAIIAggCCAIIAggCEwIDAmxzcQB+AAAAAAACc3EAfgAE///////////////+/////v////91cQB+AAcAAAAEOUUu/nh4d0UCHgACAQICAkgCBAIFAgYCBwIIAgkCHAILAgwCDQIIAggCCAIIAggCCAIIAggCCAIIAggCCAIIAggCCAIIAggCEwIDAm1zcQB+AAAAAAACc3EAfgAE///////////////+/////v////91cQB+AAcAAAAEATJrz3h4d0UCHgACAQICAj4CBAIFAgYCBwIIAgkCHAILAgwCDQIIAggCCAIIAggCCAIIAggCCAIIAggCCAIIAggCCAIIAggCEwIDAm5zcQB+AAAAAAACc3EAfgAE///////////////+/////v////91cQB+AAcAAAAEBFuSEHh4d0UCHgACAQICAgMCBAIFAgYCBwIIAgkCJwILAgwCDQIIAggCCAIIAggCCAIIAggCCAIIAggCCAIIAggCCAIIAggCEwIDAm9zcQB+AAAAAAACc3EAfgAE///////////////+/////v////91cQB+AAcAAAAEKUaEtnh4d0UCHgACAQICAjwCBAIFAgYCBwIIAgkCCgILAgwCDQIIAggCCAIIAggCCAIIAggCCAIIAggCCAIIAggCCAIIAggCEwIDAnBzcQB+AAAAAAACc3EAfgAE///////////////+/////v////91cQB+AAcAAAADEp6veHh3RQIeAAIBAgICAwIEAgUCBgIHAggCCQIcAgsCDAINAggCCAIIAggCCAIIAggCCAIIAggCCAIIAggCCAIIAggCCAITAgMCcXNxAH4AAAAAAAJzcQB+AAT///////////////7////+/////3VxAH4ABwAAAAQKK9PneHh3RQIeAAIBAgICMAIEAgUCBgIHAggCCQIKAgsCDAINAggCCAIIAggCCAIIAggCCAIIAggCCAIIAggCCAIIAggCCAITAgMCcnNxAH4AAAAAAAJzcQB+AAT///////////////7////+/////3VxAH4ABwAAAAMSit94eHdFAh4AAgECAgJOAgQCBQIGAgcCCAIJAhwCCwIMAg0CCAIIAggCCAIIAggCCAIIAggCCAIIAggCCAIIAggCCAIIAhMCAwJzc3EAfgAAAAAAAnNxAH4ABP///////////////v////7/////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AgQCBQIGAgcCCAIJAicCCwIMAg0CCAIIAggCCAIIAggCCAIIAggCCAIIAggCCAIIAggCCAIIAhMCAwJ0c3EAfgAAAAAAAnNxAH4ABP///////////////v////7/////dXEAfgAHAAAABBuzHlx4eHdFAh4AAgECAgIyAgQCBQIGAgcCCAIJAicCCwIMAg0CCAIIAggCCAIIAggCCAIIAggCCAIIAggCCAIIAggCCAIIAhMCAwJ1c3EAfgAAAAAAAnNxAH4ABP///////////////v////7/////dXEAfgAHAAAABC794JJ4eHdFAh4AAgECAgJDAgQCBQIGAgcCCAIJAicCCwIMAg0CCAIIAggCCAIIAggCCAIIAggCCAIIAggCCAIIAggCCAIIAhMCAwJ2c3EAfgAAAAAAAnNxAH4ABP///////////////v////7/////dXEAfgAHAAAABDSYRyN4eHdFAh4AAgECAgJQAgQCBQIGAgcCCAIJAhwCCwIMAg0CCAIIAggCCAIIAggCCAIIAggCCAIIAggCCAIIAggCCAIIAhMCAwJ3c3EAfgAAAAAAAnNxAH4ABP///////////////v////7/////dXEAfgAHAAAABBa3qKJ4eHdFAh4AAgECAgJIAgQCBQIGAgcCCAIJAicCCwIMAg0CCAIIAggCCAIIAggCCAIIAggCCAIIAggCCAIIAggCCAIIAhMCAwJ4c3EAfgAAAAAAAnNxAH4ABP///////////////v////7/////dXEAfgAHAAAABC70FP94eHdFAh4AAgECAgIpAgQCBQIGAgcCCAIJAhwCCwIMAg0CCAIIAggCCAIIAggCCAIIAggCCAIIAggCCAIIAggCCAIIAhMCAwJ5c3EAfgAAAAAAAnNxAH4ABP///////////////v////4AAAABdXEAfgAHAAAABAJaEtJ4eHdFAh4AAgECAgI5AgQCBQIGAgcCCAIJAgoCCwIMAg0CCAIIAggCCAIIAggCCAIIAggCCAIIAggCCAIIAggCCAIIAhMCAwJ6c3EAfgAAAAAAAnNxAH4ABP///////////////v////7/////dXEAfgAHAAAAAxJ7FXh4d0UCHgACAQICAk4CBAIFAgYCBwIIAgkCJwILAgwCDQIIAggCCAIIAggCCAIIAggCCAIIAggCCAIIAggCCAIIAggCEwIDAntzcQB+AAAAAAACc3EAfgAE///////////////+/////v////91cQB+AAcAAAAEKgtGIXh4d0UCHgACAQICAjUCBAIFAgYCBwIIAgkCCgILAgwCDQIIAggCCAIIAggCCAIIAggCCAIIAggCCAIIAggCCAIIAggCEwIDAnxzcQB+AAAAAAACc3EAfgAE///////////////+/////v////91cQB+AAcAAAADEmN/eHh3igIeAAIBAgICNwIEAgUCBgIHAggCCQIKAgsCDAINAggCCAIIAggCCAIIAggCCAIIAggCCAIIAggCCAIIAggCCAITAgMCDgIeAAIBAgICPAIEAgUCBgIHAggCCQIcAgsCDAINAggCCAIIAggCCAIIAggCCAIIAggCCAIIAggCCAIIAggCCAITAgMCfXNxAH4AAAAAAAJzcQB+AAT///////////////7////+AAAAAXVxAH4ABwAAAAP/iV54eHdFAh4AAgECAgJRAgQCBQIGAgcCCAIJAicCCwIMAg0CCAIIAggCCAIIAggCCAIIAggCCAIIAggCCAIIAggCCAIIAhMCAwJ+c3EAfgAAAAAAAnNxAH4ABP///////////////v////7/////dXEAfgAHAAAABCPGeP14eHdFAh4AAgECAgJUAgQCBQIGAgcCCAIJAgoCCwIMAg0CCAIIAggCCAIIAggCCAIIAggCCAIIAggCCAIIAggCCAIIAhMCAwJ/c3EAfgAAAAAAAnNxAH4ABP///////////////v////7/////dXEAfgAHAAAAAxKSynh4d0UCHgACAQICAlACBAIFAgYCBwIIAgkCJwILAgwCDQIIAggCCAIIAggCCAIIAggCCAIIAggCCAIIAggCCAIIAggCEwIDAoBzcQB+AAAAAAACc3EAfgAE///////////////+/////v////91cQB+AAcAAAAEJDRt9Hh4d0UCHgACAQICAkwCBAIFAgYCBwIIAgkCCgILAgwCDQIIAggCCAIIAggCCAIIAggCCAIIAggCCAIIAggCCAIIAggCEwIDAoFzcQB+AAAAAAACc3EAfgAE///////////////+/////v////91cQB+AAcAAAADEn8GeHh3RQIeAAIBAgICWgIEAgUCBgIHAggCCQInAgsCDAINAggCCAIIAggCCAIIAggCCAIIAggCCAIIAggCCAIIAggCCAITAgMCgnNxAH4AAAAAAAJzcQB+AAT///////////////7////+/////3VxAH4ABwAAAAQw8IEoeHh3RQIeAAIBAgICXgIEAgUCBgIHAggCCQIcAgsCDAINAggCCAIIAggCCAIIAggCCAIIAggCCAIIAggCCAIIAggCCAITAgMCg3NxAH4AAAAAAAJzcQB+AAT///////////////7////+/////3VxAH4ABwAAAANOuAp4eHdFAh4AAgECAgIiAgQCBQIGAgcCCAIJAicCCwIMAg0CCAIIAggCCAIIAggCCAIIAggCCAIIAggCCAIIAggCCAIIAhMCAwKEc3EAfgAAAAAAAnNxAH4ABP///////////////v////7/////dXEAfgAHAAAABB6uCU94eHdFAh4AAgECAgJGAgQCBQIGAgcCCAIJAicCCwIMAg0CCAIIAggCCAIIAggCCAIIAggCCAIIAggCCAIIAggCCAIIAhMCAwKFc3EAfgAAAAAAAnNxAH4ABP///////////////v////7/////dXEAfgAHAAAABDHvtRl4eHdFAh4AAgECAgJiAgQCBQIGAgcCCAIJAgoCCwIMAg0CCAIIAggCCAIIAggCCAIIAggCCAIIAggCCAIIAggCCAIIAhMCAwKGc3EAfgAAAAAAAnNxAH4ABP///////////////v////7/////dXEAfgAHAAAAAxKmonh4d0UCHgACAQICAlsCBAIFAgYCBwIIAgkCCgILAgwCDQIIAggCCAIIAggCCAIIAggCCAIIAggCCAIIAggCCAIIAggCEwIDAodzcQB+AAAAAAACc3EAfgAE///////////////+/////v////91cQB+AAcAAAADEo7UeHh3RQIeAAIBAgICHgIEAgUCBgIHAggCCQIcAgsCDAINAggCCAIIAggCCAIIAggCCAIIAggCCAIIAggCCAIIAggCCAITAgMCiHNxAH4AAAAAAAJzcQB+AAT///////////////7////+/////3VxAH4ABwAAAAMy9xF4eHdFAh4AAgECAgIgAgQCBQIGAgcCCAIJAicCCwIMAg0CCAIIAggCCAIIAggCCAIIAggCCAIIAggCCAIIAggCCAIIAhMCAwKJc3EAfgAAAAAAAnNxAH4ABP///////////////v////7/////dXEAfgAHAAAABC/+xlx4eHdFAh4AAgECAgIsAgQCBQIGAgcCCAIJAhwCCwIMAg0CCAIIAggCCAIIAggCCAIIAggCCAIIAggCCAIIAggCCAIIAhMCAwKKc3EAfgAAAAAAAnNxAH4ABP///////////////v////7/////dXEAfgAHAAAABA4LHEp4eHdFAh4AAgECAgJBAgQCBQIGAgcCCAIJAhwCCwIMAg0CCAIIAggCCAIIAggCCAIIAggCCAIIAggCCAIIAggCCAIIAhMCAwKLc3EAfgAAAAAAAnNxAH4ABP///////////////v////7/////dXEAfgAHAAAABBCmiyR4eHdFAh4AAgECAgJWAgQCBQIGAgcCCAIJAgoCCwIMAg0CCAIIAggCCAIIAggCCAIIAggCCAIIAggCCAIIAggCCAIIAhMCAwKMc3EAfgAAAAAAAnNxAH4ABP///////////////v////7/////dXEAfgAHAAAAAxJna3h4d0UCHgACAQICAl4CBAIFAgYCBwIIAgkCJwILAgwCDQIIAggCCAIIAggCCAIIAggCCAIIAggCCAIIAggCCAIIAggCEwIDAo1zcQB+AAAAAAACc3EAfgAE///////////////+/////v////91cQB+AAcAAAAELpGFK3h4d0UCHgACAQICAloCBAIFAgYCBwIIAgkCHAILAgwCDQIIAggCCAIIAggCCAIIAggCCAIIAggCCAIIAggCCAIIAggCEwIDAo5zcQB+AAAAAAACc3EAfgAE///////////////+/////gAAAAF1cQB+AAcAAAAEAaNwu3h4d0UCHgACAQICAlECBAIFAgYCBwIIAgkCHAILAgwCDQIIAggCCAIIAggCCAIIAggCCAIIAggCCAIIAggCCAIIAggCEwIDAo9zcQB+AAAAAAACc3EAfgAE///////////////+/////v////91cQB+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Ah4AApACAgIwAgQCBQIGAgcCCAIJAhwCCwIMAg0CCAIIAggCCAIIAggCCAIIAggCCAIIAggCCAIIAggCCAIIAh0CAwIxAh4AApACAgI+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AgQCBQIGAgcCCAIJAgoCCwIMAg0CCAIIAggCCAIIAggCCAIIAggCCAIIAggCCAIIAggCCAIIAh8CAwI/Ah4AApECAgI+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Ah4AApECAgI+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AAT///////////////7////+/////3VxAH4ABwAAAAMD3Kt4eHdFAh4AApICAgI+AgQCBQIGAgcCCAIJApMCCwKUAg0CCAIIAggCCAIIAggCCAIIAggCCAIIAggCCAIIAggCCAIIAhQCAwKWc3EAfgAAAAAAAnNxAH4ABP///////////////v////7/////dXEAfgAHAAAAAxIVy3h4d0UCHgACkgICAjwCBAIFAgYCBwIIAgkCHAILApQCDQIIAggCCAIIAggCCAIIAggCCAIIAggCCAIIAggCCAIIAggCFAIDApdzcQB+AAAAAAACc3EAfgAE///////////////+/////v////91cQB+AAcAAAADMpTWeHh3RQIeAAKSAgICTAIEAgUCBgIHAggCCQInAgsClAINAggCCAIIAggCCAIIAggCCAIIAggCCAIIAggCCAIIAggCCAIUAgMCmHNxAH4AAAAAAAJzcQB+AAT///////////////7////+/////3VxAH4ABwAAAAQoo9pZeHh3RQIeAAKSAgICWwIEAgUCBgIHAggCCQKTAgsClAINAggCCAIIAggCCAIIAggCCAIIAggCCAIIAggCCAIIAggCCAIUAgMCmXNxAH4AAAAAAAJzcQB+AAT///////////////7////+/////3VxAH4ABwAAAAMEdI14eHdFAh4AApICAgIyAgQCBQIGAgcCCAIJAhwCCwKUAg0CCAIIAggCCAIIAggCCAIIAggCCAIIAggCCAIIAggCCAIIAhQCAwKac3EAfgAAAAAAAnNxAH4ABP///////////////v////7/////dXEAfgAHAAAABAM2kpl4eHdFAh4AApICAgI1AgQCBQIGAgcCCAIJAicCCwKUAg0CCAIIAggCCAIIAggCCAIIAggCCAIIAggCCAIIAggCCAIIAhQCAwKbc3EAfgAAAAAAAnNxAH4ABP///////////////v////7/////dXEAfgAHAAAABEwrC4B4eHdFAh4AApICAgJOAgQCBQIGAgcCCAIJAicCCwKUAg0CCAIIAggCCAIIAggCCAIIAggCCAIIAggCCAIIAggCCAIIAhQCAwKcc3EAfgAAAAAAAnNxAH4ABP///////////////v////7/////dXEAfgAHAAAABFgLByx4eHeKAh4AApICAgIgAgQCBQIGAgcCCAIJApMCCwKUAg0CCAIIAggCCAIIAggCCAIIAggCCAIIAggCCAIIAggCCAIIAhQCAwIOAh4AApICAgJWAgQCBQIGAgcCCAIJAicCCwKUAg0CCAIIAggCCAIIAggCCAIIAggCCAIIAggCCAIIAggCCAIIAhQCAwKdc3EAfgAAAAAAAnNxAH4ABP///////////////v////7/////dXEAfgAHAAAABFSIS5t4eHdFAh4AApICAgJeAgQCBQIGAgcCCAIJAicCCwKUAg0CCAIIAggCCAIIAggCCAIIAggCCAIIAggCCAIIAggCCAIIAhQCAwKec3EAfgAAAAAAAnNxAH4ABP///////////////v////7/////dXEAfgAHAAAABF7UYvh4eHdFAh4AApICAgJDAgQCBQIGAgcCCAIJAicCCwKUAg0CCAIIAggCCAIIAggCCAIIAggCCAIIAggCCAIIAggCCAIIAhQCAwKfc3EAfgAAAAAAAnNxAH4ABP///////////////v////7/////dXEAfgAHAAAABGKNyxZ4eHdFAh4AApICAgIsAgQCBQIGAgcCCAIJApMCCwKUAg0CCAIIAggCCAIIAggCCAIIAggCCAIIAggCCAIIAggCCAIIAhQCAwKgc3EAfgAAAAAAAnNxAH4ABP///////////////v////7/////dXEAfgAHAAAAAwT7aHh4d0UCHgACkgICAikCBAIFAgYCBwIIAgkCHAILApQCDQIIAggCCAIIAggCCAIIAggCCAIIAggCCAIIAggCCAIIAggCFAIDAqFzcQB+AAAAAAACc3EAfgAE///////////////+/////gAAAAF1cQB+AAcAAAAEAo6woHh4d0UCHgACkgICAlECBAIFAgYCBwIIAgkCkwILApQCDQIIAggCCAIIAggCCAIIAggCCAIIAggCCAIIAggCCAIIAggCFAIDAqJzcQB+AAAAAAACc3EAfgAE///////////////+/////v////91cQB+AAcAAAADDMb+eHh3RQIeAAKSAgICQQIEAgUCBgIHAggCCQIcAgsClAINAggCCAIIAggCCAIIAggCCAIIAggCCAIIAggCCAIIAggCCAIUAgMCo3NxAH4AAAAAAAJzcQB+AAT///////////////7////+/////3VxAH4ABwAAAAQmcaNXeHh3RQIeAAKSAgICVAIEAgUCBgIHAggCCQKTAgsClAINAggCCAIIAggCCAIIAggCCAIIAggCCAIIAggCCAIIAggCCAIUAgMCpHNxAH4AAAAAAAJzcQB+AAT///////////////7////+/////3VxAH4ABwAAAAMEVit4eHdFAh4AApICAgJGAgQCBQIGAgcCCAIJAhwCCwKUAg0CCAIIAggCCAIIAggCCAIIAggCCAIIAggCCAIIAggCCAIIAhQCAwKlc3EAfgAAAAAAAnNxAH4ABP///////////////v////7/////dXEAfgAHAAAABAK9P6R4eHdFAh4AApICAgI5AgQCBQIGAgcCCAIJAhwCCwKUAg0CCAIIAggCCAIIAggCCAIIAggCCAIIAggCCAIIAggCCAIIAhQCAwKmc3EAfgAAAAAAAnNxAH4ABP///////////////v////7/////dXEAfgAHAAAABExDDhV4eHeKAh4AApICAgJaAgQCBQIGAgcCCAIJApMCCwKUAg0CCAIIAggCCAIIAggCCAIIAggCCAIIAggCCAIIAggCCAIIAhQCAwIOAh4AApICAgJiAgQCBQIGAgcCCAIJAicCCwKUAg0CCAIIAggCCAIIAggCCAIIAggCCAIIAggCCAIIAggCCAIIAhQCAwKnc3EAfgAAAAAAAnNxAH4ABP///////////////v////7/////dXEAfgAHAAAABILciPF4eHdFAh4AApICAgIeAgQCBQIGAgcCCAIJAhwCCwKUAg0CCAIIAggCCAIIAggCCAIIAggCCAIIAggCCAIIAggCCAIIAhQCAwKoc3EAfgAAAAAAAnNxAH4ABP///////////////v////7/////dXEAfgAHAAAABAIbp254eHdFAh4AApICAgJaAgQCBQIGAgcCCAIJAhwCCwKUAg0CCAIIAggCCAIIAggCCAIIAggCCAIIAggCCAIIAggCCAIIAhQCAwKpc3EAfgAAAAAAAnNxAH4ABP///////////////v////7/////dXEAfgAHAAAABAHuetZ4eHdFAh4AApICAgJUAgQCBQIGAgcCCAIJAhwCCwKUAg0CCAIIAggCCAIIAggCCAIIAggCCAIIAggCCAIIAggCCAIIAhQCAwKqc3EAfgAAAAAAAnNxAH4ABP///////////////v////7/////dXEAfgAHAAAABAYhGIV4eHdFAh4AApICAgI1AgQCBQIGAgcCCAIJApMCCwKUAg0CCAIIAggCCAIIAggCCAIIAggCCAIIAggCCAIIAggCCAIIAhQCAwKrc3EAfgAAAAAAAnNxAH4ABP///////////////v////7/////dXEAfgAHAAAAAwuCrXh4d0UCHgACkgICAlsCBAIFAgYCBwIIAgkCJwILApQCDQIIAggCCAIIAggCCAIIAggCCAIIAggCCAIIAggCCAIIAggCFAIDAqxzcQB+AAAAAAACc3EAfgAE///////////////+/////v////91cQB+AAcAAAAEWnDZd3h4d0UCHgACkgICAiICBAIFAgYCBwIIAgkCJwILApQCDQIIAggCCAIIAggCCAIIAggCCAIIAggCCAIIAggCCAIIAggCFAIDAq1zcQB+AAAAAAACc3EAfgAE///////////////+/////v////91cQB+AAcAAAAEPftW4nh4d0UCHgACkgICAiACBAIFAgYCBwIIAgkCJwILApQCDQIIAggCCAIIAggCCAIIAggCCAIIAggCCAIIAggCCAIIAggCFAIDAq5zcQB+AAAAAAACc3EAfgAE///////////////+/////v////91cQB+AAcAAAAEXOXAsHh4d0UCHgACkgICAk4CBAIFAgYCBwIIAgkCkwILApQCDQIIAggCCAIIAggCCAIIAggCCAIIAggCCAIIAggCCAIIAggCFAIDAq9zcQB+AAAAAAACc3EAfgAE///////////////+/////v////91cQB+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AAT///////////////7////+/////3VxAH4ABwAAAAMFP694eHdFAh4AApICAgJMAgQCBQIGAgcCCAIJAhwCCwKUAg0CCAIIAggCCAIIAggCCAIIAggCCAIIAggCCAIIAggCCAIIAhQCAwKxc3EAfgAAAAAAAnNxAH4ABP///////////////v////7/////dXEAfgAHAAAABDuLiL14eHdFAh4AApICAgImAgQCBQIGAgcCCAIJAhwCCwKUAg0CCAIIAggCCAIIAggCCAIIAggCCAIIAggCCAIIAggCCAIIAhQCAwKyc3EAfgAAAAAAAnNxAH4ABP///////////////v////7/////dXEAfgAHAAAABA5TyYx4eHdFAh4AApICAgIsAgQCBQIGAgcCCAIJAhwCCwKUAg0CCAIIAggCCAIIAggCCAIIAggCCAIIAggCCAIIAggCCAIIAhQCAwKzc3EAfgAAAAAAAnNxAH4ABP///////////////v////7/////dXEAfgAHAAAABBtHMdN4eHdFAh4AApICAgJeAgQCBQIGAgcCCAIJAhwCCwKUAg0CCAIIAggCCAIIAggCCAIIAggCCAIIAggCCAIIAggCCAIIAhQCAwK0c3EAfgAAAAAAAnNxAH4ABP///////////////v////7/////dXEAfgAHAAAABAIK9vR4eHdFAh4AApICAgJiAgQCBQIGAgcCCAIJAhwCCwKUAg0CCAIIAggCCAIIAggCCAIIAggCCAIIAggCCAIIAggCCAIIAhQCAwK1c3EAfgAAAAAAAnNxAH4ABP///////////////v////4AAAABdXEAfgAHAAAABAkNFf14eHdFAh4AApICAgJWAgQCBQIGAgcCCAIJAhwCCwKUAg0CCAIIAggCCAIIAggCCAIIAggCCAIIAggCCAIIAggCCAIIAhQCAwK2c3EAfgAAAAAAAnNxAH4ABP///////////////v////7/////dXEAfgAHAAAABAOri614eHdFAh4AApICAgIwAgQCBQIGAgcCCAIJApMCCwKUAg0CCAIIAggCCAIIAggCCAIIAggCCAIIAggCCAIIAggCCAIIAhQCAwK3c3EAfgAAAAAAAnNxAH4ABP///////////////v////7/////dXEAfgAHAAAAAwSrl3h4d0UCHgACkgICAlACBAIFAgYCBwIIAgkCJwILApQCDQIIAggCCAIIAggCCAIIAggCCAIIAggCCAIIAggCCAIIAggCFAIDArhzcQB+AAAAAAACc3EAfgAE///////////////+/////v////91cQB+AAcAAAAEQjS8fHh4d0UCHgACkgICAjkCBAIFAgYCBwIIAgkCJwILApQCDQIIAggCCAIIAggCCAIIAggCCAIIAggCCAIIAggCCAIIAggCFAIDArlzcQB+AAAAAAACc3EAfgAE///////////////+/////v////91cQB+AAcAAAAEElQVqnh4d0UCHgACkgICAikCBAIFAgYCBwIIAgkCJwILApQCDQIIAggCCAIIAggCCAIIAggCCAIIAggCCAIIAggCCAIIAggCFAIDArpzcQB+AAAAAAACc3EAfgAE///////////////+/////v////91cQB+AAcAAAAEcQZZSXh4d0UCHgACkgICAkYCBAIFAgYCBwIIAgkCJwILApQCDQIIAggCCAIIAggCCAIIAggCCAIIAggCCAIIAggCCAIIAggCFAIDArtzcQB+AAAAAAACc3EAfgAE///////////////+/////v////91cQB+AAcAAAAEXVdQyXh4d0UCHgACkgICAi4CBAIFAgYCBwIIAgkCJwILApQCDQIIAggCCAIIAggCCAIIAggCCAIIAggCCAIIAggCCAIIAggCFAIDArxzcQB+AAAAAAACc3EAfgAE///////////////+/////v////91cQB+AAcAAAAEPRU7dnh4d4oCHgACkgICAkgCBAIFAgYCBwIIAgkCkwILApQCDQIIAggCCAIIAggCCAIIAggCCAIIAggCCAIIAggCCAIIAggCFAIDAg4CHgACkgICAj4CBAIFAgYCBwIIAgkCHAILApQCDQIIAggCCAIIAggCCAIIAggCCAIIAggCCAIIAggCCAIIAggCFAIDAr1zcQB+AAAAAAACc3EAfgAE///////////////+/////v////91cQB+AAcAAAAECCX/sXh4d0UCHgACkgICAkgCBAIFAgYCBwIIAgkCHAILApQCDQIIAggCCAIIAggCCAIIAggCCAIIAggCCAIIAggCCAIIAggCFAIDAr5zcQB+AAAAAAACc3EAfgAE///////////////+/////v////91cQB+AAcAAAAEBxk/mXh4d0UCHgACkgICAjICBAIFAgYCBwIIAgkCkwILApQCDQIIAggCCAIIAggCCAIIAggCCAIIAggCCAIIAggCCAIIAggCFAIDAr9zcQB+AAAAAAACc3EAfgAE///////////////+/////v////91cQB+AAcAAAADCZ5/eHh3RQIeAAKSAgICPAIEAgUCBgIHAggCCQKTAgsClAINAggCCAIIAggCCAIIAggCCAIIAggCCAIIAggCCAIIAggCCAIUAgMCwHNxAH4AAAAAAAJzcQB+AAT///////////////7////+/////3VxAH4ABwAAAAMEJQl4eHdFAh4AApICAgIwAgQCBQIGAgcCCAIJAhwCCwKUAg0CCAIIAggCCAIIAggCCAIIAggCCAIIAggCCAIIAggCCAIIAhQCAwLBc3EAfgAAAAAAAnNxAH4ABP///////////////v////7/////dXEAfgAHAAAABBD98iN4eHdFAh4AApICAgIDAgQCBQIGAgcCCAIJAicCCwKUAg0CCAIIAggCCAIIAggCCAIIAggCCAIIAggCCAIIAggCCAIIAhQCAwLCc3EAfgAAAAAAAnNxAH4ABP///////////////v////7/////dXEAfgAHAAAABE8qcfl4eHdFAh4AApICAgIeAgQCBQIGAgcCCAIJAicCCwKUAg0CCAIIAggCCAIIAggCCAIIAggCCAIIAggCCAIIAggCCAIIAhQCAwLDc3EAfgAAAAAAAnNxAH4ABP///////////////v////7/////dXEAfgAHAAAABGExCBR4eHdFAh4AApICAgIsAgQCBQIGAgcCCAIJAicCCwKUAg0CCAIIAggCCAIIAggCCAIIAggCCAIIAggCCAIIAggCCAIIAhQCAwLEc3EAfgAAAAAAAnNxAH4ABP///////////////v////7/////dXEAfgAHAAAABEmLU8l4eHdFAh4AApICAgIpAgQCBQIGAgcCCAIJApMCCwKUAg0CCAIIAggCCAIIAggCCAIIAggCCAIIAggCCAIIAggCCAIIAhQCAwLFc3EAfgAAAAAAAnNxAH4ABP///////////////v////7/////dXEAfgAHAAAAAwQOrnh4d0UCHgACkgICAiICBAIFAgYCBwIIAgkCHAILApQCDQIIAggCCAIIAggCCAIIAggCCAIIAggCCAIIAggCCAIIAggCFAIDAsZzcQB+AAAAAAACc3EAfgAE///////////////+/////v////91cQB+AAcAAAAEBeiObnh4d0UCHgACkgICAiACBAIFAgYCBwIIAgkCHAILApQCDQIIAggCCAIIAggCCAIIAggCCAIIAggCCAIIAggCCAIIAggCFAIDAsdzcQB+AAAAAAACc3EAfgAE///////////////+/////v////91cQB+AAcAAAAEBEpBlXh4d0UCHgACkgICAiQCBAIFAgYCBwIIAgkCHAILApQCDQIIAggCCAIIAggCCAIIAggCCAIIAggCCAIIAggCCAIIAggCFAIDAshzcQB+AAAAAAACc3EAfgAE///////////////+/////v////91cQB+AAcAAAAERLpXvHh4d0UCHgACkgICAkwCBAIFAgYCBwIIAgkCkwILApQCDQIIAggCCAIIAggCCAIIAggCCAIIAggCCAIIAggCCAIIAggCFAIDAslzcQB+AAAAAAACc3EAfgAE///////////////+/////v////91cQB+AAcAAAADBtyTeHh3RQIeAAKSAgICJgIEAgUCBgIHAggCCQInAgsClAINAggCCAIIAggCCAIIAggCCAIIAggCCAIIAggCCAIIAggCCAIUAgMCynNxAH4AAAAAAAJzcQB+AAT///////////////7////+/////3VxAH4ABwAAAARSfqMaeHh3RQIeAAKSAgICWwIEAgUCBgIHAggCCQIcAgsClAINAggCCAIIAggCCAIIAggCCAIIAggCCAIIAggCCAIIAggCCAIUAgMCy3NxAH4AAAAAAAJzcQB+AAT///////////////7////+/////3VxAH4ABwAAAAQJ8GpGeHh3RQIeAAKSAgICRgIEAgUCBgIHAggCCQKTAgsClAINAggCCAIIAggCCAIIAggCCAIIAggCCAIIAggCCAIIAggCCAIUAgMCzHNxAH4AAAAAAAJzcQB+AAT///////////////7////+/////3VxAH4ABwAAAAMItpx4eHdFAh4AApICAgJIAgQCBQIGAgcCCAIJAicCCwKUAg0CCAIIAggCCAIIAggCCAIIAggCCAIIAggCCAIIAggCCAIIAhQCAwLNc3EAfgAAAAAAAnNxAH4ABP///////////////v////7/////dXEAfgAHAAAABFqpyF94eHdFAh4AApICAgIwAgQCBQIGAgcCCAIJAicCCwKUAg0CCAIIAggCCAIIAggCCAIIAggCCAIIAggCCAIIAggCCAIIAhQCAwLOc3EAfgAAAAAAAnNxAH4ABP///////////////v////7/////dXEAfgAHAAAABFNjmyZ4eHdFAh4AApICAgI+AgQCBQIGAgcCCAIJAicCCwKUAg0CCAIIAggCCAIIAggCCAIIAggCCAIIAggCCAIIAggCCAIIAhQCAwLPc3EAfgAAAAAAAnNxAH4ABP///////////////v////7/////dXEAfgAHAAAABDc49U94eHdFAh4AApICAgJRAgQCBQIGAgcCCAIJAhwCCwKUAg0CCAIIAggCCAIIAggCCAIIAggCCAIIAggCCAIIAggCCAIIAhQCAwLQc3EAfgAAAAAAAnNxAH4ABP///////////////v////7/////dXEAfgAHAAAABATkMA94eHeKAh4AApICAgIDAgQCBQIGAgcCCAIJApMCCwKUAg0CCAIIAggCCAIIAggCCAIIAggCCAIIAggCCAIIAggCCAIIAhQCAwIOAh4AApICAgIyAgQCBQIGAgcCCAIJAicCCwKUAg0CCAIIAggCCAIIAggCCAIIAggCCAIIAggCCAIIAggCCAIIAhQCAwLRc3EAfgAAAAAAAnNxAH4ABP///////////////v////7/////dXEAfgAHAAAABFovta14eHdFAh4AApICAgI8AgQCBQIGAgcCCAIJAicCCwKUAg0CCAIIAggCCAIIAggCCAIIAggCCAIIAggCCAIIAggCCAIIAhQCAwLSc3EAfgAAAAAAAnNxAH4ABP///////////////v////7/////dXEAfgAHAAAABGUxQat4eHeKAh4AApICAgJQAgQCBQIGAgcCCAIJApMCCwKUAg0CCAIIAggCCAIIAggCCAIIAggCCAIIAggCCAIIAggCCAIIAhQCAwIOAh4AApICAgIuAgQCBQIGAgcCCAIJApMCCwKUAg0CCAIIAggCCAIIAggCCAIIAggCCAIIAggCCAIIAggCCAIIAhQCAwLTc3EAfgAAAAAAAnNxAH4ABP///////////////v////7/////dXEAfgAHAAAAAwVk/3h4d0UCHgACkgICAgMCBAIFAgYCBwIIAgkCHAILApQCDQIIAggCCAIIAggCCAIIAggCCAIIAggCCAIIAggCCAIIAggCFAIDAtRzcQB+AAAAAAACc3EAfgAE///////////////+/////v////91cQB+AAcAAAAEGWLnZXh4d0UCHgACkgICAh4CBAIFAgYCBwIIAgkCkwILApQCDQIIAggCCAIIAggCCAIIAggCCAIIAggCCAIIAggCCAIIAggCFAIDAtVzcQB+AAAAAAACc3EAfgAE///////////////+/////v////91cQB+AAcAAAADB43UeHh3RQIeAAKSAgICLgIEAgUCBgIHAggCCQIcAgsClAINAggCCAIIAggCCAIIAggCCAIIAggCCAIIAggCCAIIAggCCAIUAgMC1nNxAH4AAAAAAAJzcQB+AAT///////////////7////+/////3VxAH4ABwAAAAQo6Ya2eHh3RQIeAAKSAgICUAIEAgUCBgIHAggCCQIcAgsClAINAggCCAIIAggCCAIIAggCCAIIAggCCAIIAggCCAIIAggCCAIUAgMC13NxAH4AAAAAAAJzcQB+AAT///////////////7////+/////3VxAH4ABwAAAAQ0Sb4jeHh3RQIeAAKSAgICOQIEAgUCBgIHAggCCQKTAgsClAINAggCCAIIAggCCAIIAggCCAIIAggCCAIIAggCCAIIAggCCAIUAgMC2HNxAH4AAAAAAAJzcQB+AAT///////////////7////+/////3VxAH4ABwAAAAMGaCt4eHdFAh4AApICAgI1AgQCBQIGAgcCCAIJAhwCCwKUAg0CCAIIAggCCAIIAggCCAIIAggCCAIIAggCCAIIAggCCAIIAhQCAwLZc3EAfgAAAAAAAnNxAH4ABP///////////////v////7/////dXEAfgAHAAAABAQ2ieN4eHdFAh4AApICAgJDAgQCBQIGAgcCCAIJAhwCCwKUAg0CCAIIAggCCAIIAggCCAIIAggCCAIIAggCCAIIAggCCAIIAhQCAwLac3EAfgAAAAAAAnNxAH4ABP///////////////v////7/////dXEAfgAHAAAAA7xcsnh4d0UCHgACkgICAiQCBAIFAgYCBwIIAgkCJwILApQCDQIIAggCCAIIAggCCAIIAggCCAIIAggCCAIIAggCCAIIAggCFAIDAttzcQB+AAAAAAACc3EAfgAE///////////////+/////v////91cQB+AAcAAAAEMNCqs3h4d4oCHgACkgICAiYCBAIFAgYCBwIIAgkCkwILApQCDQIIAggCCAIIAggCCAIIAggCCAIIAggCCAIIAggCCAIIAggCFAIDAg4CHgACkgICAkECBAIFAgYCBwIIAgkCJwILApQCDQIIAggCCAIIAggCCAIIAggCCAIIAggCCAIIAggCCAIIAggCFAIDAtxzcQB+AAAAAAACc3EAfgAE///////////////+/////v////91cQB+AAcAAAAETu7o2nh4d0UCHgACkgICAl4CBAIFAgYCBwIIAgkCkwILApQCDQIIAggCCAIIAggCCAIIAggCCAIIAggCCAIIAggCCAIIAggCFAIDAt1zcQB+AAAAAAACc3EAfgAE///////////////+/////v////91cQB+AAcAAAADBDQ4eHh3RQIeAAKSAgICWgIEAgUCBgIHAggCCQInAgsClAINAggCCAIIAggCCAIIAggCCAIIAggCCAIIAggCCAIIAggCCAIUAgMC3nNxAH4AAAAAAAJzcQB+AAT///////////////7////+/////3VxAH4ABwAAAARdGgPTeHh3RQIeAAKSAgICTgIEAgUCBgIHAggCCQIcAgsClAINAggCCAIIAggCCAIIAggCCAIIAggCCAIIAggCCAIIAggCCAIUAgMC33NxAH4AAAAAAAJzcQB+AAT///////////////7////+/////3VxAH4ABwAAAAQD3U0geHh3RQIeAAKSAgICVgIEAgUCBgIHAggCCQKTAgsClAINAggCCAIIAggCCAIIAggCCAIIAggCCAIIAggCCAIIAggCCAIUAgMC4HNxAH4AAAAAAAJzcQB+AAT///////////////7////+/////3VxAH4ABwAAAAMKgFR4eHdFAh4AApICAgIiAgQCBQIGAgcCCAIJApMCCwKUAg0CCAIIAggCCAIIAggCCAIIAggCCAIIAggCCAIIAggCCAIIAhQCAwLhc3EAfgAAAAAAAnNxAH4ABP///////////////v////7/////dXEAfgAHAAAAAw6D3Xh4d0UCHgACkgICAlECBAIFAgYCBwIIAgkCJwILApQCDQIIAggCCAIIAggCCAIIAggCCAIIAggCCAIIAggCCAIIAggCFAIDAuJzcQB+AAAAAAACc3EAfgAE///////////////+/////v////91cQB+AAcAAAAESHB4r3h4d0UCHgACkgICAlQCBAIFAgYCBwIIAgkCJwILApQCDQIIAggCCAIIAggCCAIIAggCCAIIAggCCAIIAggCCAIIAggCFAIDAuNzcQB+AAAAAAACc3EAfgAE///////////////+/////v////91cQB+AAcAAAAEWf3l8nh4d1gCHgAC5AAJMjI2Mzc1Mjk2AgIC5QAGMjAxMzEyAgQCBQIGAgcCCAIJApMCCwKUAg0CCAIIAggCCAIIAggCCAIIAggCCAIIAggCCAIIAggCCAIIAiYCAwLmc3EAfgAAAAAAAnNxAH4ABP///////////////v////7/////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AgQCBQIGAgcCCAIJAicCCwIMAg0CCAIIAggCCAIIAggCCAIIAggCCAIIAggCCAIIAggCCAIIAhkCAwJ0Ah4AAucCAgI+AgQCBQIGAgcCCAIJAgoCCwIMAg0CCAIIAggCCAIIAggCCAIIAggCCAIIAggCCAIIAggCCAIIAhkCAwI/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Ah4AAugCAgI8AgQCBQIGAgcCCAIJApMCCwKUAg0CCAIIAggCCAIIAggCCAIIAggCCAIIAggCCAIIAggCCAIIAhgCAwLAAh4AAugCAgIeAgQCBQIGAgcCCAIJAicCCwKUAg0CCAIIAggCCAIIAggCCAIIAggCCAIIAggCCAIIAggCCAIIAhgCAwLDAh4AAugCAgI+AgQCBQIGAgcCCAIJAhwCCwKUAg0CCAIIAggCCAIIAggCCAIIAggCCAIIAggCCAIIAggCCAIIAhgCAwK9Ah4AAugCAgIyAgQCBQIGAgcCCAIJApMCCwKUAg0CCAIIAggCCAIIAggCCAIIAggCCAIIAggCCAIIAggCCAIIAhgCAwK/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AgQCBQIGAgcCCAIJAgoCCwIMAg0CCAIIAggCCAIIAggCCAIIAggCCAIIAggCCAIIAggCCAIIAhUCAwI/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v////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AAAAAAACc3EAfgAE///////////////+/////v////91cQB+AAcAAAAEY8+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xxe4awand>
</file>

<file path=customXml/item46.xml><?xml version="1.0" encoding="utf-8"?>
<xxe4awand xmlns="http://www.excel4apps.com"><![CDATA[rO0ABXfZCMCtii8ABJsFAh4AAERjb20uZXhjZWw0YXBwcy53YW5kLm9yYWNsZS5n
bHdhbmQuY2FsY3VsYXRpb25zLmdldGJhbGFuY2UuR2V0QmFsYW5jZQIBAAk0NzU2
MDE3NDQCAgABMAIDAAYyMDE4MDMCBAADWVREAgUAA1VTRAIGAAVUb3RhbAIHAAFB
AggAAAIJAAMwMDECCgAGMTkxMDEwAgsAAkdEAgwAAklE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WAgMCHHNxAH4AAAAA
AAJzcQB+AAT///////////////7////+/////3VxAH4ABwAAAAQiCqwxeHh3VQIeAAIBAgICHQAGMjAxNjAzAgQCBQIGAgcCCAIJAh4ABjE5MTAwMAILAgwCDQIIAggCCAIIAggCCAIIAggCCAIIAggCCAIIAggCCAIIAggCFgIDAh9zcQB+AAAAAAACc3EAfgAE///////////////+/////v////91cQB+AAcAAAAEAvtLi3h4d00CHgACAQICAiAABjIwMTgwNQIEAgUCBgIHAggCCQIeAgsCDAINAggCCAIIAggCCAIIAggCCAIIAggCCAIIAggCCAIIAggCCAIWAgMCIXNxAH4AAAAAAAJzcQB+AAT///////////////7////+AAAAAXVxAH4ABwAAAAM2pbZ4eHdNAh4AAgECAgIDAgQCBQIGAgcCCAIJAiIABjE5MTAxNQILAgwCDQIIAggCCAIIAggCCAIIAggCCAIIAggCCAIIAggCCAIIAggCFgIDAiNzcQB+AAAAAAACc3EAfgAE///////////////+/////gAAAAB1cQB+AAcAAAAAeHh3RQIeAAIBAgICGwIEAgUCBgIHAggCCQIiAgsCDAINAggCCAIIAggCCAIIAggCCAIIAggCCAIIAggCCAIIAggCCAIWAgMCJHNxAH4AAAAAAAJzcQB+AAT///////////////7////+/////3VxAH4ABwAAAAMShut4eHdNAh4AAgECAgIlAAYyMDE2MTACBAIFAgYCBwIIAgkCHgILAgwCDQIIAggCCAIIAggCCAIIAggCCAIIAggCCAIIAggCCAIIAggCFgIDAiZzcQB+AAAAAAACc3EAfgAE///////////////+/////gAAAAF1cQB+AAcAAAADuXJ8eHh3TQIeAAIBAgICJwAGMjAxNzExAgQCBQIGAgcCCAIJAh4CCwIMAg0CCAIIAggCCAIIAggCCAIIAggCCAIIAggCCAIIAggCCAIIAhYCAwIoc3EAfgAAAAAAAnNxAH4ABP///////////////v////7/////dXEAfgAHAAAABB7AdGx4eHdNAh4AAgECAgIpAAYyMDE3MDQCBAIFAgYCBwIIAgkCHgILAgwCDQIIAggCCAIIAggCCAIIAggCCAIIAggCCAIIAggCCAIIAggCFgIDAipzcQB+AAAAAAACc3EAfgAE///////////////+/////v////91cQB+AAcAAAAEBQSjQXh4d00CHgACAQICAisABjIwMTcwMQIEAgUCBgIHAggCCQIKAgsCDAINAggCCAIIAggCCAIIAggCCAIIAggCCAIIAggCCAIIAggCCAIWAgMCLHNxAH4AAAAAAAJzcQB+AAT///////////////7////+/////3VxAH4ABwAAAAQdsfpMeHh3TQIeAAIBAgICLQAGMjAxODA0AgQCBQIGAgcCCAIJAh4CCwIMAg0CCAIIAggCCAIIAggCCAIIAggCCAIIAggCCAIIAggCCAIIAhYCAwIuc3EAfgAAAAAAAnNxAH4ABP///////////////v////7/////dXEAfgAHAAAABAEya894eHdNAh4AAgECAgIvAAYyMDE2MDkCBAIFAgYCBwIIAgkCCgILAgwCDQIIAggCCAIIAggCCAIIAggCCAIIAggCCAIIAggCCAIIAggCFgIDAjBzcQB+AAAAAAACc3EAfgAE///////////////+/////v////91cQB+AAcAAAAEM7yWknh4d0UCHgACAQICAi8CBAIFAgYCBwIIAgkCIgILAgwCDQIIAggCCAIIAggCCAIIAggCCAIIAggCCAIIAggCCAIIAggCFgIDAjFzcQB+AAAAAAACc3EAfgAE///////////////+/////v////91cQB+AAcAAAADEnM1eHh3TQIeAAIBAgICMgAGMjAxNzA5AgQCBQIGAgcCCAIJAiICCwIMAg0CCAIIAggCCAIIAggCCAIIAggCCAIIAggCCAIIAggCCAIIAhYCAwIzc3EAfgAAAAAAAnNxAH4ABP///////////////v////7/////dXEAfgAHAAAAAxKiqHh4d0UCHgACAQICAisCBAIFAgYCBwIIAgkCIgILAgwCDQIIAggCCAIIAggCCAIIAggCCAIIAggCCAIIAggCCAIIAggCFgIDAjRzcQB+AAAAAAACc3EAfgAE///////////////+/////v////91cQB+AAcAAAADEoL4eHh3TQIeAAIBAgICNQAGMjAxNzEwAgQCBQIGAgcCCAIJAh4CCwIMAg0CCAIIAggCCAIIAggCCAIIAggCCAIIAggCCAIIAggCCAIIAhYCAwI2c3EAfgAAAAAAAnNxAH4ABP///////////////v////4AAAABdXEAfgAHAAAABAYbWmp4eHdNAh4AAgECAgI3AAYyMDE2MDICBAIFAgYCBwIIAgkCHgILAgwCDQIIAggCCAIIAggCCAIIAggCCAIIAggCCAIIAggCCAIIAggCFgIDAjhzcQB+AAAAAAACc3EAfgAE///////////////+/////v////91cQB+AAcAAAAEBFuSEHh4d00CHgACAQICAjkABjIwMTcwMwIEAgUCBgIHAggCCQIeAgsCDAINAggCCAIIAggCCAIIAggCCAIIAggCCAIIAggCCAIIAggCCAIWAgMCOnNxAH4AAAAAAAJzcQB+AAT///////////////7////+/////3VxAH4ABwAAAAQIvUgheHh3TQIeAAIBAgICOwAGMjAxODAyAgQCBQIGAgcCCAIJAgoCCwIMAg0CCAIIAggCCAIIAggCCAIIAggCCAIIAggCCAIIAggCCAIIAhYCAwI8c3EAfgAAAAAAAnNxAH4ABP///////////////v////7/////dXEAfgAHAAAABClGhLZ4eHeSAh4AAgECAgI7AgQCBQIGAgcCCAIJAiICCwIMAg0CCAIIAggCCAIIAggCCAIIAggCCAIIAggCCAIIAggCCAIIAhYCAwIjAh4AAgECAgI9AAYyMDE2MDUCBAIFAgYCBwIIAgkCHgILAgwCDQIIAggCCAIIAggCCAIIAggCCAIIAggCCAIIAggCCAIIAggCFgIDAj5zcQB+AAAAAAACc3EAfgAE///////////////+/////v////91cQB+AAcAAAAEAc1Kd3h4d0UCHgACAQICAicCBAIFAgYCBwIIAgkCCgILAgwCDQIIAggCCAIIAggCCAIIAggCCAIIAggCCAIIAggCCAIIAggCFgIDAj9zcQB+AAAAAAACc3EAfgAE///////////////+/////v////91cQB+AAcAAAAEHCN8kHh4d00CHgACAQICAkAABjIwMTcwOAIEAgUCBgIHAggCCQIiAgsCDAINAggCCAIIAggCCAIIAggCCAIIAggCCAIIAggCCAIIAggCCAIWAgMCQXNxAH4AAAAAAAJzcQB+AAT///////////////7////+/////3VxAH4ABwAAAAMSnq94eHdNAh4AAgECAgJCAAYyMDE2MDcCBAIFAgYCBwIIAgkCIgILAgwCDQIIAggCCAIIAggCCAIIAggCCAIIAggCCAIIAggCCAIIAggCFgIDAkNzcQB+AAAAAAACc3EAfgAE///////////////+/////v////91cQB+AAcAAAADEmtYeHh3RQIeAAIBAgICJQIEAgUCBgIHAggCCQIKAgsCDAINAggCCAIIAggCCAIIAggCCAIIAggCCAIIAggCCAIIAggCCAIWAgMCRHNxAH4AAAAAAAJzcQB+AAT///////////////7////+/////3VxAH4ABwAAAAQ0mEcjeHh3kgIeAAIBAgICRQAGMjAxODAxAgQCBQIGAgcCCAIJAiICCwIMAg0CCAIIAggCCAIIAggCCAIIAggCCAIIAggCCAIIAggCCAIIAhYCAwIjAh4AAgECAgJFAgQCBQIGAgcCCAIJAgoCCwIMAg0CCAIIAggCCAIIAggCCAIIAggCCAIIAggCCAIIAggCCAIIAhYCAwJGc3EAfgAAAAAAAnNxAH4ABP///////////////v////7/////dXEAfgAHAAAABCkgj4V4eHdFAh4AAgECAgJAAgQCBQIGAgcCCAIJAgoCCwIMAg0CCAIIAggCCAIIAggCCAIIAggCCAIIAggCCAIIAggCCAIIAhYCAwJHc3EAfgAAAAAAAnNxAH4ABP///////////////v////7/////dXEAfgAHAAAABDQ5VOh4eHdNAh4AAgECAgJIAAYyMDE3MDYCBAIFAgYCBwIIAgkCHgILAgwCDQIIAggCCAIIAggCCAIIAggCCAIIAggCCAIIAggCCAIIAggCFgIDAklzcQB+AAAAAAACc3EAfgAE///////////////+/////v////91cQB+AAcAAAAEAW1K0nh4d0UCHgACAQICAjkCBAIFAgYCBwIIAgkCCgILAgwCDQIIAggCCAIIAggCCAIIAggCCAIIAggCCAIIAggCCAIIAggCFgIDAkpzcQB+AAAAAAACc3EAfgAE///////////////+/////v////91cQB+AAcAAAAEJngfcXh4d4oCHgACAQICAicCBAIFAgYCBwIIAgkCIgILAgwCDQIIAggCCAIIAggCCAIIAggCCAIIAggCCAIIAggCCAIIAggCFgIDAiMCHgACAQICAiUCBAIFAgYCBwIIAgkCIgILAgwCDQIIAggCCAIIAggCCAIIAggCCAIIAggCCAIIAggCCAIIAggCFgIDAktzcQB+AAAAAAACc3EAfgAE///////////////+/////v////91cQB+AAcAAAADEncleHh3RQIeAAIBAgICNwIEAgUCBgIHAggCCQIiAgsCDAINAggCCAIIAggCCAIIAggCCAIIAggCCAIIAggCCAIIAggCCAIWAgMCTHNxAH4AAAAAAAJzcQB+AAT///////////////7////+/////3VxAH4ABwAAAAMSV794eHdFAh4AAgECAgJCAgQCBQIGAgcCCAIJAgoCCwIMAg0CCAIIAggCCAIIAggCCAIIAggCCAIIAggCCAIIAggCCAIIAhYCAwJNc3EAfgAAAAAAAnNxAH4ABP///////////////v////7/////dXEAfgAHAAAABC794JJ4eHdFAh4AAgECAgI3AgQCBQIGAgcCCAIJAgoCCwIMAg0CCAIIAggCCAIIAggCCAIIAggCCAIIAggCCAIIAggCCAIIAhYCAwJOc3EAfgAAAAAAAnNxAH4ABP///////////////v////7/////dXEAfgAHAAAABBuzHlx4eHdFAh4AAgECAgIyAgQCBQIGAgcCCAIJAh4CCwIMAg0CCAIIAggCCAIIAggCCAIIAggCCAIIAggCCAIIAggCCAIIAhYCAwJPc3EAfgAAAAAAAnNxAH4ABP///////////////v////4AAAABdXEAfgAHAAAABAJaEtJ4eHdFAh4AAgECAgIrAgQCBQIGAgcCCAIJAh4CCwIMAg0CCAIIAggCCAIIAggCCAIIAggCCAIIAggCCAIIAggCCAIIAhYCAwJQc3EAfgAAAAAAAnNxAH4ABP///////////////v////7/////dXEAfgAHAAAABBQ694N4eHdNAh4AAgECAgJRAAYyMDE3MTICBAIFAgYCBwIIAgkCHgILAgwCDQIIAggCCAIIAggCCAIIAggCCAIIAggCCAIIAggCCAIIAggCFgIDAlJzcQB+AAAAAAACc3EAfgAE///////////////+/////v////91cQB+AAcAAAAEFreoonh4d00CHgACAQICAlMABjIwMTYwOAIEAgUCBgIHAggCCQIeAgsCDAINAggCCAIIAggCCAIIAggCCAIIAggCCAIIAggCCAIIAggCCAIWAgMCVHNxAH4AAAAAAAJzcQB+AAT///////////////7////+/////3VxAH4ABwAAAAOesqp4eHdFAh4AAgECAgI7AgQCBQIGAgcCCAIJAh4CCwIMAg0CCAIIAggCCAIIAggCCAIIAggCCAIIAggCCAIIAggCCAIIAhYCAwJVc3EAfgAAAAAAAnNxAH4ABP///////////////v////7/////dXEAfgAHAAAABAor0+d4eHdFAh4AAgECAgI5AgQCBQIGAgcCCAIJAiICCwIMAg0CCAIIAggCCAIIAggCCAIIAggCCAIIAggCCAIIAggCCAIIAhYCAwJWc3EAfgAAAAAAAnNxAH4ABP///////////////v////7/////dXEAfgAHAAAAAxKK33h4d00CHgACAQICAlcABjIwMTYxMQIEAgUCBgIHAggCCQIeAgsCDAINAggCCAIIAggCCAIIAggCCAIIAggCCAIIAggCCAIIAggCCAIWAgMCWHNxAH4AAAAAAAJzcQB+AAT///////////////7////+/////3VxAH4ABwAAAAQlkNH7eHh3igIeAAIBAgICLQIEAgUCBgIHAggCCQIiAgsCDAINAggCCAIIAggCCAIIAggCCAIIAggCCAIIAggCCAIIAggCCAIWAgMCIwIeAAIBAgICLQIEAgUCBgIHAggCCQIKAgsCDAINAggCCAIIAggCCAIIAggCCAIIAggCCAIIAggCCAIIAggCCAIWAgMCWXNxAH4AAAAAAAJzcQB+AAT///////////////7////+/////3VxAH4ABwAAAAQu9BT/eHh3RQIeAAIBAgICSAIEAgUCBgIHAggCCQIiAgsCDAINAggCCAIIAggCCAIIAggCCAIIAggCCAIIAggCCAIIAggCCAIWAgMCWnNxAH4AAAAAAAJzcQB+AAT///////////////7////+/////3VxAH4ABwAAAAMSlsB4eHdFAh4AAgECAgI9AgQCBQIGAgcCCAIJAiICCwIMAg0CCAIIAggCCAIIAggCCAIIAggCCAIIAggCCAIIAggCCAIIAhYCAwJbc3EAfgAAAAAAAnNxAH4ABP///////////////v////7/////dXEAfgAHAAAAAxJjf3h4d00CHgACAQICAlwABjIwMTYxMgIEAgUCBgIHAggCCQIKAgsCDAINAggCCAIIAggCCAIIAggCCAIIAggCCAIIAggCCAIIAggCCAIWAgMCXXNxAH4AAAAAAAJzcQB+AAT///////////////7////+/////3VxAH4ABwAAAAQVrLWfeHh3TQIeAAIBAgICXgAGMjAxNjA2AgQCBQIGAgcCCAIJAgoCCwIMAg0CCAIIAggCCAIIAggCCAIIAggCCAIIAggCCAIIAggCCAIIAhYCAwJfc3EAfgAAAAAAAnNxAH4ABP///////////////v////7/////dXEAfgAHAAAABCsQC1F4eHdFAh4AAgECAgJIAgQCBQIGAgcCCAIJAgoCCwIMAg0CCAIIAggCCAIIAggCCAIIAggCCAIIAggCCAIIAggCCAIIAhYCAwJgc3EAfgAAAAAAAnNxAH4ABP///////////////v////7/////dXEAfgAHAAAABCoLRiF4eHdFAh4AAgECAgJXAgQCBQIGAgcCCAIJAiICCwIMAg0CCAIIAggCCAIIAggCCAIIAggCCAIIAggCCAIIAggCCAIIAhYCAwJhc3EAfgAAAAAAAnNxAH4ABP///////////////v////7/////dXEAfgAHAAAAAxJ7FXh4d0UCHgACAQICAkICBAIFAgYCBwIIAgkCHgILAgwCDQIIAggCCAIIAggCCAIIAggCCAIIAggCCAIIAggCCAIIAggCFgIDAmJzcQB+AAAAAAACc3EAfgAE///////////////+/////v////91cQB+AAcAAAAEAQaUYHh4d0UCHgACAQICAkACBAIFAgYCBwIIAgkCHgILAgwCDQIIAggCCAIIAggCCAIIAggCCAIIAggCCAIIAggCCAIIAggCFgIDAmNzcQB+AAAAAAACc3EAfgAE///////////////+/////gAAAAF1cQB+AAcAAAAD/4leeHh3TQIeAAIBAgICZAAGMjAxNzA1AgQCBQIGAgcCCAIJAiICCwIMAg0CCAIIAggCCAIIAggCCAIIAggCCAIIAggCCAIIAggCCAIIAhYCAwJlc3EAfgAAAAAAAnNxAH4ABP///////////////v////7/////dXEAfgAHAAAAAxKSynh4d0UCHgACAQICAlECBAIFAgYCBwIIAgkCCgILAgwCDQIIAggCCAIIAggCCAIIAggCCAIIAggCCAIIAggCCAIIAggCFgIDAmZzcQB+AAAAAAACc3EAfgAE///////////////+/////v////91cQB+AAcAAAAEJDRt9Hh4d00CHgACAQICAmcABjIwMTYwNAIEAgUCBgIHAggCCQIiAgsCDAINAggCCAIIAggCCAIIAggCCAIIAggCCAIIAggCCAIIAggCCAIWAgMCaHNxAH4AAAAAAAJzcQB+AAT///////////////7////+/////3VxAH4ABwAAAAMSX5R4eHdFAh4AAgECAgI9AgQCBQIGAgcCCAIJAgoCCwIMAg0CCAIIAggCCAIIAggCCAIIAggCCAIIAggCCAIIAggCCAIIAhYCAwJpc3EAfgAAAAAAAnNxAH4ABP///////////////v////7/////dXEAfgAHAAAABCYvMsJ4eHdFAh4AAgECAgJnAgQCBQIGAgcCCAIJAgoCCwIMAg0CCAIIAggCCAIIAggCCAIIAggCCAIIAggCCAIIAggCCAIIAhYCAwJqc3EAfgAAAAAAAnNxAH4ABP///////////////v////7/////dXEAfgAHAAAABCPGeP14eHdFAh4AAgECAgJXAgQCBQIGAgcCCAIJAgoCCwIMAg0CCAIIAggCCAIIAggCCAIIAggCCAIIAggCCAIIAggCCAIIAhYCAwJrc3EAfgAAAAAAAnNxAH4ABP///////////////v////7/////dXEAfgAHAAAABAvREnR4eHeKAh4AAgECAgJRAgQCBQIGAgcCCAIJAiICCwIMAg0CCAIIAggCCAIIAggCCAIIAggCCAIIAggCCAIIAggCCAIIAhYCAwIjAh4AAgECAgJcAgQCBQIGAgcCCAIJAiICCwIMAg0CCAIIAggCCAIIAggCCAIIAggCCAIIAggCCAIIAggCCAIIAhYCAwJsc3EAfgAAAAAAAnNxAH4ABP///////////////v////7/////dXEAfgAHAAAAAxJ/Bnh4d0UCHgACAQICAmQCBAIFAgYCBwIIAgkCCgILAgwCDQIIAggCCAIIAggCCAIIAggCCAIIAggCCAIIAggCCAIIAggCFgIDAm1zcQB+AAAAAAACc3EAfgAE///////////////+/////v////91cQB+AAcAAAAEKiZPC3h4d0UCHgACAQICAl4CBAIFAgYCBwIIAgkCHgILAgwCDQIIAggCCAIIAggCCAIIAggCCAIIAggCCAIIAggCCAIIAggCFgIDAm5zcQB+AAAAAAACc3EAfgAE///////////////+/////v////91cQB+AAcAAAAEAWTK8nh4d00CHgACAQICAm8ABjIwMTcwNwIEAgUCBgIHAggCCQIeAgsCDAINAggCCAIIAggCCAIIAggCCAIIAggCCAIIAggCCAIIAggCCAIWAgMCcHNxAH4AAAAAAAJzcQB+AAT///////////////7////+/////3VxAH4ABwAAAANOuAp4eHeSAh4AAgECAgJxAAYyMDE4MDYCBAIFAgYCBwIIAgkCIgILAgwCDQIIAggCCAIIAggCCAIIAggCCAIIAggCCAIIAggCCAIIAggCFgIDAiMCHgACAQICAnECBAIFAgYCBwIIAgkCCgILAgwCDQIIAggCCAIIAggCCAIIAggCCAIIAggCCAIIAggCCAIIAggCFgIDAnJzcQB+AAAAAAACc3EAfgAE///////////////+/////v////91cQB+AAcAAAAEMPCBKHh4d0UCHgACAQICAjICBAIFAgYCBwIIAgkCCgILAgwCDQIIAggCCAIIAggCCAIIAggCCAIIAggCCAIIAggCCAIIAggCFgIDAnNzcQB+AAAAAAACc3EAfgAE///////////////+/////v////91cQB+AAcAAAAEOUUu/nh4d0UCHgACAQICAikCBAIFAgYCBwIIAgkCIgILAgwCDQIIAggCCAIIAggCCAIIAggCCAIIAggCCAIIAggCCAIIAggCFgIDAnRzcQB+AAAAAAACc3EAfgAE///////////////+/////v////91cQB+AAcAAAADEo7UeHh3RQIeAAIBAgICHQIEAgUCBgIHAggCCQIiAgsCDAINAggCCAIIAggCCAIIAggCCAIIAggCCAIIAggCCAIIAggCCAIWAgMCdXNxAH4AAAAAAAJzcQB+AAT///////////////7////+/////3VxAH4ABwAAAAMSW6l4eHdFAh4AAgECAgI1AgQCBQIGAgcCCAIJAiICCwIMAg0CCAIIAggCCAIIAggCCAIIAggCCAIIAggCCAIIAggCCAIIAhYCAwJ2c3EAfgAAAAAAAnNxAH4ABP///////////////v////7/////dXEAfgAHAAAAAxKmonh4d0UCHgACAQICAlMCBAIFAgYCBwIIAgkCCgILAgwCDQIIAggCCAIIAggCCAIIAggCCAIIAggCCAIIAggCCAIIAggCFgIDAndzcQB+AAAAAAACc3EAfgAE///////////////+/////v////91cQB+AAcAAAAEMe+1GXh4d0UCHgACAQICAh0CBAIFAgYCBwIIAgkCCgILAgwCDQIIAggCCAIIAggCCAIIAggCCAIIAggCCAIIAggCCAIIAggCFgIDAnhzcQB+AAAAAAACc3EAfgAE///////////////+/////v////91cQB+AAcAAAAEHq4JT3h4d0UCHgACAQICAlMCBAIFAgYCBwIIAgkCIgILAgwCDQIIAggCCAIIAggCCAIIAggCCAIIAggCCAIIAggCCAIIAggCFgIDAnlzcQB+AAAAAAACc3EAfgAE///////////////+/////v////91cQB+AAcAAAADEm9GeHh3RQIeAAIBAgICAwIEAgUCBgIHAggCCQIeAgsCDAINAggCCAIIAggCCAIIAggCCAIIAggCCAIIAggCCAIIAggCCAIWAgMCenNxAH4AAAAAAAJzcQB+AAT///////////////7////+/////3VxAH4ABwAAAAQE4d6ZeHh3RQIeAAIBAgICLwIEAgUCBgIHAggCCQIeAgsCDAINAggCCAIIAggCCAIIAggCCAIIAggCCAIIAggCCAIIAggCCAIWAgMCe3NxAH4AAAAAAAJzcQB+AAT///////////////7////+/////3VxAH4ABwAAAAMy9xF4eHdFAh4AAgECAgJcAgQCBQIGAgcCCAIJAh4CCwIMAg0CCAIIAggCCAIIAggCCAIIAggCCAIIAggCCAIIAggCCAIIAhYCAwJ8c3EAfgAAAAAAAnNxAH4ABP///////////////v////7/////dXEAfgAHAAAABB0QqXR4eHdFAh4AAgECAgIgAgQCBQIGAgcCCAIJAgoCCwIMAg0CCAIIAggCCAIIAggCCAIIAggCCAIIAggCCAIIAggCCAIIAhYCAwJ9c3EAfgAAAAAAAnNxAH4ABP///////////////v////7/////dXEAfgAHAAAABC/+xlx4eHdFAh4AAgECAgIpAgQCBQIGAgcCCAIJAgoCCwIMAg0CCAIIAggCCAIIAggCCAIIAggCCAIIAggCCAIIAggCCAIIAhYCAwJ+c3EAfgAAAAAAAnNxAH4ABP///////////////v////7/////dXEAfgAHAAAABCng5RN4eHeKAh4AAgECAgIgAgQCBQIGAgcCCAIJAiICCwIMAg0CCAIIAggCCAIIAggCCAIIAggCCAIIAggCCAIIAggCCAIIAhYCAwIjAh4AAgECAgIbAgQCBQIGAgcCCAIJAh4CCwIMAg0CCAIIAggCCAIIAggCCAIIAggCCAIIAggCCAIIAggCCAIIAhYCAwJ/c3EAfgAAAAAAAnNxAH4ABP///////////////v////7/////dXEAfgAHAAAABA4LHEp4eHdFAh4AAgECAgJkAgQCBQIGAgcCCAIJAh4CCwIMAg0CCAIIAggCCAIIAggCCAIIAggCCAIIAggCCAIIAggCCAIIAhYCAwKAc3EAfgAAAAAAAnNxAH4ABP///////////////v////7/////dXEAfgAHAAAABALXZ1R4eHdFAh4AAgECAgJnAgQCBQIGAgcCCAIJAh4CCwIMAg0CCAIIAggCCAIIAggCCAIIAggCCAIIAggCCAIIAggCCAIIAhYCAwKBc3EAfgAAAAAAAnNxAH4ABP///////////////v////7/////dXEAfgAHAAAABAJQHul4eHdFAh4AAgECAgJxAgQCBQIGAgcCCAIJAh4CCwIMAg0CCAIIAggCCAIIAggCCAIIAggCCAIIAggCCAIIAggCCAIIAhYCAwKCc3EAfgAAAAAAAnNxAH4ABP///////////////v////4AAAABdXEAfgAHAAAABAGjcLt4eHdFAh4AAgECAgJvAgQCBQIGAgcCCAIJAiICCwIMAg0CCAIIAggCCAIIAggCCAIIAggCCAIIAggCCAIIAggCCAIIAhYCAwKDc3EAfgAAAAAAAnNxAH4ABP///////////////v////7/////dXEAfgAHAAAAAxKat3h4d0UCHgACAQICAkUCBAIFAgYCBwIIAgkCHgILAgwCDQIIAggCCAIIAggCCAIIAggCCAIIAggCCAIIAggCCAIIAggCFgIDAoRzcQB+AAAAAAACc3EAfgAE///////////////+/////v////91cQB+AAcAAAAEEKaLJHh4d0UCHgACAQICAl4CBAIFAgYCBwIIAgkCIgILAgwCDQIIAggCCAIIAggCCAIIAggCCAIIAggCCAIIAggCCAIIAggCFgIDAoVzcQB+AAAAAAACc3EAfgAE///////////////+/////v////91cQB+AAcAAAADEmdreHh3RQIeAAIBAgICbwIEAgUCBgIHAggCCQIKAgsCDAINAggCCAIIAggCCAIIAggCCAIIAggCCAIIAggCCAIIAggCCAIWAgMChnNxAH4AAAAAAAJzcQB+AAT///////////////7////+/////3VxAH4ABwAAAAQukYUreHh3RQIeAAIBAgICNQIEAgUCBgIHAggCCQIKAgsCDAINAggCCAIIAggCCAIIAggCCAIIAggCCAIIAggCCAIIAggCCAIWAgMCh3NxAH4AAAAAAAJzcQB+AAT///////////////7////+/////3VxAH4ABwAAAARDRE3geHh3VAIeAAKIAAkzMzM4MzM1MzYCAgI5AgQCBQIGAgcCCAIJAgoCCwKJAAJXQQINAggCCAIIAggCCAIIAggCCAIIAggCCAIIAggCCAIIAggCCAIdAgMCinNxAH4AAAAAAAJzcQB+AAT///////////////7////+/////3VxAH4ABwAAAARTY5smeHh3RQIeAAKIAgICJQIEAgUCBgIHAggCCQIeAgsCiQINAggCCAIIAggCCAIIAggCCAIIAggCCAIIAggCCAIIAggCCAIdAgMCi3NxAH4AAAAAAAJzcQB+AAT///////////////7////+/////3VxAH4ABwAAAAO8XLJ4eHdFAh4AAogCAgJkAgQCBQIGAgcCCAIJAh4CCwKJAg0CCAIIAggCCAIIAggCCAIIAggCCAIIAggCCAIIAggCCAIIAh0CAwKMc3EAfgAAAAAAAnNxAH4ABP///////////////v////7/////dXEAfgAHAAAABAYhGIV4eHdFAh4AAogCAgJnAgQCBQIGAgcCCAIJAh4CCwKJAg0CCAIIAggCCAIIAggCCAIIAggCCAIIAggCCAIIAggCCAIIAh0CAwKNc3EAfgAAAAAAAnNxAH4ABP///////////////v////7/////dXEAfgAHAAAABATkMA94eHdNAh4AAogCAgIvAgQCBQIGAgcCCAIJAo4ABjE5MTAyNQILAokCDQIIAggCCAIIAggCCAIIAggCCAIIAggCCAIIAggCCAIIAggCHQIDAo9zcQB+AAAAAAACc3EAfgAE///////////////+/////v////91cQB+AAcAAAADB43UeHh3RQIeAAKIAgICJwIEAgUCBgIHAggCCQIeAgsCiQINAggCCAIIAggCCAIIAggCCAIIAggCCAIIAggCCAIIAggCCAIdAgMCkHNxAH4AAAAAAAJzcQB+AAT///////////////7////+/////3VxAH4ABwAAAAREule8eHh3RQIeAAKIAgICNQIEAgUCBgIHAggCCQIKAgsCiQINAggCCAIIAggCCAIIAggCCAIIAggCCAIIAggCCAIIAggCCAIdAgMCkXNxAH4AAAAAAAJzcQB+AAT///////////////7////+/////3VxAH4ABwAAAASC3IjxeHh3igIeAAKIAgICOwIEAgUCBgIHAggCCQKOAgsCiQINAggCCAIIAggCCAIIAggCCAIIAggCCAIIAggCCAIIAggCCAIdAgMCIwIeAAKIAgICKwIEAgUCBgIHAggCCQKOAgsCiQINAggCCAIIAggCCAIIAggCCAIIAggCCAIIAggCCAIIAggCCAIdAgMCknNxAH4AAAAAAAJzcQB+AAT///////////////7////+/////3VxAH4ABwAAAAMFZP94eHdFAh4AAogCAgIyAgQCBQIGAgcCCAIJAo4CCwKJAg0CCAIIAggCCAIIAggCCAIIAggCCAIIAggCCAIIAggCCAIIAh0CAwKTc3EAfgAAAAAAAnNxAH4ABP///////////////v////7/////dXEAfgAHAAAAAwQOrnh4d0UCHgACiAICAlcCBAIFAgYCBwIIAgkCHgILAokCDQIIAggCCAIIAggCCAIIAggCCAIIAggCCAIIAggCCAIIAggCHQIDApRzcQB+AAAAAAACc3EAfgAE///////////////+/////v////91cQB+AAcAAAAETEMOFXh4d0UCHgACiAICAjcCBAIFAgYCBwIIAgkCCgILAokCDQIIAggCCAIIAggCCAIIAggCCAIIAggCCAIIAggCCAIIAggCHQIDApVzcQB+AAAAAAACc3EAfgAE///////////////+/////v////91cQB+AAcAAAAENzj1T3h4d0UCHgACiAICAj0CBAIFAgYCBwIIAgkCHgILAokCDQIIAggCCAIIAggCCAIIAggCCAIIAggCCAIIAggCCAIIAggCHQIDApZzcQB+AAAAAAACc3EAfgAE///////////////+/////v////91cQB+AAcAAAAEBDaJ43h4d0UCHgACiAICAikCBAIFAgYCBwIIAgkCCgILAokCDQIIAggCCAIIAggCCAIIAggCCAIIAggCCAIIAggCCAIIAggCHQIDApdzcQB+AAAAAAACc3EAfgAE///////////////+/////v////91cQB+AAcAAAAEWnDZd3h4d0UCHgACiAICAkgCBAIFAgYCBwIIAgkCHgILAokCDQIIAggCCAIIAggCCAIIAggCCAIIAggCCAIIAggCCAIIAggCHQIDAphzcQB+AAAAAAACc3EAfgAE///////////////+/////v////91cQB+AAcAAAAEA91NIHh4d0UCHgACiAICAlECBAIFAgYCBwIIAgkCHgILAokCDQIIAggCCAIIAggCCAIIAggCCAIIAggCCAIIAggCCAIIAggCHQIDAplzcQB+AAAAAAACc3EAfgAE///////////////+/////v////91cQB+AAcAAAAENEm+I3h4d0UCHgACiAICAicCBAIFAgYCBwIIAgkCCgILAokCDQIIAggCCAIIAggCCAIIAggCCAIIAggCCAIIAggCCAIIAggCHQIDAppzcQB+AAAAAAACc3EAfgAE///////////////+/////v////91cQB+AAcAAAAEMNCqs3h4d0UCHgACiAICAlwCBAIFAgYCBwIIAgkCHgILAokCDQIIAggCCAIIAggCCAIIAggCCAIIAggCCAIIAggCCAIIAggCHQIDAptzcQB+AAAAAAACc3EAfgAE///////////////+/////v////91cQB+AAcAAAAEO4uIvXh4d0UCHgACiAICAhsCBAIFAgYCBwIIAgkCjgILAokCDQIIAggCCAIIAggCCAIIAggCCAIIAggCCAIIAggCCAIIAggCHQIDApxzcQB+AAAAAAACc3EAfgAE///////////////+/////v////91cQB+AAcAAAADBPtoeHh3RQIeAAKIAgICJQIEAgUCBgIHAggCCQIKAgsCiQINAggCCAIIAggCCAIIAggCCAIIAggCCAIIAggCCAIIAggCCAIdAgMCnXNxAH4AAAAAAAJzcQB+AAT///////////////7////+/////3VxAH4ABwAAAARijcsWeHh3RQIeAAKIAgICHQIEAgUCBgIHAggCCQIKAgsCiQINAggCCAIIAggCCAIIAggCCAIIAggCCAIIAggCCAIIAggCCAIdAgMCnnNxAH4AAAAAAAJzcQB+AAT///////////////7////+/////3VxAH4ABwAAAAQ9+1bieHh3RQIeAAKIAgICbwIEAgUCBgIHAggCCQIeAgsCiQINAggCCAIIAggCCAIIAggCCAIIAggCCAIIAggCCAIIAggCCAIdAgMCn3NxAH4AAAAAAAJzcQB+AAT///////////////7////+/////3VxAH4ABwAAAAQCCvb0eHh3RQIeAAKIAgICXgIEAgUCBgIHAggCCQIeAgsCiQINAggCCAIIAggCCAIIAggCCAIIAggCCAIIAggCCAIIAggCCAIdAgMCoHNxAH4AAAAAAAJzcQB+AAT///////////////7////+/////3VxAH4ABwAAAAQDq4uteHh3RQIeAAKIAgICGwIEAgUCBgIHAggCCQIeAgsCiQINAggCCAIIAggCCAIIAggCCAIIAggCCAIIAggCCAIIAggCCAIdAgMCoXNxAH4AAAAAAAJzcQB+AAT///////////////7////+/////3VxAH4ABwAAAAQbRzHTeHh3RQIeAAKIAgICNwIEAgUCBgIHAggCCQKOAgsCiQINAggCCAIIAggCCAIIAggCCAIIAggCCAIIAggCCAIIAggCCAIdAgMConNxAH4AAAAAAAJzcQB+AAT///////////////7////+/////3VxAH4ABwAAAAMSFct4eHdFAh4AAogCAgI7AgQCBQIGAgcCCAIJAgoCCwKJAg0CCAIIAggCCAIIAggCCAIIAggCCAIIAggCCAIIAggCCAIIAh0CAwKjc3EAfgAAAAAAAnNxAH4ABP///////////////v////7/////dXEAfgAHAAAABE8qcfl4eHdFAh4AAogCAgIyAgQCBQIGAgcCCAIJAgoCCwKJAg0CCAIIAggCCAIIAggCCAIIAggCCAIIAggCCAIIAggCCAIIAh0CAwKkc3EAfgAAAAAAAnNxAH4ABP///////////////v////7/////dXEAfgAHAAAABHEGWUl4eHdFAh4AAogCAgIrAgQCBQIGAgcCCAIJAgoCCwKJAg0CCAIIAggCCAIIAggCCAIIAggCCAIIAggCCAIIAggCCAIIAh0CAwKlc3EAfgAAAAAAAnNxAH4ABP///////////////v////7/////dXEAfgAHAAAABD0VO3Z4eHdFAh4AAogCAgJRAgQCBQIGAgcCCAIJAgoCCwKJAg0CCAIIAggCCAIIAggCCAIIAggCCAIIAggCCAIIAggCCAIIAh0CAwKmc3EAfgAAAAAAAnNxAH4ABP///////////////v////7/////dXEAfgAHAAAABEI0vHx4eHdFAh4AAogCAgJXAgQCBQIGAgcCCAIJAgoCCwKJAg0CCAIIAggCCAIIAggCCAIIAggCCAIIAggCCAIIAggCCAIIAh0CAwKnc3EAfgAAAAAAAnNxAH4ABP///////////////v////7/////dXEAfgAHAAAABBJUFap4eHdFAh4AAogCAgI5AgQCBQIGAgcCCAIJAo4CCwKJAg0CCAIIAggCCAIIAggCCAIIAggCCAIIAggCCAIIAggCCAIIAh0CAwKoc3EAfgAAAAAAAnNxAH4ABP///////////////v////7/////dXEAfgAHAAAAAwSrl3h4d0UCHgACiAICAlMCBAIFAgYCBwIIAgkCCgILAokCDQIIAggCCAIIAggCCAIIAggCCAIIAggCCAIIAggCCAIIAggCHQIDAqlzcQB+AAAAAAACc3EAfgAE///////////////+/////v////91cQB+AAcAAAAEXVdQyXh4d0UCHgACiAICAikCBAIFAgYCBwIIAgkCHgILAokCDQIIAggCCAIIAggCCAIIAggCCAIIAggCCAIIAggCCAIIAggCHQIDAqpzcQB+AAAAAAACc3EAfgAE///////////////+/////v////91cQB+AAcAAAAECfBqRnh4d0UCHgACiAICAjUCBAIFAgYCBwIIAgkCHgILAokCDQIIAggCCAIIAggCCAIIAggCCAIIAggCCAIIAggCCAIIAggCHQIDAqtzcQB+AAAAAAACc3EAfgAE///////////////+/////gAAAAF1cQB+AAcAAAAECQ0V/Xh4d0UCHgACiAICAiUCBAIFAgYCBwIIAgkCjgILAokCDQIIAggCCAIIAggCCAIIAggCCAIIAggCCAIIAggCCAIIAggCHQIDAqxzcQB+AAAAAAACc3EAfgAE///////////////+/////v////91cQB+AAcAAAADBT+veHh3igIeAAKIAgICJwIEAgUCBgIHAggCCQKOAgsCiQINAggCCAIIAggCCAIIAggCCAIIAggCCAIIAggCCAIIAggCCAIdAgMCIwIeAAKIAgICQAIEAgUCBgIHAggCCQKOAgsCiQINAggCCAIIAggCCAIIAggCCAIIAggCCAIIAggCCAIIAggCCAIdAgMCrXNxAH4AAAAAAAJzcQB+AAT///////////////7////+/////3VxAH4ABwAAAAMEJQl4eHdFAh4AAogCAgJCAgQCBQIGAgcCCAIJAo4CCwKJAg0CCAIIAggCCAIIAggCCAIIAggCCAIIAggCCAIIAggCCAIIAh0CAwKuc3EAfgAAAAAAAnNxAH4ABP///////////////v////7/////dXEAfgAHAAAAAwmef3h4d4oCHgACiAICAkUCBAIFAgYCBwIIAgkCjgILAokCDQIIAggCCAIIAggCCAIIAggCCAIIAggCCAIIAggCCAIIAggCHQIDAiMCHgACiAICAh0CBAIFAgYCBwIIAgkCHgILAokCDQIIAggCCAIIAggCCAIIAggCCAIIAggCCAIIAggCCAIIAggCHQIDAq9zcQB+AAAAAAACc3EAfgAE///////////////+/////v////91cQB+AAcAAAAEBeiObnh4d0UCHgACiAICAkgCBAIFAgYCBwIIAgkCCgILAokCDQIIAggCCAIIAggCCAIIAggCCAIIAggCCAIIAggCCAIIAggCHQIDArBzcQB+AAAAAAACc3EAfgAE///////////////+/////v////91cQB+AAcAAAAEWAsHLHh4d0UCHgACiAICAj0CBAIFAgYCBwIIAgkCCgILAokCDQIIAggCCAIIAggCCAIIAggCCAIIAggCCAIIAggCCAIIAggCHQIDArFzcQB+AAAAAAACc3EAfgAE///////////////+/////v////91cQB+AAcAAAAETCsLgHh4d0UCHgACiAICAmQCBAIFAgYCBwIIAgkCjgILAokCDQIIAggCCAIIAggCCAIIAggCCAIIAggCCAIIAggCCAIIAggCHQIDArJzcQB+AAAAAAACc3EAfgAE///////////////+/////v////91cQB+AAcAAAADBFYreHh3RQIeAAKIAgICRQIEAgUCBgIHAggCCQIeAgsCiQINAggCCAIIAggCCAIIAggCCAIIAggCCAIIAggCCAIIAggCCAIdAgMCs3NxAH4AAAAAAAJzcQB+AAT///////////////7////+/////3VxAH4ABwAAAAQmcaNXeHh3RQIeAAKIAgICMgIEAgUCBgIHAggCCQIeAgsCiQINAggCCAIIAggCCAIIAggCCAIIAggCCAIIAggCCAIIAggCCAIdAgMCtHNxAH4AAAAAAAJzcQB+AAT///////////////7////+AAAAAXVxAH4ABwAAAAQCjrCgeHh3RQIeAAKIAgICZwIEAgUCBgIHAggCCQKOAgsCiQINAggCCAIIAggCCAIIAggCCAIIAggCCAIIAggCCAIIAggCCAIdAgMCtXNxAH4AAAAAAAJzcQB+AAT///////////////7////+/////3VxAH4ABwAAAAMMxv54eHdFAh4AAogCAgJXAgQCBQIGAgcCCAIJAo4CCwKJAg0CCAIIAggCCAIIAggCCAIIAggCCAIIAggCCAIIAggCCAIIAh0CAwK2c3EAfgAAAAAAAnNxAH4ABP///////////////v////7/////dXEAfgAHAAAAAwZoK3h4d4oCHgACiAICAlECBAIFAgYCBwIIAgkCjgILAokCDQIIAggCCAIIAggCCAIIAggCCAIIAggCCAIIAggCCAIIAggCHQIDAiMCHgACiAICAm8CBAIFAgYCBwIIAgkCCgILAokCDQIIAggCCAIIAggCCAIIAggCCAIIAggCCAIIAggCCAIIAggCHQIDArdzcQB+AAAAAAACc3EAfgAE///////////////+/////v////91cQB+AAcAAAAEXtRi+Hh4d0UCHgACiAICAlMCBAIFAgYCBwIIAgkCHgILAokCDQIIAggCCAIIAggCCAIIAggCCAIIAggCCAIIAggCCAIIAggCHQIDArhzcQB+AAAAAAACc3EAfgAE///////////////+/////v////91cQB+AAcAAAAEAr0/pHh4d0UCHgACiAICAl4CBAIFAgYCBwIIAgkCCgILAokCDQIIAggCCAIIAggCCAIIAggCCAIIAggCCAIIAggCCAIIAggCHQIDArlzcQB+AAAAAAACc3EAfgAE///////////////+/////v////91cQB+AAcAAAAEVIhLm3h4d0UCHgACiAICAisCBAIFAgYCBwIIAgkCHgILAokCDQIIAggCCAIIAggCCAIIAggCCAIIAggCCAIIAggCCAIIAggCHQIDArpzcQB+AAAAAAACc3EAfgAE///////////////+/////v////91cQB+AAcAAAAEKOmGtnh4d0UCHgACiAICAj0CBAIFAgYCBwIIAgkCjgILAokCDQIIAggCCAIIAggCCAIIAggCCAIIAggCCAIIAggCCAIIAggCHQIDArtzcQB+AAAAAAACc3EAfgAE///////////////+/////v////91cQB+AAcAAAADC4KteHh3RQIeAAKIAgICXAIEAgUCBgIHAggCCQKOAgsCiQINAggCCAIIAggCCAIIAggCCAIIAggCCAIIAggCCAIIAggCCAIdAgMCvHNxAH4AAAAAAAJzcQB+AAT///////////////7////+/////3VxAH4ABwAAAAMG3JN4eHdFAh4AAogCAgIvAgQCBQIGAgcCCAIJAh4CCwKJAg0CCAIIAggCCAIIAggCCAIIAggCCAIIAggCCAIIAggCCAIIAh0CAwK9c3EAfgAAAAAAAnNxAH4ABP///////////////v////7/////dXEAfgAHAAAABAIbp254eHdFAh4AAogCAgJAAgQCBQIGAgcCCAIJAgoCCwKJAg0CCAIIAggCCAIIAggCCAIIAggCCAIIAggCCAIIAggCCAIIAh0CAwK+c3EAfgAAAAAAAnNxAH4ABP///////////////v////7/////dXEAfgAHAAAABGUxQat4eHdFAh4AAogCAgI7AgQCBQIGAgcCCAIJAh4CCwKJAg0CCAIIAggCCAIIAggCCAIIAggCCAIIAggCCAIIAggCCAIIAh0CAwK/c3EAfgAAAAAAAnNxAH4ABP///////////////v////7/////dXEAfgAHAAAABBli52V4eHdFAh4AAogCAgJIAgQCBQIGAgcCCAIJAo4CCwKJAg0CCAIIAggCCAIIAggCCAIIAggCCAIIAggCCAIIAggCCAIIAh0CAwLAc3EAfgAAAAAAAnNxAH4ABP///////////////v////7/////dXEAfgAHAAAAAwRDenh4d0UCHgACiAICAkICBAIFAgYCBwIIAgkCCgILAokCDQIIAggCCAIIAggCCAIIAggCCAIIAggCCAIIAggCCAIIAggCHQIDAsFzcQB+AAAAAAACc3EAfgAE///////////////+/////v////91cQB+AAcAAAAEWi+1rXh4d0UCHgACiAICAmQCBAIFAgYCBwIIAgkCCgILAokCDQIIAggCCAIIAggCCAIIAggCCAIIAggCCAIIAggCCAIIAggCHQIDAsJzcQB+AAAAAAACc3EAfgAE///////////////+/////v////91cQB+AAcAAAAEWf3l8nh4d0UCHgACiAICAl4CBAIFAgYCBwIIAgkCjgILAokCDQIIAggCCAIIAggCCAIIAggCCAIIAggCCAIIAggCCAIIAggCHQIDAsNzcQB+AAAAAAACc3EAfgAE///////////////+/////v////91cQB+AAcAAAADCoBUeHh3RQIeAAKIAgICRQIEAgUCBgIHAggCCQIKAgsCiQINAggCCAIIAggCCAIIAggCCAIIAggCCAIIAggCCAIIAggCCAIdAgMCxHNxAH4AAAAAAAJzcQB+AAT///////////////7////+/////3VxAH4ABwAAAARO7ujaeHh3RQIeAAKIAgICNwIEAgUCBgIHAggCCQIeAgsCiQINAggCCAIIAggCCAIIAggCCAIIAggCCAIIAggCCAIIAggCCAIdAgMCxXNxAH4AAAAAAAJzcQB+AAT///////////////7////+/////3VxAH4ABwAAAAQIJf+xeHh3RQIeAAKIAgICbwIEAgUCBgIHAggCCQKOAgsCiQINAggCCAIIAggCCAIIAggCCAIIAggCCAIIAggCCAIIAggCCAIdAgMCxnNxAH4AAAAAAAJzcQB+AAT///////////////7////+/////3VxAH4ABwAAAAMENDh4eHdFAh4AAogCAgI1AgQCBQIGAgcCCAIJAo4CCwKJAg0CCAIIAggCCAIIAggCCAIIAggCCAIIAggCCAIIAggCCAIIAh0CAwLHc3EAfgAAAAAAAnNxAH4ABP///////////////v////7/////dXEAfgAHAAAAAwPcq3h4d0UCHgACiAICAmcCBAIFAgYCBwIIAgkCCgILAokCDQIIAggCCAIIAggCCAIIAggCCAIIAggCCAIIAggCCAIIAggCHQIDAshzcQB+AAAAAAACc3EAfgAE///////////////+/////v////91cQB+AAcAAAAESHB4r3h4d0UCHgACiAICAh0CBAIFAgYCBwIIAgkCjgILAokCDQIIAggCCAIIAggCCAIIAggCCAIIAggCCAIIAggCCAIIAggCHQIDAslzcQB+AAAAAAACc3EAfgAE///////////////+/////v////91cQB+AAcAAAADDoPdeHh3RQIeAAKIAgICKQIEAgUCBgIHAggCCQKOAgsCiQINAggCCAIIAggCCAIIAggCCAIIAggCCAIIAggCCAIIAggCCAIdAgMCynNxAH4AAAAAAAJzcQB+AAT///////////////7////+/////3VxAH4ABwAAAAMEdI14eHdFAh4AAogCAgIbAgQCBQIGAgcCCAIJAgoCCwKJAg0CCAIIAggCCAIIAggCCAIIAggCCAIIAggCCAIIAggCCAIIAh0CAwLLc3EAfgAAAAAAAnNxAH4ABP///////////////v////7/////dXEAfgAHAAAABEmLU8l4eHdFAh4AAogCAgJCAgQCBQIGAgcCCAIJAh4CCwKJAg0CCAIIAggCCAIIAggCCAIIAggCCAIIAggCCAIIAggCCAIIAh0CAwLMc3EAfgAAAAAAAnNxAH4ABP///////////////v////7/////dXEAfgAHAAAABAM2kpl4eHdFAh4AAogCAgJAAgQCBQIGAgcCCAIJAh4CCwKJAg0CCAIIAggCCAIIAggCCAIIAggCCAIIAggCCAIIAggCCAIIAh0CAwLNc3EAfgAAAAAAAnNxAH4ABP///////////////v////7/////dXEAfgAHAAAAAzKU1nh4d0UCHgACiAICAlMCBAIFAgYCBwIIAgkCjgILAokCDQIIAggCCAIIAggCCAIIAggCCAIIAggCCAIIAggCCAIIAggCHQIDAs5zcQB+AAAAAAACc3EAfgAE///////////////+/////v////91cQB+AAcAAAADCLaceHh3RQIeAAKIAgICOQIEAgUCBgIHAggCCQIeAgsCiQINAggCCAIIAggCCAIIAggCCAIIAggCCAIIAggCCAIIAggCCAIdAgMCz3NxAH4AAAAAAAJzcQB+AAT///////////////7////+/////3VxAH4ABwAAAAQQ/fIjeHh3RQIeAAKIAgICXAIEAgUCBgIHAggCCQIKAgsCiQINAggCCAIIAggCCAIIAggCCAIIAggCCAIIAggCCAIIAggCCAIdAgMC0HNxAH4AAAAAAAJzcQB+AAT///////////////7////+/////3VxAH4ABwAAAAQoo9pZeHh3RQIeAAKIAgICLwIEAgUCBgIHAggCCQIKAgsCiQINAggCCAIIAggCCAIIAggCCAIIAggCCAIIAggCCAIIAggCCAIdAgMC0XNxAH4AAAAAAAJzcQB+AAT///////////////7////+/////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AAAAAAACc3EAfgAE///////////////+/////v////91cQB+AAcAAAAEDlPJjHh4d5ICHgAC0gICAlMCBAIFAgYCBwIIAgkCHgILAokCDQIIAggCCAIIAggCCAIIAggCCAIIAggCCAIIAggCCAIIAggCEgIDArgCHgAC0gICAtUABjIwMTgwOAIEAgUCBgIHAggCCQIKAgsCiQINAggCCAIIAggCCAIIAggCCAIIAggCCAIIAggCCAIIAggCCAISAgMC1nNxAH4AAAAAAAJzcQB+AAT///////////////7////+/////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v////7/////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v////4AAAABdXEAfgAHAAAABAIIPL14eHdNAh4AAtICAgLaAAYyMDE4MTECBAIFAgYCBwIIAgkCHgILAokCDQIIAggCCAIIAggCCAIIAggCCAIIAggCCAIIAggCCAIIAggCEgIDAttzcQB+AAAAAAAAcQB+ABN4d4oCHgAC0gICAlcCBAIFAgYCBwIIAgkCHgILAokCDQIIAggCCAIIAggCCAIIAggCCAIIAggCCAIIAggCCAIIAggCEgIDApQCHgAC0gICAiACBAIFAgYCBwIIAgkCCgILAokCDQIIAggCCAIIAggCCAIIAggCCAIIAggCCAIIAggCCAIIAggCEgIDAtxzcQB+AAAAAAACc3EAfgAE///////////////+/////v////91cQB+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AAAAAAACc3EAfgAE///////////////+/////gAAAAF1cQB+AAcAAAADCUlQeHh3igIeAALSAgICOQIEAgUCBgIHAggCCQIKAgsCiQINAggCCAIIAggCCAIIAggCCAIIAggCCAIIAggCCAIIAggCCAISAgMCigIeAALSAgICcQIEAgUCBgIHAggCCQIeAgsCiQINAggCCAIIAggCCAIIAggCCAIIAggCCAIIAggCCAIIAggCCAISAgMC3nNxAH4AAAAAAAJzcQB+AAT///////////////7////+/////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AAT///////////////7////+/////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Ah4AAtICAgJIAgQCBQIGAgcCCAIJAo4CCwKJAg0CCAIIAggCCAIIAggCCAIIAggCCAIIAggCCAIIAggCCAIIAhICAwLAAh4AAtICAgLTAgQCBQIGAgcCCAIJAgoCCwKJAg0CCAIIAggCCAIIAggCCAIIAggCCAIIAggCCAIIAggCCAIIAhICAwLgc3EAfgAAAAAAAnNxAH4ABP///////////////v////7/////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AAT///////////////7////+/////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AAT///////////////7////+/////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AAT///////////////7////+/////3VxAH4ABwAAAAQHGT+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Ah4AAuUCAgJCAgQCBQIGAgcCCAIJAgoCCwKJAg0CCAIIAggCCAIIAggCCAIIAggCCAIIAggCCAIIAggCCAIIAhsCAwLBAh4AAuUCAgI7AgQCBQIGAgcCCAIJAh4CCwKJAg0CCAIIAggCCAIIAggCCAIIAggCCAIIAggCCAIIAggCCAIIAhsCAwK/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Ah4AAucCAgIpAgQCBQIGAgcCCAIJAgoCCwIMAg0CCAIIAggCCAIIAggCCAIIAggCCAIIAggCCAIIAggCCAIIAiACAwJ+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AAT///////////////7////+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AAT///////////////7////+/////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v////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Ah4AAukCAgIpAgQCBQIGAgcCCAIJAgoCCwIMAg0CCAIIAggCCAIIAggCCAIIAggCCAIIAggCCAIIAggCCAIIAhQCAwJ+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v////7/////dXEAfgAHAAAABDWm++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Ah4AAvACAgInAgQCBQIGAgcCCAIJAh4CCwKJAg0CCAIIAggCCAIIAggCCAIIAggCCAIIAggCCAIIAggCCAIIAhcCAwKQAh4AAvACAgJAAgQCBQIGAgcCCAIJAgoCCwKJAg0CCAIIAggCCAIIAggCCAIIAggCCAIIAggCCAIIAggCCAIIAhcCAwK+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v////7/////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Ah4AAvgCAgIpAgQCBQIGAgcCCAIJAgoCCwIMAg0CCAIIAggCCAIIegAABAACCAIIAggCCAIIAggCCAIIAggCCAIIAggCGAIDAn4CHgAC+AICAiUCBAIFAgYCBwIIAgkCCgILAgwCDQIIAggCCAIIAggCCAIIAggCCAIIAggCCAIIAggCCAIIAggCGAIDAkQCHgAC+AICAicCBAIFAgYCBwIIAgkCCgILAgwCDQIIAggCCAIIAggCCAIIAggCCAIIAggCCAIIAggCCAIIAggCGAIDAj8CHgAC+AICAikCBAIFAgYCBwIIAgkCIgILAgwCDQIIAggCCAIIAggCCAIIAggCCAIIAggCCAIIAggCCAIIAggCGAIDAnQCHgAC+AICAh0CBAIFAgYCBwIIAgkCCgILAgwCDQIIAggCCAIIAggCCAIIAggCCAIIAggCCAIIAggCCAIIAggCGAIDAngCHgAC+AICAjUCBAIFAgYCBwIIAgkCIgILAgwCDQIIAggCCAIIAggCCAIIAggCCAIIAggCCAIIAggCCAIIAggCGAIDAnYCHgAC+AICAjcCBAIFAgYCBwIIAgkCIgILAgwCDQIIAggCCAIIAggCCAIIAggCCAIIAggCCAIIAggCCAIIAggCGAIDAkwCHgAC+AICAlwCBAIFAgYCBwIIAgkCHgILAgwCDQIIAggCCAIIAggCCAIIAggCCAIIAggCCAIIAggCCAIIAggCGAIDAnwCHgAC+AICAiACBAIFAgYCBwIIAgkCIgILAgwCDQIIAggCCAIIAggCCAIIAggCCAIIAggCCAIIAggCCAIIAggCGAIDAiMCHgAC+AICAiACBAIFAgYCBwIIAgkCCgILAgwCDQIIAggCCAIIAggCCAIIAggCCAIIAggCCAIIAggCCAIIAggCGAIDAn0CHgAC+AICAkgCBAIFAgYCBwIIAgkCHgILAgwCDQIIAggCCAIIAggCCAIIAggCCAIIAggCCAIIAggCCAIIAggCGAIDAkkCHgAC+AICAjkCBAIFAgYCBwIIAgkCCgILAgwCDQIIAggCCAIIAggCCAIIAggCCAIIAggCCAIIAggCCAIIAggCGAIDAkoCHgAC+AICAi0CBAIFAgYCBwIIAgkCCgILAgwCDQIIAggCCAIIAggCCAIIAggCCAIIAggCCAIIAggCCAIIAggCGAIDAlkCHgAC+AICAjcCBAIFAgYCBwIIAgkCCgILAgwCDQIIAggCCAIIAggCCAIIAggCCAIIAggCCAIIAggCCAIIAggCGAIDAk4CHgAC+AICAmcCBAIFAgYCBwIIAgkCHgILAgwCDQIIAggCCAIIAggCCAIIAggCCAIIAggCCAIIAggCCAIIAggCGAIDAoECHgAC+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AICAjICBAIFAgYCBwIIAgkCCgILAgwCDQIIAggCCAIIAggCCAIIAggCCAIIAggCCAIIAggCCAIIAggCGAIDAnMCHgAC+AICAkACBAIFAgYCBwIIAgkCIgILAgwCDQIIAggCCAIIAggCCAIIAggCCAIIAggCCAIIAggCCAIIAggCGAIDAkECHgAC+AICAi8CBAIFAgYCBwIIAgkCHgILAgwCDQIIAggCCAIIAggCCAIIAggCCAIIAggCCAIIAggCCAIIAggCGAIDAnsCHgAC+AICAkACBAIFAgYCBwIIAgkCCgILAgwCDQIIAggCCAIIAggCCAIIAggCCAIIAggCCAIIAggCCAIIAggCGAIDAkcCHgAC+AICAgMCBAIFAgYCBwIIAgkCHgILAgwCDQIIAggCCAIIAggCCAIIAggCCAIIAggCCAIIAggCCAIIAggCGAIDAnoCHgAC+AICAkUCBAIFAgYCBwIIAgkCCgILAgwCDQIIAggCCAIIAggCCAIIAggCCAIIAggCCAIIAggCCAIIAggCGAIDAkYCHgAC+AICAhsCBAIFAgYCBwIIAgkCHgILAgwCDQIIAggCCAIIAggCCAIIAggCCAIIAggCCAIIAggCCAIIAggCGAIDAn8CHgAC+AICAm8CBAIFAgYCBwIIAgkCIgILAgwCDQIIAggCCAIIAggCCAIIAggCCAIIAggCCAIIAggCCAIIAggCGAIDAoMCHgAC+AICAl4CBAIFAgYCBwIIAgkCIgILAgwCDQIIAggCCAIIAggCCAIIAggCCAIIAggCCAIIAggCCAIIAggCGAIDAoUCHgAC+AICAkUCBAIFAgYCBwIIAgkCIgILAgwCDQIIAggCCAIIAggCCAIIAggCCAIIAggCCAIIAggCCAIIAggCGAIDAiMCHgAC+AICAkUCBAIFAgYCBwIIAgkCHgILAgwCDQIIAggCCAIIAggCCAIIAggCCAIIAggCCAIIAggCCAIIAggCGAIDAoQCHgAC+AICAkICBAIFAgYCBwIIAgkCCgILAgwCDQIIAggCCAIIAggCCAIIAggCCAIIAggCCAIIAggCCAIIAggCGAIDAk0CHgAC+AICAm8CBAIFAgYCBwIIAgkCCgILAgwCDQIIAggCCAIIAggCCAIIAggCCAIIAggCCAIIAggCCAIIAggCGAIDAoYCHgAC+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QICAnECBAIFAgYCBwIIAgkCHgILAokCDQIIAggCCAIIAggCCAIIAggCCAIIAggCCAIIAggCCAIIAggCBAIDAt4CHgAC+QICAm8CBAIFAgYCBwIIAgkCHgILAokCDQIIAggCCAIIAggCCAIIAggCCAIIAggCCAIIAggCCAIIAggCBAIDAp8CHgAC+QICAjkCBAIFAgYCBwIIAgkCHgILAokCDQIIAggCCAIIAggCCAIIAggCCAIIAggCCAIIAggCCAIIAggCBAIDAs8CHgAC+QICAjICBAIFAgYCBwIIAgkCHgILAokCDQIIAggCCAIIAggCCAIIAggCCAIIAggCCAIIAggCCAIIAggCBAIDArQCHgAC+QICAisCBAIFAgYCBwIIAgkCHgILAokCDQIIAggCCAIIAggCCAIIAggCCAIIAggCCAIIAggCCAIIAggCBAIDAroCHgAC+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gICAmQCBAIFAgYCBwIIAgkCHgILAokCDQIIAggCCAIIAggCCAIIAggCCAIIAggCCAIIAggCCAIIAggCFQIDAowCHgAC+gICAi0CBAIFAgYCBwIIAgkCCgILAokCDQIIAggCCAIIAggCCAIIAggCCAIIAggCCAIIAggCCAIIAggCFQIDAuICHgAC+gICAi8CBAIFAgYCBwIIAgkCjgILAokCDQIIAggCCAIIAggCCAIIAggCCAIIAggCCAIIAggCCAIIAggCFQIDAo8CHgAC+gICAiUCBAIFAgYCBwIIAgkCHgILAokCDQIIAggCCAIIAggCCAIIAggCCAIIAggCCAIIAggCCAIIAggCFQIDAosCHgAC+gICAicCBAIFAgYCBwIIAgkCHgILAokCDQIIAggCCAIIAggCCAIIAggCCAIIAggCCAIIAggCCAIIAggCFQIDApACHgAC+gICAikCBAIFAgYCBwIIAgkCCgILAokCDQIIAggCCAIIAggCCAIIAggCCAIIAggCCAIIAggCCAIIAggCFQIDApcCHgAC+gICAkUCBAIFAgYCBwIIAgkCjgILAokCDQIIAggCCAIIAggCCAIIAggCCAIIAggCCAIIAggCCAIIAggCFQIDAiMCHgAC+gICAh0CBAIFAgYCBwIIAgkCCgILAokCDQIIAggCCAIIAggCCAIIAggCCAIIAggCCAIIAggCCAIIAggCFQIDAp4CHgAC+gICAgMCBAIFAgYCBwIIAgkCjgILAokCDQIIAggCCAIIAggCCAIIAggCCAIIAggCCAIIAggCCAIIAggCFQIDAiMCHgAC+gICAicCBAIFAgYCBwIIAgkCCgILAokCDQIIAggCCAIIAggCCAIIAggCCAIIAggCCAIIAggCCAIIAggCFQIDApoCHgAC+gICAj0CBAIFAgYCBwIIAgkCHgILAokCDQIIAggCCAIIAggCCAIIAggCCAIIAggCCAIIAggCCAIIAggCFQIDApYCHgAC+gICAiACBAIFAgYCBwIIAgkCCgILAokCDQIIAggCCAIIAggCCAIIAggCCAIIAggCCAIIAggCCAIIAggCFQIDAtwCHgAC+gICAjUCBAIFAgYCBwIIAgkCHgILAokCDQIIAggCCAIIAggCCAIIAggCCAIIAggCCAIIAggCCAIIAggCFQIDAqsCHgAC+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gICAlcCBAIFAgYCBwIIAgkCjgILAokCDQIIAggCCAIIAggCCAIIAggCCAIIAggCCAIIAggCCAIIAggCFQIDArYCHgAC+gICAj0CBAIFAgYCBwIIAgkCjgILAokCDQIIAggCCAIIAggCCAIIAggCCAIIAggCCAIIAggCCAIIAggCFQIDArsCHgAC+gICAkgCBAIFAgYCBwIIAgkCjgILAokCDQIIAggCCAIIAggCCAIIAggCCAIIAggCCAIIAggCCAIIAggCFQIDAsACHgAC+gICAjsCBAIFAgYCBwIIAgkCHgILAokCDQIIAggCCAIIAggCCAIIAggCCAIIAggCCAIIAggCCAIIAggCFQIDAr8CHgAC+gICAi8CBAIFAgYCBwIIAgkCHgILAokCDQIIAggCCAIIAggCCAIIAggCCAIIAggCCAIIAggCCAIIAggCFQIDAr0CHgAC+gICAkICBAIFAgYCBwIIAgkCCgILAokCDQIIAggCCAIIAggCCAIIAggCCAIIAggCCAIIAggCCAIIAggCFQIDAsECHgAC+gICAjICBAIFAgYCBwIIAgkCCgILAokCDQIIAggCCAIIAggCCAIIAggCCAIIAggCCAIIAggCCAIIAggCFQIDAqQCHgAC+gICAlMCBAIFAgYCBwIIAgkCCgILAokCDQIIAggCCAIIAggCCAIIAggCCAIIAggCCAIIAggCCAIIAggCFQIDAqkCHgAC+gICAicCBAIFAgYCBwIIAgkCjgILAokCDQIIAggCCAIIAggCCAIIAggCCAIIAggCCAIIAggCCAIIAggCFQIDAiMCHgAC+gICAkUCBAIFAgYCBwIIAgkCCgILAokCDQIIAggCCAIIAggCCAIIAggCCAIIAggCCAIIAggCCAIIAggCFQIDAsQCHgAC+gICAhsCBAIFAgYCBwIIAgkCHgILAokCDQIIAggCCAIIAggCCAIIAggCCAIIAggCCAIIAggCCAIIAggCFQIDAqECHgAC+gICAiUCBAIFAgYCBwIIAgkCjgILAokCDQIIAggCCAIIAggCCAIIAggCCAIIAggCCAIIAggCCAIIAggCFQIDAqwCHgAC+gICAl4CBAIFAgYCBwIIAgkCjgILAokCDQIIAggCCAIIAggCCAIIAggCCAIIAggCCAIIAggCCAIIAggCFQIDAsMCHgAC+gICAh0CBAIFAgYCBwIIAgkCjgILAokCDQIIAggCCAIIAggCCAIIAggCCAIIAggCCAIIAggCCAIIAggCFQIDAskCHgAC+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wICAisCBAIFAgYCBwIIAgkCHgILAgwCDQIIAggCCAIIAggCCAIIAggCCAIIAggCCAIIAggCCAIIAggCGgIDAlACHgAC+wICAkICBAIFAgYCBwIIAgkCCgILAgwCDQIIAggCCAIIAggCCAIIAggCCAIIAggCCAIIAggCCAIIAggCGgIDAk0CHgAC+wICAjsCBAIFAgYCBwIIAgkCHgILAgwCDQIIAggCCAIIAggCCAIIAggCCAIIAggCCAIIAggCCAIIAggCGgIDAlUCHgAC+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wICAlECBAIFAgYCBwIIAgkCHgILAgwCDQIIAggCCAIIAggCCAIIAggCCAIIAggCCAIIAggCCAIIAggCGgIDAlICHgAC+wICAj0CBAIFAgYCBwIIAgkCHgILAgwCDQIIAggCCAIIAggCCAIIAggCCAIIAggCCAIIAggCCAIIAggCGgIDAj4CHgAC+wICAkgCBAIFAgYCBwIIAgkCHgILAgwCDQIIAggCCAIIAggCCAIIAggCCAIIAggCCAIIAggCCAIIAggCGgIDAkkCHgAC+wICAh0CBAIFAgYCBwIIAgkCCgILAgwCDQIIAggCCAIIAggCCAIIAggCCAIIAggCCAIIAggCCAIIAggCGgIDAngCHgAC+wICAikCBAIFAgYCBwIIAgkCIgILAgwCDQIIAggCCAIIAggCCAIIAggCCAIIAggCCAIIAggCCAIIAggCGgIDAnQCHgAC+wICAhsCBAIFAgYCBwIIAgkCIgILAgwCDQIIAggCCAIIAggCCAIIAggCCAIIAggCCAIIAggCCAIIAggCGgIDAiQCHgAC+wICAikCBAIFAgYCBwIIAgkCCgILAgwCDQIIAggCCAIIAggCCAIIAggCCAIIAggCCAIIAggCCAIIAggCGgIDAn4CHgAC+wICAiUCBAIFAgYCBwIIAgkCHgILAgwCDQIIAggCCAIIAggCCAIIAggCCAIIAggCCAIIAggCCAIIAggCGgIDAiYCHgAC+wICAicCBAIFAgYCBwIIAgkCCgILAgwCDQIIAggCCAIIAggCCAIIAggCCAIIAggCCAIIAggCCAIIAggCGgIDAj8CHgAC+wICAlwCBAIFAgYCBwIIAgkCHgILAgwCDQIIAggCCAIIAggCCAIIAggCCAIIAggCCAIIAggCCAIIAggCGgIDAnwCHgAC+wICAgMCBAIFAgYCBwIIAgkCIgILAgwCDQIIAggCCAIIAggCCAIIAggCCAIIAggCCAIIAggCCAIIAggCGgIDAiMCHgAC+wICAicCBAIFAgYCBwIIAgkCHgILAgwCDQIIAggCCAIIAggCCAIIAggCCAIIAggCCAIIAggCCAIIAggCGgIDAigCHgAC+wICAiUCBAIFAgYCBwIIAgkCCgILAgwCDQIIAggCCAIIAggCCAIIAggCCAIIAggCCAIIAggCCAIIAggCGgIDAkQCHgAC+wICAikCBAIFAgYCBwIIAgkCHgILAgwCDQIIAggCCAIIAggCCAIIAggCCAIIAggCCAIIAggCCAIIAggCGgIDAioCHgAC+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wICAjICBAIFAgYCBwIIAgkCCgILAgwCDQIIAggCCAIIAggCCAIIAggCCAIIAggCCAIIAggCCAIIAggCGgIDAnMCHgAC/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AICAisCBAIFAgYCBwIIAgkCCgILAgwCDQIIAggCCAIIAggCCAIIAggCCAIIAggCCAIIAggCCAIIAggCHAIDAiwCHgAC/AICAjICBAIFAgYCBwIIAgkCCgILAgwCDQIIAggCCAIIAggCCAIIAggCCAIIAggCCAIIAggCCAIIAggCHAIDAnMCHgAC/AICAi8CBAIFAgYCBwIIAgkCHgILAgwCDQIIAggCCAIIAggCCAIIAggCCAIIAggCCAIIAggCCAIIAggCHAIDAnsCHgAC/AICAlECBAIFAgYCBwIIAgkCIgILAgwCDQIIAggCCAIIAggCCAIIAggCCAIIAggCCAIIAggCCAIIAggCHAIDAiMCHgAC/AICAisCBAIFAgYCBwIIAgkCIgILAgwCDQIIAggCCAIIAggCCAIIAggCCAIIAggCCAIIAggCCAIIAggCHAIDAjQCHgAC/AICAh0CBAIFAgYCBwIIAgkCCgILAgwCDQIIAggCCAIIAggCCAIIAggCCAIIAggCCAIIAggCCAIIAggCHAIDAngCHgAC/AICAlcCBAIFAgYCBwIIAgkCCgILAgwCDQIIAggCCAIIAggCCAIIAggCCAIIAggCCAIIAggCCAIIAggCHAIDAmsCHgAC/AICAlcCBAIFAgYCBwIIAgkCIgILAgwCDQIIAggCCAIIAggCCAIIAggCCAIIAggCCAIIAggCCAIIAggCHAIDAmECHgAC/AICAikCBAIFAgYCBwIIAgkCCgILAgwCDQIIAggCCAIIAggCCAIIAggCCAIIAggCCAIIAggCCAIIAggCHAIDAn4CHgAC/AICAiUCBAIFAgYCBwIIAgkCHgILAgwCDQIIAggCCAIIAggCCAIIAggCCAIIAggCCAIIAggCCAIIAggCHAIDAiYCHgAC/AICAhsCBAIFAgYCBwIIAgkCIgILAgwCDQIIAggCCAIIAggCCAIIAggCCAIIAggCCAIIAggCCAIIAggCHAIDAiQCHgAC/AICAmQCBAIFAgYCBwIIAgkCHgILAgwCDQIIAggCCAIIAggCCAIIAggCCAIIAggCCAIIAggCCAIIAggCHAIDAoACHgAC/AICAjkCBAIFAgYCBwIIAgkCCgILAgwCDQIIAggCCAIIAggCCAIIAggCCAIIAggCCAIIAggCCAIIAggCHAIDAkoCHgAC/AICAmcCBAIFAgYCBwIIAgkCHgILAgwCDQIIAggCCAIIAggCCAIIAggCCAIIAggCCAIIAggCCAIIAggCHAIDAoECHgAC/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Ah4AAvwCAgJIAgQCBQIGAgcCegAAAYwIAgkCHgILAgwCDQIIAggCCAIIAggCCAIIAggCCAIIAggCCAIIAggCCAIIAggCHAIDAkkCHgAC/AICAkACBAIFAgYCBwIIAgkCIgILAgwCDQIIAggCCAIIAggCCAIIAggCCAIIAggCCAIIAggCCAIIAggCHAIDAkECHgAC/AICAicCBAIFAgYCBwIIAgkCCgILAgwCDQIIAggCCAIIAggCCAIIAggCCAIIAggCCAIIAggCCAIIAggCHAIDAj8CHgAC/AICAkUCBAIFAgYCBwIIAgkCCgILAgwCDQIIAggCCAIIAggCCAIIAggCCAIIAggCCAIIAggCCAIIAggCHAIDAkYCHgAC/AICAkACBAIFAgYCBwIIAgkCCgILAgwCDQIIAggCCAIIAggCCAIIAggCCAIIAggCCAIIAggCCAIIAggCHAIDAkcCHgAC/AICAkUCBAIFAgYCBwIIAgkCIgILAgwCDQIIAggCCAIIAggCCAIIAggCCAIIAggCCAIIAggCCAIIAggCHAIDAiM=]]></xxe4awand>
</file>

<file path=customXml/item47.xml><?xml version="1.0" encoding="utf-8"?>
<xxe4awand xmlns="http://www.excel4apps.com"><![CDATA[rO0ABXfZCMCtii8CKAJaAh4AAERjb20uZXhjZWw0YXBwcy53YW5kLm9yYWNsZS5n
bHdhbmQuY2FsY3VsYXRpb25zLmdldGJhbGFuY2UuR2V0QmFsYW5jZQIBAAkzMzgx
NDY3NjACAgABMAIDAAYyMDE3MDM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CL1IIXh4d1UCHgACAQICAhsABjIwMTgwMgIEAgUCBgIHAggCCQIcAAYxOTEw
MTACCwIMAg0CCAIIAggCCAIIAggCCAIIAggCCAIIAggCCAIIAggCCAIIAhMCAwId
c3EAfgAAAAAAAnNxAH4ABP///////////////v////7/////dXEAfgAHAAAABClG
hLZ4eHdNAh4AAgECAgIeAAYyMDE2MDkCBAIFAgYCBwIIAgkCHAILAgwCDQIIAggC
CAIIAggCCAIIAggCCAIIAggCCAIIAggCCAIIAggCEwIDAh9zcQB+AAAAAAACc3EA
fgAE///////////////+/////v////91cQB+AAcAAAAEM7yWknh4d00CHgACAQIC
Ah4CBAIFAgYCBwIIAgkCIAAGMTkxMDE1AgsCDAINAggCCAIIAggCCAIIAggCCAII
AggCCAIIAggCCAIIAggCCAITAgMCIXNxAH4AAAAAAAJzcQB+AAT/////////////
//7////+/////3VxAH4ABwAAAAMSczV4eHdNAh4AAgECAgIiAAYyMDE4MDQCBAIF
AgYCBwIIAgkCCgILAgwCDQIIAggCCAIIAggCCAIIAggCCAIIAggCCAIIAggCCAII
AggCEwIDAiNzcQB+AAAAAAACc3EAfgAE///////////////+/////v////91cQB+
AAcAAAAEATJrz3h4d0UCHgACAQICAhsCBAIFAgYCBwIIAgkCIAILAgwCDQIIAggC
CAIIAggCCAIIAggCCAIIAggCCAIIAggCCAIIAggCEwIDAiRzcQB+AAAAAAACc3EA
fgAE///////////////+/////gAAAAB1cQB+AAcAAAAAeHh3TQIeAAIBAgICJQAG
MjAxNzAxAgQCBQIGAgcCCAIJAiACCwIMAg0CCAIIAggCCAIIAggCCAIIAggCCAII
AggCCAIIAggCCAIIAhMCAwImc3EAfgAAAAAAAnNxAH4ABP///////////////v//
//7/////dXEAfgAHAAAAAxKC+Hh4d00CHgACAQICAicABjIwMTcwOQIEAgUCBgIH
AggCCQIgAgsCDAINAggCCAIIAggCCAIIAggCCAIIAggCCAIIAggCCAIIAggCCAIT
AgMCKHNxAH4AAAAAAAJzcQB+AAT///////////////7////+/////3VxAH4ABwAA
AAMSoqh4eHdNAh4AAgECAgIpAAYyMDE2MDgCBAIFAgYCBwIIAgkCIAILAgwCDQII
AggCCAIIAggCCAIIAggCCAIIAggCCAIIAggCCAIIAggCEwIDAipzcQB+AAAAAAAC
c3EAfgAE///////////////+/////v////91cQB+AAcAAAADEm9GeHh3TQIeAAIB
AgICKwAGMjAxNzEwAgQCBQIGAgcCCAIJAgoCCwIMAg0CCAIIAggCCAIIAggCCAII
AggCCAIIAggCCAIIAggCCAIIAhMCAwIsc3EAfgAAAAAAAnNxAH4ABP//////////
/////v////4AAAABdXEAfgAHAAAABAYbWmp4eHdFAh4AAgECAgIlAgQCBQIGAgcC
CAIJAhwCCwIMAg0CCAIIAggCCAIIAggCCAIIAggCCAIIAggCCAIIAggCCAIIAhMC
AwItc3EAfgAAAAAAAnNxAH4ABP///////////////v////7/////dXEAfgAHAAAA
BB2x+kx4eHdNAh4AAgECAgIuAAYyMDE2MDICBAIFAgYCBwIIAgkCCgILAgwCDQII
AggCCAIIAggCCAIIAggCCAIIAggCCAIIAggCCAIIAggCEwIDAi9zcQB+AAAAAAAC
c3EAfgAE///////////////+/////v////91cQB+AAcAAAAEBFuSEHh4d00CHgAC
AQICAjAABjIwMTgwNQIEAgUCBgIHAggCCQIKAgsCDAINAggCCAIIAggCCAIIAggC
CAIIAggCCAIIAggCCAIIAggCCAITAgMCMXNxAH4AAAAAAAJzcQB+AAT/////////
//////7////+AAAAAXVxAH4ABwAAAAM2pbZ4eHdNAh4AAgECAgIyAAYyMDE3MDQC
BAIFAgYCBwIIAgkCCgILAgwCDQIIAggCCAIIAggCCAIIAggCCAIIAggCCAIIAggC
CAIIAggCEwIDAjNzcQB+AAAAAAACc3EAfgAE///////////////+/////v////91cQB+AAcAAAAEBQSjQXh4d00CHgACAQICAjQABjIwMTgwMwIEAgUCBgIHAggCCQIcAgsCDAINAggCCAIIAggCCAIIAggCCAIIAggCCAIIAggCCAIIAggCCAITAgMCNXNxAH4AAAAAAAJzcQB+AAT///////////////7////+/////3VxAH4ABwAAAAQqwrH4eHh3TQIeAAIBAgICNgAGMjAxNzExAgQCBQIGAgcCCAIJAgoCCwIMAg0CCAIIAggCCAIIAggCCAIIAggCCAIIAggCCAIIAggCCAIIAhMCAwI3c3EAfgAAAAAAAnNxAH4ABP///////////////v////7/////dXEAfgAHAAAABB7AdGx4eHeSAh4AAgECAgI0AgQCBQIGAgcCCAIJAiACCwIMAg0CCAIIAggCCAIIAggCCAIIAggCCAIIAggCCAIIAggCCAIIAhMCAwIkAh4AAgECAgI4AAYyMDE3MDICBAIFAgYCBwIIAgkCIAILAgwCDQIIAggCCAIIAggCCAIIAggCCAIIAggCCAIIAggCCAIIAggCEwIDAjlzcQB+AAAAAAACc3EAfgAE///////////////+/////v////91cQB+AAcAAAADEobreHh3RQIeAAIBAgICOAIEAgUCBgIHAggCCQIcAgsCDAINAggCCAIIAggCCAIIAggCCAIIAggCCAIIAggCCAIIAggCCAITAgMCOnNxAH4AAAAAAAJzcQB+AAT///////////////7////+/////3VxAH4ABwAAAAQiCqwxeHh3TQIeAAIBAgICOwAGMjAxNjAzAgQCBQIGAgcCCAIJAgoCCwIMAg0CCAIIAggCCAIIAggCCAIIAggCCAIIAggCCAIIAggCCAIIAhMCAwI8c3EAfgAAAAAAAnNxAH4ABP///////////////v////7/////dXEAfgAHAAAABAL7S4t4eHdNAh4AAgECAgI9AAYyMDE2MTACBAIFAgYCBwIIAgkCCgILAgwCDQIIAggCCAIIAggCCAIIAggCCAIIAggCCAIIAggCCAIIAggCEwIDAj5zcQB+AAAAAAACc3EAfgAE///////////////+/////gAAAAF1cQB+AAcAAAADuXJ8eHh3TQIeAAIBAgICPwAGMjAxNzA1AgQCBQIGAgcCCAIJAgoCCwIMAg0CCAIIAggCCAIIAggCCAIIAggCCAIIAggCCAIIAggCCAIIAhMCAwJAc3EAfgAAAAAAAnNxAH4ABP///////////////v////7/////dXEAfgAHAAAABALXZ1R4eHdNAh4AAgECAgJBAAYyMDE2MDYCBAIFAgYCBwIIAgkCIAILAgwCDQIIAggCCAIIAggCCAIIAggCCAIIAggCCAIIAggCCAIIAggCEwIDAkJzcQB+AAAAAAACc3EAfgAE///////////////+/////v////91cQB+AAcAAAADEmdreHh3TQIeAAIBAgICQwAGMjAxODA2AgQCBQIGAgcCCAIJAgoCCwIMAg0CCAIIAggCCAIIAggCCAIIAggCCAIIAggCCAIIAggCCAIIAhMCAwJEc3EAfgAAAAAAAnNxAH4ABP///////////////v////4AAAABdXEAfgAHAAAABAGjcLt4eHdNAh4AAgECAgJFAAYyMDE4MDECBAIFAgYCBwIIAgkCCgILAgwCDQIIAggCCAIIAggCCAIIAggCCAIIAggCCAIIAggCCAIIAggCEwIDAkZzcQB+AAAAAAACc3EAfgAE///////////////+/////v////91cQB+AAcAAAAEEKaLJHh4d0UCHgACAQICAisCBAIFAgYCBwIIAgkCIAILAgwCDQIIAggCCAIIAggCCAIIAggCCAIIAggCCAIIAggCCAIIAggCEwIDAkdzcQB+AAAAAAACc3EAfgAE///////////////+/////v////91cQB+AAcAAAADEqaieHh3TQIeAAIBAgICSAAGMjAxNzA3AgQCBQIGAgcCCAIJAiACCwIMAg0CCAIIAggCCAIIAggCCAIIAggCCAIIAggCCAIIAggCCAIIAhMCAwJJc3EAfgAAAAAAAnNxAH4ABP///////////////v////7/////dXEAfgAHAAAAAxKat3h4d0UCHgACAQICAisCBAIFAgYCBwIIAgkCHAILAgwCDQIIAggCCAIIAggCCAIIAggCCAIIAggCCAIIAggCCAIIAggCEwIDAkpzcQB+AAAAAAACc3EAfgAE///////////////+/////v////91cQB+AAcAAAAEQ0RN4Hh4d0UCHgACAQICAkgCBAIFAgYCBwIIAgkCHAILAgwCDQIIAggCCAIIAggCCAIIAggCCAIIAggCCAIIAggCCAIIAggCEwIDAktzcQB+AAAAAAACc3EAfgAE///////////////+/////v////91cQB+AAcAAAAELpGFK3h4d0UCHgACAQICAicCBAIFAgYCBwIIAgkCHAILAgwCDQIIAggCCAIIAggCCAIIAggCCAIIAggCCAIIAggCCAIIAggCEwIDAkxzcQB+AAAAAAACc3EAfgAE///////////////+/////v////91cQB+AAcAAAAEOUUu/nh4d00CHgACAQICAk0ABjIwMTYwNAIEAgUCBgIHAggCCQIKAgsCDAINAggCCAIIAggCCAIIAggCCAIIAggCCAIIAggCCAIIAggCCAITAgMCTnNxAH4AAAAAAAJzcQB+AAT///////////////7////+/////3VxAH4ABwAAAAQCUB7peHh3igIeAAIBAgICMAIEAgUCBgIHAggCCQIgAgsCDAINAggCCAIIAggCCAIIAggCCAIIAggCCAIIAggCCAIIAggCCAITAgMCJAIeAAIBAgICMgIEAgUCBgIHAggCCQIgAgsCDAINAggCCAIIAggCCAIIAggCCAIIAggCCAIIAggCCAIIAggCCAITAgMCT3NxAH4AAAAAAAJzcQB+AAT///////////////7////+/////3VxAH4ABwAAAAMSjtR4eHdFAh4AAgECAgI7AgQCBQIGAgcCCAIJAiACCwIMAg0CCAIIAggCCAIIAggCCAIIAggCCAIIAggCCAIIAggCCAIIAhMCAwJQc3EAfgAAAAAAAnNxAH4ABP///////////////v////7/////dXEAfgAHAAAAAxJbqXh4d0UCHgACAQICAikCBAIFAgYCBwIIAgkCHAILAgwCDQIIAggCCAIIAggCCAIIAggCCAIIAggCCAIIAggCCAIIAggCEwIDAlFzcQB+AAAAAAACc3EAfgAE///////////////+/////v////91cQB+AAcAAAAEMe+1GXh4d0UCHgACAQICAjQCBAIFAgYCBwIIAgkCCgILAgwCDQIIAggCCAIIAggCCAIIAggCCAIIAggCCAIIAggCCAIIAggCEwIDAlJzcQB+AAAAAAACc3EAfgAE///////////////+/////v////91cQB+AAcAAAAEBOHemXh4d0UCHgACAQICAjgCBAIFAgYCBwIIAgkCCgILAgwCDQIIAggCCAIIAggCCAIIAggCCAIIAggCCAIIAggCCAIIAggCEwIDAlNzcQB+AAAAAAACc3EAfgAE///////////////+/////v////91cQB+AAcAAAAEDgscSnh4d0UCHgACAQICAjACBAIFAgYCBwIIAgkCHAILAgwCDQIIAggCCAIIAggCCAIIAggCCAIIAggCCAIIAggCCAIIAggCEwIDAlRzcQB+AAAAAAACc3EAfgAE///////////////+/////v////91cQB+AAcAAAAEL/7GXHh4d0UCHgACAQICAjsCBAIFAgYCBwIIAgkCHAILAgwCDQIIAggCCAIIAggCCAIIAggCCAIIAggCCAIIAggCCAIIAggCEwIDAlVzcQB+AAAAAAACc3EAfgAE///////////////+/////v////91cQB+AAcAAAAEHq4JT3h4d00CHgACAQICAlYABjIwMTYxMgIEAgUCBgIHAggCCQIKAgsCDAINAggCCAIIAggCCAIIAggCCAIIAggCCAIIAggCCAIIAggCCAITAgMCV3NxAH4AAAAAAAJzcQB+AAT///////////////7////+/////3VxAH4ABwAAAAQdEKl0eHh3RQIeAAIBAgICMgIEAgUCBgIHAggCCQIcAgsCDAINAggCCAIIAggCCAIIAggCCAIIAggCCAIIAggCCAIIAggCCAITAgMCWHNxAH4AAAAAAAJzcQB+AAT///////////////7////+/////3VxAH4ABwAAAAQp4OUTeHh3RQIeAAIBAgICHgIEAgUCBgIHAggCCQIKAgsCDAINAggCCAIIAggCCAIIAggCCAIIAggCCAIIAggCCAIIAggCCAITAgMCWXNxAH4AAAAAAAJzcQB+AAT///////////////7////+/////3VxAH4ABwAAAAMy9xF4eHeKAh4AAgECAgJDAgQCBQIGAgcCCAIJAiACCwIMAg0CCAIIAggCCAIIAggCCAIIAggCCAIIAggCCAIIAggCCAIIAhMCAwIkAh4AAgECAgI/AgQCBQIGAgcCCAIJAiACCwIMAg0CCAIIAggCCAIIAggCCAIIAggCCAIIAggCCAIIAggCCAIIAhMCAwJac3EAfgAAAAAAAnNxAH4ABP///////////////v////7/////dXEAfgAHAAAAAxKSynh4d0UCHgACAQICAk0CBAIFAgYCBwIIAgkCIAILAgwCDQIIAggCCAIIAggCCAIIAggCCAIIAggCCAIIAggCCAIIAggCEwIDAltzcQB+AAAAAAACc3EAfgAE///////////////+/////v////91cQB+AAcAAAADEl+UeHh3TQIeAAIBAgICXAAGMjAxNjExAgQCBQIGAgcCCAIJAhwCCwIMAg0CCAIIAggCCAIIAggCCAIIAggCCAIIAggCCAIIAggCCAIIAhMCAwJdc3EAfgAAAAAAAnNxAH4ABP///////////////v////7/////dXEAfgAHAAAABAvREnR4eHdFAh4AAgECAgJcAgQCBQIGAgcCCAIJAiACCwIMAg0CCAIIAggCCAIIAggCCAIIAggCCAIIAggCCAIIAggCCAIIAhMCAwJec3EAfgAAAAAAAnNxAH4ABP///////////////v////7/////dXEAfgAHAAAAAxJ7FXh4d5ICHgACAQICAl8ABjIwMTcxMgIEAgUCBgIHAggCCQIgAgsCDAINAggCCAIIAggCCAIIAggCCAIIAggCCAIIAggCCAIIAggCCAITAgMCJAIeAAIBAgICSAIEAgUCBgIHAggCCQIKAgsCDAINAggCCAIIAggCCAIIAggCCAIIAggCCAIIAggCCAIIAggCCAITAgMCYHNxAH4AAAAAAAJzcQB+AAT///////////////7////+/////3VxAH4ABwAAAANOuAp4eHdFAh4AAgECAgJDAgQCBQIGAgcCCAIJAhwCCwIMAg0CCAIIAggCCAIIAggCCAIIAggCCAIIAggCCAIIAggCCAIIAhMCAwJhc3EAfgAAAAAAAnNxAH4ABP///////////////v////7/////dXEAfgAHAAAABDDwgSh4eHdFAh4AAgECAgJNAgQCBQIGAgcCCAIJAhwCCwIMAg0CCAIIAggCCAIIAggCCAIIAggCCAIIAggCCAIIAggCCAIIAhMCAwJic3EAfgAAAAAAAnNxAH4ABP///////////////v////7/////dXEAfgAHAAAABCPGeP14eHdFAh4AAgECAgJfAgQCBQIGAgcCCAIJAhwCCwIMAg0CCAIIAggCCAIIAggCCAIIAggCCAIIAggCCAIIAggCCAIIAhMCAwJjc3EAfgAAAAAAAnNxAH4ABP///////////////v////7/////dXEAfgAHAAAABCQ0bfR4eHdFAh4AAgECAgJBAgQCBQIGAgcCCAIJAgoCCwIMAg0CCAIIAggCCAIIAggCCAIIAggCCAIIAggCCAIIAggCCAIIAhMCAwJkc3EAfgAAAAAAAnNxAH4ABP///////////////v////7/////dXEAfgAHAAAABAFkyvJ4eHdFAh4AAgECAgI/AgQCBQIGAgcCCAIJAhwCCwIMAg0CCAIIAggCCAIIAggCCAIIAggCCAIIAggCCAIIAggCCAIIAhMCAwJlc3EAfgAAAAAAAnNxAH4ABP///////////////v////7/////dXEAfgAHAAAABComTwt4eHdFAh4AAgECAgJBAgQCBQIGAgcCCAIJAhwCCwIMAg0CCAIIAggCCAIIAggCCAIIAggCCAIIAggCCAIIAggCCAIIAhMCAwJmc3EAfgAAAAAAAnNxAH4ABP///////////////v////7/////dXEAfgAHAAAABCsQC1F4eHdFAh4AAgECAgJWAgQCBQIGAgcCCAIJAiACCwIMAg0CCAIIAggCCAIIAggCCAIIAggCCAIIAggCCAIIAggCCAIIAhMCAwJnc3EAfgAAAAAAAnNxAH4ABP///////////////v////7/////dXEAfgAHAAAAAxJ/Bnh4d0UCHgACAQICAlYCBAIFAgYCBwIIAgkCHAILAgwCDQIIAggCCAIIAggCCAIIAggCCAIIAggCCAIIAggCCAIIAggCEwIDAmhzcQB+AAAAAAACc3EAfgAE///////////////+/////v////91cQB+AAcAAAAEFay1n3h4d00CHgACAQICAmkABjIwMTYwNQIEAgUCBgIHAggCCQIgAgsCDAINAggCCAIIAggCCAIIAggCCAIIAggCCAIIAggCCAIIAggCCAITAgMCanNxAH4AAAAAAAJzcQB+AAT///////////////7////+/////3VxAH4ABwAAAAMSY394eHdNAh4AAgECAgJrAAYyMDE3MDgCBAIFAgYCBwIIAgkCCgILAgwCDQIIAggCCAIIAggCCAIIAggCCAIIAggCCAIIAggCCAIIAggCEwIDAmxzcQB+AAAAAAACc3EAfgAE///////////////+/////gAAAAF1cQB+AAcAAAAD/4leeHh3TQIeAAIBAgICbQAGMjAxODA3AgQCBQIGAgcCCAIJAhwCCwIMAg0CCAIIAggCCAIIAggCCAIIAggCCAIIAggCCAIIAggCCAIIAhMCAwJuc3EAfgAAAAAAAnNxAH4ABP///////////////v////7/////dXEAfgAHAAAABDWm++V4eHdFAh4AAgECAgJpAgQCBQIGAgcCCAIJAhwCCwIMAg0CCAIIAggCCAIIAggCCAIIAggCCAIIAggCCAIIAggCCAIIAhMCAwJvc3EAfgAAAAAAAnNxAH4ABP///////////////v////7/////dXEAfgAHAAAABCYvMsJ4eHeSAh4AAgECAgJtAgQCBQIGAgcCCAIJAiACCwIMAg0CCAIIAggCCAIIAggCCAIIAggCCAIIAggCCAIIAggCCAIIAhMCAwIkAh4AAgECAgJwAAYyMDE3MDYCBAIFAgYCBwIIAgkCIAILAgwCDQIIAggCCAIIAggCCAIIAggCCAIIAggCCAIIAggCCAIIAggCEwIDAnFzcQB+AAAAAAACc3EAfgAE///////////////+/////v////91cQB+AAcAAAADEpbAeHh3RQIeAAIBAgICcAIEAgUCBgIHAggCCQIcAgsCDAINAggCCAIIAggCCAIIAggCCAIIAggCCAIIAggCCAIIAggCCAITAgMCcnNxAH4AAAAAAAJzcQB+AAT///////////////7////+/////3VxAH4ABwAAAAQqC0YheHh3TQIeAAIBAgICcwAGMjAxNjA3AgQCBQIGAgcCCAIJAgoCCwIMAg0CCAIIAggCCAIIAggCCAIIAggCCAIIAggCCAIIAggCCAIIAhMCAwJ0c3EAfgAAAAAAAnNxAH4ABP///////////////v////7/////dXEAfgAHAAAABAEGlGB4eHdFAh4AAgECAgJzAgQCBQIGAgcCCAIJAhwCCwIMAg0CCAIIAggCCAIIAggCCAIIAggCCAIIAggCCAIIAggCCAIIAhMCAwJ1c3EAfgAAAAAAAnNxAH4ABP///////////////v////7/////dXEAfgAHAAAABC794JJ4eHdFAh4AAgECAgIuAgQCBQIGAgcCCAIJAiACCwIMAg0CCAIIAggCCAIIAggCCAIIAggCCAIIAggCCAIIAggCCAIIAhMCAwJ2c3EAfgAAAAAAAnNxAH4ABP///////////////v////7/////dXEAfgAHAAAAAxJXv3h4d0UCHgACAQICAhsCBAIFAgYCBwIIAgkCCgILAgwCDQIIAggCCAIIAggCCAIIAggCCAIIAggCCAIIAggCCAIIAggCEwIDAndzcQB+AAAAAAACc3EAfgAE///////////////+/////v////91cQB+AAcAAAAECivT53h4d0UCHgACAQICAiUCBAIFAgYCBwIIAgkCCgILAgwCDQIIAggCCAIIAggCCAIIAggCCAIIAggCCAIIAggCCAIIAggCEwIDAnhzcQB+AAAAAAACc3EAfgAE///////////////+/////v////91cQB+AAcAAAAEFDr3g3h4d0UCHgACAQICAiICBAIFAgYCBwIIAgkCHAILAgwCDQIIAggCCAIIAggCCAIIAggCCAIIAggCCAIIAggCCAIIAggCEwIDAnlzcQB+AAAAAAACc3EAfgAE///////////////+/////v////91cQB+AAcAAAAELvQU/3h4d0UCHgACAQICAl8CBAIFAgYCBwIIAgkCCgILAgwCDQIIAggCCAIIAggCCAIIAggCCAIIAggCCAIIAggCCAIIAggCEwIDAnpzcQB+AAAAAAACc3EAfgAE///////////////+/////v////91cQB+AAcAAAAEFreoonh4d0UCHgACAQICAi4CBAIFAgYCBwIIAgkCHAILAgwCDQIIAggCCAIIAggCCAIIAggCCAIIAggCCAIIAggCCAIIAggCEwIDAntzcQB+AAAAAAACc3EAfgAE///////////////+/////v////91cQB+AAcAAAAEG7MeXHh4d0UCHgACAQICAicCBAIFAgYCBwIIAgkCCgILAgwCDQIIAggCCAIIAggCCAIIAggCCAIIAggCCAIIAggCCAIIAggCEwIDAnxzcQB+AAAAAAACc3EAfgAE///////////////+/////gAAAAF1cQB+AAcAAAAEAloS0nh4d0UCHgACAQICAlwCBAIFAgYCBwIIAgkCCgILAgwCDQIIAggCCAIIAggCCAIIAggCCAIIAggCCAIIAggCCAIIAggCEwIDAn1zcQB+AAAAAAACc3EAfgAE///////////////+/////v////91cQB+AAcAAAAEJZDR+3h4d4oCHgACAQICAiICBAIFAgYCBwIIAgkCIAILAgwCDQIIAggCCAIIAggCCAIIAggCCAIIAggCCAIIAggCCAIIAggCEwIDAiQCHgACAQICAgMCBAIFAgYCBwIIAgkCIAILAgwCDQIIAggCCAIIAggCCAIIAggCCAIIAggCCAIIAggCCAIIAggCEwIDAn5zcQB+AAAAAAACc3EAfgAE///////////////+/////v////91cQB+AAcAAAADEorfeHh3RQIeAAIBAgICAwIEAgUCBgIHAggCCQIcAgsCDAINAggCCAIIAggCCAIIAggCCAIIAggCCAIIAggCCAIIAggCCAITAgMCf3NxAH4AAAAAAAJzcQB+AAT///////////////7////+/////3VxAH4ABwAAAAQmeB9xeHh3RQIeAAIBAgICKQIEAgUCBgIHAggCCQIKAgsCDAINAggCCAIIAggCCAIIAggCCAIIAggCCAIIAggCCAIIAggCCAITAgMCgHNxAH4AAAAAAAJzcQB+AAT///////////////7////+/////3VxAH4ABwAAAAOesqp4eHdFAh4AAgECAgI2AgQCBQIGAgcCCAIJAhwCCwIMAg0CCAIIAggCCAIIAggCCAIIAggCCAIIAggCCAIIAggCCAIIAhMCAwKBc3EAfgAAAAAAAnNxAH4ABP///////////////v////7/////dXEAfgAHAAAABBwjfJB4eHdFAh4AAgECAgI9AgQCBQIGAgcCCAIJAhwCCwIMAg0CCAIIAggCCAIIAggCCAIIAggCCAIIAggCCAIIAggCCAIIAhMCAwKCc3EAfgAAAAAAAnNxAH4ABP///////////////v////7/////dXEAfgAHAAAABDSYRyN4eHdFAh4AAgECAgJFAgQCBQIGAgcCCAIJAhwCCwIMAg0CCAIIAggCCAIIAggCCAIIAggCCAIIAggCCAIIAggCCAIIAhMCAwKDc3EAfgAAAAAAAnNxAH4ABP///////////////v////7/////dXEAfgAHAAAABCkgj4V4eHdFAh4AAgECAgJtAgQCBQIGAgcCCAIJAgoCCwIMAg0CCAIIAggCCAIIAggCCAIIAggCCAIIAggCCAIIAggCCAIIAhMCAwKEc3EAfgAAAAAAAnNxAH4ABP///////////////v////4AAAABdXEAfgAHAAAABALUOOx4eHdFAh4AAgECAgJwAgQCBQIGAgcCCAIJAgoCCwIMAg0CCAIIAggCCAIIAggCCAIIAggCCAIIAggCCAIIAggCCAIIAhMCAwKFc3EAfgAAAAAAAnNxAH4ABP///////////////v////7/////dXEAfgAHAAAABAFtStJ4eHdFAh4AAgECAgI9AgQCBQIGAgcCCAIJAiACCwIMAg0CCAIIAggCCAIIAggCCAIIAggCCAIIAggCCAIIAggCCAIIAhMCAwKGc3EAfgAAAAAAAnNxAH4ABP///////////////v////7/////dXEAfgAHAAAAAxJ3JXh4d4oCHgACAQICAjYCBAIFAgYCBwIIAgkCIAILAgwCDQIIAggCCAIIAggCCAIIAggCCAIIAggCCAIIAggCCAIIAggCEwIDAiQCHgACAQICAnMCBAIFAgYCBwIIAgkCIAILAgwCDQIIAggCCAIIAggCCAIIAggCCAIIAggCCAIIAggCCAIIAggCEwIDAodzcQB+AAAAAAACc3EAfgAE///////////////+/////v////91cQB+AAcAAAADEmtYeHh3RQIeAAIBAgICawIEAgUCBgIHAggCCQIgAgsCDAINAggCCAIIAggCCAIIAggCCAIIAggCCAIIAggCCAIIAggCCAITAgMCiHNxAH4AAAAAAAJzcQB+AAT///////////////7////+/////3VxAH4ABwAAAAMSnq94eHeKAh4AAgECAgJFAgQCBQIGAgcCCAIJAiACCwIMAg0CCAIIAggCCAIIAggCCAIIAggCCAIIAggCCAIIAggCCAIIAhMCAwIkAh4AAgECAgJpAgQCBQIGAgcCCAIJAgoCCwIMAg0CCAIIAggCCAIIAggCCAIIAggCCAIIAggCCAIIAggCCAIIAhMCAwKJc3EAfgAAAAAAAnNxAH4ABP///////////////v////7/////dXEAfgAHAAAABAHNSnd4eHdFAh4AAgECAgJrAgQCBQIGAgcCCAIJAhwCCwIMAg0CCAIIAggCCAIIAggCCAIIAggCCAIIAggCCAIIAggCCAIIAhMCAwKKc3EAfgAAAAAAAnNxAH4ABP///////////////v////7/////dXEAfgAHAAAABDQ5VOh4eA==]]></xxe4awand>
</file>

<file path=customXml/item48.xml><?xml version="1.0" encoding="utf-8"?>
<xxe4awand xmlns="http://www.excel4apps.com"><![CDATA[rO0ABXfZCMCtii8ABMw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49.xml><?xml version="1.0" encoding="utf-8"?>
<xxe4awand xmlns="http://www.excel4apps.com"><![CDATA[rO0ABXfZCMCtii8ABEkDAh4AAERjb20uZXhjZWw0YXBwcy53YW5kLm9yYWNsZS5n
bHdhbmQuY2FsY3VsYXRpb25zLmdldGJhbGFuY2UuR2V0QmFsYW5jZQIBAAkyMTkw
NjcwOTYCAgABMAIDAAYyMDE3MDU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iEYhXh4d00CHgACAQICAhsABjIwMTcwMwIEAgUCBgIHAggCCQIKAgsCDAIN
AggCCAIIAggCCAIIAggCCAIIAggCCAIIAggCCAIIAggCCAIEAgMCHHNxAH4AAAAA
AAJzcQB+AAT///////////////7////+/////3VxAH4ABwAAAAQQ/fIjeHh3TQIeAAIBAgICHQAGMjAxNzEyAgQCBQIGAgcCCAIJAgoCCwIMAg0CCAIIAggCCAIIAggCCAIIAggCCAIIAggCCAIIAggCCAIIAgQCAwIec3EAfgAAAAAAAnNxAH4ABP///////////////v////7/////dXEAfgAHAAAABDRJviN4eHdNAh4AAgECAgIfAAYyMDE3MDcCBAIFAgYCBwIIAgkCCgILAgwCDQIIAggCCAIIAggCCAIIAggCCAIIAggCCAIIAggCCAIIAggCBAIDAiBzcQB+AAAAAAACc3EAfgAE///////////////+/////v////91cQB+AAcAAAAEAgr29Hh4d00CHgACAQICAiEABjIwMTcxMQIEAgUCBgIHAggCCQIKAgsCDAINAggCCAIIAggCCAIIAggCCAIIAggCCAIIAggCCAIIAggCCAIEAgMCInNxAH4AAAAAAAJzcQB+AAT///////////////7////+/////3VxAH4ABwAAAAREule8eHh3TQIeAAIBAgICIwAGMjAxODAxAgQCBQIGAgcCCAIJAgoCCwIMAg0CCAIIAggCCAIIAggCCAIIAggCCAIIAggCCAIIAggCCAIIAgQCAwIkc3EAfgAAAAAAAnNxAH4ABP///////////////v////7/////dXEAfgAHAAAABCZxo1d4eHdNAh4AAgECAgIlAAYyMDE4MDMCBAIFAgYCBwIIAgkCCgILAgwCDQIIAggCCAIIAggCCAIIAggCCAIIAggCCAIIAggCCAIIAggCBAIDAiZzcQB+AAAAAAACc3EAfgAE///////////////+/////v////91cQB+AAcAAAAEDlPJjHh4d00CHgACAQICAicABjIwMTcwNgIEAgUCBgIHAggCCQIKAgsCDAINAggCCAIIAggCCAIIAggCCAIIAggCCAIIAggCCAIIAggCCAIEAgMCKHNxAH4AAAAAAAJzcQB+AAT///////////////7////+/////3VxAH4ABwAAAAQD3U0geHh3TQIeAAIBAgICKQAGMjAxNzAyAgQCBQIGAgcCCAIJAgoCCwIMAg0CCAIIAggCCAIIAggCCAIIAggCCAIIAggCCAIIAggCCAIIAgQCAwIqc3EAfgAAAAAAAnNxAH4ABP///////////////v////7/////dXEAfgAHAAAABBtHMdN4eHdNAh4AAgECAgIrAAYyMDE3MDQCBAIFAgYCBwIIAgkCCgILAgwCDQIIAggCCAIIAggCCAIIAggCCAIIAggCCAIIAggCCAIIAggCBAIDAixzcQB+AAAAAAACc3EAfgAE///////////////+/////v////91cQB+AAcAAAAECfBqRnh4d00CHgACAQICAi0ABjIwMTcxMAIEAgUCBgIHAggCCQIKAgsCDAINAggCCAIIAggCCAIIAggCCAIIAggCCAIIAggCCAIIAggCCAIEAgMCLnNxAH4AAAAAAAJzcQB+AAT///////////////7////+AAAAAXVxAH4ABwAAAAQJDRX9eHh3TQIeAAIBAgICLwAGMjAxNzA5AgQCBQIGAgcCCAIJAgoCCwIMAg0CCAIIAggCCAIIAggCCAIIAggCCAIIAggCCAIIAggCCAIIAgQCAwIwc3EAfgAAAAAAAnNxAH4ABP///////////////v////4AAAABdXEAfgAHAAAABAKOsKB4eHdNAh4AAgECAgIxAAYyMDE3MDgCBAIFAgYCBwIIAgkCCgILAgwCDQIIAggCCAIIAggCCAIIAggCCAIIAggCCAIIAggCCAIIAggCBAIDAjJzcQB+AAAAAAACc3EAfgAE///////////////+/////v////91cQB+AAcAAAADMpTWeHh3TQIeAAIBAgICMwAGMjAxODAyAgQCBQIGAgcCCAIJAgoCCwIMAg0CCAIIAggCCAIIAggCCAIIAggCCAIIAggCCAIIAggCCAIIAgQCAwI0c3EAfgAAAAAAAnNxAH4ABP///////////////v////7/////dXEAfgAHAAAABBli52V4eHdNAh4AAgECAgI1AAYyMDE3MDECBAIFAgYCBwIIAgkCCgILAgwCDQIIAggCCAIIAggCCAIIAggCCAIIAggCCAIIAggCCAIIAggCBAIDAjZzcQB+AAAAAAACc3EAfgAE///////////////+/////v////91cQB+AAcAAAAEKOmGtnh4d1gCHgACNwAJNDMxNzAzMDU2AgICMQIEAgUCBgIHAggCCQI4AAYxOTEwMTACCwIMAg0CCAIIAggCCAIIAggCCAIIAggCCAIIAggCCAIIAggCCAIIAgICAwI5c3EAfgAAAAAAAnNxAH4ABP///////////////v////7/////dXEAfgAHAAAABGUxQat4eHdFAh4AAjcCAgIhAgQCBQIGAgcCCAIJAjgCCwIMAg0CCAIIAggCCAIIAggCCAIIAggCCAIIAggCCAIIAggCCAIIAgICAwI6c3EAfgAAAAAAAnNxAH4ABP///////////////v////7/////dXEAfgAHAAAABDDQqrN4eHdFAh4AAjcCAgIjAgQCBQIGAgcCCAIJAjgCCwIMAg0CCAIIAggCCAIIAggCCAIIAggCCAIIAggCCAIIAggCCAIIAgICAwI7c3EAfgAAAAAAAnNxAH4ABP///////////////v////7/////dXEAfgAHAAAABE7u6Np4eHdFAh4AAjcCAgIlAgQCBQIGAgcCCAIJAjgCCwIMAg0CCAIIAggCCAIIAggCCAIIAggCCAIIAggCCAIIAggCCAIIAgICAwI8c3EAfgAAAAAAAnNxAH4ABP///////////////v////7/////dXEAfgAHAAAABFJ+oxp4eHdFAh4AAjcCAgIpAgQCBQIGAgcCCAIJAjgCCwIMAg0CCAIIAggCCAIIAggCCAIIAggCCAIIAggCCAIIAggCCAIIAgICAwI9c3EAfgAAAAAAAnNxAH4ABP///////////////v////7/////dXEAfgAHAAAABEmLU8l4eHdFAh4AAjcCAgInAgQCBQIGAgcCCAIJAjgCCwIMAg0CCAIIAggCCAIIAggCCAIIAggCCAIIAggCCAIIAggCCAIIAgICAwI+c3EAfgAAAAAAAnNxAH4ABP///////////////v////7/////dXEAfgAHAAAABFgLByx4eHdFAh4AAjcCAgIrAgQCBQIGAgcCCAIJAjgCCwIMAg0CCAIIAggCCAIIAggCCAIIAggCCAIIAggCCAIIAggCCAIIAgICAwI/c3EAfgAAAAAAAnNxAH4ABP///////////////v////7/////dXEAfgAHAAAABFpw2Xd4eHdFAh4AAjcCAgItAgQCBQIGAgcCCAIJAjgCCwIMAg0CCAIIAggCCAIIAggCCAIIAggCCAIIAggCCAIIAggCCAIIAgICAwJAc3EAfgAAAAAAAnNxAH4ABP///////////////v////7/////dXEAfgAHAAAABILciPF4eHdFAh4AAjcCAgIzAgQCBQIGAgcCCAIJAjgCCwIMAg0CCAIIAggCCAIIAggCCAIIAggCCAIIAggCCAIIAggCCAIIAgICAwJBc3EAfgAAAAAAAnNxAH4ABP///////////////v////7/////dXEAfgAHAAAABE8qcfl4eHdFAh4AAjcCAgIdAgQCBQIGAgcCCAIJAjgCCwIMAg0CCAIIAggCCAIIAggCCAIIAggCCAIIAggCCAIIAggCCAIIAgICAwJCc3EAfgAAAAAAAnNxAH4ABP///////////////v////7/////dXEAfgAHAAAABEI0vHx4eHdFAh4AAjcCAgIvAgQCBQIGAgcCCAIJAjgCCwIMAg0CCAIIAggCCAIIAggCCAIIAggCCAIIAggCCAIIAggCCAIIAgICAwJDc3EAfgAAAAAAAnNxAH4ABP///////////////v////7/////dXEAfgAHAAAABHEGWUl4eHdFAh4AAjcCAgIDAgQCBQIGAgcCCAIJAjgCCwIMAg0CCAIIAggCCAIIAggCCAIIAggCCAIIAggCCAIIAggCCAIIAgICAwJEc3EAfgAAAAAAAnNxAH4ABP///////////////v////7/////dXEAfgAHAAAABFn95fJ4eHdFAh4AAjcCAgI1AgQCBQIGAgcCCAIJAjgCCwIMAg0CCAIIAggCCAIIAggCCAIIAggCCAIIAggCCAIIAggCCAIIAgICAwJFc3EAfgAAAAAAAnNxAH4ABP///////////////v////7/////dXEAfgAHAAAABD0VO3Z4eHdFAh4AAjcCAgIbAgQCBQIGAgcCCAIJAjgCCwIMAg0CCAIIAggCCAIIAggCCAIIAggCCAIIAggCCAIIAggCCAIIAgICAwJGc3EAfgAAAAAAAnNxAH4ABP///////////////v////7/////dXEAfgAHAAAABFNjmyZ4eHdFAh4AAjcCAgIfAgQCBQIGAgcCCAIJAjgCCwIMAg0CCAIIAggCCAIIAggCCAIIAggCCAIIAggCCAIIAggCCAIIAgICAwJHc3EAfgAAAAAAAnNxAH4ABP///////////////v////7/////dXEAfgAHAAAABF7UYvh4eHdUAh4AAkgACTQxNzAxNTkwNAICAi0CBAIFAgYCBwIIAgkCOAILAkkAAklEAg0CCAIIAggCCAIIAggCCAIIAggCCAIIAggCCAIIAggCCAIIAhMCAwJKc3EAfgAAAAAAAnNxAH4ABP///////////////v////7/////dXEAfgAHAAAABENETeB4eHdVAh4AAkgCAgJLAAYyMDE2MDICBAIFAgYCBwIIAgkCTAAGMTkxMDE1AgsCSQINAggCCAIIAggCCAIIAggCCAIIAggCCAIIAggCCAIIAggCCAITAgMCTXNxAH4AAAAAAAJzcQB+AAT///////////////7////+/////3VxAH4ABwAAAAMSV794eHdFAh4AAkgCAgIbAgQCBQIGAgcCCAIJAkwCCwJJAg0CCAIIAggCCAIIAggCCAIIAggCCAIIAggCCAIIAggCCAIIAhMCAwJOc3EAfgAAAAAAAnNxAH4ABP///////////////v////7/////dXEAfgAHAAAAAxKK33h4d00CHgACSAICAk8ABjIwMTgwNAIEAgUCBgIHAggCCQJMAgsCSQINAggCCAIIAggCCAIIAggCCAIIAggCCAIIAggCCAIIAggCCAITAgMCUHNxAH4AAAAAAAJzcQB+AAT///////////////7////+AAAAAHVxAH4ABwAAAAB4eHdFAh4AAkgCAgIdAgQCBQIGAgcCCAIJAgoCCwJJAg0CCAIIAggCCAIIAggCCAIIAggCCAIIAggCCAIIAggCCAIIAhMCAwJRc3EAfgAAAAAAAnNxAH4ABP///////////////v////7/////dXEAfgAHAAAABBa3qKJ4eHdFAh4AAkgCAgIbAgQCBQIGAgcCCAIJAjgCCwJJAg0CCAIIAggCCAIIAggCCAIIAggCCAIIAggCCAIIAggCCAIIAhMCAwJSc3EAfgAAAAAAAnNxAH4ABP///////////////v////7/////dXEAfgAHAAAABCZ4H3F4eHdNAh4AAkgCAgJTAAYyMDE2MDQCBAIFAgYCBwIIAgkCCgILAkkCDQIIAggCCAIIAggCCAIIAggCCAIIAggCCAIIAggCCAIIAggCEwIDAlRzcQB+AAAAAAACc3EAfgAE///////////////+/////v////91cQB+AAcAAAAEAlAe6Xh4d0UCHgACSAICAisCBAIFAgYCBwIIAgkCOAILAkkCDQIIAggCCAIIAggCCAIIAggCCAIIAggCCAIIAggCCAIIAggCEwIDAlVzcQB+AAAAAAACc3EAfgAE///////////////+/////v////91cQB+AAcAAAAEKeDlE3h4d00CHgACSAICAlYABjIwMTYxMQIEAgUCBgIHAggCCQIKAgsCSQINAggCCAIIAggCCAIIAggCCAIIAggCCAIIAggCCAIIAggCCAITAgMCV3NxAH4AAAAAAAJzcQB+AAT///////////////7////+/////3VxAH4ABwAAAAQlkNH7eHh3RQIeAAJIAgICTwIEAgUCBgIHAggCCQI4AgsCSQINAggCCAIIAggCCAIIAggCCAIIAggCCAIIAggCCAIIAggCCAITAgMCWHNxAH4AAAAAAAJzcQB+AAT///////////////7////+/////3VxAH4ABwAAAAQu9BT/eHh3TQIeAAJIAgICWQAGMjAxNjAzAgQCBQIGAgcCCAIJAjgCCwJJAg0CCAIIAggCCAIIAggCCAIIAggCCAIIAggCCAIIAggCCAIIAhMCAwJac3EAfgAAAAAAAnNxAH4ABP///////////////v////7/////dXEAfgAHAAAABB6uCU94eHdFAh4AAkgCAgIDAgQCBQIGAgcCCAIJAgoCCwJJAg0CCAIIAggCCAIIAggCCAIIAggCCAIIAggCCAIIAggCCAIIAhMCAwJbc3EAfgAAAAAAAnNxAH4ABP///////////////v////7/////dXEAfgAHAAAABALXZ1R4eHdFAh4AAkgCAgIrAgQCBQIGAgcCCAIJAgoCCwJJAg0CCAIIAggCCAIIAggCCAIIAggCCAIIAggCCAIIAggCCAIIAhMCAwJcc3EAfgAAAAAAAnNxAH4ABP///////////////v////7/////dXEAfgAHAAAABAUEo0F4eHeKAh4AAkgCAgIlAgQCBQIGAgcCCAIJAkwCCwJJAg0CCAIIAggCCAIIAggCCAIIAggCCAIIAggCCAIIAggCCAIIAhMCAwJQAh4AAkgCAgIpAgQCBQIGAgcCCAIJAkwCCwJJAg0CCAIIAggCCAIIAggCCAIIAggCCAIIAggCCAIIAggCCAIIAhMCAwJdc3EAfgAAAAAAAnNxAH4ABP///////////////v////7/////dXEAfgAHAAAAAxKG63h4d0UCHgACSAICAikCBAIFAgYCBwIIAgkCOAILAkkCDQIIAggCCAIIAggCCAIIAggCCAIIAggCCAIIAggCCAIIAggCEwIDAl5zcQB+AAAAAAACc3EAfgAE///////////////+/////v////91cQB+AAcAAAAEIgqsMXh4d00CHgACSAICAl8ABjIwMTYxMAIEAgUCBgIHAggCCQIKAgsCSQINAggCCAIIAggCCAIIAggCCAIIAggCCAIIAggCCAIIAggCCAITAgMCYHNxAH4AAAAAAAJzcQB+AAT///////////////7////+AAAAAXVxAH4ABwAAAAO5cnx4eHdFAh4AAkgCAgJZAgQCBQIGAgcCCAIJAgoCCwJJAg0CCAIIAggCCAIIAggCCAIIAggCCAIIAggCCAIIAggCCAIIAhMCAwJhc3EAfgAAAAAAAnNxAH4ABP///////////////v////7/////dXEAfgAHAAAABAL7S4t4eHdFAh4AAkgCAgItAgQCBQIGAgcCCAIJAkwCCwJJAg0CCAIIAggCCAIIAggCCAIIAggCCAIIAggCCAIIAggCCAIIAhMCAwJic3EAfgAAAAAAAnNxAH4ABP///////////////v////7/////dXEAfgAHAAAAAxKmonh4d0UCHgACSAICAiUCBAIFAgYCBwIIAgkCOAILAkkCDQIIAggCCAIIAggCCAIIAggCCAIIAggCCAIIAggCCAIIAggCEwIDAmNzcQB+AAAAAAACc3EAfgAE///////////////+/////v////91cQB+AAcAAAAEKsKx+Hh4d0UCHgACSAICAksCBAIFAgYCBwIIAgkCOAILAkkCDQIIAggCCAIIAggCCAIIAggCCAIIAggCCAIIAggCCAIIAggCEwIDAmRzcQB+AAAAAAACc3EAfgAE///////////////+/////v////91cQB+AAcAAAAEG7MeXHh4d0UCHgACSAICAiECBAIFAgYCBwIIAgkCCgILAkkCDQIIAggCCAIIAggCCAIIAggCCAIIAggCCAIIAggCCAIIAggCEwIDAmVzcQB+AAAAAAACc3EAfgAE///////////////+/////v////91cQB+AAcAAAAEHsB0bHh4d00CHgACSAICAmYABjIwMTgwNQIEAgUCBgIHAggCCQIKAgsCSQINAggCCAIIAggCCAIIAggCCAIIAggCCAIIAggCCAIIAggCCAITAgMCZ3NxAH4AAAAAAAJzcQB+AAT///////////////7////+AAAAAXVxAH4ABwAAAAM2pbZ4eHdFAh4AAkgCAgIzAgQCBQIGAgcCCAIJAjgCCwJJAg0CCAIIAggCCAIIAggCCAIIAggCCAIIAggCCAIIAggCCAIIAhMCAwJoc3EAfgAAAAAAAnNxAH4ABP///////////////v////7/////dXEAfgAHAAAABClGhLZ4eHdNAh4AAkgCAgJpAAYyMDE2MDUCBAIFAgYCBwIIAgkCOAILAkkCDQIIAggCCAIIAggCCAIIAggCCAIIAggCCAIIAggCCAIIAggCEwIDAmpzcQB+AAAAAAACc3EAfgAE///////////////+/////v////91cQB+AAcAAAAEJi8ywnh4d0UCHgACSAICAh0CBAIFAgYCBwIIAgkCOAILAkkCDQIIAggCCAIIAggCCAIIAggCCAIIAggCCAIIAggCCAIIAggCEwIDAmtzcQB+AAAAAAACc3EAfgAE///////////////+/////v////91cQB+AAcAAAAEJDRt9Hh4d4oCHgACSAICAh0CBAIFAgYCBwIIAgkCTAILAkkCDQIIAggCCAIIAggCCAIIAggCCAIIAggCCAIIAggCCAIIAggCEwIDAlACHgACSAICAjUCBAIFAgYCBwIIAgkCTAILAkkCDQIIAggCCAIIAggCCAIIAggCCAIIAggCCAIIAggCCAIIAggCEwIDAmxzcQB+AAAAAAACc3EAfgAE///////////////+/////v////91cQB+AAcAAAADEoL4eHh3RQIeAAJIAgICJwIEAgUCBgIHAggCCQI4AgsCSQINAggCCAIIAggCCAIIAggCCAIIAggCCAIIAggCCAIIAggCCAITAgMCbXNxAH4AAAAAAAJzcQB+AAT///////////////7////+/////3VxAH4ABwAAAAQqC0YheHh3RQIeAAJIAgICNQIEAgUCBgIHAggCCQI4AgsCSQINAggCCAIIAggCCAIIAggCCAIIAggCCAIIAggCCAIIAggCCAITAgMCbnNxAH4AAAAAAAJzcQB+AAT///////////////7////+/////3VxAH4ABwAAAAQdsfpMeHh3RQIeAAJIAgICHwIEAgUCBgIHAggCCQIKAgsCSQINAggCCAIIAggCCAIIAggCCAIIAggCCAIIAggCCAIIAggCCAITAgMCb3NxAH4AAAAAAAJzcQB+AAT///////////////7////+/////3VxAH4ABwAAAANOuAp4eHeKAh4AAkgCAgIzAgQCBQIGAgcCCAIJAkwCCwJJAg0CCAIIAggCCAIIAggCCAIIAggCCAIIAggCCAIIAggCCAIIAhMCAwJQAh4AAkgCAgItAgQCBQIGAgcCCAIJAgoCCwJJAg0CCAIIAggCCAIIAggCCAIIAggCCAIIAggCCAIIAggCCAIIAhMCAwJwc3EAfgAAAAAAAnNxAH4ABP///////////////v////4AAAABdXEAfgAHAAAABAYbWmp4eHdFAh4AAkgCAgJpAgQCBQIGAgcCCAIJAkwCCwJJAg0CCAIIAggCCAIIAggCCAIIAggCCAIIAggCCAIIAggCCAIIAhMCAwJxc3EAfgAAAAAAAnNxAH4ABP///////////////v////7/////dXEAfgAHAAAAAxJjf3h4d4oCHgACSAICAmYCBAIFAgYCBwIIAgkCTAILAkkCDQIIAggCCAIIAggCCAIIAggCCAIIAggCCAIIAggCCAIIAggCEwIDAlACHgACSAICAlkCBAIFAgYCBwIIAgkCTAILAkkCDQIIAggCCAIIAggCCAIIAggCCAIIAggCCAIIAggCCAIIAggCEwIDAnJzcQB+AAAAAAACc3EAfgAE///////////////+/////v////91cQB+AAcAAAADElupeHh3RQIeAAJIAgICKwIEAgUCBgIHAggCCQJMAgsCSQINAggCCAIIAggCCAIIAggCCAIIAggCCAIIAggCCAIIAggCCAITAgMCc3NxAH4AAAAAAAJzcQB+AAT///////////////7////+/////3VxAH4ABwAAAAMSjtR4eHdFAh4AAkgCAgIpAgQCBQIGAgcCCAIJAgoCCwJJAg0CCAIIAggCCAIIAggCCAIIAggCCAIIAggCCAIIAggCCAIIAhMCAwJ0c3EAfgAAAAAAAnNxAH4ABP///////////////v////7/////dXEAfgAHAAAABA4LHEp4eHdNAh4AAkgCAgJ1AAYyMDE2MDgCBAIFAgYCBwIIAgkCOAILAkkCDQIIAggCCAIIAggCCAIIAggCCAIIAggCCAIIAggCCAIIAggCEwIDAnZzcQB+AAAAAAACc3EAfgAE///////////////+/////v////91cQB+AAcAAAAEMe+1GXh4d0UCHgACSAICAi8CBAIFAgYCBwIIAgkCTAILAkkCDQIIAggCCAIIAggCCAIIAggCCAIIAggCCAIIAggCCAIIAggCEwIDAndzcQB+AAAAAAACc3EAfgAE///////////////+/////v////91cQB+AAcAAAADEqKoeHh3TQIeAAJIAgICeAAGMjAxNjA2AgQCBQIGAgcCCAIJAgoCCwJJAg0CCAIIAggCCAIIAggCCAIIAggCCAIIAggCCAIIAggCCAIIAhMCAwJ5c3EAfgAAAAAAAnNxAH4ABP///////////////v////7/////dXEAfgAHAAAABAFkyvJ4eHdFAh4AAkgCAgIvAgQCBQIGAgcCCAIJAjgCCwJJAg0CCAIIAggCCAIIAggCCAIIAggCCAIIAggCCAIIAggCCAIIAhMCAwJ6c3EAfgAAAAAAAnNxAH4ABP///////////////v////7/////dXEAfgAHAAAABDlFLv54eHdNAh4AAkgCAgJ7AAYyMDE2MTICBAIFAgYCBwIIAgkCCgILAkkCDQIIAggCCAIIAggCCAIIAggCCAIIAggCCAIIAggCCAIIAggCEwIDAnxzcQB+AAAAAAACc3EAfgAE///////////////+/////v////91cQB+AAcAAAAEHRCpdHh4d0UCHgACSAICAmYCBAIFAgYCBwIIAgkCOAILAkkCDQIIAggCCAIIAggCCAIIAggCCAIIAggCCAIIAggCCAIIAggCEwIDAn1zcQB+AAAAAAACc3EAfgAE///////////////+/////v////91cQB+AAcAAAAEL/7GXHh4d0UCHgACSAICAlYCBAIFAgYCBwIIAgkCOAILAkkCDQIIAggCCAIIAggCCAIIAggCCAIIAggCCAIIAggCCAIIAggCEwIDAn5zcQB+AAAAAAACc3EAfgAE///////////////+/////v////91cQB+AAcAAAAEC9ESdHh4d0UCHgACSAICAlYCBAIFAgYCBwIIAgkCTAILAkkCDQIIAggCCAIIAggCCAIIAggCCAIIAggCCAIIAggCCAIIAggCEwIDAn9zcQB+AAAAAAACc3EAfgAE///////////////+/////v////91cQB+AAcAAAADEnsVeHh3RQIeAAJIAgICdQIEAgUCBgIHAggCCQJMAgsCSQINAggCCAIIAggCCAIIAggCCAIIAggCCAIIAggCCAIIAggCCAITAgMCgHNxAH4AAAAAAAJzcQB+AAT///////////////7////+/////3VxAH4ABwAAAAMSb0Z4eHdFAh4AAkgCAgIlAgQCBQIGAgcCCAIJAgoCCwJJAg0CCAIIAggCCAIIAggCCAIIAggCCAIIAggCCAIIAggCCAIIAhMCAwKBc3EAfgAAAAAAAnNxAH4ABP///////////////v////7/////dXEAfgAHAAAABATh3pl4eHdNAh4AAkgCAgKCAAYyMDE2MDcCBAIFAgYCBwIIAgkCOAILAkkCDQIIAggCCAIIAggCCAIIAggCCAIIAggCCAIIAggCCAIIAggCEwIDAoNzcQB+AAAAAAACc3EAfgAE///////////////+/////v////91cQB+AAcAAAAELv3gknh4d0UCHgACSAICAjECBAIFAgYCBwIIAgkCOAILAkkCDQIIAggCCAIIAggCCAIIAggCCAIIAggCCAIIAggCCAIIAggCEwIDAoRzcQB+AAAAAAACc3EAfgAE///////////////+/////v////91cQB+AAcAAAAENDlU6Hh4d00CHgACSAICAoUABjIwMTYwOQIEAgUCBgIHAggCCQIKAgsCSQINAggCCAIIAggCCAIIAggCCAIIAggCCAIIAggCCAIIAggCCAITAgMChnNxAH4AAAAAAAJzcQB+AAT///////////////7////+/////3VxAH4ABwAAAAMy9xF4eHdFAh4AAkgCAgIxAgQCBQIGAgcCCAIJAkwCCwJJAg0CCAIIAggCCAIIAggCCAIIAggCCAIIAggCCAIIAggCCAIIAhMCAwKHc3EAfgAAAAAAAnNxAH4ABP///////////////v////7/////dXEAfgAHAAAAAxKer3h4d0UCHgACSAICAoICBAIFAgYCBwIIAgkCTAILAkkCDQIIAggCCAIIAggCCAIIAggCCAIIAggCCAIIAggCCAIIAggCEwIDAohzcQB+AAAAAAACc3EAfgAE///////////////+/////v////91cQB+AAcAAAADEmtYeHh3RQIeAAJIAgICLwIEAgUCBgIHAggCCQIKAgsCSQINAggCCAIIAggCCAIIAggCCAIIAggCCAIIAggCCAIIAggCCAITAgMCiXNxAH4AAAAAAAJzcQB+AAT///////////////7////+AAAAAXVxAH4ABwAAAAQCWhLSeHh3RQIeAAJIAgICNQIEAgUCBgIHAggCCQIKAgsCSQINAggCCAIIAggCCAIIAggCCAIIAggCCAIIAggCCAIIAggCCAITAgMCinNxAH4AAAAAAAJzcQB+AAT///////////////7////+/////3VxAH4ABwAAAAQUOveDeHh3RQIeAAJIAgICMwIEAgUCBgIHAggCCQIKAgsCSQINAggCCAIIAggCCAIIAggCCAIIAggCCAIIAggCCAIIAggCCAITAgMCi3NxAH4AAAAAAAJzcQB+AAT///////////////7////+/////3VxAH4ABwAAAAQKK9PneHh3RQIeAAJIAgICewIEAgUCBgIHAggCCQJMAgsCSQINAggCCAIIAggCCAIIAggCCAIIAggCCAIIAggCCAIIAggCCAITAgMCjHNxAH4AAAAAAAJzcQB+AAT///////////////7////+/////3VxAH4ABwAAAAMSfwZ4eHdFAh4AAkgCAgJ4AgQCBQIGAgcCCAIJAjgCCwJJAg0CCAIIAggCCAIIAggCCAIIAggCCAIIAggCCAIIAggCCAIIAhMCAwKNc3EAfgAAAAAAAnNxAH4ABP///////////////v////7/////dXEAfgAHAAAABCsQC1F4eHdFAh4AAkgCAgInAgQCBQIGAgcCCAIJAkwCCwJJAg0CCAIIAggCCAIIAggCCAIIAggCCAIIAggCCAIIAggCCAIIAhMCAwKOc3EAfgAAAAAAAnNxAH4ABP///////////////v////7/////dXEAfgAHAAAAAxKWwHh4d0UCHgACSAICAh8CBAIFAgYCBwIIAgkCOAILAkkCDQIIAggCCAIIAggCCAIIAggCCAIIAggCCAIIAggCCAIIAggCEwIDAo9zcQB+AAAAAAACc3EAfgAE///////////////+/////v////91cQB+AAcAAAAELpGFK3h4d0UCHgACSAICAnUCBAIFAgYCBwIIAgkCCgILAkkCDQIIAggCCAIIAggCCAIIAggCCAIIAggCCAIIAggCCAIIAggCEwIDApBzcQB+AAAAAAACc3EAfgAE///////////////+/////v////91cQB+AAcAAAADnrKqeHh3RQIeAAJIAgICeAIEAgUCBgIHAggCCQJMAgsCSQINAggCCAIIAggCCAIIAggCCAIIAggCCAIIAggCCAIIAggCCAITAgMCkXNxAH4AAAAAAAJzcQB+AAT///////////////7////+/////3VxAH4ABwAAAAMSZ2t4eHdFAh4AAkgCAgIfAgQCBQIGAgcCCAIJAkwCCwJJAg0CCAIIAggCCAIIAggCCAIIAggCCAIIAggCCAIIAggCCAIIAhMCAwKSc3EAfgAAAAAAAnNxAH4ABP///////////////v////7/////dXEAfgAHAAAAAxKat3h4d0UCHgACSAICAjECBAIFAgYCBwIIAgkCCgILAkkCDQIIAggCCAIIAggCCAIIAggCCAIIAggCCAIIAggCCAIIAggCEwIDApNzcQB+AAAAAAACc3EAfgAE///////////////+/////gAAAAF1cQB+AAcAAAAD/4leeHh3RQIeAAJIAgICIwIEAgUCBgIHAggCCQIKAgsCSQINAggCCAIIAggCCAIIAggCCAIIAggCCAIIAggCCAIIAggCCAITAgMClHNxAH4AAAAAAAJzcQB+AAT///////////////7////+/////3VxAH4ABwAAAAQQposkeHh3RQIeAAJIAgICTwIEAgUCBgIHAggCCQIKAgsCSQINAggCCAIIAggCCAIIAggCCAIIAggCCAIIAggCCAIIAggCCAITAgMClXNxAH4AAAAAAAJzcQB+AAT///////////////7////+/////3VxAH4ABwAAAAQBMmvPeHh3RQIeAAJIAgICSwIEAgUCBgIHAggCCQIKAgsCSQINAggCCAIIAggCCAIIAggCCAIIAggCCAIIAggCCAIIAggCCAITAgMClnNxAH4AAAAAAAJzcQB+AAT///////////////7////+/////3VxAH4ABwAAAAQEW5IQeHh3RQIeAAJIAgICGwIEAgUCBgIHAggCCQIKAgsCSQINAggCCAIIAggCCAIIAggCCAIIAggCCAIIAggCCAIIAggCCAITAgMCl3NxAH4AAAAAAAJzcQB+AAT///////////////7////+/////3VxAH4ABwAAAAQIvUgheHh3RQIeAAJIAgICAwIEAgUCBgIHAggCCQJMAgsCSQINAggCCAIIAggCCAIIAggCCAIIAggCCAIIAggCCAIIAggCCAITAgMCmHNxAH4AAAAAAAJzcQB+AAT///////////////7////+/////3VxAH4ABwAAAAMSksp4eHdFAh4AAkgCAgKCAgQCBQIGAgcCCAIJAgoCCwJJAg0CCAIIAggCCAIIAggCCAIIAggCCAIIAggCCAIIAggCCAIIAhMCAwKZc3EAfgAAAAAAAnNxAH4ABP///////////////v////7/////dXEAfgAHAAAABAEGlGB4eHdFAh4AAkgCAgJ7AgQCBQIGAgcCCAIJAjgCCwJJAg0CCAIIAggCCAIIAggCCAIIAggCCAIIAggCCAIIAggCCAIIAhMCAwKac3EAfgAAAAAAAnNxAH4ABP///////////////v////7/////dXEAfgAHAAAABBWstZ94eHeKAh4AAkgCAgIhAgQCBQIGAgcCCAIJAkwCCwJJAg0CCAIIAggCCAIIAggCCAIIAggCCAIIAggCCAIIAggCCAIIAhMCAwJQAh4AAkgCAgKFAgQCBQIGAgcCCAIJAjgCCwJJAg0CCAIIAggCCAIIAggCCAIIAggCCAIIAggCCAIIAggCCAIIAhMCAwKbc3EAfgAAAAAAAnNxAH4ABP///////////////v////7/////dXEAfgAHAAAABDO8lpJ4eHdFAh4AAkgCAgKFAgQCBQIGAgcCCAIJAkwCCwJJAg0CCAIIAggCCAIIAggCCAIIAggCCAIIAggCCAIIAggCCAIIAhMCAwKcc3EAfgAAAAAAAnNxAH4ABP///////////////v////7/////dXEAfgAHAAAAAxJzNXh4d0UCHgACSAICAl8CBAIFAgYCBwIIAgkCTAILAkkCDQIIAggCCAIIAggCCAIIAggCCAIIAggCCAIIAggCCAIIAggCEwIDAp1zcQB+AAAAAAACc3EAfgAE///////////////+/////v////91cQB+AAcAAAADEncleHh3RQIeAAJIAgICXwIEAgUCBgIHAggCCQI4AgsCSQINAggCCAIIAggCCAIIAggCCAIIAggCCAIIAggCCAIIAggCCAITAgMCnnNxAH4AAAAAAAJzcQB+AAT///////////////7////+/////3VxAH4ABwAAAAQ0mEcjeHh3RQIeAAJIAgICIwIEAgUCBgIHAggCCQI4AgsCSQINAggCCAIIAggCCAIIAggCCAIIAggCCAIIAggCCAIIAggCCAITAgMCn3NxAH4AAAAAAAJzcQB+AAT///////////////7////+/////3VxAH4ABwAAAAQpII+FeHh3RQIeAAJIAgICIQIEAgUCBgIHAggCCQI4AgsCSQINAggCCAIIAggCCAIIAggCCAIIAggCCAIIAggCCAIIAggCCAITAgMCoHNxAH4AAAAAAAJzcQB+AAT///////////////7////+/////3VxAH4ABwAAAAQcI3yQeHh3RQIeAAJIAgICAwIEAgUCBgIHAggCCQI4AgsCSQINAggCCAIIAggCCAIIAggCCAIIAggCCAIIAggCCAIIAggCCAITAgMCoXNxAH4AAAAAAAJzcQB+AAT///////////////7////+/////3VxAH4ABwAAAAQqJk8LeHh3RQIeAAJIAgICaQIEAgUCBgIHAggCCQIKAgsCSQINAggCCAIIAggCCAIIAggCCAIIAggCCAIIAggCCAIIAggCCAITAgMConNxAH4AAAAAAAJzcQB+AAT///////////////7////+/////3VxAH4ABwAAAAQBzUp3eHh3igIeAAJIAgICIwIEAgUCBgIHAggCCQJMAgsCSQINAggCCAIIAggCCAIIAggCCAIIAggCCAIIAggCCAIIAggCCAITAgMCUAIeAAJIAgICJwIEAgUCBgIHAggCCQIKAgsCSQINAggCCAIIAggCCAIIAggCCAIIAggCCAIIAggCCAIIAggCCAITAgMCo3NxAH4AAAAAAAJzcQB+AAT///////////////7////+/////3VxAH4ABwAAAAQBbUrSeHh3RQIeAAJIAgICUwIEAgUCBgIHAggCCQI4AgsCSQINAggCCAIIAggCCAIIAggCCAIIAggCCAIIAggCCAIIAggCCAITAgMCpHNxAH4AAAAAAAJzcQB+AAT///////////////7////+/////3VxAH4ABwAAAAQjxnj9eHh3RQIeAAJIAgICUwIEAgUCBgIHAggCCQJMAgsCSQINAggCCAIIAggCCAIIAggCCAIIAggCCAIIAggCCAIIAggCCAITAgMCpXNxAH4AAAAAAAJzcQB+AAT///////////////7////+/////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AAT///////////////7////+/////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AAAAAAACc3EAfgAE///////////////+/////v////91cQB+AAcAAAADBA6ueHh3RQIeAAKtAgICWQIEAgUCBgIHAggCCQIKAgsCDAINAggCCAIIAggCCAIIAggCCAIIAggCCAIIAggCCAIIAggCCAIYAgMCr3NxAH4AAAAAAAJzcQB+AAT///////////////7////+/////3VxAH4ABwAAAAQF6I5ueHh3igIeAAKtAgICKwIEAgUCBgIHAggCCQIKAgsCDAINAggCCAIIAggCCAIIAggCCAIIAggCCAIIAggCCAIIAggCCAIYAgMCLAIeAAKtAgICdQIEAgUCBgIHAggCCQKpAgsCDAINAggCCAIIAggCCAIIAggCCAIIAggCCAIIAggCCAIIAggCCAIYAgMCsHNxAH4AAAAAAAJzcQB+AAT///////////////7////+/////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v////7/////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AAAAAAACc3EAfgAE///////////////+/////v////91cQB+AAcAAAADBWT/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AAT///////////////7////+/////3VxAH4ABwAAAAMHjdR4eHdFAh4AAq0CAgJLAgQCBQIGAgcCCAIJAjgCCwIMAg0CCAIIAggCCAIIAggCCAIIAggCCAIIAggCCAIIAggCCAIIAhgCAwK0c3EAfgAAAAAAAnNxAH4ABP///////////////v////7/////dXEAfgAHAAAABDc49U94eHdFAh4AAq0CAgJWAgQCBQIGAgcCCAIJAgoCCwIMAg0CCAIIAggCCAIIAggCCAIIAggCCAIIAggCCAIIAggCCAIIAhgCAwK1c3EAfgAAAAAAAnNxAH4ABP///////////////v////7/////dXEAfgAHAAAABExDDhV4eHdFAh4AAq0CAgJTAgQCBQIGAgcCCAIJAgoCCwIMAg0CCAIIAggCCAIIAggCCAIIAggCCAIIAggCCAIIAggCCAIIAhgCAwK2c3EAfgAAAAAAAnNxAH4ABP///////////////v////7/////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v////7/////dXEAfgAHAAAABF1XUMl4eHeKAh4AAq0CAgIpAgQCBQIGAgcCCAIJAgoCCwIMAg0CCAIIAggCCAIIAggCCAIIAggCCAIIAggCCAIIAggCCAIIAhgCAwIqAh4AAq0CAgJZAgQCBQIGAgcCCAIJAjgCCwIMAg0CCAIIAggCCAIIAggCCAIIAggCCAIIAggCCAIIAggCCAIIAhgCAwK4c3EAfgAAAAAAAnNxAH4ABP///////////////v////7/////dXEAfgAHAAAABD37VuJ4eHeKAh4AAq0CAgIrAgQCBQIGAgcCCAIJAjgCCwIMAg0CCAIIAggCCAIIAggCCAIIAggCCAIIAggCCAIIAggCCAIIAhgCAwI/Ah4AAq0CAgInAgQCBQIGAgcCCAIJAqkCCwIMAg0CCAIIAggCCAIIAggCCAIIAggCCAIIAggCCAIIAggCCAIIAhgCAwK5c3EAfgAAAAAAAnNxAH4ABP///////////////v////7/////dXEAfgAHAAAAAwRDenh4d0UCHgACrQICAnsCBAIFAgYCBwIIAgkCCgILAgwCDQIIAggCCAIIAggCCAIIAggCCAIIAggCCAIIAggCCAIIAggCGAIDArpzcQB+AAAAAAACc3EAfgAE///////////////+/////v////91cQB+AAcAAAAEO4uIvXh4d0UCHgACrQICAoUCBAIFAgYCBwIIAgkCCgILAgwCDQIIAggCCAIIAggCCAIIAggCCAIIAggCCAIIAggCCAIIAggCGAIDArtzcQB+AAAAAAACc3EAfgAE///////////////+/////v////91cQB+AAcAAAAEAhunbnh4d0UCHgACrQICAoICBAIFAgYCBwIIAgkCqQILAgwCDQIIAggCCAIIAggCCAIIAggCCAIIAggCCAIIAggCCAIIAggCGAIDArxzcQB+AAAAAAACc3EAfgAE///////////////+/////v////91cQB+AAcAAAADCZ5/eHh3igIeAAKtAgICMwIEAgUCBgIHAggCCQI4AgsCDAINAggCCAIIAggCCAIIAggCCAIIAggCCAIIAggCCAIIAggCCAIYAgMCQQIeAAKtAgICMQIEAgUCBgIHAggCCQKpAgsCDAINAggCCAIIAggCCAIIAggCCAIIAggCCAIIAggCCAIIAggCCAIYAgMCvXNxAH4AAAAAAAJzcQB+AAT///////////////7////+/////3VxAH4ABwAAAAMEJQl4eHdFAh4AAq0CAgJWAgQCBQIGAgcCCAIJAjgCCwIMAg0CCAIIAggCCAIIAggCCAIIAggCCAIIAggCCAIIAggCCAIIAhgCAwK+c3EAfgAAAAAAAnNxAH4ABP///////////////v////7/////dXEAfgAHAAAABBJUFap4eHdFAh4AAq0CAgIbAgQCBQIGAgcCCAIJAqkCCwIMAg0CCAIIAggCCAIIAggCCAIIAggCCAIIAggCCAIIAggCCAIIAhgCAwK/c3EAfgAAAAAAAnNxAH4ABP///////////////v////7/////dXEAfgAHAAAAAwSrl3h4d0UCHgACrQICAksCBAIFAgYCBwIIAgkCqQILAgwCDQIIAggCCAIIAggCCAIIAggCCAIIAggCCAIIAggCCAIIAggCGAIDAsBzcQB+AAAAAAACc3EAfgAE///////////////+/////v////91cQB+AAcAAAADEhXLeHh3igIeAAKtAgICLQIEAgUCBgIHAggCCQIKAgsCDAINAggCCAIIAggCCAIIAggCCAIIAggCCAIIAggCCAIIAggCCAIYAgMCLgIeAAKtAgICeAIEAgUCBgIHAggCCQIKAgsCDAINAggCCAIIAggCCAIIAggCCAIIAggCCAIIAggCCAIIAggCCAIYAgMCwXNxAH4AAAAAAAJzcQB+AAT///////////////7////+/////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AAT///////////////7////+/////3VxAH4ABwAAAAMFP694eHdFAh4AAq0CAgJ4AgQCBQIGAgcCCAIJAjgCCwIMAg0CCAIIAggCCAIIAggCCAIIAggCCAIIAggCCAIIAggCCAIIAhgCAwLDc3EAfgAAAAAAAnNxAH4ABP///////////////v////7/////dXEAfgAHAAAABFSIS5t4eHeKAh4AAq0CAgIvAgQCBQIGAgcCCAIJAgoCCwIMAg0CCAIIAggCCAIIAggCCAIIAggCCAIIAggCCAIIAggCCAIIAhgCAwIwAh4AAq0CAgJTAgQCBQIGAgcCCAIJAqkCCwIMAg0CCAIIAggCCAIIAggCCAIIAggCCAIIAggCCAIIAggCCAIIAhgCAwLEc3EAfgAAAAAAAnNxAH4ABP///////////////v////7/////dXEAfgAHAAAAAwzG/nh4d4oCHgACrQICAjECBAIFAgYCBwIIAgkCCgILAgwCDQIIAggCCAIIAggCCAIIAggCCAIIAggCCAIIAggCCAIIAggCGAIDAjICHgACrQICAisCBAIFAgYCBwIIAgkCqQILAgwCDQIIAggCCAIIAggCCAIIAggCCAIIAggCCAIIAggCCAIIAggCGAIDAsVzcQB+AAAAAAACc3EAfgAE///////////////+/////v////91cQB+AAcAAAADBHSNeHh3RQIeAAKtAgICewIEAgUCBgIHAggCCQI4AgsCDAINAggCCAIIAggCCAIIAggCCAIIAggCCAIIAggCCAIIAggCCAIYAgMCxnNxAH4AAAAAAAJzcQB+AAT///////////////7////+/////3VxAH4ABwAAAAQoo9pZeHh3RQIeAAKtAgICaQIEAgUCBgIHAggCCQI4AgsCDAINAggCCAIIAggCCAIIAggCCAIIAggCCAIIAggCCAIIAggCCAIYAgMCx3NxAH4AAAAAAAJzcQB+AAT///////////////7////+/////3VxAH4ABwAAAARMKwuAeHh3igIeAAKtAgICJwIEAgUCBgIHAggCCQI4AgsCDAINAggCCAIIAggCCAIIAggCCAIIAggCCAIIAggCCAIIAggCCAIYAgMCPgIeAAKtAgICggIEAgUCBgIHAggCCQIKAgsCDAINAggCCAIIAggCCAIIAggCCAIIAggCCAIIAggCCAIIAggCCAIYAgMCyHNxAH4AAAAAAAJzcQB+AAT///////////////7////+/////3VxAH4ABwAAAAQDNpKZeHh3RQIeAAKtAgICggIEAgUCBgIHAggCCQI4AgsCDAINAggCCAIIAggCCAIIAggCCAIIAggCCAIIAggCCAIIAggCCAIYAgMCyXNxAH4AAAAAAAJzcQB+AAT///////////////7////+/////3VxAH4ABwAAAARaL7WteHh3RQIeAAKtAgICVgIEAgUCBgIHAggCCQKpAgsCDAINAggCCAIIAggCCAIIAggCCAIIAggCCAIIAggCCAIIAggCCAIYAgMCynNxAH4AAAAAAAJzcQB+AAT///////////////7////+/////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v////7/////dXEAfgAHAAAAAwuCrXh4d0UCHgACrQICAgMCBAIFAgYCBwIIAgkCqQILAgwCDQIIAggCCAIIAggCCAIIAggCCAIIAggCCAIIAggCCAIIAggCGAIDAsxzcQB+AAAAAAACc3EAfgAE///////////////+/////v////91cQB+AAcAAAADBFYreHh3igIeAAKtAgICIwIEAgUCBgIHAggCCQIKAgsCDAINAggCCAIIAggCCAIIAggCCAIIAggCCAIIAggCCAIIAggCCAIYAgMCJAIeAAKtAgICdQIEAgUCBgIHAggCCQIKAgsCDAINAggCCAIIAggCCAIIAggCCAIIAggCCAIIAggCCAIIAggCCAIYAgMCzXNxAH4AAAAAAAJzcQB+AAT///////////////7////+/////3VxAH4ABwAAAAQCvT+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AAT///////////////7////+/////3VxAH4ABwAAAAME+2h4eHdFAh4AAq0CAgJfAgQCBQIGAgcCCAIJAjgCCwIMAg0CCAIIAggCCAIIAggCCAIIAggCCAIIAggCCAIIAggCCAIIAhgCAwLPc3EAfgAAAAAAAnNxAH4ABP///////////////v////7/////dXEAfgAHAAAABGKNyxZ4eHdFAh4AAq0CAgIfAgQCBQIGAgcCCAIJAqkCCwIMAg0CCAIIAggCCAIIAggCCAIIAggCCAIIAggCCAIIAggCCAIIAhgCAwLQc3EAfgAAAAAAAnNxAH4ABP///////////////v////7/////dXEAfgAHAAAAAwQ0OHh4d0UCHgACrQICAnsCBAIFAgYCBwIIAgkCqQILAgwCDQIIAggCCAIIAggCCAIIAggCCAIIAggCCAIIAggCCAIIAggCGAIDAtFzcQB+AAAAAAACc3EAfgAE///////////////+/////v////91cQB+AAcAAAADBtyTeHh3igIeAAKtAgICJwIEAgUCBgIHAggCCQIKAgsCDAINAggCCAIIAggCCAIIAggCCAIIAggCCAIIAggCCAIIAggCCAIYAgMCKAIeAAKtAgICeAIEAgUCBgIHAggCCQKpAgsCDAINAggCCAIIAggCCAIIAggCCAIIAggCCAIIAggCCAIIAggCCAIYAgMC0nNxAH4AAAAAAAJzcQB+AAT///////////////7////+/////3VxAH4ABwAAAAMKgFR4eHdFAh4AAq0CAgKFAgQCBQIGAgcCCAIJAjgCCwIMAg0CCAIIAggCCAIIAggCCAIIAggCCAIIAggCCAIIAggCCAIIAhgCAwLTc3EAfgAAAAAAAnNxAH4ABP///////////////v////7/////dXEAfgAHAAAABGExCBR4eHdFAh4AAq0CAgJpAgQCBQIGAgcCCAIJAgoCCwIMAg0CCAIIAggCCAIIAggCCAIIAggCCAIIAggCCAIIAggCCAIIAhgCAwLUc3EAfgAAAAAAAnNxAH4ABP///////////////v////7/////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v////7/////dXEAfgAHAAAABAgl/7F4eHeKAh4AAq0CAgIbAgQCBQIGAgcCCAIJAgoCCwIMAg0CCAIIAggCCAIIAggCCAIIAggCCAIIAggCCAIIAggCCAIIAhgCAwIcAh4AAq0CAgItAgQCBQIGAgcCCAIJAqkCCwIMAg0CCAIIAggCCAIIAggCCAIIAggCCAIIAggCCAIIAggCCAIIAhgCAwLWc3EAfgAAAAAAAnNxAH4ABP///////////////v////7/////dXEAfgAHAAAAAwPcq3h4d0UCHgACrQICAlkCBAIFAgYCBwIIAgkCqQILAgwCDQIIAggCCAIIAggCCAIIAggCCAIIAggCCAIIAggCCAIIAggCGAIDAtdzcQB+AAAAAAACc3EAfgAE///////////////+/////v////91cQB+AAcAAAADDoPdeHh3RQIeAAKtAgICUwIEAgUCBgIHAggCCQI4AgsCDAINAggCCAIIAggCCAIIAggCCAIIAggCCAIIAggCCAIIAggCCAIYAgMC2HNxAH4AAAAAAAJzcQB+AAT///////////////7////+/////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AAT///////////////7////+/////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v////7/////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v////7/////dXEAfgAHAAAABARKQZV4eHeKAh4AAtkCAgIDAgQCBQIGAgcCCAIJAqkCCwIMAg0CCAIIAggCCAIIAggCCAIIAggCCAIIAggCCAIIAggCCAIIAhICAwLMAh4AAtkCAgJPAgQCBQIGAgcCCAIJAjgCCwIMAg0CCAIIAggCCAIIAggCCAIIAggCCAIIAggCCAIIAggCCAIIAhICAwLdc3EAfgAAAAAAAnNxAH4ABP///////////////v////7/////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Ah4AAuACAgIbAgQCBQIGAgcCCAIJAqkCCwIMAg0CCAIIAggCCAIIAggCCAIIAggCCAIIAggCCAIIAggCCAIIAhQCAwK/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xxe4awand>
</file>

<file path=customXml/item5.xml><?xml version="1.0" encoding="utf-8"?>
<xxe4awand xmlns="http://www.excel4apps.com"><![CDATA[rO0ABXfZCMCtii8ABGcGAh4AAERjb20uZXhjZWw0YXBwcy53YW5kLm9yYWNsZS5n
bHdhbmQuY2FsY3VsYXRpb25zLmdldGJhbGFuY2UuR2V0QmFsYW5jZQIBAAk3MDMy
MDIxMTICAgABMAIDAAYyMDE4MDM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DlPJjHh4d00CHgACAQICAhsABjIwMTcwMgIEAgUCBgIHAggCCQIKAgsCDAIN
AggCCAIIAggCCAIIAggCCAIIAggCCAIIAggCCAIIAggCCAIEAgMCHHNxAH4AAAAA
AAJzcQB+AAT///////////////7////+/////3VxAH4ABwAAAAQbRzHTeHh3TQIeAAIBAgICHQAGMjAxNzA2AgQCBQIGAgcCCAIJAgoCCwIMAg0CCAIIAggCCAIIAggCCAIIAggCCAIIAggCCAIIAggCCAIIAgQCAwIec3EAfgAAAAAAAnNxAH4ABP///////////////v////7/////dXEAfgAHAAAABAPdTSB4eHdNAh4AAgECAgIfAAYyMDE3MTECBAIFAgYCBwIIAgkCCgILAgwCDQIIAggCCAIIAggCCAIIAggCCAIIAggCCAIIAggCCAIIAggCBAIDAiBzcQB+AAAAAAACc3EAfgAE///////////////+/////v////91cQB+AAcAAAAERLpXvHh4d00CHgACAQICAiEABjIwMTgwNQIEAgUCBgIHAggCCQIKAgsCDAINAggCCAIIAggCCAIIAggCCAIIAggCCAIIAggCCAIIAggCCAIEAgMCInNxAH4AAAAAAAJzcQB+AAT///////////////7////+/////3VxAH4ABwAAAAQESkGVeHh3TQIeAAIBAgICIwAGMjAxODAxAgQCBQIGAgcCCAIJAgoCCwIMAg0CCAIIAggCCAIIAggCCAIIAggCCAIIAggCCAIIAggCCAIIAgQCAwIkc3EAfgAAAAAAAnNxAH4ABP///////////////v////7/////dXEAfgAHAAAABCZxo1d4eHdNAh4AAgECAgIlAAYyMDE3MDgCBAIFAgYCBwIIAgkCCgILAgwCDQIIAggCCAIIAggCCAIIAggCCAIIAggCCAIIAggCCAIIAggCBAIDAiZzcQB+AAAAAAACc3EAfgAE///////////////+/////v////91cQB+AAcAAAADMpTWeHh3TQIeAAIBAgICJwAGMjAxNzA0AgQCBQIGAgcCCAIJAgoCCwIMAg0CCAIIAggCCAIIAggCCAIIAggCCAIIAggCCAIIAggCCAIIAgQCAwIoc3EAfgAAAAAAAnNxAH4ABP///////////////v////7/////dXEAfgAHAAAABAnwakZ4eHdNAh4AAgECAgIpAAYyMDE3MDMCBAIFAgYCBwIIAgkCCgILAgwCDQIIAggCCAIIAggCCAIIAggCCAIIAggCCAIIAggCCAIIAggCBAIDAipzcQB+AAAAAAACc3EAfgAE///////////////+/////v////91cQB+AAcAAAAEEP3yI3h4d00CHgACAQICAisABjIwMTgwNAIEAgUCBgIHAggCCQIKAgsCDAINAggCCAIIAggCCAIIAggCCAIIAggCCAIIAggCCAIIAggCCAIEAgMCLHNxAH4AAAAAAAJzcQB+AAT///////////////7////+/////3VxAH4ABwAAAAQHGT+ZeHh3TQIeAAIBAgICLQAGMjAxNzEyAgQCBQIGAgcCCAIJAgoCCwIMAg0CCAIIAggCCAIIAggCCAIIAggCCAIIAggCCAIIAggCCAIIAgQCAwIuc3EAfgAAAAAAAnNxAH4ABP///////////////v////7/////dXEAfgAHAAAABDRJviN4eHdNAh4AAgECAgIvAAYyMDE3MDcCBAIFAgYCBwIIAgkCCgILAgwCDQIIAggCCAIIAggCCAIIAggCCAIIAggCCAIIAggCCAIIAggCBAIDAjBzcQB+AAAAAAACc3EAfgAE///////////////+/////v////91cQB+AAcAAAAEAgr29Hh4d00CHgACAQICAjEABjIwMTcxMAIEAgUCBgIHAggCCQIKAgsCDAINAggCCAIIAggCCAIIAggCCAIIAggCCAIIAggCCAIIAggCCAIEAgMCMnNxAH4AAAAAAAJzcQB+AAT///////////////7////+AAAAAXVxAH4ABwAAAAQJDRX9eHh3TQIeAAIBAgICMwAGMjAxNzA5AgQCBQIGAgcCCAIJAgoCCwIMAg0CCAIIAggCCAIIAggCCAIIAggCCAIIAggCCAIIAggCCAIIAgQCAwI0c3EAfgAAAAAAAnNxAH4ABP///////////////v////4AAAABdXEAfgAHAAAABAKOsKB4eHdNAh4AAgECAgI1AAYyMDE3MDUCBAIFAgYCBwIIAgkCCgILAgwCDQIIAggCCAIIAggCCAIIAggCCAIIAggCCAIIAggCCAIIAggCBAIDAjZzcQB+AAAAAAACc3EAfgAE///////////////+/////v////91cQB+AAcAAAAEBiEYhXh4d00CHgACAQICAjcABjIwMTcwMQIEAgUCBgIHAggCCQIKAgsCDAINAggCCAIIAggCCAIIAggCCAIIAggCCAIIAggCCAIIAggCCAIEAgMCOHNxAH4AAAAAAAJzcQB+AAT///////////////7////+/////3VxAH4ABwAAAAQo6Ya2eHh3TQIeAAIBAgICOQAGMjAxODA2AgQCBQIGAgcCCAIJAgoCCwIMAg0CCAIIAggCCAIIAggCCAIIAggCCAIIAggCCAIIAggCCAIIAgQCAwI6c3EAfgAAAAAAAnNxAH4ABP///////////////v////7/////dXEAfgAHAAAABAHuetZ4eHdNAh4AAgECAgI7AAYyMDE4MDICBAIFAgYCBwIIAgkCCgILAgwCDQIIAggCCAIIAggCCAIIAggCCAIIAggCCAIIAggCCAIIAggCBAIDAjxzcQB+AAAAAAACc3EAfgAE///////////////+/////v////91cQB+AAcAAAAEGWLnZXh4d1wCHgACPQAJMzk2ODA5MTA0AgICIwIEAgUCBgIHAggCCQI+AAYxOTEwMTUCCwI/AAJJRAINAggCCAIIAggCCAIIAggCCAIIAggCCAIIAggCCAIIAggCCAIfAgMCQHNxAH4AAAAAAAJzcQB+AAT///////////////7////+AAAAAHVxAH4ABwAAAAB4eHdNAh4AAj0CAgJBAAYyMDE2MDgCBAIFAgYCBwIIAgkCPgILAj8CDQIIAggCCAIIAggCCAIIAggCCAIIAggCCAIIAggCCAIIAggCHwIDAkJzcQB+AAAAAAACc3EAfgAE///////////////+/////v////91cQB+AAcAAAADEm9GeHh3VQIeAAI9AgICQwAGMjAxNjA5AgQCBQIGAgcCCAIJAkQABjE5MTAxMAILAj8CDQIIAggCCAIIAggCCAIIAggCCAIIAggCCAIIAggCCAIIAggCHwIDAkVzcQB+AAAAAAACc3EAfgAE///////////////+/////v////91cQB+AAcAAAAEM7yWknh4d0UCHgACPQICAjMCBAIFAgYCBwIIAgkCPgILAj8CDQIIAggCCAIIAggCCAIIAggCCAIIAggCCAIIAggCCAIIAggCHwIDAkZzcQB+AAAAAAACc3EAfgAE///////////////+/////v////91cQB+AAcAAAADEqKoeHh3RQIeAAI9AgICKQIEAgUCBgIHAggCCQIKAgsCPwINAggCCAIIAggCCAIIAggCCAIIAggCCAIIAggCCAIIAggCCAIfAgMCR3NxAH4AAAAAAAJzcQB+AAT///////////////7////+/////3VxAH4ABwAAAAQIvUgheHh3TQIeAAI9AgICSAAGMjAxNjAyAgQCBQIGAgcCCAIJAgoCCwI/Ag0CCAIIAggCCAIIAggCCAIIAggCCAIIAggCCAIIAggCCAIIAh8CAwJJc3EAfgAAAAAAAnNxAH4ABP///////////////v////7/////dXEAfgAHAAAABARbkhB4eHdFAh4AAj0CAgI7AgQCBQIGAgcCCAIJAkQCCwI/Ag0CCAIIAggCCAIIAggCCAIIAggCCAIIAggCCAIIAggCCAIIAh8CAwJKc3EAfgAAAAAAAnNxAH4ABP///////////////v////7/////dXEAfgAHAAAABClGhLZ4eHdFAh4AAj0CAgIzAgQCBQIGAgcCCAIJAkQCCwI/Ag0CCAIIAggCCAIIAggCCAIIAggCCAIIAggCCAIIAggCCAIIAh8CAwJLc3EAfgAAAAAAAnNxAH4ABP///////////////v////7/////dXEAfgAHAAAABDlFLv54eHdFAh4AAj0CAgI3AgQCBQIGAgcCCAIJAkQCCwI/Ag0CCAIIAggCCAIIAggCCAIIAggCCAIIAggCCAIIAggCCAIIAh8CAwJMc3EAfgAAAAAAAnNxAH4ABP///////////////v////7/////dXEAfgAHAAAABB2x+kx4eHdFAh4AAj0CAgJDAgQCBQIGAgcCCAIJAj4CCwI/Ag0CCAIIAggCCAIIAggCCAIIAggCCAIIAggCCAIIAggCCAIIAh8CAwJNc3EAfgAAAAAAAnNxAH4ABP///////////////v////7/////dXEAfgAHAAAAAxJzNXh4d0UCHgACPQICAhsCBAIFAgYCBwIIAgkCRAILAj8CDQIIAggCCAIIAggCCAIIAggCCAIIAggCCAIIAggCCAIIAggCHwIDAk5zcQB+AAAAAAACc3EAfgAE///////////////+/////v////91cQB+AAcAAAAEIgqsMXh4d00CHgACPQICAk8ABjIwMTYwMwIEAgUCBgIHAggCCQIKAgsCPwINAggCCAIIAggCCAIIAggCCAIIAggCCAIIAggCCAIIAggCCAIfAgMCUHNxAH4AAAAAAAJzcQB+AAT///////////////7////+/////3VxAH4ABwAAAAQC+0uLeHh3RQIeAAI9AgICJwIEAgUCBgIHAggCCQIKAgsCPwINAggCCAIIAggCCAIIAggCCAIIAggCCAIIAggCCAIIAggCCAIfAgMCUXNxAH4AAAAAAAJzcQB+AAT///////////////7////+/////3VxAH4ABwAAAAQFBKNBeHh3RQIeAAI9AgICAwIEAgUCBgIHAggCCQJEAgsCPwINAggCCAIIAggCCAIIAggCCAIIAggCCAIIAggCCAIIAggCCAIfAgMCUnNxAH4AAAAAAAJzcQB+AAT///////////////7////+/////3VxAH4ABwAAAAQqwrH4eHh3RQIeAAI9AgICHwIEAgUCBgIHAggCCQIKAgsCPwINAggCCAIIAggCCAIIAggCCAIIAggCCAIIAggCCAIIAggCCAIfAgMCU3NxAH4AAAAAAAJzcQB+AAT///////////////7////+/////3VxAH4ABwAAAAQewHRseHh3RQIeAAI9AgICSAIEAgUCBgIHAggCCQJEAgsCPwINAggCCAIIAggCCAIIAggCCAIIAggCCAIIAggCCAIIAggCCAIfAgMCVHNxAH4AAAAAAAJzcQB+AAT///////////////7////+/////3VxAH4ABwAAAAQbsx5ceHh3igIeAAI9AgICAwIEAgUCBgIHAggCCQI+AgsCPwINAggCCAIIAggCCAIIAggCCAIIAggCCAIIAggCCAIIAggCCAIfAgMCQAIeAAI9AgICQQIEAgUCBgIHAggCCQIKAgsCPwINAggCCAIIAggCCAIIAggCCAIIAggCCAIIAggCCAIIAggCCAIfAgMCVXNxAH4AAAAAAAJzcQB+AAT///////////////7////+/////3VxAH4ABwAAAAOesqp4eHdFAh4AAj0CAgIpAgQCBQIGAgcCCAIJAkQCCwI/Ag0CCAIIAggCCAIIAggCCAIIAggCCAIIAggCCAIIAggCCAIIAh8CAwJWc3EAfgAAAAAAAnNxAH4ABP///////////////v////7/////dXEAfgAHAAAABCZ4H3F4eHdNAh4AAj0CAgJXAAYyMDE2MTACBAIFAgYCBwIIAgkCCgILAj8CDQIIAggCCAIIAggCCAIIAggCCAIIAggCCAIIAggCCAIIAggCHwIDAlhzcQB+AAAAAAACc3EAfgAE///////////////+/////gAAAAF1cQB+AAcAAAADuXJ8eHh3RQIeAAI9AgICGwIEAgUCBgIHAggCCQI+AgsCPwINAggCCAIIAggCCAIIAggCCAIIAggCCAIIAggCCAIIAggCCAIfAgMCWXNxAH4AAAAAAAJzcQB+AAT///////////////7////+/////3VxAH4ABwAAAAMShut4eHdNAh4AAj0CAgJaAAYyMDE2MDcCBAIFAgYCBwIIAgkCRAILAj8CDQIIAggCCAIIAggCCAIIAggCCAIIAggCCAIIAggCCAIIAggCHwIDAltzcQB+AAAAAAACc3EAfgAE///////////////+/////v////91cQB+AAcAAAAELv3gknh4d00CHgACPQICAlwABjIwMTYxMgIEAgUCBgIHAggCCQI+AgsCPwINAggCCAIIAggCCAIIAggCCAIIAggCCAIIAggCCAIIAggCCAIfAgMCXXNxAH4AAAAAAAJzcQB+AAT///////////////7////+/////3VxAH4ABwAAAAMSfwZ4eHdFAh4AAj0CAgIzAgQCBQIGAgcCCAIJAgoCCwI/Ag0CCAIIAggCCAIIAggCCAIIAggCCAIIAggCCAIIAggCCAIIAh8CAwJec3EAfgAAAAAAAnNxAH4ABP///////////////v////4AAAABdXEAfgAHAAAABAJaEtJ4eHdFAh4AAj0CAgItAgQCBQIGAgcCCAIJAgoCCwI/Ag0CCAIIAggCCAIIAggCCAIIAggCCAIIAggCCAIIAggCCAIIAh8CAwJfc3EAfgAAAAAAAnNxAH4ABP///////////////v////7/////dXEAfgAHAAAABBa3qKJ4eHdFAh4AAj0CAgI3AgQCBQIGAgcCCAIJAgoCCwI/Ag0CCAIIAggCCAIIAggCCAIIAggCCAIIAggCCAIIAggCCAIIAh8CAwJgc3EAfgAAAAAAAnNxAH4ABP///////////////v////7/////dXEAfgAHAAAABBQ694N4eHdFAh4AAj0CAgI7AgQCBQIGAgcCCAIJAgoCCwI/Ag0CCAIIAggCCAIIAggCCAIIAggCCAIIAggCCAIIAggCCAIIAh8CAwJhc3EAfgAAAAAAAnNxAH4ABP///////////////v////7/////dXEAfgAHAAAABAor0+d4eHdFAh4AAj0CAgJaAgQCBQIGAgcCCAIJAj4CCwI/Ag0CCAIIAggCCAIIAggCCAIIAggCCAIIAggCCAIIAggCCAIIAh8CAwJic3EAfgAAAAAAAnNxAH4ABP///////////////v////7/////dXEAfgAHAAAAAxJrWHh4d00CHgACPQICAmMABjIwMTYwNQIEAgUCBgIHAggCCQIKAgsCPwINAggCCAIIAggCCAIIAggCCAIIAggCCAIIAggCCAIIAggCCAIfAgMCZHNxAH4AAAAAAAJzcQB+AAT///////////////7////+/////3VxAH4ABwAAAAQBzUp3eHh3RQIeAAI9AgICJQIEAgUCBgIHAggCCQI+AgsCPwINAggCCAIIAggCCAIIAggCCAIIAggCCAIIAggCCAIIAggCCAIfAgMCZXNxAH4AAAAAAAJzcQB+AAT///////////////7////+/////3VxAH4ABwAAAAMSnq94eHdFAh4AAj0CAgIfAgQCBQIGAgcCCAIJAkQCCwI/Ag0CCAIIAggCCAIIAggCCAIIAggCCAIIAggCCAIIAggCCAIIAh8CAwJmc3EAfgAAAAAAAnNxAH4ABP///////////////v////7/////dXEAfgAHAAAABBwjfJB4eHdFAh4AAj0CAgIjAgQCBQIGAgcCCAIJAkQCCwI/Ag0CCAIIAggCCAIIAggCCAIIAggCCAIIAggCCAIIAggCCAIIAh8CAwJnc3EAfgAAAAAAAnNxAH4ABP///////////////v////7/////dXEAfgAHAAAABCkgj4V4eHdFAh4AAj0CAgIlAgQCBQIGAgcCCAIJAkQCCwI/Ag0CCAIIAggCCAIIAggCCAIIAggCCAIIAggCCAIIAggCCAIIAh8CAwJoc3EAfgAAAAAAAnNxAH4ABP///////////////v////7/////dXEAfgAHAAAABDQ5VOh4eHdNAh4AAj0CAgJpAAYyMDE2MDQCBAIFAgYCBwIIAgkCPgILAj8CDQIIAggCCAIIAggCCAIIAggCCAIIAggCCAIIAggCCAIIAggCHwIDAmpzcQB+AAAAAAACc3EAfgAE///////////////+/////v////91cQB+AAcAAAADEl+UeHh3RQIeAAI9AgICHQIEAgUCBgIHAggCCQIKAgsCPwINAggCCAIIAggCCAIIAggCCAIIAggCCAIIAggCCAIIAggCCAIfAgMCa3NxAH4AAAAAAAJzcQB+AAT///////////////7////+/////3VxAH4ABwAAAAQBbUrSeHh3igIeAAI9AgICHwIEAgUCBgIHAggCCQI+AgsCPwINAggCCAIIAggCCAIIAggCCAIIAggCCAIIAggCCAIIAggCCAIfAgMCQAIeAAI9AgICVwIEAgUCBgIHAggCCQI+AgsCPwINAggCCAIIAggCCAIIAggCCAIIAggCCAIIAggCCAIIAggCCAIfAgMCbHNxAH4AAAAAAAJzcQB+AAT///////////////7////+/////3VxAH4ABwAAAAMSdyV4eHdFAh4AAj0CAgIvAgQCBQIGAgcCCAIJAgoCCwI/Ag0CCAIIAggCCAIIAggCCAIIAggCCAIIAggCCAIIAggCCAIIAh8CAwJtc3EAfgAAAAAAAnNxAH4ABP///////////////v////7/////dXEAfgAHAAAAA064Cnh4d00CHgACPQICAm4ABjIwMTYwNgIEAgUCBgIHAggCCQIKAgsCPwINAggCCAIIAggCCAIIAggCCAIIAggCCAIIAggCCAIIAggCCAIfAgMCb3NxAH4AAAAAAAJzcQB+AAT///////////////7////+/////3VxAH4ABwAAAAQBZMryeHh3RQIeAAI9AgICNQIEAgUCBgIHAggCCQJEAgsCPwINAggCCAIIAggCCAIIAggCCAIIAggCCAIIAggCCAIIAggCCAIfAgMCcHNxAH4AAAAAAAJzcQB+AAT///////////////7////+/////3VxAH4ABwAAAAQqJk8LeHh3RQIeAAI9AgICaQIEAgUCBgIHAggCCQJEAgsCPwINAggCCAIIAggCCAIIAggCCAIIAggCCAIIAggCCAIIAggCCAIfAgMCcXNxAH4AAAAAAAJzcQB+AAT///////////////7////+/////3VxAH4ABwAAAAQjxnj9eHh3RQIeAAI9AgICLQIEAgUCBgIHAggCCQJEAgsCPwINAggCCAIIAggCCAIIAggCCAIIAggCCAIIAggCCAIIAggCCAIfAgMCcnNxAH4AAAAAAAJzcQB+AAT///////////////7////+/////3VxAH4ABwAAAAQkNG30eHh3RQIeAAI9AgICXAIEAgUCBgIHAggCCQIKAgsCPwINAggCCAIIAggCCAIIAggCCAIIAggCCAIIAggCCAIIAggCCAIfAgMCc3NxAH4AAAAAAAJzcQB+AAT///////////////7////+/////3VxAH4ABwAAAAQdEKl0eHh3RQIeAAI9AgICNQIEAgUCBgIHAggCCQI+AgsCPwINAggCCAIIAggCCAIIAggCCAIIAggCCAIIAggCCAIIAggCCAIfAgMCdHNxAH4AAAAAAAJzcQB+AAT///////////////7////+/////3VxAH4ABwAAAAMSksp4eHdFAh4AAj0CAgInAgQCBQIGAgcCCAIJAj4CCwI/Ag0CCAIIAggCCAIIAggCCAIIAggCCAIIAggCCAIIAggCCAIIAh8CAwJ1c3EAfgAAAAAAAnNxAH4ABP///////////////v////7/////dXEAfgAHAAAAAxKO1Hh4d0UCHgACPQICAlcCBAIFAgYCBwIIAgkCRAILAj8CDQIIAggCCAIIAggCCAIIAggCCAIIAggCCAIIAggCCAIIAggCHwIDAnZzcQB+AAAAAAACc3EAfgAE///////////////+/////v////91cQB+AAcAAAAENJhHI3h4d0UCHgACPQICAk8CBAIFAgYCBwIIAgkCPgILAj8CDQIIAggCCAIIAggCCAIIAggCCAIIAggCCAIIAggCCAIIAggCHwIDAndzcQB+AAAAAAACc3EAfgAE///////////////+/////v////91cQB+AAcAAAADElupeHh3RQIeAAI9AgICWgIEAgUCBgIHAggCCQIKAgsCPwINAggCCAIIAggCCAIIAggCCAIIAggCCAIIAggCCAIIAggCCAIfAgMCeHNxAH4AAAAAAAJzcQB+AAT///////////////7////+/////3VxAH4ABwAAAAQBBpRgeHh3RQIeAAI9AgICJQIEAgUCBgIHAggCCQIKAgsCPwINAggCCAIIAggCCAIIAggCCAIIAggCCAIIAggCCAIIAggCCAIfAgMCeXNxAH4AAAAAAAJzcQB+AAT///////////////7////+AAAAAXVxAH4ABwAAAAP/iV54eHdNAh4AAj0CAgJ6AAYyMDE2MTECBAIFAgYCBwIIAgkCCgILAj8CDQIIAggCCAIIAggCCAIIAggCCAIIAggCCAIIAggCCAIIAggCHwIDAntzcQB+AAAAAAACc3EAfgAE///////////////+/////v////91cQB+AAcAAAAEJZDR+3h4d0UCHgACPQICAmMCBAIFAgYCBwIIAgkCRAILAj8CDQIIAggCCAIIAggCCAIIAggCCAIIAggCCAIIAggCCAIIAggCHwIDAnxzcQB+AAAAAAACc3EAfgAE///////////////+/////v////91cQB+AAcAAAAEJi8ywnh4d0UCHgACPQICAlwCBAIFAgYCBwIIAgkCRAILAj8CDQIIAggCCAIIAggCCAIIAggCCAIIAggCCAIIAggCCAIIAggCHwIDAn1zcQB+AAAAAAACc3EAfgAE///////////////+/////v////91cQB+AAcAAAAEFay1n3h4d0UCHgACPQICAh0CBAIFAgYCBwIIAgkCRAILAj8CDQIIAggCCAIIAggCCAIIAggCCAIIAggCCAIIAggCCAIIAggCHwIDAn5zcQB+AAAAAAACc3EAfgAE///////////////+/////v////91cQB+AAcAAAAEKgtGIXh4d0UCHgACPQICAjECBAIFAgYCBwIIAgkCPgILAj8CDQIIAggCCAIIAggCCAIIAggCCAIIAggCCAIIAggCCAIIAggCHwIDAn9zcQB+AAAAAAACc3EAfgAE///////////////+/////v////91cQB+AAcAAAADEqaieHh3RQIeAAI9AgICMQIEAgUCBgIHAggCCQJEAgsCPwINAggCCAIIAggCCAIIAggCCAIIAggCCAIIAggCCAIIAggCCAIfAgMCgHNxAH4AAAAAAAJzcQB+AAT///////////////7////+/////3VxAH4ABwAAAARDRE3geHh3RQIeAAI9AgICKQIEAgUCBgIHAggCCQI+AgsCPwINAggCCAIIAggCCAIIAggCCAIIAggCCAIIAggCCAIIAggCCAIfAgMCgXNxAH4AAAAAAAJzcQB+AAT///////////////7////+/////3VxAH4ABwAAAAMSit94eHdFAh4AAj0CAgIdAgQCBQIGAgcCCAIJAj4CCwI/Ag0CCAIIAggCCAIIAggCCAIIAggCCAIIAggCCAIIAggCCAIIAh8CAwKCc3EAfgAAAAAAAnNxAH4ABP///////////////v////7/////dXEAfgAHAAAAAxKWwHh4d0UCHgACPQICAm4CBAIFAgYCBwIIAgkCRAILAj8CDQIIAggCCAIIAggCCAIIAggCCAIIAggCCAIIAggCCAIIAggCHwIDAoNzcQB+AAAAAAACc3EAfgAE///////////////+/////v////91cQB+AAcAAAAEKxALUXh4d0UCHgACPQICAkgCBAIFAgYCBwIIAgkCPgILAj8CDQIIAggCCAIIAggCCAIIAggCCAIIAggCCAIIAggCCAIIAggCHwIDAoRzcQB+AAAAAAACc3EAfgAE///////////////+/////v////91cQB+AAcAAAADEle/eHh3RQIeAAI9AgICIwIEAgUCBgIHAggCCQIKAgsCPwINAggCCAIIAggCCAIIAggCCAIIAggCCAIIAggCCAIIAggCCAIfAgMChXNxAH4AAAAAAAJzcQB+AAT///////////////7////+/////3VxAH4ABwAAAAQQposkeHh3RQIeAAI9AgICbgIEAgUCBgIHAggCCQI+AgsCPwINAggCCAIIAggCCAIIAggCCAIIAggCCAIIAggCCAIIAggCCAIfAgMChnNxAH4AAAAAAAJzcQB+AAT///////////////7////+/////3VxAH4ABwAAAAMSZ2t4eHdFAh4AAj0CAgJpAgQCBQIGAgcCCAIJAgoCCwI/Ag0CCAIIAggCCAIIAggCCAIIAggCCAIIAggCCAIIAggCCAIIAh8CAwKHc3EAfgAAAAAAAnNxAH4ABP///////////////v////7/////dXEAfgAHAAAABAJQHul4eHdFAh4AAj0CAgIvAgQCBQIGAgcCCAIJAkQCCwI/Ag0CCAIIAggCCAIIAggCCAIIAggCCAIIAggCCAIIAggCCAIIAh8CAwKIc3EAfgAAAAAAAnNxAH4ABP///////////////v////7/////dXEAfgAHAAAABC6RhSt4eHdFAh4AAj0CAgIvAgQCBQIGAgcCCAIJAj4CCwI/Ag0CCAIIAggCCAIIAggCCAIIAggCCAIIAggCCAIIAggCCAIIAh8CAwKJc3EAfgAAAAAAAnNxAH4ABP///////////////v////7/////dXEAfgAHAAAAAxKat3h4d0UCHgACPQICAmMCBAIFAgYCBwIIAgkCPgILAj8CDQIIAggCCAIIAggCCAIIAggCCAIIAggCCAIIAggCCAIIAggCHwIDAopzcQB+AAAAAAACc3EAfgAE///////////////+/////v////91cQB+AAcAAAADEmN/eHh3RQIeAAI9AgICNQIEAgUCBgIHAggCCQIKAgsCPwINAggCCAIIAggCCAIIAggCCAIIAggCCAIIAggCCAIIAggCCAIfAgMCi3NxAH4AAAAAAAJzcQB+AAT///////////////7////+/////3VxAH4ABwAAAAQC12dUeHh3RQIeAAI9AgICTwIEAgUCBgIHAggCCQJEAgsCPwINAggCCAIIAggCCAIIAggCCAIIAggCCAIIAggCCAIIAggCCAIfAgMCjHNxAH4AAAAAAAJzcQB+AAT///////////////7////+/////3VxAH4ABwAAAAQerglPeHh3RQIeAAI9AgICMQIEAgUCBgIHAggCCQIKAgsCPwINAggCCAIIAggCCAIIAggCCAIIAggCCAIIAggCCAIIAggCCAIfAgMCjXNxAH4AAAAAAAJzcQB+AAT///////////////7////+AAAAAXVxAH4ABwAAAAQGG1pqeHh3RQIeAAI9AgICJwIEAgUCBgIHAggCCQJEAgsCPwINAggCCAIIAggCCAIIAggCCAIIAggCCAIIAggCCAIIAggCCAIfAgMCjnNxAH4AAAAAAAJzcQB+AAT///////////////7////+/////3VxAH4ABwAAAAQp4OUTeHh3RQIeAAI9AgICegIEAgUCBgIHAggCCQI+AgsCPwINAggCCAIIAggCCAIIAggCCAIIAggCCAIIAggCCAIIAggCCAIfAgMCj3NxAH4AAAAAAAJzcQB+AAT///////////////7////+/////3VxAH4ABwAAAAMSexV4eHeKAh4AAj0CAgI7AgQCBQIGAgcCCAIJAj4CCwI/Ag0CCAIIAggCCAIIAggCCAIIAggCCAIIAggCCAIIAggCCAIIAh8CAwJAAh4AAj0CAgJDAgQCBQIGAgcCCAIJAgoCCwI/Ag0CCAIIAggCCAIIAggCCAIIAggCCAIIAggCCAIIAggCCAIIAh8CAwKQc3EAfgAAAAAAAnNxAH4ABP///////////////v////7/////dXEAfgAHAAAAAzL3EXh4d4oCHgACPQICAi0CBAIFAgYCBwIIAgkCPgILAj8CDQIIAggCCAIIAggCCAIIAggCCAIIAggCCAIIAggCCAIIAggCHwIDAkACHgACPQICAjcCBAIFAgYCBwIIAgkCPgILAj8CDQIIAggCCAIIAggCCAIIAggCCAIIAggCCAIIAggCCAIIAggCHwIDApFzcQB+AAAAAAACc3EAfgAE///////////////+/////v////91cQB+AAcAAAADEoL4eHh3RQIeAAI9AgICegIEAgUCBgIHAggCCQJEAgsCPwINAggCCAIIAggCCAIIAggCCAIIAggCCAIIAggCCAIIAggCCAIfAgMCknNxAH4AAAAAAAJzcQB+AAT///////////////7////+/////3VxAH4ABwAAAAQL0RJ0eHh3RQIeAAI9AgICQQIEAgUCBgIHAggCCQJEAgsCPwINAggCCAIIAggCCAIIAggCCAIIAggCCAIIAggCCAIIAggCCAIfAgMCk3NxAH4AAAAAAAJzcQB+AAT///////////////7////+/////3VxAH4ABwAAAAQx77UZeHh3RQIeAAI9AgICAwIEAgUCBgIHAggCCQIKAgsCPwINAggCCAIIAggCCAIIAggCCAIIAggCCAIIAggCCAIIAggCCAIfAgMClHNxAH4AAAAAAAJzcQB+AAT///////////////7////+/////3VxAH4ABwAAAAQE4d6ZeHh3RQIeAAI9AgICGwIEAgUCBgIHAggCCQIKAgsCPwINAggCCAIIAggCCAIIAggCCAIIAggCCAIIAggCCAIIAggCCAIfAgMClXNxAH4AAAAAAAJzcQB+AAT///////////////7////+/////3VxAH4ABwAAAAQOCxxKeHh6AAAEAAIeAAKWAAkzOTY4MTE0MjQCAgI3AgQCBQIGAgcCCAIJAj4CCwI/Ag0CCAIIAggCCAIIAggCCAIIAggCCAIIAggCCAIIAggCCAIIAiECAwKRAh4AApYCAgI7AgQCBQIGAgcCCAIJAj4CCwI/Ag0CCAIIAggCCAIIAggCCAIIAggCCAIIAggCCAIIAggCCAIIAiECAwJAAh4AApYCAgIxAgQCBQIGAgcCCAIJAgoCCwI/Ag0CCAIIAggCCAIIAggCCAIIAggCCAIIAggCCAIIAggCCAIIAiECAwKNAh4AApYCAgJDAgQCBQIGAgcCCAIJAj4CCwI/Ag0CCAIIAggCCAIIAggCCAIIAggCCAIIAggCCAIIAggCCAIIAiECAwJNAh4AApYCAgIpAgQCBQIGAgcCCAIJAgoCCwI/Ag0CCAIIAggCCAIIAggCCAIIAggCCAIIAggCCAIIAggCCAIIAiECAwJHAh4AApYCAgI7AgQCBQIGAgcCCAIJAkQCCwI/Ag0CCAIIAggCCAIIAggCCAIIAggCCAIIAggCCAIIAggCCAIIAiECAwJKAh4AApYCAgJIAgQCBQIGAgcCCAIJAgoCCwI/Ag0CCAIIAggCCAIIAggCCAIIAggCCAIIAggCCAIIAggCCAIIAiECAwJJAh4AApYCAgI3AgQCBQIGAgcCCAIJAkQCCwI/Ag0CCAIIAggCCAIIAggCCAIIAggCCAIIAggCCAIIAggCCAIIAiECAwJMAh4AApYCAgIfAgQCBQIGAgcCCAIJAgoCCwI/Ag0CCAIIAggCCAIIAggCCAIIAggCCAIIAggCCAIIAggCCAIIAiECAwJTAh4AApYCAgJXAgQCBQIGAgcCCAIJAgoCCwI/Ag0CCAIIAggCCAIIAggCCAIIAggCCAIIAggCCAIIAggCCAIIAiECAwJYAh4AApYCAgIbAgQCBQIGAgcCCAIJAj4CCwI/Ag0CCAIIAggCCAIIAggCCAIIAggCCAIIAggCCAIIAggCCAIIAiECAwJZAh4AApYCAgJIAgQCBQIGAgcCCAIJAkQCCwI/Ag0CCAIIAggCCAIIAggCCAIIAggCCAIIAggCCAIIAggCCAIIAiECAwJUAh4AApYCAgJDAgQCBQIGAgcCCAIJAkQCCwI/Ag0CCAIIAggCCAIIAggCCAIIAggCCAIIAggCCAIIAggCCAIIAiECAwJFAh4AApYCAgInAgQCBQIGAgcCCAIJAgoCCwI/Ag0CCAIIAggCCAIIAggCCAIIAggCCAIIAggCCAIIAggCCAIIAiECAwJRAh4AApYCAgJPAgQCBQIGAgcCCAIJAgoCCwI/Ag0CCAIIAggCCAIIAggCCAIIAgh6AAAEAAIIAggCCAIIAggCCAIIAggCIQIDAlACHgAClgICAhsCBAIFAgYCBwIIAgkCRAILAj8CDQIIAggCCAIIAggCCAIIAggCCAIIAggCCAIIAggCCAIIAggCIQIDAk4CHgAClgICAjsCBAIFAgYCBwIIAgkCCgILAj8CDQIIAggCCAIIAggCCAIIAggCCAIIAggCCAIIAggCCAIIAggCIQIDAmECHgAClgICAi0CBAIFAgYCBwIIAgkCCgILAj8CDQIIAggCCAIIAggCCAIIAggCCAIIAggCCAIIAggCCAIIAggCIQIDAl8CHgAClgICAjcCBAIFAgYCBwIIAgkCCgILAj8CDQIIAggCCAIIAggCCAIIAggCCAIIAggCCAIIAggCCAIIAggCIQIDAmACHgAClgICAkgCBAIFAgYCBwIIAgkCPgILAj8CDQIIAggCCAIIAggCCAIIAggCCAIIAggCCAIIAggCCAIIAggCIQIDAoQCHgAClgICAloCBAIFAgYCBwIIAgkCPgILAj8CDQIIAggCCAIIAggCCAIIAggCCAIIAggCCAIIAggCCAIIAggCIQIDAmICHgAClgICAikCBAIFAgYCBwIIAgkCPgILAj8CDQIIAggCCAIIAggCCAIIAggCCAIIAggCCAIIAggCCAIIAggCIQIDAoECHgAClgICAnoCBAIFAgYCBwIIAgkCCgILAj8CDQIIAggCCAIIAggCCAIIAggCCAIIAggCCAIIAggCCAIIAggCIQIDAnsCHgAClgICAikCBAIFAgYCBwIIAgkCRAILAj8CDQIIAggCCAIIAggCCAIIAggCCAIIAggCCAIIAggCCAIIAggCIQIDAlYCHgAClgICAmkCBAIFAgYCBwIIAgkCRAILAj8CDQIIAggCCAIIAggCCAIIAggCCAIIAggCCAIIAggCCAIIAggCIQIDAnECHgAClgICAh8CBAIFAgYCBwIIAgkCPgILAj8CDQIIAggCCAIIAggCCAIIAggCCAIIAggCCAIIAggCCAIIAggCIQIDAkACHgAClgICAjMCBAIFAgYCBwIIAgkCCgILAj8CDQIIAggCCAIIAggCCAIIAggCCAIIAggCCAIIAggCCAIIAggCIQIDAl4CHgAClgICAlcCBAIFAgYCBwIIAgkCPgILAj8CDQIIAggCCAIIAggCCAIIAggCCAIIAggCCAIIAggCCAIIAggCIQIDAmwCHgAClgICAlcCBAIFAgYCBwIIAgkCRAILAj8CDQIIAggCCAIIAggCCAIIAggCCAIIAggCCAIIAggCCAIIAggCIQIDAnYCHgAClgICAloCBAIFAgYCBwIIAgkCRAILAj8CDQIIAggCCAJ6AAAEAAgCCAIIAggCCAIIAggCCAIIAggCCAIIAggCCAIhAgMCWwIeAAKWAgICHQIEAgUCBgIHAggCCQIKAgsCPwINAggCCAIIAggCCAIIAggCCAIIAggCCAIIAggCCAIIAggCCAIhAgMCawIeAAKWAgICIwIEAgUCBgIHAggCCQJEAgsCPwINAggCCAIIAggCCAIIAggCCAIIAggCCAIIAggCCAIIAggCCAIhAgMCZwIeAAKWAgICIwIEAgUCBgIHAggCCQI+AgsCPwINAggCCAIIAggCCAIIAggCCAIIAggCCAIIAggCCAIIAggCCAIhAgMCQAIeAAKWAgICJQIEAgUCBgIHAggCCQI+AgsCPwINAggCCAIIAggCCAIIAggCCAIIAggCCAIIAggCCAIIAggCCAIhAgMCZQIeAAKWAgICHwIEAgUCBgIHAggCCQJEAgsCPwINAggCCAIIAggCCAIIAggCCAIIAggCCAIIAggCCAIIAggCCAIhAgMCZgIeAAKWAgICJQIEAgUCBgIHAggCCQJEAgsCPwINAggCCAIIAggCCAIIAggCCAIIAggCCAIIAggCCAIIAggCCAIhAgMCaAIeAAKWAgICYwIEAgUCBgIHAggCCQIKAgsCPwINAggCCAIIAggCCAIIAggCCAIIAggCCAIIAggCCAIIAggCCAIhAgMCZAIeAAKWAgICegIEAgUCBgIHAggCCQI+AgsCPwINAggCCAIIAggCCAIIAggCCAIIAggCCAIIAggCCAIIAggCCAIhAgMCjwIeAAKWAgICLQIEAgUCBgIHAggCCQI+AgsCPwINAggCCAIIAggCCAIIAggCCAIIAggCCAIIAggCCAIIAggCCAIhAgMCQAIeAAKWAgICYwIEAgUCBgIHAggCCQJEAgsCPwINAggCCAIIAggCCAIIAggCCAIIAggCCAIIAggCCAIIAggCCAIhAgMCfAIeAAKWAgICJQIEAgUCBgIHAggCCQIKAgsCPwINAggCCAIIAggCCAIIAggCCAIIAggCCAIIAggCCAIIAggCCAIhAgMCeQIeAAKWAgICXAIEAgUCBgIHAggCCQJEAgsCPwINAggCCAIIAggCCAIIAggCCAIIAggCCAIIAggCCAIIAggCCAIhAgMCfQIeAAKWAgICYwIEAgUCBgIHAggCCQI+AgsCPwINAggCCAIIAggCCAIIAggCCAIIAggCCAIIAggCCAIIAggCCAIhAgMCigIeAAKWAgICaQIEAgUCBgIHAggCCQI+AgsCPwINAggCCAIIAggCCAIIAggCCAIIAggCCAIIAggCCAIIAggCCAIhAgMCagIeAAKWAgICLQIEAgUCBgIHAggCCQJEAgt6AAAEAAI/Ag0CCAIIAggCCAIIAggCCAIIAggCCAIIAggCCAIIAggCCAIIAiECAwJyAh4AApYCAgJ6AgQCBQIGAgcCCAIJAkQCCwI/Ag0CCAIIAggCCAIIAggCCAIIAggCCAIIAggCCAIIAggCCAIIAiECAwKSAh4AApYCAgI1AgQCBQIGAgcCCAIJAj4CCwI/Ag0CCAIIAggCCAIIAggCCAIIAggCCAIIAggCCAIIAggCCAIIAiECAwJ0Ah4AApYCAgIvAgQCBQIGAgcCCAIJAkQCCwI/Ag0CCAIIAggCCAIIAggCCAIIAggCCAIIAggCCAIIAggCCAIIAiECAwKIAh4AApYCAgJuAgQCBQIGAgcCCAIJAgoCCwI/Ag0CCAIIAggCCAIIAggCCAIIAggCCAIIAggCCAIIAggCCAIIAiECAwJvAh4AApYCAgJBAgQCBQIGAgcCCAIJAgoCCwI/Ag0CCAIIAggCCAIIAggCCAIIAggCCAIIAggCCAIIAggCCAIIAiECAwJVAh4AApYCAgI1AgQCBQIGAgcCCAIJAkQCCwI/Ag0CCAIIAggCCAIIAggCCAIIAggCCAIIAggCCAIIAggCCAIIAiECAwJwAh4AApYCAgIvAgQCBQIGAgcCCAIJAgoCCwI/Ag0CCAIIAggCCAIIAggCCAIIAggCCAIIAggCCAIIAggCCAIIAiECAwJtAh4AApYCAgJuAgQCBQIGAgcCCAIJAj4CCwI/Ag0CCAIIAggCCAIIAggCCAIIAggCCAIIAggCCAIIAggCCAIIAiECAwKGAh4AApYCAgJuAgQCBQIGAgcCCAIJAkQCCwI/Ag0CCAIIAggCCAIIAggCCAIIAggCCAIIAggCCAIIAggCCAIIAiECAwKDAh4AApYCAgIjAgQCBQIGAgcCCAIJAgoCCwI/Ag0CCAIIAggCCAIIAggCCAIIAggCCAIIAggCCAIIAggCCAIIAiECAwKFAh4AApYCAgJcAgQCBQIGAgcCCAIJAj4CCwI/Ag0CCAIIAggCCAIIAggCCAIIAggCCAIIAggCCAIIAggCCAIIAiECAwJdAh4AApYCAgIdAgQCBQIGAgcCCAIJAj4CCwI/Ag0CCAIIAggCCAIIAggCCAIIAggCCAIIAggCCAIIAggCCAIIAiECAwKCAh4AApYCAgIdAgQCBQIGAgcCCAIJAkQCCwI/Ag0CCAIIAggCCAIIAggCCAIIAggCCAIIAggCCAIIAggCCAIIAiECAwJ+Ah4AApYCAgJaAgQCBQIGAgcCCAIJAgoCCwI/Ag0CCAIIAggCCAIIAggCCAIIAggCCAIIAggCCAIIAggCCAIIAiECAwJ4Ah4AApYCAgJPAgQCBQJ6AAAEAAYCBwIIAgkCRAILAj8CDQIIAggCCAIIAggCCAIIAggCCAIIAggCCAIIAggCCAIIAggCIQIDAowCHgAClgICAkECBAIFAgYCBwIIAgkCRAILAj8CDQIIAggCCAIIAggCCAIIAggCCAIIAggCCAIIAggCCAIIAggCIQIDApMCHgAClgICAjMCBAIFAgYCBwIIAgkCRAILAj8CDQIIAggCCAIIAggCCAIIAggCCAIIAggCCAIIAggCCAIIAggCIQIDAksCHgAClgICAjUCBAIFAgYCBwIIAgkCCgILAj8CDQIIAggCCAIIAggCCAIIAggCCAIIAggCCAIIAggCCAIIAggCIQIDAosCHgAClgICAjECBAIFAgYCBwIIAgkCPgILAj8CDQIIAggCCAIIAggCCAIIAggCCAIIAggCCAIIAggCCAIIAggCIQIDAn8CHgAClgICAjECBAIFAgYCBwIIAgkCRAILAj8CDQIIAggCCAIIAggCCAIIAggCCAIIAggCCAIIAggCCAIIAggCIQIDAoACHgAClgICAi8CBAIFAgYCBwIIAgkCPgILAj8CDQIIAggCCAIIAggCCAIIAggCCAIIAggCCAIIAggCCAIIAggCIQIDAokCHgAClgICAmkCBAIFAgYCBwIIAgkCCgILAj8CDQIIAggCCAIIAggCCAIIAggCCAIIAggCCAIIAggCCAIIAggCIQIDAocCHgAClgICAkECBAIFAgYCBwIIAgkCPgILAj8CDQIIAggCCAIIAggCCAIIAggCCAIIAggCCAIIAggCCAIIAggCIQIDAkICHgAClgICAjMCBAIFAgYCBwIIAgkCPgILAj8CDQIIAggCCAIIAggCCAIIAggCCAIIAggCCAIIAggCCAIIAggCIQIDAkYCHgAClgICAhsCBAIFAgYCBwIIAgkCCgILAj8CDQIIAggCCAIIAggCCAIIAggCCAIIAggCCAIIAggCCAIIAggCIQIDApUCHgAClgICAk8CBAIFAgYCBwIIAgkCPgILAj8CDQIIAggCCAIIAggCCAIIAggCCAIIAggCCAIIAggCCAIIAggCIQIDAncCHgAClgICAlwCBAIFAgYCBwIIAgkCCgILAj8CDQIIAggCCAIIAggCCAIIAggCCAIIAggCCAIIAggCCAIIAggCIQIDAnMCHgAClgICAicCBAIFAgYCBwIIAgkCPgILAj8CDQIIAggCCAIIAggCCAIIAggCCAIIAggCCAIIAggCCAIIAggCIQIDAnUCHgAClgICAkMCBAIFAgYCBwIIAgkCCgILAj8CDQIIAggCCAIIAggCCAIIAggCCAIIAggCCAIIAggCCAIIAggCIQIDApACHgB6AAABrgKWAgICJwIEAgUCBgIHAggCCQJEAgsCPwINAggCCAIIAggCCAIIAggCCAIIAggCCAIIAggCCAIIAggCCAIhAgMCjgIeAAKXAAk3MDk2MDk0MDACAgIbAgQCBQIGAgcCCAIJAj4CCwI/Ag0CCAIIAggCCAIIAggCCAIIAggCCAIIAggCCAIIAggCCAIIAhcCAwJZAh4AApcCAgIrAgQCBQIGAgcCCAIJAj4CCwI/Ag0CCAIIAggCCAIIAggCCAIIAggCCAIIAggCCAIIAggCCAIIAhcCAwJAAh4AApcCAgIpAgQCBQIGAgcCCAIJAkQCCwI/Ag0CCAIIAggCCAIIAggCCAIIAggCCAIIAggCCAIIAggCCAIIAhcCAwJWAh4AApcCAgI1AgQCBQIGAgcCCAIJAgoCCwI/Ag0CCAIIAggCCAIIAggCCAIIAggCCAIIAggCCAIIAggCCAIIAhcCAwKLAh4AApcCAgKYAAYyMDE4MTECBAIFAgYCBwIIAgkCRAILAj8CDQIIAggCCAIIAggCCAIIAggCCAIIAggCCAIIAggCCAIIAggCFwIDAplzcQB+AAAAAAAAcQB+AD14egAAAeMCHgAClwICApgCBAIFAgYCBwIIAgkCCgILAj8CDQIIAggCCAIIAggCCAIIAggCCAIIAggCCAIIAggCCAIIAggCFwIDApkCHgAClwICAnoCBAIFAgYCBwIIAgkCCgILAj8CDQIIAggCCAIIAggCCAIIAggCCAIIAggCCAIIAggCCAIIAggCFwIDAnsCHgAClwICAkMCBAIFAgYCBwIIAgkCPgILAj8CDQIIAggCCAIIAggCCAIIAggCCAIIAggCCAIIAggCCAIIAggCFwIDAk0CHgAClwICAjECBAIFAgYCBwIIAgkCPgILAj8CDQIIAggCCAIIAggCCAIIAggCCAIIAggCCAIIAggCCAIIAggCFwIDAn8CHgAClwICAkgCBAIFAgYCBwIIAgkCPgILAj8CDQIIAggCCAIIAggCCAIIAggCCAIIAggCCAIIAggCCAIIAggCFwIDAoQCHgAClwICAk8CBAIFAgYCBwIIAgkCCgILAj8CDQIIAggCCAIIAggCCAIIAggCCAIIAggCCAIIAggCCAIIAggCFwIDAlACHgAClwICAiECBAIFAgYCBwIIAgkCCgILAj8CDQIIAggCCAIIAggCCAIIAggCCAIIAggCCAIIAggCCAIIAggCFwIDAppzcQB+AAAAAAACc3EAfgAE///////////////+/////gAAAAF1cQB+AAcAAAADNqW2eHh6AAACfQIeAAKXAgICmwAGMjAxODEwAgQCBQIGAgcCCAIJAj4CCwI/Ag0CCAIIAggCCAIIAggCCAIIAggCCAIIAggCCAIIAggCCAIIAhcCAwJAAh4AApcCAgIDAgQCBQIGAgcCCAIJAkQCCwI/Ag0CCAIIAggCCAIIAggCCAIIAggCCAIIAggCCAIIAggCCAIIAhcCAwJSAh4AApcCAgIfAgQCBQIGAgcCCAIJAgoCCwI/Ag0CCAIIAggCCAIIAggCCAIIAggCCAIIAggCCAIIAggCCAIIAhcCAwJTAh4AApcCAgJXAgQCBQIGAgcCCAIJAj4CCwI/Ag0CCAIIAggCCAIIAggCCAIIAggCCAIIAggCCAIIAggCCAIIAhcCAwJsAh4AApcCAgI1AgQCBQIGAgcCCAIJAkQCCwI/Ag0CCAIIAggCCAIIAggCCAIIAggCCAIIAggCCAIIAggCCAIIAhcCAwJwAh4AApcCAgI5AgQCBQIGAgcCCAIJAj4CCwI/Ag0CCAIIAggCCAIIAggCCAIIAggCCAIIAggCCAIIAggCCAIIAhcCAwJAAh4AApcCAgIpAgQCBQIGAgcCCAIJAgoCCwI/Ag0CCAIIAggCCAIIAggCCAIIAggCCAIIAggCCAIIAggCCAIIAhcCAwJHAh4AApcCAgJaAgQCBQIGAgcCCAIJAj4CCwI/Ag0CCAIIAggCCAIIAggCCAIIAggCCAIIAggCCAIIAggCCAIIAhcCAwJiAh4AApcCAgKcAAYyMDE4MDcCBAIFAgYCBwIIAgkCCgILAj8CDQIIAggCCAIIAggCCAIIAggCCAIIAggCCAIIAggCCAIIAggCFwIDAp1zcQB+AAAAAAACc3EAfgAE///////////////+/////gAAAAF1cQB+AAcAAAAEAtQ47Hh4egAABAACHgAClwICAmkCBAIFAgYCBwIIAgkCPgILAj8CDQIIAggCCAIIAggCCAIIAggCCAIIAggCCAIIAggCCAIIAggCFwIDAmoCHgAClwICAh8CBAIFAgYCBwIIAgkCRAILAj8CDQIIAggCCAIIAggCCAIIAggCCAIIAggCCAIIAggCCAIIAggCFwIDAmYCHgAClwICAiUCBAIFAgYCBwIIAgkCRAILAj8CDQIIAggCCAIIAggCCAIIAggCCAIIAggCCAIIAggCCAIIAggCFwIDAmgCHgAClwICAmMCBAIFAgYCBwIIAgkCCgILAj8CDQIIAggCCAIIAggCCAIIAggCCAIIAggCCAIIAggCCAIIAggCFwIDAmQCHgAClwICAp4ABjIwMTgwOQIEAgUCBgIHAggCCQI+AgsCPwINAggCCAIIAggCCAIIAggCCAIIAggCCAIIAggCCAIIAggCCAIXAgMCQAIeAAKXAgICIwIEAgUCBgIHAggCCQJEAgsCPwINAggCCAIIAggCCAIIAggCCAIIAggCCAIIAggCCAIIAggCCAIXAgMCZwIeAAKXAgICIwIEAgUCBgIHAggCCQIKAgsCPwINAggCCAIIAggCCAIIAggCCAIIAggCCAIIAggCCAIIAggCCAIXAgMChQIeAAKXAgICQQIEAgUCBgIHAggCCQIKAgsCPwINAggCCAIIAggCCAIIAggCCAIIAggCCAIIAggCCAIIAggCCAIXAgMCVQIeAAKXAgICbgIEAgUCBgIHAggCCQI+AgsCPwINAggCCAIIAggCCAIIAggCCAIIAggCCAIIAggCCAIIAggCCAIXAgMChgIeAAKXAgICXAIEAgUCBgIHAggCCQI+AgsCPwINAggCCAIIAggCCAIIAggCCAIIAggCCAIIAggCCAIIAggCCAIXAgMCXQIeAAKXAgICLwIEAgUCBgIHAggCCQJEAgsCPwINAggCCAIIAggCCAIIAggCCAIIAggCCAIIAggCCAIIAggCCAIXAgMCiAIeAAKXAgICnwAGMjAxODA4AgQCBQIGAgcCCAIJAj4CCwI/Ag0CCAIIAggCCAIIAggCCAIIAggCCAIIAggCCAIIAggCCAIIAhcCAwJAAh4AApcCAgI3AgQCBQIGAgcCCAIJAgoCCwI/Ag0CCAIIAggCCAIIAggCCAIIAggCCAIIAggCCAIIAggCCAIIAhcCAwJgAh4AApcCAgIlAgQCBQIGAgcCCAIJAgoCCwI/Ag0CCAIIAggCCAIIAggCCAIIAggCCAIIAggCCAIIAggCCAIIAhcCAwJ5Ah4AApcCAgIdAgQCBQIGAgcCCAIJAkQCCwI/Ag0CCAIIAggCCAIIAggCegAAA+EIAggCCAIIAggCCAIIAggCCAIIAggCFwIDAn4CHgAClwICAmMCBAIFAgYCBwIIAgkCPgILAj8CDQIIAggCCAIIAggCCAIIAggCCAIIAggCCAIIAggCCAIIAggCFwIDAooCHgAClwICApwCBAIFAgYCBwIIAgkCPgILAj8CDQIIAggCCAIIAggCCAIIAggCCAIIAggCCAIIAggCCAIIAggCFwIDAkACHgAClwICAjMCBAIFAgYCBwIIAgkCPgILAj8CDQIIAggCCAIIAggCCAIIAggCCAIIAggCCAIIAggCCAIIAggCFwIDAkYCHgAClwICAjcCBAIFAgYCBwIIAgkCRAILAj8CDQIIAggCCAIIAggCCAIIAggCCAIIAggCCAIIAggCCAIIAggCFwIDAkwCHgAClwICAi0CBAIFAgYCBwIIAgkCRAILAj8CDQIIAggCCAIIAggCCAIIAggCCAIIAggCCAIIAggCCAIIAggCFwIDAnICHgAClwICAi8CBAIFAgYCBwIIAgkCCgILAj8CDQIIAggCCAIIAggCCAIIAggCCAIIAggCCAIIAggCCAIIAggCFwIDAm0CHgAClwICAjsCBAIFAgYCBwIIAgkCPgILAj8CDQIIAggCCAIIAggCCAIIAggCCAIIAggCCAIIAggCCAIIAggCFwIDAkACHgAClwICAnoCBAIFAgYCBwIIAgkCPgILAj8CDQIIAggCCAIIAggCCAIIAggCCAIIAggCCAIIAggCCAIIAggCFwIDAo8CHgAClwICAkECBAIFAgYCBwIIAgkCRAILAj8CDQIIAggCCAIIAggCCAIIAggCCAIIAggCCAIIAggCCAIIAggCFwIDApMCHgAClwICAk8CBAIFAgYCBwIIAgkCRAILAj8CDQIIAggCCAIIAggCCAIIAggCCAIIAggCCAIIAggCCAIIAggCFwIDAowCHgAClwICAicCBAIFAgYCBwIIAgkCPgILAj8CDQIIAggCCAIIAggCCAIIAggCCAIIAggCCAIIAggCCAIIAggCFwIDAnUCHgAClwICAkMCBAIFAgYCBwIIAgkCCgILAj8CDQIIAggCCAIIAggCCAIIAggCCAIIAggCCAIIAggCCAIIAggCFwIDApACHgAClwICAhsCBAIFAgYCBwIIAgkCCgILAj8CDQIIAggCCAIIAggCCAIIAggCCAIIAggCCAIIAggCCAIIAggCFwIDApUCHgAClwICAiECBAIFAgYCBwIIAgkCRAILAj8CDQIIAggCCAIIAggCCAIIAggCCAIIAggCCAIIAggCCAIIAggCFwIDAqBzcQB+AAAAAAACc3EAfgAE///////////////+/////v////91cQB+AAcAAAAEL/7GXHh4d88CHgAClwICAlcCBAIFAgYCBwIIAgkCCgILAj8CDQIIAggCCAIIAggCCAIIAggCCAIIAggCCAIIAggCCAIIAggCFwIDAlgCHgAClwICAkgCBAIFAgYCBwIIAgkCRAILAj8CDQIIAggCCAIIAggCCAIIAggCCAIIAggCCAIIAggCCAIIAggCFwIDAlQCHgAClwICAjkCBAIFAgYCBwIIAgkCCgILAj8CDQIIAggCCAIIAggCCAIIAggCCAIIAggCCAIIAggCCAIIAggCFwIDAqFzcQB+AAAAAAACc3EAfgAE///////////////+/////gAAAAF1cQB+AAcAAAAEAaNwu3h4d88CHgAClwICAmkCBAIFAgYCBwIIAgkCCgILAj8CDQIIAggCCAIIAggCCAIIAggCCAIIAggCCAIIAggCCAIIAggCFwIDAocCHgAClwICAjECBAIFAgYCBwIIAgkCRAILAj8CDQIIAggCCAIIAggCCAIIAggCCAIIAggCCAIIAggCCAIIAggCFwIDAoACHgAClwICAisCBAIFAgYCBwIIAgkCRAILAj8CDQIIAggCCAIIAggCCAIIAggCCAIIAggCCAIIAggCCAIIAggCFwIDAqJzcQB+AAAAAAACc3EAfgAE///////////////+/////v////91cQB+AAcAAAAELvQU/3h4egAAARQCHgAClwICAi0CBAIFAgYCBwIIAgkCCgILAj8CDQIIAggCCAIIAggCCAIIAggCCAIIAggCCAIIAggCCAIIAggCFwIDAl8CHgAClwICAjECBAIFAgYCBwIIAgkCCgILAj8CDQIIAggCCAIIAggCCAIIAggCCAIIAggCCAIIAggCCAIIAggCFwIDAo0CHgAClwICAikCBAIFAgYCBwIIAgkCPgILAj8CDQIIAggCCAIIAggCCAIIAggCCAIIAggCCAIIAggCCAIIAggCFwIDAoECHgAClwICAisCBAIFAgYCBwIIAgkCCgILAj8CDQIIAggCCAIIAggCCAIIAggCCAIIAggCCAIIAggCCAIIAggCFwIDAqNzcQB+AAAAAAACc3EAfgAE///////////////+/////v////91cQB+AAcAAAAEATJrz3h4egAAARQCHgAClwICAicCBAIFAgYCBwIIAgkCCgILAj8CDQIIAggCCAIIAggCCAIIAggCCAIIAggCCAIIAggCCAIIAggCFwIDAlECHgAClwICAhsCBAIFAgYCBwIIAgkCRAILAj8CDQIIAggCCAIIAggCCAIIAggCCAIIAggCCAIIAggCCAIIAggCFwIDAk4CHgAClwICAgMCBAIFAgYCBwIIAgkCPgILAj8CDQIIAggCCAIIAggCCAIIAggCCAIIAggCCAIIAggCCAIIAggCFwIDAkACHgAClwICApsCBAIFAgYCBwIIAgkCRAILAj8CDQIIAggCCAIIAggCCAIIAggCCAIIAggCCAIIAggCCAIIAggCFwIDAqRzcQB+AAAAAAACc3EAfgAE///////////////+/////v////91cQB+AAcAAAAEPiM+uHh4d0UCHgAClwICAjkCBAIFAgYCBwIIAgkCRAILAj8CDQIIAggCCAIIAggCCAIIAggCCAIIAggCCAIIAggCCAIIAggCFwIDAqVzcQB+AAAAAAACc3EAfgAE///////////////+/////v////91cQB+AAcAAAAEMPCBKHh4d4oCHgAClwICAh8CBAIFAgYCBwIIAgkCPgILAj8CDQIIAggCCAIIAggCCAIIAggCCAIIAggCCAIIAggCCAIIAggCFwIDAkACHgAClwICApsCBAIFAgYCBwIIAgkCCgILAj8CDQIIAggCCAIIAggCCAIIAggCCAIIAggCCAIIAggCCAIIAggCFwIDAqZzcQB+AAAAAAACc3EAfgAE///////////////+/////gAAAAF1cQB+AAcAAAAEBXlFQnh4egAAA8YCHgAClwICAkMCBAIFAgYCBwIIAgkCRAILAj8CDQIIAggCCAIIAggCCAIIAggCCAIIAggCCAIIAggCCAIIAggCFwIDAkUCHgAClwICAmkCBAIFAgYCBwIIAgkCRAILAj8CDQIIAggCCAIIAggCCAIIAggCCAIIAggCCAIIAggCCAIIAggCFwIDAnECHgAClwICAjUCBAIFAgYCBwIIAgkCPgILAj8CDQIIAggCCAIIAggCCAIIAggCCAIIAggCCAIIAggCCAIIAggCFwIDAnQCHgAClwICAlcCBAIFAgYCBwIIAgkCRAILAj8CDQIIAggCCAIIAggCCAIIAggCCAIIAggCCAIIAggCCAIIAggCFwIDAnYCHgAClwICAkgCBAIFAgYCBwIIAgkCCgILAj8CDQIIAggCCAIIAggCCAIIAggCCAIIAggCCAIIAggCCAIIAggCFwIDAkkCHgAClwICAjsCBAIFAgYCBwIIAgkCCgILAj8CDQIIAggCCAIIAggCCAIIAggCCAIIAggCCAIIAggCCAIIAggCFwIDAmECHgAClwICAiUCBAIFAgYCBwIIAgkCPgILAj8CDQIIAggCCAIIAggCCAIIAggCCAIIAggCCAIIAggCCAIIAggCFwIDAmUCHgAClwICAloCBAIFAgYCBwIIAgkCRAILAj8CDQIIAggCCAIIAggCCAIIAggCCAIIAggCCAIIAggCCAIIAggCFwIDAlsCHgAClwICAh0CBAIFAgYCBwIIAgkCCgILAj8CDQIIAggCCAIIAggCCAIIAggCCAIIAggCCAIIAggCCAIIAggCFwIDAmsCHgAClwICAiMCBAIFAgYCBwIIAgkCPgILAj8CDQIIAggCCAIIAggCCAIIAggCCAIIAggCCAIIAggCCAIIAggCFwIDAkACHgAClwICAp4CBAIFAgYCBwIIAgkCRAILAj8CDQIIAggCCAIIAggCCAIIAggCCAIIAggCCAIIAggCCAIIAggCFwIDAqQCHgAClwICAi8CBAIFAgYCBwIIAgkCPgILAj8CDQIIAggCCAIIAggCCAIIAggCCAIIAggCCAIIAggCCAIIAggCFwIDAokCHgAClwICAm4CBAIFAgYCBwIIAgkCRAILAj8CDQIIAggCCAIIAggCCAIIAggCCAIIAggCCAIIAggCCAIIAggCFwIDAoMCHgAClwICAp8CBAIFAgYCBwIIAgkCRAILAj8CDQIIAggCCAIIAggCCAIIAggCCAIIAggCCAIIAggCCAIIAggCFwIDAqdzcQB+AAAAAAACc3EAfgAE///////////////+/////v////91cQB+AAcAAAAEO/PRJHh4egAAAeMCHgAClwICAjMCBAIFAgYCBwIIAgkCCgILAj8CDQIIAggCCAIIAggCCAIIAggCCAIIAggCCAIIAggCCAIIAggCFwIDAl4CHgAClwICAp4CBAIFAgYCBwIIAgkCCgILAj8CDQIIAggCCAIIAggCCAIIAggCCAIIAggCCAIIAggCCAIIAggCFwIDAqYCHgAClwICAloCBAIFAgYCBwIIAgkCCgILAj8CDQIIAggCCAIIAggCCAIIAggCCAIIAggCCAIIAggCCAIIAggCFwIDAngCHgAClwICAlwCBAIFAgYCBwIIAgkCRAILAj8CDQIIAggCCAIIAggCCAIIAggCCAIIAggCCAIIAggCCAIIAggCFwIDAn0CHgAClwICAmMCBAIFAgYCBwIIAgkCRAILAj8CDQIIAggCCAIIAggCCAIIAggCCAIIAggCCAIIAggCCAIIAggCFwIDAnwCHgAClwICAh0CBAIFAgYCBwIIAgkCPgILAj8CDQIIAggCCAIIAggCCAIIAggCCAIIAggCCAIIAggCCAIIAggCFwIDAoICHgAClwICApwCBAIFAgYCBwIIAgkCRAILAj8CDQIIAggCCAIIAggCCAIIAggCCAIIAggCCAIIAggCCAIIAggCFwIDAqhzcQB+AAAAAAACc3EAfgAE///////////////+/////v////91cQB+AAcAAAAENab75Xh4d88CHgAClwICAkECBAIFAgYCBwIIAgkCPgILAj8CDQIIAggCCAIIAggCCAIIAggCCAIIAggCCAIIAggCCAIIAggCFwIDAkICHgAClwICAm4CBAIFAgYCBwIIAgkCCgILAj8CDQIIAggCCAIIAggCCAIIAggCCAIIAggCCAIIAggCCAIIAggCFwIDAm8CHgAClwICAp8CBAIFAgYCBwIIAgkCCgILAj8CDQIIAggCCAIIAggCCAIIAggCCAIIAggCCAIIAggCCAIIAggCFwIDAqlzcQB+AAAAAAACc3EAfgAE///////////////+/////gAAAAF1cQB+AAcAAAAEA+4zBnh4egAABAACHgAClwICAgMCBAIFAgYCBwIIAgkCCgILAj8CDQIIAggCCAIIAggCCAIIAggCCAIIAggCCAIIAggCCAIIAggCFwIDApQCHgAClwICAnoCBAIFAgYCBwIIAgkCRAILAj8CDQIIAggCCAIIAggCCAIIAggCCAIIAggCCAIIAggCCAIIAggCFwIDApICHgAClwICAjsCBAIFAgYCBwIIAgkCRAILAj8CDQIIAggCCAIIAggCCAIIAggCCAIIAggCCAIIAggCCAIIAggCFwIDAkoCHgAClwICAk8CBAIFAgYCBwIIAgkCPgILAj8CDQIIAggCCAIIAggCCAIIAggCCAIIAggCCAIIAggCCAIIAggCFwIDAncCHgAClwICAjMCBAIFAgYCBwIIAgkCRAILAj8CDQIIAggCCAIIAggCCAIIAggCCAIIAggCCAIIAggCCAIIAggCFwIDAksCHgAClwICApgCBAIFAgYCBwIIAgkCPgILAj8CDQIIAggCCAIIAggCCAIIAggCCAIIAggCCAIIAggCCAIIAggCFwIDApkCHgAClwICAjcCBAIFAgYCBwIIAgkCPgILAj8CDQIIAggCCAIIAggCCAIIAggCCAIIAggCCAIIAggCCAIIAggCFwIDApECHgAClwICAi0CBAIFAgYCBwIIAgkCPgILAj8CDQIIAggCCAIIAggCCAIIAggCCAIIAggCCAIIAggCCAIIAggCFwIDAkACHgAClwICAicCBAIFAgYCBwIIAgkCRAILAj8CDQIIAggCCAIIAggCCAIIAggCCAIIAggCCAIIAggCCAIIAggCFwIDAo4CHgAClwICAlwCBAIFAgYCBwIIAgkCCgILAj8CDQIIAggCCAIIAggCCAIIAggCCAIIAggCCAIIAggCCAIIAggCFwIDAnMCHgAClwICAiECBAIFAgYCBwIIAgkCPgILAj8CDQIIAggCCAIIAggCCAIIAggCCAIIAggCCAIIAggCCAIIAggCFwIDAkACHgACqgAJNTMyOTE3ODU2AgICmwIEAgUCBgIHAggCCQIKAgsCPwINAggCCAIIAggCCAIIAggCCAIIAggCCAIIAggCCAIIAggCCAITAgMCpgIeAAKqAgICQwIEAgUCBgIHAggCCQJEAgsCPwINAggCCAIIAggCCAIIAggCCAIIAggCCAIIAggCCAIIAggCCAITAgMCRQIeAAKqAgICIwIEAgUCBgIHAggCCQI+AgsCPwINAggCCAIIAggCCAIIAggCCAIIAggCCAIIAggCCAIIAggCCAITAgMCQAIeAAKqAgICGwIEAgUCBgIHAggCCQIKAgsCPwINAggCCAIIAggCCAIIAggCCAIIegAABAACCAIIAggCCAIIAggCCAIIAhMCAwKVAh4AAqoCAgJBAgQCBQIGAgcCCAIJAj4CCwI/Ag0CCAIIAggCCAIIAggCCAIIAggCCAIIAggCCAIIAggCCAIIAhMCAwJCAh4AAqoCAgIbAgQCBQIGAgcCCAIJAkQCCwI/Ag0CCAIIAggCCAIIAggCCAIIAggCCAIIAggCCAIIAggCCAIIAhMCAwJOAh4AAqoCAgI3AgQCBQIGAgcCCAIJAj4CCwI/Ag0CCAIIAggCCAIIAggCCAIIAggCCAIIAggCCAIIAggCCAIIAhMCAwKRAh4AAqoCAgIzAgQCBQIGAgcCCAIJAkQCCwI/Ag0CCAIIAggCCAIIAggCCAIIAggCCAIIAggCCAIIAggCCAIIAhMCAwJLAh4AAqoCAgJIAgQCBQIGAgcCCAIJAgoCCwI/Ag0CCAIIAggCCAIIAggCCAIIAggCCAIIAggCCAIIAggCCAIIAhMCAwJJAh4AAqoCAgIrAgQCBQIGAgcCCAIJAgoCCwI/Ag0CCAIIAggCCAIIAggCCAIIAggCCAIIAggCCAIIAggCCAIIAhMCAwKjAh4AAqoCAgI7AgQCBQIGAgcCCAIJAkQCCwI/Ag0CCAIIAggCCAIIAggCCAIIAggCCAIIAggCCAIIAggCCAIIAhMCAwJKAh4AAqoCAgIxAgQCBQIGAgcCCAIJAgoCCwI/Ag0CCAIIAggCCAIIAggCCAIIAggCCAIIAggCCAIIAggCCAIIAhMCAwKNAh4AAqoCAgIrAgQCBQIGAgcCCAIJAkQCCwI/Ag0CCAIIAggCCAIIAggCCAIIAggCCAIIAggCCAIIAggCCAIIAhMCAwKiAh4AAqoCAgJIAgQCBQIGAgcCCAIJAkQCCwI/Ag0CCAIIAggCCAIIAggCCAIIAggCCAIIAggCCAIIAggCCAIIAhMCAwJUAh4AAqoCAgJaAgQCBQIGAgcCCAIJAkQCCwI/Ag0CCAIIAggCCAIIAggCCAIIAggCCAIIAggCCAIIAggCCAIIAhMCAwJbAh4AAqoCAgKbAgQCBQIGAgcCCAIJAkQCCwI/Ag0CCAIIAggCCAIIAggCCAIIAggCCAIIAggCCAIIAggCCAIIAhMCAwKkAh4AAqoCAgInAgQCBQIGAgcCCAIJAgoCCwI/Ag0CCAIIAggCCAIIAggCCAIIAggCCAIIAggCCAIIAggCCAIIAhMCAwJRAh4AAqoCAgKeAgQCBQIGAgcCCAIJAkQCCwI/Ag0CCAIIAggCCAIIAggCCAIIAggCCAIIAggCCAIIAggCCAIIAhMCAwKkAh4AAqoCAgIdAgQCBQIGAgcCCAIJAgoCCwI/Ag0CCAIIAggCegAABAAIAggCCAIIAggCCAIIAggCCAIIAggCCAIIAggCEwIDAmsCHgACqgICAlcCBAIFAgYCBwIIAgkCRAILAj8CDQIIAggCCAIIAggCCAIIAggCCAIIAggCCAIIAggCCAIIAggCEwIDAnYCHgACqgICAiUCBAIFAgYCBwIIAgkCPgILAj8CDQIIAggCCAIIAggCCAIIAggCCAIIAggCCAIIAggCCAIIAggCEwIDAmUCHgACqgICAikCBAIFAgYCBwIIAgkCPgILAj8CDQIIAggCCAIIAggCCAIIAggCCAIIAggCCAIIAggCCAIIAggCEwIDAoECHgACqgICAi0CBAIFAgYCBwIIAgkCCgILAj8CDQIIAggCCAIIAggCCAIIAggCCAIIAggCCAIIAggCCAIIAggCEwIDAl8CHgACqgICAjsCBAIFAgYCBwIIAgkCCgILAj8CDQIIAggCCAIIAggCCAIIAggCCAIIAggCCAIIAggCCAIIAggCEwIDAmECHgACqgICAjMCBAIFAgYCBwIIAgkCCgILAj8CDQIIAggCCAIIAggCCAIIAggCCAIIAggCCAIIAggCCAIIAggCEwIDAl4CHgACqgICAnoCBAIFAgYCBwIIAgkCRAILAj8CDQIIAggCCAIIAggCCAIIAggCCAIIAggCCAIIAggCCAIIAggCEwIDApICHgACqgICAm4CBAIFAgYCBwIIAgkCCgILAj8CDQIIAggCCAIIAggCCAIIAggCCAIIAggCCAIIAggCCAIIAggCEwIDAm8CHgACqgICAp8CBAIFAgYCBwIIAgkCCgILAj8CDQIIAggCCAIIAggCCAIIAggCCAIIAggCCAIIAggCCAIIAggCEwIDAqkCHgACqgICAmkCBAIFAgYCBwIIAgkCPgILAj8CDQIIAggCCAIIAggCCAIIAggCCAIIAggCCAIIAggCCAIIAggCEwIDAmoCHgACqgICAjUCBAIFAgYCBwIIAgkCRAILAj8CDQIIAggCCAIIAggCCAIIAggCCAIIAggCCAIIAggCCAIIAggCEwIDAnACHgACqgICAlwCBAIFAgYCBwIIAgkCCgILAj8CDQIIAggCCAIIAggCCAIIAggCCAIIAggCCAIIAggCCAIIAggCEwIDAnMCHgACqgICAiECBAIFAgYCBwIIAgkCPgILAj8CDQIIAggCCAIIAggCCAIIAggCCAIIAggCCAIIAggCCAIIAggCEwIDAkACHgACqgICAp4CBAIFAgYCBwIIAgkCCgILAj8CDQIIAggCCAIIAggCCAIIAggCCAIIAggCCAIIAggCCAIIAggCEwIDAqYCHgACqgICApwCBAIFAgYCBwIIAgkCRAILegAABAACPwINAggCCAIIAggCCAIIAggCCAIIAggCCAIIAggCCAIIAggCCAITAgMCqAIeAAKqAgICXAIEAgUCBgIHAggCCQJEAgsCPwINAggCCAIIAggCCAIIAggCCAIIAggCCAIIAggCCAIIAggCCAITAgMCfQIeAAKqAgICWgIEAgUCBgIHAggCCQIKAgsCPwINAggCCAIIAggCCAIIAggCCAIIAggCCAIIAggCCAIIAggCCAITAgMCeAIeAAKqAgICLQIEAgUCBgIHAggCCQI+AgsCPwINAggCCAIIAggCCAIIAggCCAIIAggCCAIIAggCCAIIAggCCAITAgMCQAIeAAKqAgICHQIEAgUCBgIHAggCCQI+AgsCPwINAggCCAIIAggCCAIIAggCCAIIAggCCAIIAggCCAIIAggCCAITAgMCggIeAAKqAgICYwIEAgUCBgIHAggCCQJEAgsCPwINAggCCAIIAggCCAIIAggCCAIIAggCCAIIAggCCAIIAggCCAITAgMCfAIeAAKqAgICOQIEAgUCBgIHAggCCQI+AgsCPwINAggCCAIIAggCCAIIAggCCAIIAggCCAIIAggCCAIIAggCCAITAgMCQAIeAAKqAgICGwIEAgUCBgIHAggCCQI+AgsCPwINAggCCAIIAggCCAIIAggCCAIIAggCCAIIAggCCAIIAggCCAITAgMCWQIeAAKqAgICLwIEAgUCBgIHAggCCQI+AgsCPwINAggCCAIIAggCCAIIAggCCAIIAggCCAIIAggCCAIIAggCCAITAgMCiQIeAAKqAgICbgIEAgUCBgIHAggCCQJEAgsCPwINAggCCAIIAggCCAIIAggCCAIIAggCCAIIAggCCAIIAggCCAITAgMCgwIeAAKqAgICHwIEAgUCBgIHAggCCQIKAgsCPwINAggCCAIIAggCCAIIAggCCAIIAggCCAIIAggCCAIIAggCCAITAgMCUwIeAAKqAgICAwIEAgUCBgIHAggCCQJEAgsCPwINAggCCAIIAggCCAIIAggCCAIIAggCCAIIAggCCAIIAggCCAITAgMCUgIeAAKqAgICmAIEAgUCBgIHAggCCQI+AgsCPwINAggCCAIIAggCCAIIAggCCAIIAggCCAIIAggCCAIIAggCCAITAgMCmQIeAAKqAgICJwIEAgUCBgIHAggCCQJEAgsCPwINAggCCAIIAggCCAIIAggCCAIIAggCCAIIAggCCAIIAggCCAITAgMCjgIeAAKqAgICnwIEAgUCBgIHAggCCQJEAgsCPwINAggCCAIIAggCCAIIAggCCAIIAggCCAIIAggCCAIIAggCCAITAgMCpwIeAAKqAgICMQIEAgUCegAABAAGAgcCCAIJAkQCCwI/Ag0CCAIIAggCCAIIAggCCAIIAggCCAIIAggCCAIIAggCCAIIAhMCAwKAAh4AAqoCAgJPAgQCBQIGAgcCCAIJAj4CCwI/Ag0CCAIIAggCCAIIAggCCAIIAggCCAIIAggCCAIIAggCCAIIAhMCAwJ3Ah4AAqoCAgI1AgQCBQIGAgcCCAIJAgoCCwI/Ag0CCAIIAggCCAIIAggCCAIIAggCCAIIAggCCAIIAggCCAIIAhMCAwKLAh4AAqoCAgI3AgQCBQIGAgcCCAIJAkQCCwI/Ag0CCAIIAggCCAIIAggCCAIIAggCCAIIAggCCAIIAggCCAIIAhMCAwJMAh4AAqoCAgIzAgQCBQIGAgcCCAIJAj4CCwI/Ag0CCAIIAggCCAIIAggCCAIIAggCCAIIAggCCAIIAggCCAIIAhMCAwJGAh4AAqoCAgIDAgQCBQIGAgcCCAIJAgoCCwI/Ag0CCAIIAggCCAIIAggCCAIIAggCCAIIAggCCAIIAggCCAIIAhMCAwKUAh4AAqoCAgIjAgQCBQIGAgcCCAIJAkQCCwI/Ag0CCAIIAggCCAIIAggCCAIIAggCCAIIAggCCAIIAggCCAIIAhMCAwJnAh4AAqoCAgKYAgQCBQIGAgcCCAIJAgoCCwI/Ag0CCAIIAggCCAIIAggCCAIIAggCCAIIAggCCAIIAggCCAIIAhMCAwKZAh4AAqoCAgJPAgQCBQIGAgcCCAIJAgoCCwI/Ag0CCAIIAggCCAIIAggCCAIIAggCCAIIAggCCAIIAggCCAIIAhMCAwJQAh4AAqoCAgJBAgQCBQIGAgcCCAIJAkQCCwI/Ag0CCAIIAggCCAIIAggCCAIIAggCCAIIAggCCAIIAggCCAIIAhMCAwKTAh4AAqoCAgJDAgQCBQIGAgcCCAIJAj4CCwI/Ag0CCAIIAggCCAIIAggCCAIIAggCCAIIAggCCAIIAggCCAIIAhMCAwJNAh4AAqoCAgI7AgQCBQIGAgcCCAIJAj4CCwI/Ag0CCAIIAggCCAIIAggCCAIIAggCCAIIAggCCAIIAggCCAIIAhMCAwJAAh4AAqoCAgIpAgQCBQIGAgcCCAIJAgoCCwI/Ag0CCAIIAggCCAIIAggCCAIIAggCCAIIAggCCAIIAggCCAIIAhMCAwJHAh4AAqoCAgIpAgQCBQIGAgcCCAIJAkQCCwI/Ag0CCAIIAggCCAIIAggCCAIIAggCCAIIAggCCAIIAggCCAIIAhMCAwJWAh4AAqoCAgKbAgQCBQIGAgcCCAIJAj4CCwI/Ag0CCAIIAggCCAIIAggCCAIIAggCCAIIAggCCAIIAggCCAIIAhMCAwJAAh4AegAABAACqgICAiUCBAIFAgYCBwIIAgkCRAILAj8CDQIIAggCCAIIAggCCAIIAggCCAIIAggCCAIIAggCCAIIAggCEwIDAmgCHgACqgICAkgCBAIFAgYCBwIIAgkCPgILAj8CDQIIAggCCAIIAggCCAIIAggCCAIIAggCCAIIAggCCAIIAggCEwIDAoQCHgACqgICAiECBAIFAgYCBwIIAgkCCgILAj8CDQIIAggCCAIIAggCCAIIAggCCAIIAggCCAIIAggCCAIIAggCEwIDApoCHgACqgICAmMCBAIFAgYCBwIIAgkCCgILAj8CDQIIAggCCAIIAggCCAIIAggCCAIIAggCCAIIAggCCAIIAggCEwIDAmQCHgACqgICAp4CBAIFAgYCBwIIAgkCPgILAj8CDQIIAggCCAIIAggCCAIIAggCCAIIAggCCAIIAggCCAIIAggCEwIDAkACHgACqgICAloCBAIFAgYCBwIIAgkCPgILAj8CDQIIAggCCAIIAggCCAIIAggCCAIIAggCCAIIAggCCAIIAggCEwIDAmICHgACqgICAh8CBAIFAgYCBwIIAgkCRAILAj8CDQIIAggCCAIIAggCCAIIAggCCAIIAggCCAIIAggCCAIIAggCEwIDAmYCHgACqgICAisCBAIFAgYCBwIIAgkCPgILAj8CDQIIAggCCAIIAggCCAIIAggCCAIIAggCCAIIAggCCAIIAggCEwIDAkACHgACqgICAnoCBAIFAgYCBwIIAgkCCgILAj8CDQIIAggCCAIIAggCCAIIAggCCAIIAggCCAIIAggCCAIIAggCEwIDAnsCHgACqgICAkECBAIFAgYCBwIIAgkCCgILAj8CDQIIAggCCAIIAggCCAIIAggCCAIIAggCCAIIAggCCAIIAggCEwIDAlUCHgACqgICAlcCBAIFAgYCBwIIAgkCPgILAj8CDQIIAggCCAIIAggCCAIIAggCCAIIAggCCAIIAggCCAIIAggCEwIDAmwCHgACqgICAjcCBAIFAgYCBwIIAgkCCgILAj8CDQIIAggCCAIIAggCCAIIAggCCAIIAggCCAIIAggCCAIIAggCEwIDAmACHgACqgICAmkCBAIFAgYCBwIIAgkCRAILAj8CDQIIAggCCAIIAggCCAIIAggCCAIIAggCCAIIAggCCAIIAggCEwIDAnECHgACqgICAi0CBAIFAgYCBwIIAgkCRAILAj8CDQIIAggCCAIIAggCCAIIAggCCAIIAggCCAIIAggCCAIIAggCEwIDAnICHgACqgICAh8CBAIFAgYCBwIIAgkCPgILAj8CDQIIAggCCAIIAggCCAIIAggCCAIIAggCCAIIAggCCAIIegAABAACCAITAgMCQAIeAAKqAgICNQIEAgUCBgIHAggCCQI+AgsCPwINAggCCAIIAggCCAIIAggCCAIIAggCCAIIAggCCAIIAggCCAITAgMCdAIeAAKqAgICHQIEAgUCBgIHAggCCQJEAgsCPwINAggCCAIIAggCCAIIAggCCAIIAggCCAIIAggCCAIIAggCCAITAgMCfgIeAAKqAgICegIEAgUCBgIHAggCCQI+AgsCPwINAggCCAIIAggCCAIIAggCCAIIAggCCAIIAggCCAIIAggCCAITAgMCjwIeAAKqAgICJQIEAgUCBgIHAggCCQIKAgsCPwINAggCCAIIAggCCAIIAggCCAIIAggCCAIIAggCCAIIAggCCAITAgMCeQIeAAKqAgICnAIEAgUCBgIHAggCCQIKAgsCPwINAggCCAIIAggCCAIIAggCCAIIAggCCAIIAggCCAIIAggCCAITAgMCnQIeAAKqAgICnAIEAgUCBgIHAggCCQI+AgsCPwINAggCCAIIAggCCAIIAggCCAIIAggCCAIIAggCCAIIAggCCAITAgMCQAIeAAKqAgICYwIEAgUCBgIHAggCCQI+AgsCPwINAggCCAIIAggCCAIIAggCCAIIAggCCAIIAggCCAIIAggCCAITAgMCigIeAAKqAgICXAIEAgUCBgIHAggCCQI+AgsCPwINAggCCAIIAggCCAIIAggCCAIIAggCCAIIAggCCAIIAggCCAITAgMCXQIeAAKqAgICOQIEAgUCBgIHAggCCQJEAgsCPwINAggCCAIIAggCCAIIAggCCAIIAggCCAIIAggCCAIIAggCCAITAgMCpQIeAAKqAgICLwIEAgUCBgIHAggCCQIKAgsCPwINAggCCAIIAggCCAIIAggCCAIIAggCCAIIAggCCAIIAggCCAITAgMCbQIeAAKqAgICnwIEAgUCBgIHAggCCQI+AgsCPwINAggCCAIIAggCCAIIAggCCAIIAggCCAIIAggCCAIIAggCCAITAgMCQAIeAAKqAgICOQIEAgUCBgIHAggCCQIKAgsCPwINAggCCAIIAggCCAIIAggCCAIIAggCCAIIAggCCAIIAggCCAITAgMCoQIeAAKqAgICaQIEAgUCBgIHAggCCQIKAgsCPwINAggCCAIIAggCCAIIAggCCAIIAggCCAIIAggCCAIIAggCCAITAgMChwIeAAKqAgICbgIEAgUCBgIHAggCCQI+AgsCPwINAggCCAIIAggCCAIIAggCCAIIAggCCAIIAggCCAIIAggCCAITAgMChgIeAAKqAgICVwIEAgUCBgIHAggCCQIKAgsCPwINAggCCAIIAggCCAIIAggCCAIIAggCegAABAAIAggCCAIIAggCCAIIAhMCAwJYAh4AAqoCAgJDAgQCBQIGAgcCCAIJAgoCCwI/Ag0CCAIIAggCCAIIAggCCAIIAggCCAIIAggCCAIIAggCCAIIAhMCAwKQAh4AAqoCAgIDAgQCBQIGAgcCCAIJAj4CCwI/Ag0CCAIIAggCCAIIAggCCAIIAggCCAIIAggCCAIIAggCCAIIAhMCAwJAAh4AAqoCAgIjAgQCBQIGAgcCCAIJAgoCCwI/Ag0CCAIIAggCCAIIAggCCAIIAggCCAIIAggCCAIIAggCCAIIAhMCAwKFAh4AAqoCAgIhAgQCBQIGAgcCCAIJAkQCCwI/Ag0CCAIIAggCCAIIAggCCAIIAggCCAIIAggCCAIIAggCCAIIAhMCAwKgAh4AAqoCAgJPAgQCBQIGAgcCCAIJAkQCCwI/Ag0CCAIIAggCCAIIAggCCAIIAggCCAIIAggCCAIIAggCCAIIAhMCAwKMAh4AAqoCAgInAgQCBQIGAgcCCAIJAj4CCwI/Ag0CCAIIAggCCAIIAggCCAIIAggCCAIIAggCCAIIAggCCAIIAhMCAwJ1Ah4AAqoCAgIxAgQCBQIGAgcCCAIJAj4CCwI/Ag0CCAIIAggCCAIIAggCCAIIAggCCAIIAggCCAIIAggCCAIIAhMCAwJ/Ah4AAqoCAgKYAgQCBQIGAgcCCAIJAkQCCwI/Ag0CCAIIAggCCAIIAggCCAIIAggCCAIIAggCCAIIAggCCAIIAhMCAwKZAh4AAqoCAgIvAgQCBQIGAgcCCAIJAkQCCwI/Ag0CCAIIAggCCAIIAggCCAIIAggCCAIIAggCCAIIAggCCAIIAhMCAwKIAh4AAqsACTcwOTYxMTcyMAICAi0CBAIFAgYCBwIIAgkCCgILAj8CDQIIAggCCAIIAggCCAIIAggCCAIIAggCCAIIAggCCAIIAggCGQIDAl8CHgACqwICAnoCBAIFAgYCBwIIAgkCCgILAj8CDQIIAggCCAIIAggCCAIIAggCCAIIAggCCAIIAggCCAIIAggCGQIDAnsCHgACqwICAisCBAIFAgYCBwIIAgkCPgILAj8CDQIIAggCCAIIAggCCAIIAggCCAIIAggCCAIIAggCCAIIAggCGQIDAkACHgACqwICAkgCBAIFAgYCBwIIAgkCPgILAj8CDQIIAggCCAIIAggCCAIIAggCCAIIAggCCAIIAggCCAIIAggCGQIDAoQCHgACqwICAiECBAIFAgYCBwIIAgkCRAILAj8CDQIIAggCCAIIAggCCAIIAggCCAIIAggCCAIIAggCCAIIAggCGQIDAqACHgACqwICAh0CBAIFAgYCBwIIAgkCCgILAj8CegAABAANAggCCAIIAggCCAIIAggCCAIIAggCCAIIAggCCAIIAggCCAIZAgMCawIeAAKrAgICNQIEAgUCBgIHAggCCQIKAgsCPwINAggCCAIIAggCCAIIAggCCAIIAggCCAIIAggCCAIIAggCCAIZAgMCiwIeAAKrAgICaQIEAgUCBgIHAggCCQIKAgsCPwINAggCCAIIAggCCAIIAggCCAIIAggCCAIIAggCCAIIAggCCAIZAgMChwIeAAKrAgICMQIEAgUCBgIHAggCCQJEAgsCPwINAggCCAIIAggCCAIIAggCCAIIAggCCAIIAggCCAIIAggCCAIZAgMCgAIeAAKrAgICSAIEAgUCBgIHAggCCQJEAgsCPwINAggCCAIIAggCCAIIAggCCAIIAggCCAIIAggCCAIIAggCCAIZAgMCVAIeAAKrAgICKQIEAgUCBgIHAggCCQJEAgsCPwINAggCCAIIAggCCAIIAggCCAIIAggCCAIIAggCCAIIAggCCAIZAgMCVgIeAAKrAgICKQIEAgUCBgIHAggCCQI+AgsCPwINAggCCAIIAggCCAIIAggCCAIIAggCCAIIAggCCAIIAggCCAIZAgMCgQIeAAKrAgICMQIEAgUCBgIHAggCCQI+AgsCPwINAggCCAIIAggCCAIIAggCCAIIAggCCAIIAggCCAIIAggCCAIZAgMCfwIeAAKrAgICAwIEAgUCBgIHAggCCQI+AgsCPwINAggCCAIIAggCCAIIAggCCAIIAggCCAIIAggCCAIIAggCCAIZAgMCQAIeAAKrAgICGwIEAgUCBgIHAggCCQI+AgsCPwINAggCCAIIAggCCAIIAggCCAIIAggCCAIIAggCCAIIAggCCAIZAgMCWQIeAAKrAgICHwIEAgUCBgIHAggCCQIKAgsCPwINAggCCAIIAggCCAIIAggCCAIIAggCCAIIAggCCAIIAggCCAIZAgMCUwIeAAKrAgICVwIEAgUCBgIHAggCCQIKAgsCPwINAggCCAIIAggCCAIIAggCCAIIAggCCAIIAggCCAIIAggCCAIZAgMCWAIeAAKrAgICNQIEAgUCBgIHAggCCQJEAgsCPwINAggCCAIIAggCCAIIAggCCAIIAggCCAIIAggCCAIIAggCCAIZAgMCcAIeAAKrAgICLwIEAgUCBgIHAggCCQIKAgsCPwINAggCCAIIAggCCAIIAggCCAIIAggCCAIIAggCCAIIAggCCAIZAgMCbQIeAAKrAgICOQIEAgUCBgIHAggCCQJEAgsCPwINAggCCAIIAggCCAIIAggCCAIIAggCCAIIAggCCAIIAggCCAIZAgMCpQIeAAKrAgICJwIEAgUCBgIHegAABAACCAIJAgoCCwI/Ag0CCAIIAggCCAIIAggCCAIIAggCCAIIAggCCAIIAggCCAIIAhkCAwJRAh4AAqsCAgIDAgQCBQIGAgcCCAIJAkQCCwI/Ag0CCAIIAggCCAIIAggCCAIIAggCCAIIAggCCAIIAggCCAIIAhkCAwJSAh4AAqsCAgIbAgQCBQIGAgcCCAIJAkQCCwI/Ag0CCAIIAggCCAIIAggCCAIIAggCCAIIAggCCAIIAggCCAIIAhkCAwJOAh4AAqsCAgJPAgQCBQIGAgcCCAIJAgoCCwI/Ag0CCAIIAggCCAIIAggCCAIIAggCCAIIAggCCAIIAggCCAIIAhkCAwJQAh4AAqsCAgIdAgQCBQIGAgcCCAIJAkQCCwI/Ag0CCAIIAggCCAIIAggCCAIIAggCCAIIAggCCAIIAggCCAIIAhkCAwJ+Ah4AAqsCAgJDAgQCBQIGAgcCCAIJAj4CCwI/Ag0CCAIIAggCCAIIAggCCAIIAggCCAIIAggCCAIIAggCCAIIAhkCAwJNAh4AAqsCAgIpAgQCBQIGAgcCCAIJAgoCCwI/Ag0CCAIIAggCCAIIAggCCAIIAggCCAIIAggCCAIIAggCCAIIAhkCAwJHAh4AAqsCAgIrAgQCBQIGAgcCCAIJAgoCCwI/Ag0CCAIIAggCCAIIAggCCAIIAggCCAIIAggCCAIIAggCCAIIAhkCAwKjAh4AAqsCAgIhAgQCBQIGAgcCCAIJAgoCCwI/Ag0CCAIIAggCCAIIAggCCAIIAggCCAIIAggCCAIIAggCCAIIAhkCAwKaAh4AAqsCAgI5AgQCBQIGAgcCCAIJAj4CCwI/Ag0CCAIIAggCCAIIAggCCAIIAggCCAIIAggCCAIIAggCCAIIAhkCAwJAAh4AAqsCAgJpAgQCBQIGAgcCCAIJAj4CCwI/Ag0CCAIIAggCCAIIAggCCAIIAggCCAIIAggCCAIIAggCCAIIAhkCAwJqAh4AAqsCAgJIAgQCBQIGAgcCCAIJAgoCCwI/Ag0CCAIIAggCCAIIAggCCAIIAggCCAIIAggCCAIIAggCCAIIAhkCAwJJAh4AAqsCAgI1AgQCBQIGAgcCCAIJAj4CCwI/Ag0CCAIIAggCCAIIAggCCAIIAggCCAIIAggCCAIIAggCCAIIAhkCAwJ0Ah4AAqsCAgIzAgQCBQIGAgcCCAIJAgoCCwI/Ag0CCAIIAggCCAIIAggCCAIIAggCCAIIAggCCAIIAggCCAIIAhkCAwJeAh4AAqsCAgJBAgQCBQIGAgcCCAIJAgoCCwI/Ag0CCAIIAggCCAIIAggCCAIIAggCCAIIAggCCAIIAggCCAIIAhkCAwJVAh4AAqsCegAABAACAmkCBAIFAgYCBwIIAgkCRAILAj8CDQIIAggCCAIIAggCCAIIAggCCAIIAggCCAIIAggCCAIIAggCGQIDAnECHgACqwICAlcCBAIFAgYCBwIIAgkCPgILAj8CDQIIAggCCAIIAggCCAIIAggCCAIIAggCCAIIAggCCAIIAggCGQIDAmwCHgACqwICAiMCBAIFAgYCBwIIAgkCPgILAj8CDQIIAggCCAIIAggCCAIIAggCCAIIAggCCAIIAggCCAIIAggCGQIDAkACHgACqwICAiMCBAIFAgYCBwIIAgkCRAILAj8CDQIIAggCCAIIAggCCAIIAggCCAIIAggCCAIIAggCCAIIAggCGQIDAmcCHgACqwICAisCBAIFAgYCBwIIAgkCRAILAj8CDQIIAggCCAIIAggCCAIIAggCCAIIAggCCAIIAggCCAIIAggCGQIDAqICHgACqwICAmMCBAIFAgYCBwIIAgkCCgILAj8CDQIIAggCCAIIAggCCAIIAggCCAIIAggCCAIIAggCCAIIAggCGQIDAmQCHgACqwICAlcCBAIFAgYCBwIIAgkCRAILAj8CDQIIAggCCAIIAggCCAIIAggCCAIIAggCCAIIAggCCAIIAggCGQIDAnYCHgACqwICAloCBAIFAgYCBwIIAgkCRAILAj8CDQIIAggCCAIIAggCCAIIAggCCAIIAggCCAIIAggCCAIIAggCGQIDAlsCHgACqwICAiUCBAIFAgYCBwIIAgkCRAILAj8CDQIIAggCCAIIAggCCAIIAggCCAIIAggCCAIIAggCCAIIAggCGQIDAmgCHgACqwICAh8CBAIFAgYCBwIIAgkCRAILAj8CDQIIAggCCAIIAggCCAIIAggCCAIIAggCCAIIAggCCAIIAggCGQIDAmYCHgACqwICAh8CBAIFAgYCBwIIAgkCPgILAj8CDQIIAggCCAIIAggCCAIIAggCCAIIAggCCAIIAggCCAIIAggCGQIDAkACHgACqwICAiUCBAIFAgYCBwIIAgkCPgILAj8CDQIIAggCCAIIAggCCAIIAggCCAIIAggCCAIIAggCCAIIAggCGQIDAmUCHgACqwICAjcCBAIFAgYCBwIIAgkCCgILAj8CDQIIAggCCAIIAggCCAIIAggCCAIIAggCCAIIAggCCAIIAggCGQIDAmACHgACqwICAjsCBAIFAgYCBwIIAgkCCgILAj8CDQIIAggCCAIIAggCCAIIAggCCAIIAggCCAIIAggCCAIIAggCGQIDAmECHgACqwICAkMCBAIFAgYCBwIIAgkCCgILAj8CDQIIAggCCAIIAggCCAIIAggCCAIIAggCCAIIAggCCAIIAggCegAABAAZAgMCkAIeAAKrAgICWgIEAgUCBgIHAggCCQI+AgsCPwINAggCCAIIAggCCAIIAggCCAIIAggCCAIIAggCCAIIAggCCAIZAgMCYgIeAAKrAgICQQIEAgUCBgIHAggCCQJEAgsCPwINAggCCAIIAggCCAIIAggCCAIIAggCCAIIAggCCAIIAggCCAIZAgMCkwIeAAKrAgICMwIEAgUCBgIHAggCCQJEAgsCPwINAggCCAIIAggCCAIIAggCCAIIAggCCAIIAggCCAIIAggCCAIZAgMCSwIeAAKrAgICbgIEAgUCBgIHAggCCQI+AgsCPwINAggCCAIIAggCCAIIAggCCAIIAggCCAIIAggCCAIIAggCCAIZAgMChgIeAAKrAgICLwIEAgUCBgIHAggCCQI+AgsCPwINAggCCAIIAggCCAIIAggCCAIIAggCCAIIAggCCAIIAggCCAIZAgMCiQIeAAKrAgICIwIEAgUCBgIHAggCCQIKAgsCPwINAggCCAIIAggCCAIIAggCCAIIAggCCAIIAggCCAIIAggCCAIZAgMChQIeAAKrAgICXAIEAgUCBgIHAggCCQI+AgsCPwINAggCCAIIAggCCAIIAggCCAIIAggCCAIIAggCCAIIAggCCAIZAgMCXQIeAAKrAgICQwIEAgUCBgIHAggCCQJEAgsCPwINAggCCAIIAggCCAIIAggCCAIIAggCCAIIAggCCAIIAggCCAIZAgMCRQIeAAKrAgICXAIEAgUCBgIHAggCCQJEAgsCPwINAggCCAIIAggCCAIIAggCCAIIAggCCAIIAggCCAIIAggCCAIZAgMCfQIeAAKrAgICYwIEAgUCBgIHAggCCQI+AgsCPwINAggCCAIIAggCCAIIAggCCAIIAggCCAIIAggCCAIIAggCCAIZAgMCigIeAAKrAgICHQIEAgUCBgIHAggCCQI+AgsCPwINAggCCAIIAggCCAIIAggCCAIIAggCCAIIAggCCAIIAggCCAIZAgMCggIeAAKrAgICegIEAgUCBgIHAggCCQI+AgsCPwINAggCCAIIAggCCAIIAggCCAIIAggCCAIIAggCCAIIAggCCAIZAgMCjwIeAAKrAgICYwIEAgUCBgIHAggCCQJEAgsCPwINAggCCAIIAggCCAIIAggCCAIIAggCCAIIAggCCAIIAggCCAIZAgMCfAIeAAKrAgICWgIEAgUCBgIHAggCCQIKAgsCPwINAggCCAIIAggCCAIIAggCCAIIAggCCAIIAggCCAIIAggCCAIZAgMCeAIeAAKrAgICOwIEAgUCBgIHAggCCQI+AgsCPwINAggCCAIIAggCCAIIAggCCAIIAggCCAIIegAABAACCAIIAggCCAIIAhkCAwJAAh4AAqsCAgIxAgQCBQIGAgcCCAIJAgoCCwI/Ag0CCAIIAggCCAIIAggCCAIIAggCCAIIAggCCAIIAggCCAIIAhkCAwKNAh4AAqsCAgI7AgQCBQIGAgcCCAIJAkQCCwI/Ag0CCAIIAggCCAIIAggCCAIIAggCCAIIAggCCAIIAggCCAIIAhkCAwJKAh4AAqsCAgIlAgQCBQIGAgcCCAIJAgoCCwI/Ag0CCAIIAggCCAIIAggCCAIIAggCCAIIAggCCAIIAggCCAIIAhkCAwJ5Ah4AAqsCAgJ6AgQCBQIGAgcCCAIJAkQCCwI/Ag0CCAIIAggCCAIIAggCCAIIAggCCAIIAggCCAIIAggCCAIIAhkCAwKSAh4AAqsCAgItAgQCBQIGAgcCCAIJAkQCCwI/Ag0CCAIIAggCCAIIAggCCAIIAggCCAIIAggCCAIIAggCCAIIAhkCAwJyAh4AAqsCAgI3AgQCBQIGAgcCCAIJAkQCCwI/Ag0CCAIIAggCCAIIAggCCAIIAggCCAIIAggCCAIIAggCCAIIAhkCAwJMAh4AAqsCAgJuAgQCBQIGAgcCCAIJAgoCCwI/Ag0CCAIIAggCCAIIAggCCAIIAggCCAIIAggCCAIIAggCCAIIAhkCAwJvAh4AAqsCAgJuAgQCBQIGAgcCCAIJAkQCCwI/Ag0CCAIIAggCCAIIAggCCAIIAggCCAIIAggCCAIIAggCCAIIAhkCAwKDAh4AAqsCAgIvAgQCBQIGAgcCCAIJAkQCCwI/Ag0CCAIIAggCCAIIAggCCAIIAggCCAIIAggCCAIIAggCCAIIAhkCAwKIAh4AAqsCAgI3AgQCBQIGAgcCCAIJAj4CCwI/Ag0CCAIIAggCCAIIAggCCAIIAggCCAIIAggCCAIIAggCCAIIAhkCAwKRAh4AAqsCAgIzAgQCBQIGAgcCCAIJAj4CCwI/Ag0CCAIIAggCCAIIAggCCAIIAggCCAIIAggCCAIIAggCCAIIAhkCAwJGAh4AAqsCAgItAgQCBQIGAgcCCAIJAj4CCwI/Ag0CCAIIAggCCAIIAggCCAIIAggCCAIIAggCCAIIAggCCAIIAhkCAwJAAh4AAqsCAgIDAgQCBQIGAgcCCAIJAgoCCwI/Ag0CCAIIAggCCAIIAggCCAIIAggCCAIIAggCCAIIAggCCAIIAhkCAwKUAh4AAqsCAgJBAgQCBQIGAgcCCAIJAj4CCwI/Ag0CCAIIAggCCAIIAggCCAIIAggCCAIIAggCCAIIAggCCAIIAhkCAwJCAh4AAqsCAgIhAgQCBQIGAgcCCAIJAj4CCwI/Ag0CCAIIAggCCAIIAggCegAABAAIAggCCAIIAggCCAIIAggCCAIIAggCGQIDAkACHgACqwICAhsCBAIFAgYCBwIIAgkCCgILAj8CDQIIAggCCAIIAggCCAIIAggCCAIIAggCCAIIAggCCAIIAggCGQIDApUCHgACqwICAjkCBAIFAgYCBwIIAgkCCgILAj8CDQIIAggCCAIIAggCCAIIAggCCAIIAggCCAIIAggCCAIIAggCGQIDAqECHgACqwICAk8CBAIFAgYCBwIIAgkCPgILAj8CDQIIAggCCAIIAggCCAIIAggCCAIIAggCCAIIAggCCAIIAggCGQIDAncCHgACqwICAicCBAIFAgYCBwIIAgkCPgILAj8CDQIIAggCCAIIAggCCAIIAggCCAIIAggCCAIIAggCCAIIAggCGQIDAnUCHgACqwICAicCBAIFAgYCBwIIAgkCRAILAj8CDQIIAggCCAIIAggCCAIIAggCCAIIAggCCAIIAggCCAIIAggCGQIDAo4CHgACqwICAlwCBAIFAgYCBwIIAgkCCgILAj8CDQIIAggCCAIIAggCCAIIAggCCAIIAggCCAIIAggCCAIIAggCGQIDAnMCHgACqwICAk8CBAIFAgYCBwIIAgkCRAILAj8CDQIIAggCCAIIAggCCAIIAggCCAIIAggCCAIIAggCCAIIAggCGQIDAowCHgACrAAJMzk2ODEzNzQ0AgICMwIEAgUCBgIHAggCCQI+AgsCPwINAggCCAIIAggCCAIIAggCCAIIAggCCAIIAggCCAIIAggCCAIjAgMCRgIeAAKsAgICQQIEAgUCBgIHAggCCQI+AgsCPwINAggCCAIIAggCCAIIAggCCAIIAggCCAIIAggCCAIIAggCCAIjAgMCQgIeAAKsAgICQwIEAgUCBgIHAggCCQJEAgsCPwINAggCCAIIAggCCAIIAggCCAIIAggCCAIIAggCCAIIAggCCAIjAgMCRQIeAAKsAgICGwIEAgUCBgIHAggCCQIKAgsCPwINAggCCAIIAggCCAIIAggCCAIIAggCCAIIAggCCAIIAggCCAIjAgMClQIeAAKsAgICIwIEAgUCBgIHAggCCQI+AgsCPwINAggCCAIIAggCCAIIAggCCAIIAggCCAIIAggCCAIIAggCCAIjAgMCQAIeAAKsAgICIwIEAgUCBgIHAggCCQJEAgsCPwINAggCCAIIAggCCAIIAggCCAIIAggCCAIIAggCCAIIAggCCAIjAgMCZwIeAAKsAgICNwIEAgUCBgIHAggCCQI+AgsCPwINAggCCAIIAggCCAIIAggCCAIIAggCCAIIAggCCAIIAggCCAIjAgMCkQIeAAKsAgICQwIEAgUCBgIHAggCegAABAAJAj4CCwI/Ag0CCAIIAggCCAIIAggCCAIIAggCCAIIAggCCAIIAggCCAIIAiMCAwJNAh4AAqwCAgJBAgQCBQIGAgcCCAIJAkQCCwI/Ag0CCAIIAggCCAIIAggCCAIIAggCCAIIAggCCAIIAggCCAIIAiMCAwKTAh4AAqwCAgIzAgQCBQIGAgcCCAIJAkQCCwI/Ag0CCAIIAggCCAIIAggCCAIIAggCCAIIAggCCAIIAggCCAIIAiMCAwJLAh4AAqwCAgI3AgQCBQIGAgcCCAIJAkQCCwI/Ag0CCAIIAggCCAIIAggCCAIIAggCCAIIAggCCAIIAggCCAIIAiMCAwJMAh4AAqwCAgJIAgQCBQIGAgcCCAIJAgoCCwI/Ag0CCAIIAggCCAIIAggCCAIIAggCCAIIAggCCAIIAggCCAIIAiMCAwJJAh4AAqwCAgIpAgQCBQIGAgcCCAIJAgoCCwI/Ag0CCAIIAggCCAIIAggCCAIIAggCCAIIAggCCAIIAggCCAIIAiMCAwJHAh4AAqwCAgIxAgQCBQIGAgcCCAIJAgoCCwI/Ag0CCAIIAggCCAIIAggCCAIIAggCCAIIAggCCAIIAggCCAIIAiMCAwKNAh4AAqwCAgIfAgQCBQIGAgcCCAIJAgoCCwI/Ag0CCAIIAggCCAIIAggCCAIIAggCCAIIAggCCAIIAggCCAIIAiMCAwJTAh4AAqwCAgIjAgQCBQIGAgcCCAIJAgoCCwI/Ag0CCAIIAggCCAIIAggCCAIIAggCCAIIAggCCAIIAggCCAIIAiMCAwKFAh4AAqwCAgIbAgQCBQIGAgcCCAIJAj4CCwI/Ag0CCAIIAggCCAIIAggCCAIIAggCCAIIAggCCAIIAggCCAIIAiMCAwJZAh4AAqwCAgJXAgQCBQIGAgcCCAIJAgoCCwI/Ag0CCAIIAggCCAIIAggCCAIIAggCCAIIAggCCAIIAggCCAIIAiMCAwJYAh4AAqwCAgIvAgQCBQIGAgcCCAIJAj4CCwI/Ag0CCAIIAggCCAIIAggCCAIIAggCCAIIAggCCAIIAggCCAIIAiMCAwKJAh4AAqwCAgJuAgQCBQIGAgcCCAIJAj4CCwI/Ag0CCAIIAggCCAIIAggCCAIIAggCCAIIAggCCAIIAggCCAIIAiMCAwKGAh4AAqwCAgJcAgQCBQIGAgcCCAIJAj4CCwI/Ag0CCAIIAggCCAIIAggCCAIIAggCCAIIAggCCAIIAggCCAIIAiMCAwJdAh4AAqwCAgJuAgQCBQIGAgcCCAIJAkQCCwI/Ag0CCAIIAggCCAIIAggCCAIIAggCCAIIAggCCAIIAggCCAIIAiMCAwKDAh4AAqwCAgIbegAABAACBAIFAgYCBwIIAgkCRAILAj8CDQIIAggCCAIIAggCCAIIAggCCAIIAggCCAIIAggCCAIIAggCIwIDAk4CHgACrAICAkMCBAIFAgYCBwIIAgkCCgILAj8CDQIIAggCCAIIAggCCAIIAggCCAIIAggCCAIIAggCCAIIAggCIwIDApACHgACrAICAiUCBAIFAgYCBwIIAgkCCgILAj8CDQIIAggCCAIIAggCCAIIAggCCAIIAggCCAIIAggCCAIIAggCIwIDAnkCHgACrAICAicCBAIFAgYCBwIIAgkCRAILAj8CDQIIAggCCAIIAggCCAIIAggCCAIIAggCCAIIAggCCAIIAggCIwIDAo4CHgACrAICAjECBAIFAgYCBwIIAgkCPgILAj8CDQIIAggCCAIIAggCCAIIAggCCAIIAggCCAIIAggCCAIIAggCIwIDAn8CHgACrAICAk8CBAIFAgYCBwIIAgkCRAILAj8CDQIIAggCCAIIAggCCAIIAggCCAIIAggCCAIIAggCCAIIAggCIwIDAowCHgACrAICAmkCBAIFAgYCBwIIAgkCCgILAj8CDQIIAggCCAIIAggCCAIIAggCCAIIAggCCAIIAggCCAIIAggCIwIDAocCHgACrAICAjECBAIFAgYCBwIIAgkCRAILAj8CDQIIAggCCAIIAggCCAIIAggCCAIIAggCCAIIAggCCAIIAggCIwIDAoACHgACrAICAi8CBAIFAgYCBwIIAgkCRAILAj8CDQIIAggCCAIIAggCCAIIAggCCAIIAggCCAIIAggCCAIIAggCIwIDAogCHgACrAICAjUCBAIFAgYCBwIIAgkCCgILAj8CDQIIAggCCAIIAggCCAIIAggCCAIIAggCCAIIAggCCAIIAggCIwIDAosCHgACrAICAjUCBAIFAgYCBwIIAgkCRAILAj8CDQIIAggCCAIIAggCCAIIAggCCAIIAggCCAIIAggCCAIIAggCIwIDAnACHgACrAICAh8CBAIFAgYCBwIIAgkCPgILAj8CDQIIAggCCAIIAggCCAIIAggCCAIIAggCCAIIAggCCAIIAggCIwIDAkACHgACrAICAlcCBAIFAgYCBwIIAgkCPgILAj8CDQIIAggCCAIIAggCCAIIAggCCAIIAggCCAIIAggCCAIIAggCIwIDAmwCHgACrAICAm4CBAIFAgYCBwIIAgkCCgILAj8CDQIIAggCCAIIAggCCAIIAggCCAIIAggCCAIIAggCCAIIAggCIwIDAm8CHgACrAICAk8CBAIFAgYCBwIIAgkCPgILAj8CDQIIAggCCAIIAggCCAIIAggCCAIIAggCCAIIAggCCAIIAggCIwIDegAABAACdwIeAAKsAgICegIEAgUCBgIHAggCCQJEAgsCPwINAggCCAIIAggCCAIIAggCCAIIAggCCAIIAggCCAIIAggCCAIjAgMCkgIeAAKsAgICVwIEAgUCBgIHAggCCQJEAgsCPwINAggCCAIIAggCCAIIAggCCAIIAggCCAIIAggCCAIIAggCCAIjAgMCdgIeAAKsAgICaQIEAgUCBgIHAggCCQJEAgsCPwINAggCCAIIAggCCAIIAggCCAIIAggCCAIIAggCCAIIAggCCAIjAgMCcQIeAAKsAgICaQIEAgUCBgIHAggCCQI+AgsCPwINAggCCAIIAggCCAIIAggCCAIIAggCCAIIAggCCAIIAggCCAIjAgMCagIeAAKsAgICJwIEAgUCBgIHAggCCQI+AgsCPwINAggCCAIIAggCCAIIAggCCAIIAggCCAIIAggCCAIIAggCCAIjAgMCdQIeAAKsAgICHwIEAgUCBgIHAggCCQJEAgsCPwINAggCCAIIAggCCAIIAggCCAIIAggCCAIIAggCCAIIAggCCAIjAgMCZgIeAAKsAgICXAIEAgUCBgIHAggCCQIKAgsCPwINAggCCAIIAggCCAIIAggCCAIIAggCCAIIAggCCAIIAggCCAIjAgMCcwIeAAKsAgICYwIEAgUCBgIHAggCCQIKAgsCPwINAggCCAIIAggCCAIIAggCCAIIAggCCAIIAggCCAIIAggCCAIjAgMCZAIeAAKsAgICHQIEAgUCBgIHAggCCQIKAgsCPwINAggCCAIIAggCCAIIAggCCAIIAggCCAIIAggCCAIIAggCCAIjAgMCawIeAAKsAgICWgIEAgUCBgIHAggCCQIKAgsCPwINAggCCAIIAggCCAIIAggCCAIIAggCCAIIAggCCAIIAggCCAIjAgMCeAIeAAKsAgICegIEAgUCBgIHAggCCQI+AgsCPwINAggCCAIIAggCCAIIAggCCAIIAggCCAIIAggCCAIIAggCCAIjAgMCjwIeAAKsAgICLQIEAgUCBgIHAggCCQI+AgsCPwINAggCCAIIAggCCAIIAggCCAIIAggCCAIIAggCCAIIAggCCAIjAgMCQAIeAAKsAgICHQIEAgUCBgIHAggCCQJEAgsCPwINAggCCAIIAggCCAIIAggCCAIIAggCCAIIAggCCAIIAggCCAIjAgMCfgIeAAKsAgICYwIEAgUCBgIHAggCCQI+AgsCPwINAggCCAIIAggCCAIIAggCCAIIAggCCAIIAggCCAIIAggCCAIjAgMCigIeAAKsAgICYwIEAgUCBgIHAggCCQJEAgsCPwINAggCCAIIAggCCAIIAggCCAIIAggCCAIIAggCegAABAAIAggCCAIIAiMCAwJ8Ah4AAqwCAgJcAgQCBQIGAgcCCAIJAkQCCwI/Ag0CCAIIAggCCAIIAggCCAIIAggCCAIIAggCCAIIAggCCAIIAiMCAwJ9Ah4AAqwCAgI1AgQCBQIGAgcCCAIJAj4CCwI/Ag0CCAIIAggCCAIIAggCCAIIAggCCAIIAggCCAIIAggCCAIIAiMCAwJ0Ah4AAqwCAgItAgQCBQIGAgcCCAIJAkQCCwI/Ag0CCAIIAggCCAIIAggCCAIIAggCCAIIAggCCAIIAggCCAIIAiMCAwJyAh4AAqwCAgIvAgQCBQIGAgcCCAIJAgoCCwI/Ag0CCAIIAggCCAIIAggCCAIIAggCCAIIAggCCAIIAggCCAIIAiMCAwJtAh4AAqwCAgJBAgQCBQIGAgcCCAIJAgoCCwI/Ag0CCAIIAggCCAIIAggCCAIIAggCCAIIAggCCAIIAggCCAIIAiMCAwJVAh4AAqwCAgJIAgQCBQIGAgcCCAIJAkQCCwI/Ag0CCAIIAggCCAIIAggCCAIIAggCCAIIAggCCAIIAggCCAIIAiMCAwJUAh4AAqwCAgJPAgQCBQIGAgcCCAIJAgoCCwI/Ag0CCAIIAggCCAIIAggCCAIIAggCCAIIAggCCAIIAggCCAIIAiMCAwJQAh4AAqwCAgInAgQCBQIGAgcCCAIJAgoCCwI/Ag0CCAIIAggCCAIIAggCCAIIAggCCAIIAggCCAIIAggCCAIIAiMCAwJRAh4AAqwCAgIdAgQCBQIGAgcCCAIJAj4CCwI/Ag0CCAIIAggCCAIIAggCCAIIAggCCAIIAggCCAIIAggCCAIIAiMCAwKCAh4AAqwCAgIlAgQCBQIGAgcCCAIJAkQCCwI/Ag0CCAIIAggCCAIIAggCCAIIAggCCAIIAggCCAIIAggCCAIIAiMCAwJoAh4AAqwCAgI3AgQCBQIGAgcCCAIJAgoCCwI/Ag0CCAIIAggCCAIIAggCCAIIAggCCAIIAggCCAIIAggCCAIIAiMCAwJgAh4AAqwCAgIlAgQCBQIGAgcCCAIJAj4CCwI/Ag0CCAIIAggCCAIIAggCCAIIAggCCAIIAggCCAIIAggCCAIIAiMCAwJlAh4AAqwCAgJ6AgQCBQIGAgcCCAIJAgoCCwI/Ag0CCAIIAggCCAIIAggCCAIIAggCCAIIAggCCAIIAggCCAIIAiMCAwJ7Ah4AAqwCAgIpAgQCBQIGAgcCCAIJAj4CCwI/Ag0CCAIIAggCCAIIAggCCAIIAggCCAIIAggCCAIIAggCCAIIAiMCAwKBAh4AAqwCAgJIAgQCBQIGAgcCCAIJAj4CCwI/Ag0CCAIIAggCCAIIAggCCAIIegAAAcECCAIIAggCCAIIAggCCAIIAggCIwIDAoQCHgACrAICAloCBAIFAgYCBwIIAgkCPgILAj8CDQIIAggCCAIIAggCCAIIAggCCAIIAggCCAIIAggCCAIIAggCIwIDAmICHgACrAICAloCBAIFAgYCBwIIAgkCRAILAj8CDQIIAggCCAIIAggCCAIIAggCCAIIAggCCAIIAggCCAIIAggCIwIDAlsCHgACrAICAikCBAIFAgYCBwIIAgkCRAILAj8CDQIIAggCCAIIAggCCAIIAggCCAIIAggCCAIIAggCCAIIAggCIwIDAlYCHgACrAICAjMCBAIFAgYCBwIIAgkCCgILAj8CDQIIAggCCAIIAggCCAIIAggCCAIIAggCCAIIAggCCAIIAggCIwIDAl4CHgACrAICAi0CBAIFAgYCBwIIAgkCCgILAj8CDQIIAggCCAIIAggCCAIIAggCCAIIAggCCAIIAggCCAIIAggCIwIDAl8CHgACrQAJNzA5NjEwNTYwAgICNQIEAgUCBgIHAggCCQJEAgsCDAINAggCCAIIAggCCAIIAggCCAIIAggCCAIIAggCCAIIAggCCAIYAgMCrnNxAH4AAAAAAAJzcQB+AAT///////////////7////+/////3VxAH4ABwAAAARZ/eXyeHh3RQIeAAKtAgICOQIEAgUCBgIHAggCCQJEAgsCDAINAggCCAIIAggCCAIIAggCCAIIAggCCAIIAggCCAIIAggCCAIYAgMCr3NxAH4AAAAAAAJzcQB+AAT///////////////7////+/////3VxAH4ABwAAAARdGgPTeHh3igIeAAKtAgICLwIEAgUCBgIHAggCCQIKAgsCDAINAggCCAIIAggCCAIIAggCCAIIAggCCAIIAggCCAIIAggCCAIYAgMCMAIeAAKtAgICaQIEAgUCBgIHAggCCQJEAgsCDAINAggCCAIIAggCCAIIAggCCAIIAggCCAIIAggCCAIIAggCCAIYAgMCsHNxAH4AAAAAAAJzcQB+AAT///////////////7////+/////3VxAH4ABwAAAARIcHiveHh3RQIeAAKtAgICbgIEAgUCBgIHAggCCQIKAgsCDAINAggCCAIIAggCCAIIAggCCAIIAggCCAIIAggCCAIIAggCCAIYAgMCsXNxAH4AAAAAAAJzcQB+AAT///////////////7////+/////3VxAH4ABwAAAAQDq4uteHh3kgIeAAKtAgICKwIEAgUCBgIHAggCCQKyAAYxOTEwMjUCCwIMAg0CCAIIAggCCAIIAggCCAIIAggCCAIIAggCCAIIAggCCAIIAhgCAwJAAh4AAq0CAgIfAgQCBQIGAgcCCAIJAkQCCwIMAg0CCAIIAggCCAIIAggCCAIIAggCCAIIAggCCAIIAggCCAIIAhgCAwKzc3EAfgAAAAAAAnNxAH4ABP///////////////v////7/////dXEAfgAHAAAABDDQqrN4eHdFAh4AAq0CAgItAgQCBQIGAgcCCAIJAkQCCwIMAg0CCAIIAggCCAIIAggCCAIIAggCCAIIAggCCAIIAggCCAIIAhgCAwK0c3EAfgAAAAAAAnNxAH4ABP///////////////v////7/////dXEAfgAHAAAABEI0vHx4eHdFAh4AAq0CAgJcAgQCBQIGAgcCCAIJAgoCCwIMAg0CCAIIAggCCAIIAggCCAIIAggCCAIIAggCCAIIAggCCAIIAhgCAwK1c3EAfgAAAAAAAnNxAH4ABP///////////////v////7/////dXEAfgAHAAAABDuLiL14eHdFAh4AAq0CAgJ6AgQCBQIGAgcCCAIJAkQCCwIMAg0CCAIIAggCCAIIAggCCAIIAggCCAIIAggCCAIIAggCCAIIAhgCAwK2c3EAfgAAAAAAAnNxAH4ABP///////////////v////7/////dXEAfgAHAAAABBJUFap4eHeKAh4AAq0CAgIdAgQCBQIGAgcCCAIJAgoCCwIMAg0CCAIIAggCCAIIAggCCAIIAggCCAIIAggCCAIIAggCCAIIAhgCAwIeAh4AAq0CAgIpAgQCBQIGAgcCCAIJArICCwIMAg0CCAIIAggCCAIIAggCCAIIAggCCAIIAggCCAIIAggCCAIIAhgCAwK3c3EAfgAAAAAAAnNxAH4ABP///////////////v////7/////dXEAfgAHAAAAAwSrl3h4d0UCHgACrQICAjECBAIFAgYCBwIIAgkCsgILAgwCDQIIAggCCAIIAggCCAIIAggCCAIIAggCCAIIAggCCAIIAggCGAIDArhzcQB+AAAAAAACc3EAfgAE///////////////+/////v////91cQB+AAcAAAADA9yreHh3RQIeAAKtAgICSAIEAgUCBgIHAggCCQKyAgsCDAINAggCCAIIAggCCAIIAggCCAIIAggCCAIIAggCCAIIAggCCAIYAgMCuXNxAH4AAAAAAAJzcQB+AAT///////////////7////+/////3VxAH4ABwAAAAMSFct4eHdFAh4AAq0CAgJaAgQCBQIGAgcCCAIJAgoCCwIMAg0CCAIIAggCCAIIAggCCAIIAggCCAIIAggCCAIIAggCCAIIAhgCAwK6c3EAfgAAAAAAAnNxAH4ABP///////////////v////7/////dXEAfgAHAAAABAM2kpl4eHeKAh4AAq0CAgIlAgQCBQIGAgcCCAIJAgoCCwIMAg0CCAIIAggCCAIIAggCCAIIAggCCAIIAggCCAIIAggCCAIIAhgCAwImAh4AAq0CAgJjAgQCBQIGAgcCCAIJAkQCCwIMAg0CCAIIAggCCAIIAggCCAIIAggCCAIIAggCCAIIAggCCAIIAhgCAwK7c3EAfgAAAAAAAnNxAH4ABP///////////////v////7/////dXEAfgAHAAAABEwrC4B4eHeKAh4AAq0CAgIhAgQCBQIGAgcCCAIJArICCwIMAg0CCAIIAggCCAIIAggCCAIIAggCCAIIAggCCAIIAggCCAIIAhgCAwJAAh4AAq0CAgIdAgQCBQIGAgcCCAIJAkQCCwIMAg0CCAIIAggCCAIIAggCCAIIAggCCAIIAggCCAIIAggCCAIIAhgCAwK8c3EAfgAAAAAAAnNxAH4ABP///////////////v////7/////dXEAfgAHAAAABFgLByx4eHdFAh4AAq0CAgJXAgQCBQIGAgcCCAIJArICCwIMAg0CCAIIAggCCAIIAggCCAIIAggCCAIIAggCCAIIAggCCAIIAhgCAwK9c3EAfgAAAAAAAnNxAH4ABP///////////////v////7/////dXEAfgAHAAAAAwU/r3h4d0UCHgACrQICAlwCBAIFAgYCBwIIAgkCRAILAgwCDQIIAggCCAIIAggCCAIIAggCCAIIAggCCAIIAggCCAIIAggCGAIDAr5zcQB+AAAAAAACc3EAfgAE///////////////+/////v////91cQB+AAcAAAAEKKPaWXh4d0UCHgACrQICAk8CBAIFAgYCBwIIAgkCsgILAgwCDQIIAggCCAIIAggCCAIIAggCCAIIAggCCAIIAggCCAIIAggCGAIDAr9zcQB+AAAAAAACc3EAfgAE///////////////+/////v////91cQB+AAcAAAADDoPdeHh3RQIeAAKtAgICJwIEAgUCBgIHAggCCQKyAgsCDAINAggCCAIIAggCCAIIAggCCAIIAggCCAIIAggCCAIIAggCCAIYAgMCwHNxAH4AAAAAAAJzcQB+AAT///////////////7////+/////3VxAH4ABwAAAAMEdI14eHeKAh4AAq0CAgIfAgQCBQIGAgcCCAIJArICCwIMAg0CCAIIAggCCAIIAggCCAIIAggCCAIIAggCCAIIAggCCAIIAhgCAwJAAh4AAq0CAgI1AgQCBQIGAgcCCAIJArICCwIMAg0CCAIIAggCCAIIAggCCAIIAggCCAIIAggCCAIIAggCCAIIAhgCAwLBc3EAfgAAAAAAAnNxAH4ABP///////////////v////7/////dXEAfgAHAAAAAwRWK3h4d0UCHgACrQICAmkCBAIFAgYCBwIIAgkCsgILAgwCDQIIAggCCAIIAggCCAIIAggCCAIIAggCCAIIAggCCAIIAggCGAIDAsJzcQB+AAAAAAACc3EAfgAE///////////////+/////v////91cQB+AAcAAAADDMb+eHh3igIeAAKtAgICMwIEAgUCBgIHAggCCQIKAgsCDAINAggCCAIIAggCCAIIAggCCAIIAggCCAIIAggCCAIIAggCCAIYAgMCNAIeAAKtAgICKQIEAgUCBgIHAggCCQJEAgsCDAINAggCCAIIAggCCAIIAggCCAIIAggCCAIIAggCCAIIAggCCAIYAgMCw3NxAH4AAAAAAAJzcQB+AAT///////////////7////+/////3VxAH4ABwAAAARTY5smeHh3RQIeAAKtAgICSAIEAgUCBgIHAggCCQJEAgsCDAINAggCCAIIAggCCAIIAggCCAIIAggCCAIIAggCCAIIAggCCAIYAgMCxHNxAH4AAAAAAAJzcQB+AAT///////////////7////+/////3VxAH4ABwAAAAQ3OPVPeHh3zwIeAAKtAgICIwIEAgUCBgIHAggCCQKyAgsCDAINAggCCAIIAggCCAIIAggCCAIIAggCCAIIAggCCAIIAggCCAIYAgMCQAIeAAKtAgICOQIEAgUCBgIHAggCCQKyAgsCDAINAggCCAIIAggCCAIIAggCCAIIAggCCAIIAggCCAIIAggCCAIYAgMCQAIeAAKtAgICQQIEAgUCBgIHAggCCQIKAgsCDAINAggCCAIIAggCCAIIAggCCAIIAggCCAIIAggCCAIIAggCCAIYAgMCxXNxAH4AAAAAAAJzcQB+AAT///////////////7////+/////3VxAH4ABwAAAAQCvT+keHh3RQIeAAKtAgICTwIEAgUCBgIHAggCCQIKAgsCDAINAggCCAIIAggCCAIIAggCCAIIAggCCAIIAggCCAIIAggCCAIYAgMCxnNxAH4AAAAAAAJzcQB+AAT///////////////7////+/////3VxAH4ABwAAAAQF6I5ueHh6AAABngIeAAKtAgICIQIEAgUCBgIHAggCCQIKAgsCDAINAggCCAIIAggCCAIIAggCCAIIAggCCAIIAggCCAIIAggCCAIYAgMCIgIeAAKtAgICJwIEAgUCBgIHAggCCQIKAgsCDAINAggCCAIIAggCCAIIAggCCAIIAggCCAIIAggCCAIIAggCCAIYAgMCKAIeAAKtAgICNwIEAgUCBgIHAggCCQIKAgsCDAINAggCCAIIAggCCAIIAggCCAIIAggCCAIIAggCCAIIAggCCAIYAgMCOAIeAAKtAgICOwIEAgUCBgIHAggCCQIKAgsCDAINAggCCAIIAggCCAIIAggCCAIIAggCCAIIAggCCAIIAggCCAIYAgMCPAIeAAKtAgICLQIEAgUCBgIHAggCCQIKAgsCDAINAggCCAIIAggCCAIIAggCCAIIAggCCAIIAggCCAIIAggCCAIYAgMCLgIeAAKtAgICYwIEAgUCBgIHAggCCQIKAgsCDAINAggCCAIIAggCCAIIAggCCAIIAggCCAIIAggCCAIIAggCCAIYAgMCx3NxAH4AAAAAAAJzcQB+AAT///////////////7////+/////3VxAH4ABwAAAAQENonjeHh3RQIeAAKtAgICJQIEAgUCBgIHAggCCQJEAgsCDAINAggCCAIIAggCCAIIAggCCAIIAggCCAIIAggCCAIIAggCCAIYAgMCyHNxAH4AAAAAAAJzcQB+AAT///////////////7////+/////3VxAH4ABwAAAARlMUGreHh3RQIeAAKtAgICegIEAgUCBgIHAggCCQIKAgsCDAINAggCCAIIAggCCAIIAggCCAIIAggCCAIIAggCCAIIAggCCAIYAgMCyXNxAH4AAAAAAAJzcQB+AAT///////////////7////+/////3VxAH4ABwAAAARMQw4VeHh3igIeAAKtAgICAwIEAgUCBgIHAggCCQKyAgsCDAINAggCCAIIAggCCAIIAggCCAIIAggCCAIIAggCCAIIAggCCAIYAgMCQAIeAAKtAgICQwIEAgUCBgIHAggCCQKyAgsCDAINAggCCAIIAggCCAIIAggCCAIIAggCCAIIAggCCAIIAggCCAIYAgMCynNxAH4AAAAAAAJzcQB+AAT///////////////7////+/////3VxAH4ABwAAAAMHjdR4eHdFAh4AAq0CAgIbAgQCBQIGAgcCCAIJArICCwIMAg0CCAIIAggCCAIIAggCCAIIAggCCAIIAggCCAIIAggCCAIIAhgCAwLLc3EAfgAAAAAAAnNxAH4ABP///////////////v////7/////dXEAfgAHAAAAAwT7aHh4d0UCHgACrQICAlwCBAIFAgYCBwIIAgkCsgILAgwCDQIIAggCCAIIAggCCAIIAggCCAIIAggCCAIIAggCCAIIAggCGAIDAsxzcQB+AAAAAAACc3EAfgAE///////////////+/////v////91cQB+AAcAAAADBtyTeHh3RQIeAAKtAgICWgIEAgUCBgIHAggCCQJEAgsCDAINAggCCAIIAggCCAIIAggCCAIIAggCCAIIAggCCAIIAggCCAIYAgMCzXNxAH4AAAAAAAJzcQB+AAT///////////////7////+/////3VxAH4ABwAAAARaL7WteHh3RQIeAAKtAgICVwIEAgUCBgIHAggCCQJEAgsCDAINAggCCAIIAggCCAIIAggCCAIIAggCCAIIAggCCAIIAggCCAIYAgMCznNxAH4AAAAAAAJzcQB+AAT///////////////7////+/////3VxAH4ABwAAAARijcsWeHh3RQIeAAKtAgICKwIEAgUCBgIHAggCCQJEAgsCDAINAggCCAIIAggCCAIIAggCCAIIAggCCAIIAggCCAIIAggCCAIYAgMCz3NxAH4AAAAAAAJzcQB+AAT///////////////7////+/////3VxAH4ABwAAAARaqchfeHh3RQIeAAKtAgICIwIEAgUCBgIHAggCCQJEAgsCDAINAggCCAIIAggCCAIIAggCCAIIAggCCAIIAggCCAIIAggCCAIYAgMC0HNxAH4AAAAAAAJzcQB+AAT///////////////7////+/////3VxAH4ABwAAAARO7ujaeHh3RQIeAAKtAgICQQIEAgUCBgIHAggCCQJEAgsCDAINAggCCAIIAggCCAIIAggCCAIIAggCCAIIAggCCAIIAggCCAIYAgMC0XNxAH4AAAAAAAJzcQB+AAT///////////////7////+/////3VxAH4ABwAAAARdV1DJeHh3igIeAAKtAgICAwIEAgUCBgIHAggCCQIKAgsCDAINAggCCAIIAggCCAIIAggCCAIIAggCCAIIAggCCAIIAggCCAIYAgMCDgIeAAKtAgICLwIEAgUCBgIHAggCCQKyAgsCDAINAggCCAIIAggCCAIIAggCCAIIAggCCAIIAggCCAIIAggCCAIYAgMC0nNxAH4AAAAAAAJzcQB+AAT///////////////7////+/////3VxAH4ABwAAAAMENDh4eHeKAh4AAq0CAgIbAgQCBQIGAgcCCAIJAgoCCwIMAg0CCAIIAggCCAIIAggCCAIIAggCCAIIAggCCAIIAggCCAIIAhgCAwIcAh4AAq0CAgJuAgQCBQIGAgcCCAIJArICCwIMAg0CCAIIAggCCAIIAggCCAIIAggCCAIIAggCCAIIAggCCAIIAhgCAwLTc3EAfgAAAAAAAnNxAH4ABP///////////////v////7/////dXEAfgAHAAAAAwqAVHh4d4oCHgACrQICAjECBAIFAgYCBwIIAgkCCgILAgwCDQIIAggCCAIIAggCCAIIAggCCAIIAggCCAIIAggCCAIIAggCGAIDAjICHgACrQICAhsCBAIFAgYCBwIIAgkCRAILAgwCDQIIAggCCAIIAggCCAIIAggCCAIIAggCCAIIAggCCAIIAggCGAIDAtRzcQB+AAAAAAACc3EAfgAE///////////////+/////v////91cQB+AAcAAAAESYtTyXh4d0UCHgACrQICAkgCBAIFAgYCBwIIAgkCCgILAgwCDQIIAggCCAIIAggCCAIIAggCCAIIAggCCAIIAggCCAIIAggCGAIDAtVzcQB+AAAAAAACc3EAfgAE///////////////+/////v////91cQB+AAcAAAAECCX/sXh4d0UCHgACrQICAjMCBAIFAgYCBwIIAgkCRAILAgwCDQIIAggCCAIIAggCCAIIAggCCAIIAggCCAIIAggCCAIIAggCGAIDAtZzcQB+AAAAAAACc3EAfgAE///////////////+/////v////91cQB+AAcAAAAEcQZZSXh4d0UCHgACrQICAjcCBAIFAgYCBwIIAgkCRAILAgwCDQIIAggCCAIIAggCCAIIAggCCAIIAggCCAIIAggCCAIIAggCGAIDAtdzcQB+AAAAAAACc3EAfgAE///////////////+/////v////91cQB+AAcAAAAEPRU7dnh4d0UCHgACrQICAjsCBAIFAgYCBwIIAgkCRAILAgwCDQIIAggCCAIIAggCCAIIAggCCAIIAggCCAIIAggCCAIIAggCGAIDAthzcQB+AAAAAAACc3EAfgAE///////////////+/////v////91cQB+AAcAAAAETypx+Xh4d0UCHgACrQICAkMCBAIFAgYCBwIIAgkCRAILAgwCDQIIAggCCAIIAggCCAIIAggCCAIIAggCCAIIAggCCAIIAggCGAIDAtlzcQB+AAAAAAACc3EAfgAE///////////////+/////v////91cQB+AAcAAAAEYTEIFHh4d4oCHgACrQICAikCBAIFAgYCBwIIAgkCCgILAgwCDQIIAggCCAIIAggCCAIIAggCCAIIAggCCAIIAggCCAIIAggCGAIDAioCHgACrQICAloCBAIFAgYCBwIIAgkCsgILAgwCDQIIAggCCAIIAggCCAIIAggCCAIIAggCCAIIAggCCAIIAggCGAIDAtpzcQB+AAAAAAACc3EAfgAE///////////////+/////v////91cQB+AAcAAAADCZ5/eHh3RQIeAAKtAgICJQIEAgUCBgIHAggCCQKyAgsCDAINAggCCAIIAggCCAIIAggCCAIIAggCCAIIAggCCAIIAggCCAIYAgMC23NxAH4AAAAAAAJzcQB+AAT///////////////7////+/////3VxAH4ABwAAAAMEJQl4eHoAAAEUAh4AAq0CAgIrAgQCBQIGAgcCCAIJAgoCCwIMAg0CCAIIAggCCAIIAggCCAIIAggCCAIIAggCCAIIAggCCAIIAhgCAwIsAh4AAq0CAgIfAgQCBQIGAgcCCAIJAgoCCwIMAg0CCAIIAggCCAIIAggCCAIIAggCCAIIAggCCAIIAggCCAIIAhgCAwIgAh4AAq0CAgIjAgQCBQIGAgcCCAIJAgoCCwIMAg0CCAIIAggCCAIIAggCCAIIAggCCAIIAggCCAIIAggCCAIIAhgCAwIkAh4AAq0CAgIvAgQCBQIGAgcCCAIJAkQCCwIMAg0CCAIIAggCCAIIAggCCAIIAggCCAIIAggCCAIIAggCCAIIAhgCAwLcc3EAfgAAAAAAAnNxAH4ABP///////////////v////7/////dXEAfgAHAAAABF7UYvh4eHdFAh4AAq0CAgJpAgQCBQIGAgcCCAIJAgoCCwIMAg0CCAIIAggCCAIIAggCCAIIAggCCAIIAggCCAIIAggCCAIIAhgCAwLdc3EAfgAAAAAAAnNxAH4ABP///////////////v////7/////dXEAfgAHAAAABATkMA94eHdFAh4AAq0CAgJXAgQCBQIGAgcCCAIJAgoCCwIMAg0CCAIIAggCCAIIAggCCAIIAggCCAIIAggCCAIIAggCCAIIAhgCAwLec3EAfgAAAAAAAnNxAH4ABP///////////////v////7/////dXEAfgAHAAAAA7xcsnh4d0UCHgACrQICAnoCBAIFAgYCBwIIAgkCsgILAgwCDQIIAggCCAIIAggCCAIIAggCCAIIAggCCAIIAggCCAIIAggCGAIDAt9zcQB+AAAAAAACc3EAfgAE///////////////+/////v////91cQB+AAcAAAADBmgreHh3igIeAAKtAgICLQIEAgUCBgIHAggCCQKyAgsCDAINAggCCAIIAggCCAIIAggCCAIIAggCCAIIAggCCAIIAggCCAIYAgMCQAIeAAKtAgICNwIEAgUCBgIHAggCCQKyAgsCDAINAggCCAIIAggCCAIIAggCCAIIAggCCAIIAggCCAIIAggCCAIYAgMC4HNxAH4AAAAAAAJzcQB+AAT///////////////7////+/////3VxAH4ABwAAAAMFZP94eHdFAh4AAq0CAgJBAgQCBQIGAgcCCAIJArICCwIMAg0CCAIIAggCCAIIAggCCAIIAggCCAIIAggCCAIIAggCCAIIAhgCAwLhc3EAfgAAAAAAAnNxAH4ABP///////////////v////7/////dXEAfgAHAAAAAwi2nHh4d0UCHgACrQICAjMCBAIFAgYCBwIIAgkCsgILAgwCDQIIAggCCAIIAggCCAIIAggCCAIIAggCCAIIAggCCAIIAggCGAIDAuJzcQB+AAAAAAACc3EAfgAE///////////////+/////v////91cQB+AAcAAAADBA6ueHh3RQIeAAKtAgICAwIEAgUCBgIHAggCCQJEAgsCDAINAggCCAIIAggCCAIIAggCCAIIAggCCAIIAggCCAIIAggCCAIYAgMC43NxAH4AAAAAAAJzcQB+AAT///////////////7////+/////3VxAH4ABwAAAARSfqMaeHh3RQIeAAKtAgICbgIEAgUCBgIHAggCCQJEAgsCDAINAggCCAIIAggCCAIIAggCCAIIAggCCAIIAggCCAIIAggCCAIYAgMC5HNxAH4AAAAAAAJzcQB+AAT///////////////7////+/////3VxAH4ABwAAAARUiEubeHh3RQIeAAKtAgICYwIEAgUCBgIHAggCCQKyAgsCDAINAggCCAIIAggCCAIIAggCCAIIAggCCAIIAggCCAIIAggCCAIYAgMC5XNxAH4AAAAAAAJzcQB+AAT///////////////7////+/////3VxAH4ABwAAAAMLgq14eHdFAh4AAq0CAgIdAgQCBQIGAgcCCAIJArICCwIMAg0CCAIIAggCCAIIAggCCAIIAggCCAIIAggCCAIIAggCCAIIAhgCAwLmc3EAfgAAAAAAAnNxAH4ABP///////////////v////7/////dXEAfgAHAAAAAwRDenh4d0UCHgACrQICAk8CBAIFAgYCBwIIAgkCRAILAgwCDQIIAggCCAIIAggCCAIIAggCCAIIAggCCAIIAggCCAIIAggCGAIDAudzcQB+AAAAAAACc3EAfgAE///////////////+/////v////91cQB+AAcAAAAEPftW4nh4d0UCHgACrQICAiECBAIFAgYCBwIIAgkCRAILAgwCDQIIAggCCAIIAggCCAIIAggCCAIIAggCCAIIAggCCAIIAggCGAIDAuhzcQB+AAAAAAACc3EAfgAE///////////////+/////v////91cQB+AAcAAAAEXOXAsHh4d0UCHgACrQICAkMCBAIFAgYCBwIIAgkCCgILAgwCDQIIAggCCAIIAggCCAIIAggCCAIIAggCCAIIAggCCAIIAggCGAIDAulzcQB+AAAAAAACc3EAfgAE///////////////+/////v////91cQB+AAcAAAAEAhunbnh4d4oCHgACrQICAjsCBAIFAgYCBwIIAgkCsgILAgwCDQIIAggCCAIIAggCCAIIAggCCAIIAggCCAIIAggCCAIIAggCGAIDAkACHgACrQICAicCBAIFAgYCBwIIAgkCRAILAgwCDQIIAggCCAIIAggCCAIIAggCCAIIAggCCAIIAggCCAIIAggCGAIDAupzcQB+AAAAAAACc3EAfgAE///////////////+/////v////91cQB+AAcAAAAEWnDZd3h4d0UCHgACrQICAjECBAIFAgYCBwIIAgkCRAILAgwCDQIIAggCCAIIAggCCAIIAggCCAIIAggCCAIIAggCCAIIAggCGAIDAutzcQB+AAAAAAACc3EAfgAE///////////////+/////v////91cQB+AAcAAAAEgtyI8Xh4egAABAACHgACrQICAjUCBAIFAgYCBwIIAgkCCgILAgwCDQIIAggCCAIIAggCCAIIAggCCAIIAggCCAIIAggCCAIIAggCGAIDAjYCHgACrQICAjkCBAIFAgYCBwIIAgkCCgILAgwCDQIIAggCCAIIAggCCAIIAggCCAIIAggCCAIIAggCCAIIAggCGAIDAjoCHgAC7AAJNzA5NjEyODgwAgICTwIEAgUCBgIHAggCCQJEAgsCDAINAggCCAIIAggCCAIIAggCCAIIAggCCAIIAggCCAIIAggCCAIaAgMC5wIeAALsAgICIQIEAgUCBgIHAggCCQJEAgsCDAINAggCCAIIAggCCAIIAggCCAIIAggCCAIIAggCCAIIAggCCAIaAgMC6AIeAALsAgICJwIEAgUCBgIHAggCCQJEAgsCDAINAggCCAIIAggCCAIIAggCCAIIAggCCAIIAggCCAIIAggCCAIaAgMC6gIeAALsAgICHQIEAgUCBgIHAggCCQIKAgsCDAINAggCCAIIAggCCAIIAggCCAIIAggCCAIIAggCCAIIAggCCAIaAgMCHgIeAALsAgICegIEAgUCBgIHAggCCQIKAgsCDAINAggCCAIIAggCCAIIAggCCAIIAggCCAIIAggCCAIIAggCCAIaAgMCyQIeAALsAgICYwIEAgUCBgIHAggCCQIKAgsCDAINAggCCAIIAggCCAIIAggCCAIIAggCCAIIAggCCAIIAggCCAIaAgMCxwIeAALsAgICLQIEAgUCBgIHAggCCQIKAgsCDAINAggCCAIIAggCCAIIAggCCAIIAggCCAIIAggCCAIIAggCCAIaAgMCLgIeAALsAgICHwIEAgUCBgIHAggCCQJEAgsCDAINAggCCAIIAggCCAIIAggCCAIIAggCCAIIAggCCAIIAggCCAIaAgMCswIeAALsAgICVwIEAgUCBgIHAggCCQJEAgsCDAINAggCCAIIAggCCAIIAggCCAIIAggCCAIIAggCCAIIAggCCAIaAgMCzgIeAALsAgICNQIEAgUCBgIHAggCCQIKAgsCDAINAggCCAIIAggCCAIIAggCCAIIAggCCAIIAggCCAIIAggCCAIaAgMCNgIeAALsAgICQwIEAgUCBgIHAggCCQKyAgsCDAINAggCCAIIAggCCAIIAggCCAIIAggCCAIIAggCCAIIAggCCAIaAgMCygIeAALsAgICAwIEAgUCBgIHAggCCQKyAgsCDAINAggCCAIIAggCCAIIAggCCAIIAggCCAIIAggCCAIIAggCCAIaAgMCQAIeAALsAgICGwIEAgUCBgIHAggCCQKyAgsCDAINAggCCAIIAggCCAIIAggCCAIIegAABAACCAIIAggCCAIIAggCCAIIAhoCAwLLAh4AAuwCAgI1AgQCBQIGAgcCCAIJAkQCCwIMAg0CCAIIAggCCAIIAggCCAIIAggCCAIIAggCCAIIAggCCAIIAhoCAwKuAh4AAuwCAgJuAgQCBQIGAgcCCAIJAgoCCwIMAg0CCAIIAggCCAIIAggCCAIIAggCCAIIAggCCAIIAggCCAIIAhoCAwKxAh4AAuwCAgJpAgQCBQIGAgcCCAIJAkQCCwIMAg0CCAIIAggCCAIIAggCCAIIAggCCAIIAggCCAIIAggCCAIIAhoCAwKwAh4AAuwCAgIvAgQCBQIGAgcCCAIJAgoCCwIMAg0CCAIIAggCCAIIAggCCAIIAggCCAIIAggCCAIIAggCCAIIAhoCAwIwAh4AAuwCAgJIAgQCBQIGAgcCCAIJArICCwIMAg0CCAIIAggCCAIIAggCCAIIAggCCAIIAggCCAIIAggCCAIIAhoCAwK5Ah4AAuwCAgJcAgQCBQIGAgcCCAIJAgoCCwIMAg0CCAIIAggCCAIIAggCCAIIAggCCAIIAggCCAIIAggCCAIIAhoCAwK1Ah4AAuwCAgItAgQCBQIGAgcCCAIJAkQCCwIMAg0CCAIIAggCCAIIAggCCAIIAggCCAIIAggCCAIIAggCCAIIAhoCAwK0Ah4AAuwCAgIrAgQCBQIGAgcCCAIJArICCwIMAg0CCAIIAggCCAIIAggCCAIIAggCCAIIAggCCAIIAggCCAIIAhoCAwJAAh4AAuwCAgIxAgQCBQIGAgcCCAIJArICCwIMAg0CCAIIAggCCAIIAggCCAIIAggCCAIIAggCCAIIAggCCAIIAhoCAwK4Ah4AAuwCAgJ6AgQCBQIGAgcCCAIJAkQCCwIMAg0CCAIIAggCCAIIAggCCAIIAggCCAIIAggCCAIIAggCCAIIAhoCAwK2Ah4AAuwCAgIpAgQCBQIGAgcCCAIJArICCwIMAg0CCAIIAggCCAIIAggCCAIIAggCCAIIAggCCAIIAggCCAIIAhoCAwK3Ah4AAuwCAgIlAgQCBQIGAgcCCAIJAgoCCwIMAg0CCAIIAggCCAIIAggCCAIIAggCCAIIAggCCAIIAggCCAIIAhoCAwImAh4AAuwCAgJaAgQCBQIGAgcCCAIJAgoCCwIMAg0CCAIIAggCCAIIAggCCAIIAggCCAIIAggCCAIIAggCCAIIAhoCAwK6Ah4AAuwCAgJPAgQCBQIGAgcCCAIJArICCwIMAg0CCAIIAggCCAIIAggCCAIIAggCCAIIAggCCAIIAggCCAIIAhoCAwK/Ah4AAuwCAgIhAgQCBQIGAgcCCAIJArICCwIMAg0CCAIIAggCegAABAAIAggCCAIIAggCCAIIAggCCAIIAggCCAIIAggCGgIDAkACHgAC7AICAgMCBAIFAgYCBwIIAgkCRAILAgwCDQIIAggCCAIIAggCCAIIAggCCAIIAggCCAIIAggCCAIIAggCGgIDAuMCHgAC7AICAhsCBAIFAgYCBwIIAgkCRAILAgwCDQIIAggCCAIIAggCCAIIAggCCAIIAggCCAIIAggCCAIIAggCGgIDAtQCHgAC7AICAikCBAIFAgYCBwIIAgkCCgILAgwCDQIIAggCCAIIAggCCAIIAggCCAIIAggCCAIIAggCCAIIAggCGgIDAioCHgAC7AICAlwCBAIFAgYCBwIIAgkCRAILAgwCDQIIAggCCAIIAggCCAIIAggCCAIIAggCCAIIAggCCAIIAggCGgIDAr4CHgAC7AICAkMCBAIFAgYCBwIIAgkCRAILAgwCDQIIAggCCAIIAggCCAIIAggCCAIIAggCCAIIAggCCAIIAggCGgIDAtkCHgAC7AICAisCBAIFAgYCBwIIAgkCCgILAgwCDQIIAggCCAIIAggCCAIIAggCCAIIAggCCAIIAggCCAIIAggCGgIDAiwCHgAC7AICAicCBAIFAgYCBwIIAgkCsgILAgwCDQIIAggCCAIIAggCCAIIAggCCAIIAggCCAIIAggCCAIIAggCGgIDAsACHgAC7AICAiMCBAIFAgYCBwIIAgkCCgILAgwCDQIIAggCCAIIAggCCAIIAggCCAIIAggCCAIIAggCCAIIAggCGgIDAiQCHgAC7AICAh8CBAIFAgYCBwIIAgkCCgILAgwCDQIIAggCCAIIAggCCAIIAggCCAIIAggCCAIIAggCCAIIAggCGgIDAiACHgAC7AICAlcCBAIFAgYCBwIIAgkCCgILAgwCDQIIAggCCAIIAggCCAIIAggCCAIIAggCCAIIAggCCAIIAggCGgIDAt4CHgAC7AICAi8CBAIFAgYCBwIIAgkCRAILAgwCDQIIAggCCAIIAggCCAIIAggCCAIIAggCCAIIAggCCAIIAggCGgIDAtwCHgAC7AICAmkCBAIFAgYCBwIIAgkCCgILAgwCDQIIAggCCAIIAggCCAIIAggCCAIIAggCCAIIAggCCAIIAggCGgIDAt0CHgAC7AICAi0CBAIFAgYCBwIIAgkCsgILAgwCDQIIAggCCAIIAggCCAIIAggCCAIIAggCCAIIAggCCAIIAggCGgIDAkACHgAC7AICAkECBAIFAgYCBwIIAgkCsgILAgwCDQIIAggCCAIIAggCCAIIAggCCAIIAggCCAIIAggCCAIIAggCGgIDAuECHgAC7AICAjMCBAIFAgYCBwIIAgkCsgILegAABAACDAINAggCCAIIAggCCAIIAggCCAIIAggCCAIIAggCCAIIAggCCAIaAgMC4gIeAALsAgICegIEAgUCBgIHAggCCQKyAgsCDAINAggCCAIIAggCCAIIAggCCAIIAggCCAIIAggCCAIIAggCCAIaAgMC3wIeAALsAgICMQIEAgUCBgIHAggCCQJEAgsCDAINAggCCAIIAggCCAIIAggCCAIIAggCCAIIAggCCAIIAggCCAIaAgMC6wIeAALsAgICOwIEAgUCBgIHAggCCQKyAgsCDAINAggCCAIIAggCCAIIAggCCAIIAggCCAIIAggCCAIIAggCCAIaAgMCQAIeAALsAgICbgIEAgUCBgIHAggCCQJEAgsCDAINAggCCAIIAggCCAIIAggCCAIIAggCCAIIAggCCAIIAggCCAIaAgMC5AIeAALsAgICNwIEAgUCBgIHAggCCQKyAgsCDAINAggCCAIIAggCCAIIAggCCAIIAggCCAIIAggCCAIIAggCCAIaAgMC4AIeAALsAgICNwIEAgUCBgIHAggCCQIKAgsCDAINAggCCAIIAggCCAIIAggCCAIIAggCCAIIAggCCAIIAggCCAIaAgMCOAIeAALsAgICYwIEAgUCBgIHAggCCQKyAgsCDAINAggCCAIIAggCCAIIAggCCAIIAggCCAIIAggCCAIIAggCCAIaAgMC5QIeAALsAgICQwIEAgUCBgIHAggCCQIKAgsCDAINAggCCAIIAggCCAIIAggCCAIIAggCCAIIAggCCAIIAggCCAIaAgMC6QIeAALsAgICXAIEAgUCBgIHAggCCQKyAgsCDAINAggCCAIIAggCCAIIAggCCAIIAggCCAIIAggCCAIIAggCCAIaAgMCzAIeAALsAgICWgIEAgUCBgIHAggCCQJEAgsCDAINAggCCAIIAggCCAIIAggCCAIIAggCCAIIAggCCAIIAggCCAIaAgMCzQIeAALsAgICJQIEAgUCBgIHAggCCQJEAgsCDAINAggCCAIIAggCCAIIAggCCAIIAggCCAIIAggCCAIIAggCCAIaAgMCyAIeAALsAgICOwIEAgUCBgIHAggCCQIKAgsCDAINAggCCAIIAggCCAIIAggCCAIIAggCCAIIAggCCAIIAggCCAIaAgMCPAIeAALsAgICHQIEAgUCBgIHAggCCQKyAgsCDAINAggCCAIIAggCCAIIAggCCAIIAggCCAIIAggCCAIIAggCCAIaAgMC5gIeAALsAgICGwIEAgUCBgIHAggCCQIKAgsCDAINAggCCAIIAggCCAIIAggCCAIIAggCCAIIAggCCAIIAggCCAIaAgMCHAIeAALsAgICbgIEAgUCegAABAAGAgcCCAIJArICCwIMAg0CCAIIAggCCAIIAggCCAIIAggCCAIIAggCCAIIAggCCAIIAhoCAwLTAh4AAuwCAgIjAgQCBQIGAgcCCAIJAkQCCwIMAg0CCAIIAggCCAIIAggCCAIIAggCCAIIAggCCAIIAggCCAIIAhoCAwLQAh4AAuwCAgIzAgQCBQIGAgcCCAIJAkQCCwIMAg0CCAIIAggCCAIIAggCCAIIAggCCAIIAggCCAIIAggCCAIIAhoCAwLWAh4AAuwCAgI3AgQCBQIGAgcCCAIJAkQCCwIMAg0CCAIIAggCCAIIAggCCAIIAggCCAIIAggCCAIIAggCCAIIAhoCAwLXAh4AAuwCAgJIAgQCBQIGAgcCCAIJAgoCCwIMAg0CCAIIAggCCAIIAggCCAIIAggCCAIIAggCCAIIAggCCAIIAhoCAwLVAh4AAuwCAgJBAgQCBQIGAgcCCAIJAkQCCwIMAg0CCAIIAggCCAIIAggCCAIIAggCCAIIAggCCAIIAggCCAIIAhoCAwLRAh4AAuwCAgIDAgQCBQIGAgcCCAIJAgoCCwIMAg0CCAIIAggCCAIIAggCCAIIAggCCAIIAggCCAIIAggCCAIIAhoCAwIOAh4AAuwCAgIvAgQCBQIGAgcCCAIJArICCwIMAg0CCAIIAggCCAIIAggCCAIIAggCCAIIAggCCAIIAggCCAIIAhoCAwLSAh4AAuwCAgIxAgQCBQIGAgcCCAIJAgoCCwIMAg0CCAIIAggCCAIIAggCCAIIAggCCAIIAggCCAIIAggCCAIIAhoCAwIyAh4AAuwCAgIdAgQCBQIGAgcCCAIJAkQCCwIMAg0CCAIIAggCCAIIAggCCAIIAggCCAIIAggCCAIIAggCCAIIAhoCAwK8Ah4AAuwCAgJPAgQCBQIGAgcCCAIJAgoCCwIMAg0CCAIIAggCCAIIAggCCAIIAggCCAIIAggCCAIIAggCCAIIAhoCAwLGAh4AAuwCAgI7AgQCBQIGAgcCCAIJAkQCCwIMAg0CCAIIAggCCAIIAggCCAIIAggCCAIIAggCCAIIAggCCAIIAhoCAwLYAh4AAuwCAgJXAgQCBQIGAgcCCAIJArICCwIMAg0CCAIIAggCCAIIAggCCAIIAggCCAIIAggCCAIIAggCCAIIAhoCAwK9Ah4AAuwCAgJaAgQCBQIGAgcCCAIJArICCwIMAg0CCAIIAggCCAIIAggCCAIIAggCCAIIAggCCAIIAggCCAIIAhoCAwLaAh4AAuwCAgIjAgQCBQIGAgcCCAIJArICCwIMAg0CCAIIAggCCAIIAggCCAIIAggCCAIIAggCCAIIAggCCAIIAhoCAwJAAh4AegAABAAC7AICAmMCBAIFAgYCBwIIAgkCRAILAgwCDQIIAggCCAIIAggCCAIIAggCCAIIAggCCAIIAggCCAIIAggCGgIDArsCHgAC7AICAh8CBAIFAgYCBwIIAgkCsgILAgwCDQIIAggCCAIIAggCCAIIAggCCAIIAggCCAIIAggCCAIIAggCGgIDAkACHgAC7AICAiUCBAIFAgYCBwIIAgkCsgILAgwCDQIIAggCCAIIAggCCAIIAggCCAIIAggCCAIIAggCCAIIAggCGgIDAtsCHgAC7AICAjUCBAIFAgYCBwIIAgkCsgILAgwCDQIIAggCCAIIAggCCAIIAggCCAIIAggCCAIIAggCCAIIAggCGgIDAsECHgAC7AICAmkCBAIFAgYCBwIIAgkCsgILAgwCDQIIAggCCAIIAggCCAIIAggCCAIIAggCCAIIAggCCAIIAggCGgIDAsICHgAC7AICAjMCBAIFAgYCBwIIAgkCCgILAgwCDQIIAggCCAIIAggCCAIIAggCCAIIAggCCAIIAggCCAIIAggCGgIDAjQCHgAC7AICAikCBAIFAgYCBwIIAgkCRAILAgwCDQIIAggCCAIIAggCCAIIAggCCAIIAggCCAIIAggCCAIIAggCGgIDAsMCHgAC7AICAkECBAIFAgYCBwIIAgkCCgILAgwCDQIIAggCCAIIAggCCAIIAggCCAIIAggCCAIIAggCCAIIAggCGgIDAsUCHgAC7AICAisCBAIFAgYCBwIIAgkCRAILAgwCDQIIAggCCAIIAggCCAIIAggCCAIIAggCCAIIAggCCAIIAggCGgIDAs8CHgAC7AICAiECBAIFAgYCBwIIAgkCCgILAgwCDQIIAggCCAIIAggCCAIIAggCCAIIAggCCAIIAggCCAIIAggCGgIDAiICHgAC7AICAicCBAIFAgYCBwIIAgkCCgILAgwCDQIIAggCCAIIAggCCAIIAggCCAIIAggCCAIIAggCCAIIAggCGgIDAigCHgAC7AICAkgCBAIFAgYCBwIIAgkCRAILAgwCDQIIAggCCAIIAggCCAIIAggCCAIIAggCCAIIAggCCAIIAggCGgIDAsQCHgAC7QAJNTMyOTE5MDE2AgICQQIEAgUCBgIHAggCCQJEAgsCDAINAggCCAIIAggCCAIIAggCCAIIAggCCAIIAggCCAIIAggCCAIUAgMC0QIeAALtAgICYwIEAgUCBgIHAggCCQKyAgsCDAINAggCCAIIAggCCAIIAggCCAIIAggCCAIIAggCCAIIAggCCAIUAgMC5QIeAALtAgICIwIEAgUCBgIHAggCCQJEAgsCDAINAggCCAIIAggCCAIIAggCCAIIAggCegAAAbEIAggCCAIIAggCCAIIAhQCAwLQAh4AAu0CAgKcAgQCBQIGAgcCCAIJArICCwIMAg0CCAIIAggCCAIIAggCCAIIAggCCAIIAggCCAIIAggCCAIIAhQCAwJAAh4AAu0CAgIlAgQCBQIGAgcCCAIJAkQCCwIMAg0CCAIIAggCCAIIAggCCAIIAggCCAIIAggCCAIIAggCCAIIAhQCAwLIAh4AAu0CAgJ6AgQCBQIGAgcCCAIJArICCwIMAg0CCAIIAggCCAIIAggCCAIIAggCCAIIAggCCAIIAggCCAIIAhQCAwLfAh4AAu0CAgIjAgQCBQIGAgcCCAIJAgoCCwIMAg0CCAIIAggCCAIIAggCCAIIAggCCAIIAggCCAIIAggCCAIIAhQCAwIkAh4AAu0CAgI1AgQCBQIGAgcCCAIJArICCwIMAg0CCAIIAggCCAIIAggCCAIIAggCCAIIAggCCAIIAggCCAIIAhQCAwLBAh4AAu0CAgKfAgQCBQIGAgcCCAIJAkQCCwIMAg0CCAIIAggCCAIIAggCCAIIAggCCAIIAggCCAIIAggCCAIIAhQCAwLuc3EAfgAAAAAAAnNxAH4ABP///////////////v////7/////dXEAfgAHAAAABG9TFvJ4eHoAAAL3Ah4AAu0CAgI3AgQCBQIGAgcCCAIJAgoCCwIMAg0CCAIIAggCCAIIAggCCAIIAggCCAIIAggCCAIIAggCCAIIAhQCAwI4Ah4AAu0CAgJuAgQCBQIGAgcCCAIJAkQCCwIMAg0CCAIIAggCCAIIAggCCAIIAggCCAIIAggCCAIIAggCCAIIAhQCAwLkAh4AAu0CAgJBAgQCBQIGAgcCCAIJAgoCCwIMAg0CCAIIAggCCAIIAggCCAIIAggCCAIIAggCCAIIAggCCAIIAhQCAwLFAh4AAu0CAgIhAgQCBQIGAgcCCAIJAgoCCwIMAg0CCAIIAggCCAIIAggCCAIIAggCCAIIAggCCAIIAggCCAIIAhQCAwIiAh4AAu0CAgIfAgQCBQIGAgcCCAIJArICCwIMAg0CCAIIAggCCAIIAggCCAIIAggCCAIIAggCCAIIAggCCAIIAhQCAwJAAh4AAu0CAgKYAgQCBQIGAgcCCAIJAgoCCwIMAg0CCAIIAggCCAIIAggCCAIIAggCCAIIAggCCAIIAggCCAIIAhQCAwKZAh4AAu0CAgKeAgQCBQIGAgcCCAIJArICCwIMAg0CCAIIAggCCAIIAggCCAIIAggCCAIIAggCCAIIAggCCAIIAhQCAwJAAh4AAu0CAgJPAgQCBQIGAgcCCAIJAgoCCwIMAg0CCAIIAggCCAIIAggCCAIIAggCCAIIAggCCAIIAggCCAIIAhQCAwLGAh4AAu0CAgIdAgQCBQIGAgcCCAIJAkQCCwIMAg0CCAIIAggCCAIIAggCCAIIAggCCAIIAggCCAIIAggCCAIIAhQCAwK8Ah4AAu0CAgIpAgQCBQIGAgcCCAIJArICCwIMAg0CCAIIAggCCAIIAggCCAIIAggCCAIIAggCCAIIAggCCAIIAhQCAwK3Ah4AAu0CAgKfAgQCBQIGAgcCCAIJAgoCCwIMAg0CCAIIAggCCAIIAggCCAIIAggCCAIIAggCCAIIAggCCAIIAhQCAwLvc3EAfgAAAAAAAnNxAH4ABP///////////////v////4AAAABdXEAfgAHAAAABAIIPL14eHoAAAGeAh4AAu0CAgIDAgQCBQIGAgcCCAIJAgoCCwIMAg0CCAIIAggCCAIIAggCCAIIAggCCAIIAggCCAIIAggCCAIIAhQCAwIOAh4AAu0CAgJaAgQCBQIGAgcCCAIJArICCwIMAg0CCAIIAggCCAIIAggCCAIIAggCCAIIAggCCAIIAggCCAIIAhQCAwLaAh4AAu0CAgJuAgQCBQIGAgcCCAIJAgoCCwIMAg0CCAIIAggCCAIIAggCCAIIAggCCAIIAggCCAIIAggCCAIIAhQCAwKxAh4AAu0CAgI3AgQCBQIGAgcCCAIJAkQCCwIMAg0CCAIIAggCCAIIAggCCAIIAggCCAIIAggCCAIIAggCCAIIAhQCAwLXAh4AAu0CAgItAgQCBQIGAgcCCAIJAkQCCwIMAg0CCAIIAggCCAIIAggCCAIIAggCCAIIAggCCAIIAggCCAIIAhQCAwK0Ah4AAu0CAgKcAgQCBQIGAgcCCAIJAgoCCwIMAg0CCAIIAggCCAIIAggCCAIIAggCCAIIAggCCAIIAggCCAIIAhQCAwLwc3EAfgAAAAAAAnNxAH4ABP///////////////v////4AAAABdXEAfgAHAAAAAwlJUHh4egAABAACHgAC7QICAmMCBAIFAgYCBwIIAgkCCgILAgwCDQIIAggCCAIIAggCCAIIAggCCAIIAggCCAIIAggCCAIIAggCFAIDAscCHgAC7QICAiECBAIFAgYCBwIIAgkCRAILAgwCDQIIAggCCAIIAggCCAIIAggCCAIIAggCCAIIAggCCAIIAggCFAIDAugCHgAC7QICAk8CBAIFAgYCBwIIAgkCRAILAgwCDQIIAggCCAIIAggCCAIIAggCCAIIAggCCAIIAggCCAIIAggCFAIDAucCHgAC7QICAlcCBAIFAgYCBwIIAgkCRAILAgwCDQIIAggCCAIIAggCCAIIAggCCAIIAggCCAIIAggCCAIIAggCFAIDAs4CHgAC7QICAgMCBAIFAgYCBwIIAgkCsgILAgwCDQIIAggCCAIIAggCCAIIAggCCAIIAggCCAIIAggCCAIIAggCFAIDAkACHgAC7QICAjkCBAIFAgYCBwIIAgkCCgILAgwCDQIIAggCCAIIAggCCAIIAggCCAIIAggCCAIIAggCCAIIAggCFAIDAjoCHgAC7QICApgCBAIFAgYCBwIIAgkCRAILAgwCDQIIAggCCAIIAggCCAIIAggCCAIIAggCCAIIAggCCAIIAggCFAIDApkCHgAC7QICAjsCBAIFAgYCBwIIAgkCsgILAgwCDQIIAggCCAIIAggCCAIIAggCCAIIAggCCAIIAggCCAIIAggCFAIDAkACHgAC7QICAmkCBAIFAgYCBwIIAgkCCgILAgwCDQIIAggCCAIIAggCCAIIAggCCAIIAggCCAIIAggCCAIIAggCFAIDAt0CHgAC7QICAikCBAIFAgYCBwIIAgkCRAILAgwCDQIIAggCCAIIAggCCAIIAggCCAIIAggCCAIIAggCCAIIAggCFAIDAsMCHgAC7QICAnoCBAIFAgYCBwIIAgkCCgILAgwCDQIIAggCCAIIAggCCAIIAggCCAIIAggCCAIIAggCCAIIAggCFAIDAskCHgAC7QICAicCBAIFAgYCBwIIAgkCsgILAgwCDQIIAggCCAIIAggCCAIIAggCCAIIAggCCAIIAggCCAIIAggCFAIDAsACHgAC7QICAiUCBAIFAgYCBwIIAgkCCgILAgwCDQIIAggCCAIIAggCCAIIAggCCAIIAggCCAIIAggCCAIIAggCFAIDAiYCHgAC7QICAjMCBAIFAgYCBwIIAgkCsgILAgwCDQIIAggCCAIIAggCCAIIAggCCAIIAggCCAIIAggCCAIIAggCFAIDAuICHgAC7QICAhsCBAIFAgYCBwIIAgkCRAILAgwCDQIIAggCCAIIAggCCAIIAggCCAIIAggCCAIIAggCegAAA9EIAggCCAIUAgMC1AIeAALtAgICVwIEAgUCBgIHAggCCQIKAgsCDAINAggCCAIIAggCCAIIAggCCAIIAggCCAIIAggCCAIIAggCCAIUAgMC3gIeAALtAgICQwIEAgUCBgIHAggCCQJEAgsCDAINAggCCAIIAggCCAIIAggCCAIIAggCCAIIAggCCAIIAggCCAIUAgMC2QIeAALtAgICOQIEAgUCBgIHAggCCQJEAgsCDAINAggCCAIIAggCCAIIAggCCAIIAggCCAIIAggCCAIIAggCCAIUAgMCrwIeAALtAgICMQIEAgUCBgIHAggCCQKyAgsCDAINAggCCAIIAggCCAIIAggCCAIIAggCCAIIAggCCAIIAggCCAIUAgMCuAIeAALtAgICnwIEAgUCBgIHAggCCQKyAgsCDAINAggCCAIIAggCCAIIAggCCAIIAggCCAIIAggCCAIIAggCCAIUAgMCQAIeAALtAgICKQIEAgUCBgIHAggCCQIKAgsCDAINAggCCAIIAggCCAIIAggCCAIIAggCCAIIAggCCAIIAggCCAIUAgMCKgIeAALtAgICaQIEAgUCBgIHAggCCQJEAgsCDAINAggCCAIIAggCCAIIAggCCAIIAggCCAIIAggCCAIIAggCCAIUAgMCsAIeAALtAgICXAIEAgUCBgIHAggCCQKyAgsCDAINAggCCAIIAggCCAIIAggCCAIIAggCCAIIAggCCAIIAggCCAIUAgMCzAIeAALtAgICOwIEAgUCBgIHAggCCQIKAgsCDAINAggCCAIIAggCCAIIAggCCAIIAggCCAIIAggCCAIIAggCCAIUAgMCPAIeAALtAgICHQIEAgUCBgIHAggCCQKyAgsCDAINAggCCAIIAggCCAIIAggCCAIIAggCCAIIAggCCAIIAggCCAIUAgMC5gIeAALtAgICQwIEAgUCBgIHAggCCQIKAgsCDAINAggCCAIIAggCCAIIAggCCAIIAggCCAIIAggCCAIIAggCCAIUAgMC6QIeAALtAgICGwIEAgUCBgIHAggCCQIKAgsCDAINAggCCAIIAggCCAIIAggCCAIIAggCCAIIAggCCAIIAggCCAIUAgMCHAIeAALtAgICbgIEAgUCBgIHAggCCQKyAgsCDAINAggCCAIIAggCCAIIAggCCAIIAggCCAIIAggCCAIIAggCCAIUAgMC0wIeAALtAgICngIEAgUCBgIHAggCCQJEAgsCDAINAggCCAIIAggCCAIIAggCCAIIAggCCAIIAggCCAIIAggCCAIUAgMC8XNxAH4AAAAAAAJzcQB+AAT///////////////7////+/////3VxAH4ABwAAAARx0ZiUeHh6AAAC9wIeAALtAgICWgIEAgUCBgIHAggCCQJEAgsCDAINAggCCAIIAggCCAIIAggCCAIIAggCCAIIAggCCAIIAggCCAIUAgMCzQIeAALtAgICLQIEAgUCBgIHAggCCQKyAgsCDAINAggCCAIIAggCCAIIAggCCAIIAggCCAIIAggCCAIIAggCCAIUAgMCQAIeAALtAgICaQIEAgUCBgIHAggCCQKyAgsCDAINAggCCAIIAggCCAIIAggCCAIIAggCCAIIAggCCAIIAggCCAIUAgMCwgIeAALtAgICMwIEAgUCBgIHAggCCQIKAgsCDAINAggCCAIIAggCCAIIAggCCAIIAggCCAIIAggCCAIIAggCCAIUAgMCNAIeAALtAgICOQIEAgUCBgIHAggCCQKyAgsCDAINAggCCAIIAggCCAIIAggCCAIIAggCCAIIAggCCAIIAggCCAIUAgMCQAIeAALtAgICLwIEAgUCBgIHAggCCQJEAgsCDAINAggCCAIIAggCCAIIAggCCAIIAggCCAIIAggCCAIIAggCCAIUAgMC3AIeAALtAgICMQIEAgUCBgIHAggCCQIKAgsCDAINAggCCAIIAggCCAIIAggCCAIIAggCCAIIAggCCAIIAggCCAIUAgMCMgIeAALtAgICJwIEAgUCBgIHAggCCQIKAgsCDAINAggCCAIIAggCCAIIAggCCAIIAggCCAIIAggCCAIIAggCCAIUAgMCKAIeAALtAgICJQIEAgUCBgIHAggCCQKyAgsCDAINAggCCAIIAggCCAIIAggCCAIIAggCCAIIAggCCAIIAggCCAIUAgMC2wIeAALtAgICIwIEAgUCBgIHAggCCQKyAgsCDAINAggCCAIIAggCCAIIAggCCAIIAggCCAIIAggCCAIIAggCCAIUAgMCQAIeAALtAgICnAIEAgUCBgIHAggCCQJEAgsCDAINAggCCAIIAggCCAIIAggCCAIIAggCCAIIAggCCAIIAggCCAIUAgMC8nNxAH4AAAAAAAJzcQB+AAT///////////////7////+/////3VxAH4ABwAAAARjz5oJeHh6AAAEAAIeAALtAgICYwIEAgUCBgIHAggCCQJEAgsCDAINAggCCAIIAggCCAIIAggCCAIIAggCCAIIAggCCAIIAggCCAIUAgMCuwIeAALtAgICmwIEAgUCBgIHAggCCQJEAgsCDAINAggCCAIIAggCCAIIAggCCAIIAggCCAIIAggCCAIIAggCCAIUAgMC8QIeAALtAgICSAIEAgUCBgIHAggCCQKyAgsCDAINAggCCAIIAggCCAIIAggCCAIIAggCCAIIAggCCAIIAggCCAIUAgMCuQIeAALtAgICKwIEAgUCBgIHAggCCQKyAgsCDAINAggCCAIIAggCCAIIAggCCAIIAggCCAIIAggCCAIIAggCCAIUAgMCQAIeAALtAgICLwIEAgUCBgIHAggCCQIKAgsCDAINAggCCAIIAggCCAIIAggCCAIIAggCCAIIAggCCAIIAggCCAIUAgMCMAIeAALtAgICegIEAgUCBgIHAggCCQJEAgsCDAINAggCCAIIAggCCAIIAggCCAIIAggCCAIIAggCCAIIAggCCAIUAgMCtgIeAALtAgICOwIEAgUCBgIHAggCCQJEAgsCDAINAggCCAIIAggCCAIIAggCCAIIAggCCAIIAggCCAIIAggCCAIUAgMC2AIeAALtAgICVwIEAgUCBgIHAggCCQKyAgsCDAINAggCCAIIAggCCAIIAggCCAIIAggCCAIIAggCCAIIAggCCAIUAgMCvQIeAALtAgICMwIEAgUCBgIHAggCCQJEAgsCDAINAggCCAIIAggCCAIIAggCCAIIAggCCAIIAggCCAIIAggCCAIUAgMC1gIeAALtAgICHQIEAgUCBgIHAggCCQIKAgsCDAINAggCCAIIAggCCAIIAggCCAIIAggCCAIIAggCCAIIAggCCAIUAgMCHgIeAALtAgICGwIEAgUCBgIHAggCCQKyAgsCDAINAggCCAIIAggCCAIIAggCCAIIAggCCAIIAggCCAIIAggCCAIUAgMCywIeAALtAgICmwIEAgUCBgIHAggCCQKyAgsCDAINAggCCAIIAggCCAIIAggCCAIIAggCCAIIAggCCAIIAggCCAIUAgMCQAIeAALtAgICHwIEAgUCBgIHAggCCQJEAgsCDAINAggCCAIIAggCCAIIAggCCAIIAggCCAIIAggCCAIIAggCCAIUAgMCswIeAALtAgICJwIEAgUCBgIHAggCCQJEAgsCDAINAggCCAIIAggCCAIIAggCCAIIAggCCAIIAggCCAIIAggCCAIUAgMC6gIeAALtAgICXAIEAgUCBgIHAggCCQIKAgsCDAINAggCCAIIAggCCAIIAggCCAIIAggCCAIIAggCCAJ6AAADRwgCCAIIAhQCAwK1Ah4AAu0CAgIrAgQCBQIGAgcCCAIJAkQCCwIMAg0CCAIIAggCCAIIAggCCAIIAggCCAIIAggCCAIIAggCCAIIAhQCAwLPAh4AAu0CAgI1AgQCBQIGAgcCCAIJAgoCCwIMAg0CCAIIAggCCAIIAggCCAIIAggCCAIIAggCCAIIAggCCAIIAhQCAwI2Ah4AAu0CAgJDAgQCBQIGAgcCCAIJArICCwIMAg0CCAIIAggCCAIIAggCCAIIAggCCAIIAggCCAIIAggCCAIIAhQCAwLKAh4AAu0CAgJIAgQCBQIGAgcCCAIJAkQCCwIMAg0CCAIIAggCCAIIAggCCAIIAggCCAIIAggCCAIIAggCCAIIAhQCAwLEAh4AAu0CAgI3AgQCBQIGAgcCCAIJArICCwIMAg0CCAIIAggCCAIIAggCCAIIAggCCAIIAggCCAIIAggCCAIIAhQCAwLgAh4AAu0CAgItAgQCBQIGAgcCCAIJAgoCCwIMAg0CCAIIAggCCAIIAggCCAIIAggCCAIIAggCCAIIAggCCAIIAhQCAwIuAh4AAu0CAgIxAgQCBQIGAgcCCAIJAkQCCwIMAg0CCAIIAggCCAIIAggCCAIIAggCCAIIAggCCAIIAggCCAIIAhQCAwLrAh4AAu0CAgJcAgQCBQIGAgcCCAIJAkQCCwIMAg0CCAIIAggCCAIIAggCCAIIAggCCAIIAggCCAIIAggCCAIIAhQCAwK+Ah4AAu0CAgJPAgQCBQIGAgcCCAIJArICCwIMAg0CCAIIAggCCAIIAggCCAIIAggCCAIIAggCCAIIAggCCAIIAhQCAwK/Ah4AAu0CAgIhAgQCBQIGAgcCCAIJArICCwIMAg0CCAIIAggCCAIIAggCCAIIAggCCAIIAggCCAIIAggCCAIIAhQCAwJAAh4AAu0CAgIDAgQCBQIGAgcCCAIJAkQCCwIMAg0CCAIIAggCCAIIAggCCAIIAggCCAIIAggCCAIIAggCCAIIAhQCAwLjAh4AAu0CAgKeAgQCBQIGAgcCCAIJAgoCCwIMAg0CCAIIAggCCAIIAggCCAIIAggCCAIIAggCCAIIAggCCAIIAhQCAwLzc3EAfgAAAAAAAnNxAH4ABP///////////////v////4AAAABdXEAfgAHAAAABASp52R4eHoAAAQAAh4AAu0CAgJBAgQCBQIGAgcCCAIJArICCwIMAg0CCAIIAggCCAIIAggCCAIIAggCCAIIAggCCAIIAggCCAIIAhQCAwLhAh4AAu0CAgIfAgQCBQIGAgcCCAIJAgoCCwIMAg0CCAIIAggCCAIIAggCCAIIAggCCAIIAggCCAIIAggCCAIIAhQCAwIgAh4AAu0CAgJaAgQCBQIGAgcCCAIJAgoCCwIMAg0CCAIIAggCCAIIAggCCAIIAggCCAIIAggCCAIIAggCCAIIAhQCAwK6Ah4AAu0CAgKbAgQCBQIGAgcCCAIJAgoCCwIMAg0CCAIIAggCCAIIAggCCAIIAggCCAIIAggCCAIIAggCCAIIAhQCAwLzAh4AAu0CAgIrAgQCBQIGAgcCCAIJAgoCCwIMAg0CCAIIAggCCAIIAggCCAIIAggCCAIIAggCCAIIAggCCAIIAhQCAwIsAh4AAu0CAgKYAgQCBQIGAgcCCAIJArICCwIMAg0CCAIIAggCCAIIAggCCAIIAggCCAIIAggCCAIIAggCCAIIAhQCAwKZAh4AAu0CAgIvAgQCBQIGAgcCCAIJArICCwIMAg0CCAIIAggCCAIIAggCCAIIAggCCAIIAggCCAIIAggCCAIIAhQCAwLSAh4AAu0CAgJIAgQCBQIGAgcCCAIJAgoCCwIMAg0CCAIIAggCCAIIAggCCAIIAggCCAIIAggCCAIIAggCCAIIAhQCAwLVAh4AAu0CAgI1AgQCBQIGAgcCCAIJAkQCCwIMAg0CCAIIAggCCAIIAggCCAIIAggCCAIIAggCCAIIAggCCAIIAhQCAwKuAh4AAvQACTUzMjkxNjY5NgICAhsCBAIFAgYCBwIIAgkCRAILAgwCDQIIAggCCAIIAggCCAIIAggCCAIIAggCCAIIAggCCAIIAggCEgIDAtQCHgAC9AICAjECBAIFAgYCBwIIAgkCCgILAgwCDQIIAggCCAIIAggCCAIIAggCCAIIAggCCAIIAggCCAIIAggCEgIDAjICHgAC9AICAkECBAIFAgYCBwIIAgkCsgILAgwCDQIIAggCCAIIAggCCAIIAggCCAIIAggCCAIIAggCCAIIAggCEgIDAuECHgAC9AICAicCBAIFAgYCBwIIAgkCCgILAgwCDQIIAggCCAIIAggCCAIIAggCCAIIAggCCAIIAggCCAIIAggCEgIDAigCHgAC9AICApsCBAIFAgYCBwIIAgkCRAILAgwCDQIIAggCCAIIAggCCAIIAggCCAIIAggCCAIIAggCCAIIAggCEgIDAvECHgAC9AICAiMCBAIFAgYCBwIIAgkCsgILAgwCDQIIAggCCAIIAggCCAIIAggCCHoAAAQAAggCCAIIAggCCAIIAggCCAISAgMCQAIeAAL0AgICVwIEAgUCBgIHAggCCQIKAgsCDAINAggCCAIIAggCCAIIAggCCAIIAggCCAIIAggCCAIIAggCCAISAgMC3gIeAAL0AgICOwIEAgUCBgIHAggCCQJEAgsCDAINAggCCAIIAggCCAIIAggCCAIIAggCCAIIAggCCAIIAggCCAISAgMC2AIeAAL0AgICQwIEAgUCBgIHAggCCQJEAgsCDAINAggCCAIIAggCCAIIAggCCAIIAggCCAIIAggCCAIIAggCCAISAgMC2QIeAAL0AgICJQIEAgUCBgIHAggCCQKyAgsCDAINAggCCAIIAggCCAIIAggCCAIIAggCCAIIAggCCAIIAggCCAISAgMC2wIeAAL0AgICKwIEAgUCBgIHAggCCQIKAgsCDAINAggCCAIIAggCCAIIAggCCAIIAggCCAIIAggCCAIIAggCCAISAgMCLAIeAAL0AgICmwIEAgUCBgIHAggCCQIKAgsCDAINAggCCAIIAggCCAIIAggCCAIIAggCCAIIAggCCAIIAggCCAISAgMC8wIeAAL0AgICnwIEAgUCBgIHAggCCQKyAgsCDAINAggCCAIIAggCCAIIAggCCAIIAggCCAIIAggCCAIIAggCCAISAgMCQAIeAAL0AgICSAIEAgUCBgIHAggCCQIKAgsCDAINAggCCAIIAggCCAIIAggCCAIIAggCCAIIAggCCAIIAggCCAISAgMC1QIeAAL0AgICMwIEAgUCBgIHAggCCQJEAgsCDAINAggCCAIIAggCCAIIAggCCAIIAggCCAIIAggCCAIIAggCCAISAgMC1gIeAAL0AgICXAIEAgUCBgIHAggCCQKyAgsCDAINAggCCAIIAggCCAIIAggCCAIIAggCCAIIAggCCAIIAggCCAISAgMCzAIeAAL0AgICHQIEAgUCBgIHAggCCQIKAgsCDAINAggCCAIIAggCCAIIAggCCAIIAggCCAIIAggCCAIIAggCCAISAgMCHgIeAAL0AgICVwIEAgUCBgIHAggCCQJEAgsCDAINAggCCAIIAggCCAIIAggCCAIIAggCCAIIAggCCAIIAggCCAISAgMCzgIeAAL0AgICbgIEAgUCBgIHAggCCQKyAgsCDAINAggCCAIIAggCCAIIAggCCAIIAggCCAIIAggCCAIIAggCCAISAgMC0wIeAAL0AgICOwIEAgUCBgIHAggCCQIKAgsCDAINAggCCAIIAggCCAIIAggCCAIIAggCCAIIAggCCAIIAggCCAISAgMCPAIeAAL0AgICAwIEAgUCBgIHAggCCQKyAgsCDAINAggCCAIIAnoAAAQACAIIAggCCAIIAggCCAIIAggCCAIIAggCCAIIAhICAwJAAh4AAvQCAgJIAgQCBQIGAgcCCAIJAkQCCwIMAg0CCAIIAggCCAIIAggCCAIIAggCCAIIAggCCAIIAggCCAIIAhICAwLEAh4AAvQCAgIrAgQCBQIGAgcCCAIJAkQCCwIMAg0CCAIIAggCCAIIAggCCAIIAggCCAIIAggCCAIIAggCCAIIAhICAwLPAh4AAvQCAgJaAgQCBQIGAgcCCAIJAkQCCwIMAg0CCAIIAggCCAIIAggCCAIIAggCCAIIAggCCAIIAggCCAIIAhICAwLNAh4AAvQCAgJpAgQCBQIGAgcCCAIJArICCwIMAg0CCAIIAggCCAIIAggCCAIIAggCCAIIAggCCAIIAggCCAIIAhICAwLCAh4AAvQCAgIzAgQCBQIGAgcCCAIJAgoCCwIMAg0CCAIIAggCCAIIAggCCAIIAggCCAIIAggCCAIIAggCCAIIAhICAwI0Ah4AAvQCAgItAgQCBQIGAgcCCAIJAgoCCwIMAg0CCAIIAggCCAIIAggCCAIIAggCCAIIAggCCAIIAggCCAIIAhICAwIuAh4AAvQCAgI5AgQCBQIGAgcCCAIJArICCwIMAg0CCAIIAggCCAIIAggCCAIIAggCCAIIAggCCAIIAggCCAIIAhICAwJAAh4AAvQCAgJXAgQCBQIGAgcCCAIJArICCwIMAg0CCAIIAggCCAIIAggCCAIIAggCCAIIAggCCAIIAggCCAIIAhICAwK9Ah4AAvQCAgInAgQCBQIGAgcCCAIJArICCwIMAg0CCAIIAggCCAIIAggCCAIIAggCCAIIAggCCAIIAggCCAIIAhICAwLAAh4AAvQCAgIdAgQCBQIGAgcCCAIJAkQCCwIMAg0CCAIIAggCCAIIAggCCAIIAggCCAIIAggCCAIIAggCCAIIAhICAwK8Ah4AAvQCAgIlAgQCBQIGAgcCCAIJAgoCCwIMAg0CCAIIAggCCAIIAggCCAIIAggCCAIIAggCCAIIAggCCAIIAhICAwImAh4AAvQCAgIpAgQCBQIGAgcCCAIJArICCwIMAg0CCAIIAggCCAIIAggCCAIIAggCCAIIAggCCAIIAggCCAIIAhICAwK3Ah4AAvQCAgIvAgQCBQIGAgcCCAIJAgoCCwIMAg0CCAIIAggCCAIIAggCCAIIAggCCAIIAggCCAIIAggCCAIIAhICAwIwAh4AAvQCAgIxAgQCBQIGAgcCCAIJArICCwIMAg0CCAIIAggCCAIIAggCCAIIAggCCAIIAggCCAIIAggCCAIIAhICAwK4Ah4AAvQCAgI5AgQCBQIGAgcCCAIJAkQCC3oAAAQAAgwCDQIIAggCCAIIAggCCAIIAggCCAIIAggCCAIIAggCCAIIAggCEgIDAq8CHgAC9AICAmkCBAIFAgYCBwIIAgkCRAILAgwCDQIIAggCCAIIAggCCAIIAggCCAIIAggCCAIIAggCCAIIAggCEgIDArACHgAC9AICAi0CBAIFAgYCBwIIAgkCRAILAgwCDQIIAggCCAIIAggCCAIIAggCCAIIAggCCAIIAggCCAIIAggCEgIDArQCHgAC9AICAkECBAIFAgYCBwIIAgkCRAILAgwCDQIIAggCCAIIAggCCAIIAggCCAIIAggCCAIIAggCCAIIAggCEgIDAtECHgAC9AICAiECBAIFAgYCBwIIAgkCRAILAgwCDQIIAggCCAIIAggCCAIIAggCCAIIAggCCAIIAggCCAIIAggCEgIDAugCHgAC9AICAhsCBAIFAgYCBwIIAgkCCgILAgwCDQIIAggCCAIIAggCCAIIAggCCAIIAggCCAIIAggCCAIIAggCEgIDAhwCHgAC9AICAk8CBAIFAgYCBwIIAgkCRAILAgwCDQIIAggCCAIIAggCCAIIAggCCAIIAggCCAIIAggCCAIIAggCEgIDAucCHgAC9AICApwCBAIFAgYCBwIIAgkCsgILAgwCDQIIAggCCAIIAggCCAIIAggCCAIIAggCCAIIAggCCAIIAggCEgIDAkACHgAC9AICAkMCBAIFAgYCBwIIAgkCCgILAgwCDQIIAggCCAIIAggCCAIIAggCCAIIAggCCAIIAggCCAIIAggCEgIDAukCHgAC9AICAmkCBAIFAgYCBwIIAgkCCgILAgwCDQIIAggCCAIIAggCCAIIAggCCAIIAggCCAIIAggCCAIIAggCEgIDAt0CHgAC9AICAjkCBAIFAgYCBwIIAgkCCgILAgwCDQIIAggCCAIIAggCCAIIAggCCAIIAggCCAIIAggCCAIIAggCEgIDAjoCHgAC9AICAnoCBAIFAgYCBwIIAgkCsgILAgwCDQIIAggCCAIIAggCCAIIAggCCAIIAggCCAIIAggCCAIIAggCEgIDAt8CHgAC9AICAiMCBAIFAgYCBwIIAgkCCgILAgwCDQIIAggCCAIIAggCCAIIAggCCAIIAggCCAIIAggCCAIIAggCEgIDAiQCHgAC9AICAmMCBAIFAgYCBwIIAgkCsgILAgwCDQIIAggCCAIIAggCCAIIAggCCAIIAggCCAIIAggCCAIIAggCEgIDAuUCHgAC9AICApgCBAIFAgYCBwIIAgkCRAILAgwCDQIIAggCCAIIAggCCAIIAggCCAIIAggCCAIIAggCCAIIAggCEgIDApkCHgAC9AICAjsCBAIFAnoAAAQABgIHAggCCQKyAgsCDAINAggCCAIIAggCCAIIAggCCAIIAggCCAIIAggCCAIIAggCCAISAgMCQAIeAAL0AgICLwIEAgUCBgIHAggCCQJEAgsCDAINAggCCAIIAggCCAIIAggCCAIIAggCCAIIAggCCAIIAggCCAISAgMC3AIeAAL0AgICAwIEAgUCBgIHAggCCQJEAgsCDAINAggCCAIIAggCCAIIAggCCAIIAggCCAIIAggCCAIIAggCCAISAgMC4wIeAAL0AgICmAIEAgUCBgIHAggCCQIKAgsCDAINAggCCAIIAggCCAIIAggCCAIIAggCCAIIAggCCAIIAggCCAISAgMCmQIeAAL0AgICIQIEAgUCBgIHAggCCQIKAgsCDAINAggCCAIIAggCCAIIAggCCAIIAggCCAIIAggCCAIIAggCCAISAgMCIgIeAAL0AgICMwIEAgUCBgIHAggCCQKyAgsCDAINAggCCAIIAggCCAIIAggCCAIIAggCCAIIAggCCAIIAggCCAISAgMC4gIeAAL0AgICHwIEAgUCBgIHAggCCQIKAgsCDAINAggCCAIIAggCCAIIAggCCAIIAggCCAIIAggCCAIIAggCCAISAgMCIAIeAAL0AgICngIEAgUCBgIHAggCCQKyAgsCDAINAggCCAIIAggCCAIIAggCCAIIAggCCAIIAggCCAIIAggCCAISAgMCQAIeAAL0AgICTwIEAgUCBgIHAggCCQIKAgsCDAINAggCCAIIAggCCAIIAggCCAIIAggCCAIIAggCCAIIAggCCAISAgMCxgIeAAL0AgICKQIEAgUCBgIHAggCCQIKAgsCDAINAggCCAIIAggCCAIIAggCCAIIAggCCAIIAggCCAIIAggCCAISAgMCKgIeAAL0AgICWgIEAgUCBgIHAggCCQKyAgsCDAINAggCCAIIAggCCAIIAggCCAIIAggCCAIIAggCCAIIAggCCAISAgMC2gIeAAL0AgICAwIEAgUCBgIHAggCCQIKAgsCDAINAggCCAIIAggCCAIIAggCCAIIAggCCAIIAggCCAIIAggCCAISAgMCDgIeAAL0AgICLwIEAgUCBgIHAggCCQKyAgsCDAINAggCCAIIAggCCAIIAggCCAIIAggCCAIIAggCCAIIAggCCAISAgMC0gIeAAL0AgICNwIEAgUCBgIHAggCCQJEAgsCDAINAggCCAIIAggCCAIIAggCCAIIAggCCAIIAggCCAIIAggCCAISAgMC1wIeAAL0AgICnAIEAgUCBgIHAggCCQIKAgsCDAINAggCCAIIAggCCAIIAggCCAIIAggCCAIIAggCCAIIAggCCAISAgMC8AIeAHoAAAQAAvQCAgIbAgQCBQIGAgcCCAIJArICCwIMAg0CCAIIAggCCAIIAggCCAIIAggCCAIIAggCCAIIAggCCAIIAhICAwLLAh4AAvQCAgIjAgQCBQIGAgcCCAIJAkQCCwIMAg0CCAIIAggCCAIIAggCCAIIAggCCAIIAggCCAIIAggCCAIIAhICAwLQAh4AAvQCAgIlAgQCBQIGAgcCCAIJAkQCCwIMAg0CCAIIAggCCAIIAggCCAIIAggCCAIIAggCCAIIAggCCAIIAhICAwLIAh4AAvQCAgJjAgQCBQIGAgcCCAIJAgoCCwIMAg0CCAIIAggCCAIIAggCCAIIAggCCAIIAggCCAIIAggCCAIIAhICAwLHAh4AAvQCAgIfAgQCBQIGAgcCCAIJAkQCCwIMAg0CCAIIAggCCAIIAggCCAIIAggCCAIIAggCCAIIAggCCAIIAhICAwKzAh4AAvQCAgJDAgQCBQIGAgcCCAIJArICCwIMAg0CCAIIAggCCAIIAggCCAIIAggCCAIIAggCCAIIAggCCAIIAhICAwLKAh4AAvQCAgI1AgQCBQIGAgcCCAIJArICCwIMAg0CCAIIAggCCAIIAggCCAIIAggCCAIIAggCCAIIAggCCAIIAhICAwLBAh4AAvQCAgJBAgQCBQIGAgcCCAIJAgoCCwIMAg0CCAIIAggCCAIIAggCCAIIAggCCAIIAggCCAIIAggCCAIIAhICAwLFAh4AAvQCAgI3AgQCBQIGAgcCCAIJAgoCCwIMAg0CCAIIAggCCAIIAggCCAIIAggCCAIIAggCCAIIAggCCAIIAhICAwI4Ah4AAvQCAgIpAgQCBQIGAgcCCAIJAkQCCwIMAg0CCAIIAggCCAIIAggCCAIIAggCCAIIAggCCAIIAggCCAIIAhICAwLDAh4AAvQCAgJ6AgQCBQIGAgcCCAIJAgoCCwIMAg0CCAIIAggCCAIIAggCCAIIAggCCAIIAggCCAIIAggCCAIIAhICAwLJAh4AAvQCAgJcAgQCBQIGAgcCCAIJAkQCCwIMAg0CCAIIAggCCAIIAggCCAIIAggCCAIIAggCCAIIAggCCAIIAhICAwK+Ah4AAvQCAgIfAgQCBQIGAgcCCAIJArICCwIMAg0CCAIIAggCCAIIAggCCAIIAggCCAIIAggCCAIIAggCCAIIAhICAwJAAh4AAvQCAgJPAgQCBQIGAgcCCAIJArICCwIMAg0CCAIIAggCCAIIAggCCAIIAggCCAIIAggCCAIIAggCCAIIAhICAwK/Ah4AAvQCAgKeAgQCBQIGAgcCCAIJAgoCCwIMAg0CCAIIAggCCAIIAggCCAIIAggCCAIIAggCCAIIAggCCHoAAAQAAggCEgIDAvMCHgAC9AICApwCBAIFAgYCBwIIAgkCRAILAgwCDQIIAggCCAIIAggCCAIIAggCCAIIAggCCAIIAggCCAIIAggCEgIDAvICHgAC9AICAmMCBAIFAgYCBwIIAgkCRAILAgwCDQIIAggCCAIIAggCCAIIAggCCAIIAggCCAIIAggCCAIIAggCEgIDArsCHgAC9AICAloCBAIFAgYCBwIIAgkCCgILAgwCDQIIAggCCAIIAggCCAIIAggCCAIIAggCCAIIAggCCAIIAggCEgIDAroCHgAC9AICAiECBAIFAgYCBwIIAgkCsgILAgwCDQIIAggCCAIIAggCCAIIAggCCAIIAggCCAIIAggCCAIIAggCEgIDAkACHgAC9AICAisCBAIFAgYCBwIIAgkCsgILAgwCDQIIAggCCAIIAggCCAIIAggCCAIIAggCCAIIAggCCAIIAggCEgIDAkACHgAC9AICAkgCBAIFAgYCBwIIAgkCsgILAgwCDQIIAggCCAIIAggCCAIIAggCCAIIAggCCAIIAggCCAIIAggCEgIDArkCHgAC9AICAnoCBAIFAgYCBwIIAgkCRAILAgwCDQIIAggCCAIIAggCCAIIAggCCAIIAggCCAIIAggCCAIIAggCEgIDArYCHgAC9AICAp4CBAIFAgYCBwIIAgkCRAILAgwCDQIIAggCCAIIAggCCAIIAggCCAIIAggCCAIIAggCCAIIAggCEgIDAvECHgAC9AICAp8CBAIFAgYCBwIIAgkCCgILAgwCDQIIAggCCAIIAggCCAIIAggCCAIIAggCCAIIAggCCAIIAggCEgIDAu8CHgAC9AICApgCBAIFAgYCBwIIAgkCsgILAgwCDQIIAggCCAIIAggCCAIIAggCCAIIAggCCAIIAggCCAIIAggCEgIDApkCHgAC9AICAm4CBAIFAgYCBwIIAgkCCgILAgwCDQIIAggCCAIIAggCCAIIAggCCAIIAggCCAIIAggCCAIIAggCEgIDArECHgAC9AICAjUCBAIFAgYCBwIIAgkCRAILAgwCDQIIAggCCAIIAggCCAIIAggCCAIIAggCCAIIAggCCAIIAggCEgIDAq4CHgAC9AICAh0CBAIFAgYCBwIIAgkCsgILAgwCDQIIAggCCAIIAggCCAIIAggCCAIIAggCCAIIAggCCAIIAggCEgIDAuYCHgAC9AICApsCBAIFAgYCBwIIAgkCsgILAgwCDQIIAggCCAIIAggCCAIIAggCCAIIAggCCAIIAggCCAIIAggCEgIDAkACHgAC9AICAicCBAIFAgYCBwIIAgkCRAILAgwCDQIIAggCCAIIAggCCAIIAggCCAIIAnoAAAQACAIIAggCCAIIAggCCAISAgMC6gIeAAL0AgICXAIEAgUCBgIHAggCCQIKAgsCDAINAggCCAIIAggCCAIIAggCCAIIAggCCAIIAggCCAIIAggCCAISAgMCtQIeAAL0AgICNQIEAgUCBgIHAggCCQIKAgsCDAINAggCCAIIAggCCAIIAggCCAIIAggCCAIIAggCCAIIAggCCAISAgMCNgIeAAL0AgICNwIEAgUCBgIHAggCCQKyAgsCDAINAggCCAIIAggCCAIIAggCCAIIAggCCAIIAggCCAIIAggCCAISAgMC4AIeAAL0AgICLQIEAgUCBgIHAggCCQKyAgsCDAINAggCCAIIAggCCAIIAggCCAIIAggCCAIIAggCCAIIAggCCAISAgMCQAIeAAL0AgICnwIEAgUCBgIHAggCCQJEAgsCDAINAggCCAIIAggCCAIIAggCCAIIAggCCAIIAggCCAIIAggCCAISAgMC7gIeAAL0AgICbgIEAgUCBgIHAggCCQJEAgsCDAINAggCCAIIAggCCAIIAggCCAIIAggCCAIIAggCCAIIAggCCAISAgMC5AIeAAL0AgICMQIEAgUCBgIHAggCCQJEAgsCDAINAggCCAIIAggCCAIIAggCCAIIAggCCAIIAggCCAIIAggCCAISAgMC6wIeAAL1AAkzOTY4MTAyNjQCAgIfAgQCBQIGAgcCCAIJAgoCCwIMAg0CCAIIAggCCAIIAggCCAIIAggCCAIIAggCCAIIAggCCAIIAiACAwIgAh4AAvUCAgJXAgQCBQIGAgcCCAIJAgoCCwIMAg0CCAIIAggCCAIIAggCCAIIAggCCAIIAggCCAIIAggCCAIIAiACAwLeAh4AAvUCAgIpAgQCBQIGAgcCCAIJAkQCCwIMAg0CCAIIAggCCAIIAggCCAIIAggCCAIIAggCCAIIAggCCAIIAiACAwLDAh4AAvUCAgJpAgQCBQIGAgcCCAIJAgoCCwIMAg0CCAIIAggCCAIIAggCCAIIAggCCAIIAggCCAIIAggCCAIIAiACAwLdAh4AAvUCAgJBAgQCBQIGAgcCCAIJArICCwIMAg0CCAIIAggCCAIIAggCCAIIAggCCAIIAggCCAIIAggCCAIIAiACAwLhAh4AAvUCAgInAgQCBQIGAgcCCAIJAgoCCwIMAg0CCAIIAggCCAIIAggCCAIIAggCCAIIAggCCAIIAggCCAIIAiACAwIoAh4AAvUCAgIzAgQCBQIGAgcCCAIJArICCwIMAg0CCAIIAggCCAIIAggCCAIIAggCCAIIAggCCAIIAggCCAIIAiACAwLiAh4AAvUCAgIxAgQCBQIGAgcCCAIJAkQCCwIMAnoAAAQADQIIAggCCAIIAggCCAIIAggCCAIIAggCCAIIAggCCAIIAggCIAIDAusCHgAC9QICAjsCBAIFAgYCBwIIAgkCsgILAgwCDQIIAggCCAIIAggCCAIIAggCCAIIAggCCAIIAggCCAIIAggCIAIDAkACHgAC9QICAkgCBAIFAgYCBwIIAgkCRAILAgwCDQIIAggCCAIIAggCCAIIAggCCAIIAggCCAIIAggCCAIIAggCIAIDAsQCHgAC9QICAjcCBAIFAgYCBwIIAgkCsgILAgwCDQIIAggCCAIIAggCCAIIAggCCAIIAggCCAIIAggCCAIIAggCIAIDAuACHgAC9QICAjECBAIFAgYCBwIIAgkCCgILAgwCDQIIAggCCAIIAggCCAIIAggCCAIIAggCCAIIAggCCAIIAggCIAIDAjICHgAC9QICAhsCBAIFAgYCBwIIAgkCRAILAgwCDQIIAggCCAIIAggCCAIIAggCCAIIAggCCAIIAggCCAIIAggCIAIDAtQCHgAC9QICAkgCBAIFAgYCBwIIAgkCCgILAgwCDQIIAggCCAIIAggCCAIIAggCCAIIAggCCAIIAggCCAIIAggCIAIDAtUCHgAC9QICAk8CBAIFAgYCBwIIAgkCCgILAgwCDQIIAggCCAIIAggCCAIIAggCCAIIAggCCAIIAggCCAIIAggCIAIDAsYCHgAC9QICAjsCBAIFAgYCBwIIAgkCRAILAgwCDQIIAggCCAIIAggCCAIIAggCCAIIAggCCAIIAggCCAIIAggCIAIDAtgCHgAC9QICAikCBAIFAgYCBwIIAgkCCgILAgwCDQIIAggCCAIIAggCCAIIAggCCAIIAggCCAIIAggCCAIIAggCIAIDAioCHgAC9QICAloCBAIFAgYCBwIIAgkCsgILAgwCDQIIAggCCAIIAggCCAIIAggCCAIIAggCCAIIAggCCAIIAggCIAIDAtoCHgAC9QICAiMCBAIFAgYCBwIIAgkCsgILAgwCDQIIAggCCAIIAggCCAIIAggCCAIIAggCCAIIAggCCAIIAggCIAIDAkACHgAC9QICAkMCBAIFAgYCBwIIAgkCRAILAgwCDQIIAggCCAIIAggCCAIIAggCCAIIAggCCAIIAggCCAIIAggCIAIDAtkCHgAC9QICAiUCBAIFAgYCBwIIAgkCsgILAgwCDQIIAggCCAIIAggCCAIIAggCCAIIAggCCAIIAggCCAIIAggCIAIDAtsCHgAC9QICAjUCBAIFAgYCBwIIAgkCRAILAgwCDQIIAggCCAIIAggCCAIIAggCCAIIAggCCAIIAggCCAIIAggCIAIDAq4CHgAC9QICAmkCBAIFAgYCB3oAAAQAAggCCQJEAgsCDAINAggCCAIIAggCCAIIAggCCAIIAggCCAIIAggCCAIIAggCCAIgAgMCsAIeAAL1AgICbgIEAgUCBgIHAggCCQKyAgsCDAINAggCCAIIAggCCAIIAggCCAIIAggCCAIIAggCCAIIAggCCAIgAgMC0wIeAAL1AgICIwIEAgUCBgIHAggCCQJEAgsCDAINAggCCAIIAggCCAIIAggCCAIIAggCCAIIAggCCAIIAggCCAIgAgMC0AIeAAL1AgICLwIEAgUCBgIHAggCCQKyAgsCDAINAggCCAIIAggCCAIIAggCCAIIAggCCAIIAggCCAIIAggCCAIgAgMC0gIeAAL1AgICMQIEAgUCBgIHAggCCQKyAgsCDAINAggCCAIIAggCCAIIAggCCAIIAggCCAIIAggCCAIIAggCCAIgAgMCuAIeAAL1AgICNwIEAgUCBgIHAggCCQIKAgsCDAINAggCCAIIAggCCAIIAggCCAIIAggCCAIIAggCCAIIAggCCAIgAgMCOAIeAAL1AgICHQIEAgUCBgIHAggCCQIKAgsCDAINAggCCAIIAggCCAIIAggCCAIIAggCCAIIAggCCAIIAggCCAIgAgMCHgIeAAL1AgICegIEAgUCBgIHAggCCQIKAgsCDAINAggCCAIIAggCCAIIAggCCAIIAggCCAIIAggCCAIIAggCCAIgAgMCyQIeAAL1AgICYwIEAgUCBgIHAggCCQIKAgsCDAINAggCCAIIAggCCAIIAggCCAIIAggCCAIIAggCCAIIAggCCAIgAgMCxwIeAAL1AgICLQIEAgUCBgIHAggCCQIKAgsCDAINAggCCAIIAggCCAIIAggCCAIIAggCCAIIAggCCAIIAggCCAIgAgMCLgIeAAL1AgICXAIEAgUCBgIHAggCCQKyAgsCDAINAggCCAIIAggCCAIIAggCCAIIAggCCAIIAggCCAIIAggCCAIgAgMCzAIeAAL1AgICHwIEAgUCBgIHAggCCQJEAgsCDAINAggCCAIIAggCCAIIAggCCAIIAggCCAIIAggCCAIIAggCCAIgAgMCswIeAAL1AgICVwIEAgUCBgIHAggCCQJEAgsCDAINAggCCAIIAggCCAIIAggCCAIIAggCCAIIAggCCAIIAggCCAIgAgMCzgIeAAL1AgICWgIEAgUCBgIHAggCCQJEAgsCDAINAggCCAIIAggCCAIIAggCCAIIAggCCAIIAggCCAIIAggCCAIgAgMCzQIeAAL1AgICJQIEAgUCBgIHAggCCQJEAgsCDAINAggCCAIIAggCCAIIAggCCAIIAggCCAIIAggCCAIIAggCCAIgAgMCyAIeAAL1AnoAAAQAAgJDAgQCBQIGAgcCCAIJArICCwIMAg0CCAIIAggCCAIIAggCCAIIAggCCAIIAggCCAIIAggCCAIIAiACAwLKAh4AAvUCAgI7AgQCBQIGAgcCCAIJAgoCCwIMAg0CCAIIAggCCAIIAggCCAIIAggCCAIIAggCCAIIAggCCAIIAiACAwI8Ah4AAvUCAgIbAgQCBQIGAgcCCAIJArICCwIMAg0CCAIIAggCCAIIAggCCAIIAggCCAIIAggCCAIIAggCCAIIAiACAwLLAh4AAvUCAgIjAgQCBQIGAgcCCAIJAgoCCwIMAg0CCAIIAggCCAIIAggCCAIIAggCCAIIAggCCAIIAggCCAIIAiACAwIkAh4AAvUCAgJpAgQCBQIGAgcCCAIJArICCwIMAg0CCAIIAggCCAIIAggCCAIIAggCCAIIAggCCAIIAggCCAIIAiACAwLCAh4AAvUCAgIzAgQCBQIGAgcCCAIJAgoCCwIMAg0CCAIIAggCCAIIAggCCAIIAggCCAIIAggCCAIIAggCCAIIAiACAwI0Ah4AAvUCAgIvAgQCBQIGAgcCCAIJAkQCCwIMAg0CCAIIAggCCAIIAggCCAIIAggCCAIIAggCCAIIAggCCAIIAiACAwLcAh4AAvUCAgJBAgQCBQIGAgcCCAIJAgoCCwIMAg0CCAIIAggCCAIIAggCCAIIAggCCAIIAggCCAIIAggCCAIIAiACAwLFAh4AAvUCAgItAgQCBQIGAgcCCAIJArICCwIMAg0CCAIIAggCCAIIAggCCAIIAggCCAIIAggCCAIIAggCCAIIAiACAwJAAh4AAvUCAgJ6AgQCBQIGAgcCCAIJArICCwIMAg0CCAIIAggCCAIIAggCCAIIAggCCAIIAggCCAIIAggCCAIIAiACAwLfAh4AAvUCAgJuAgQCBQIGAgcCCAIJAkQCCwIMAg0CCAIIAggCCAIIAggCCAIIAggCCAIIAggCCAIIAggCCAIIAiACAwLkAh4AAvUCAgI1AgQCBQIGAgcCCAIJArICCwIMAg0CCAIIAggCCAIIAggCCAIIAggCCAIIAggCCAIIAggCCAIIAiACAwLBAh4AAvUCAgIlAgQCBQIGAgcCCAIJAgoCCwIMAg0CCAIIAggCCAIIAggCCAIIAggCCAIIAggCCAIIAggCCAIIAiACAwImAh4AAvUCAgJaAgQCBQIGAgcCCAIJAgoCCwIMAg0CCAIIAggCCAIIAggCCAIIAggCCAIIAggCCAIIAggCCAIIAiACAwK6Ah4AAvUCAgJPAgQCBQIGAgcCCAIJArICCwIMAg0CCAIIAggCCAIIAggCCAIIAggCCAIIAggCCAIIAggCCAIIAnoAAAQAIAIDAr8CHgAC9QICAh0CBAIFAgYCBwIIAgkCRAILAgwCDQIIAggCCAIIAggCCAIIAggCCAIIAggCCAIIAggCCAIIAggCIAIDArwCHgAC9QICAlcCBAIFAgYCBwIIAgkCsgILAgwCDQIIAggCCAIIAggCCAIIAggCCAIIAggCCAIIAggCCAIIAggCIAIDAr0CHgAC9QICAlwCBAIFAgYCBwIIAgkCRAILAgwCDQIIAggCCAIIAggCCAIIAggCCAIIAggCCAIIAggCCAIIAggCIAIDAr4CHgAC9QICAmMCBAIFAgYCBwIIAgkCRAILAgwCDQIIAggCCAIIAggCCAIIAggCCAIIAggCCAIIAggCCAIIAggCIAIDArsCHgAC9QICAh8CBAIFAgYCBwIIAgkCsgILAgwCDQIIAggCCAIIAggCCAIIAggCCAIIAggCCAIIAggCCAIIAggCIAIDAkACHgAC9QICAicCBAIFAgYCBwIIAgkCsgILAgwCDQIIAggCCAIIAggCCAIIAggCCAIIAggCCAIIAggCCAIIAggCIAIDAsACHgAC9QICAm4CBAIFAgYCBwIIAgkCCgILAgwCDQIIAggCCAIIAggCCAIIAggCCAIIAggCCAIIAggCCAIIAggCIAIDArECHgAC9QICAi8CBAIFAgYCBwIIAgkCCgILAgwCDQIIAggCCAIIAggCCAIIAggCCAIIAggCCAIIAggCCAIIAggCIAIDAjACHgAC9QICAhsCBAIFAgYCBwIIAgkCCgILAgwCDQIIAggCCAIIAggCCAIIAggCCAIIAggCCAIIAggCCAIIAggCIAIDAhwCHgAC9QICAkgCBAIFAgYCBwIIAgkCsgILAgwCDQIIAggCCAIIAggCCAIIAggCCAIIAggCCAIIAggCCAIIAggCIAIDArkCHgAC9QICAlwCBAIFAgYCBwIIAgkCCgILAgwCDQIIAggCCAIIAggCCAIIAggCCAIIAggCCAIIAggCCAIIAggCIAIDArUCHgAC9QICAjMCBAIFAgYCBwIIAgkCRAILAgwCDQIIAggCCAIIAggCCAIIAggCCAIIAggCCAIIAggCCAIIAggCIAIDAtYCHgAC9QICAjcCBAIFAgYCBwIIAgkCRAILAgwCDQIIAggCCAIIAggCCAIIAggCCAIIAggCCAIIAggCCAIIAggCIAIDAtcCHgAC9QICAkECBAIFAgYCBwIIAgkCRAILAgwCDQIIAggCCAIIAggCCAIIAggCCAIIAggCCAIIAggCCAIIAggCIAIDAtECHgAC9QICAi0CBAIFAgYCBwIIAgkCRAILAgwCDQIIAggCCAIIAggCCAIIAggCCAIIAggCCHoAAAQAAggCCAIIAggCCAIgAgMCtAIeAAL1AgICegIEAgUCBgIHAggCCQJEAgsCDAINAggCCAIIAggCCAIIAggCCAIIAggCCAIIAggCCAIIAggCCAIgAgMCtgIeAAL1AgICKQIEAgUCBgIHAggCCQKyAgsCDAINAggCCAIIAggCCAIIAggCCAIIAggCCAIIAggCCAIIAggCCAIgAgMCtwIeAAL1AgICTwIEAgUCBgIHAggCCQJEAgsCDAINAggCCAIIAggCCAIIAggCCAIIAggCCAIIAggCCAIIAggCCAIgAgMC5wIeAAL1AgICJwIEAgUCBgIHAggCCQJEAgsCDAINAggCCAIIAggCCAIIAggCCAIIAggCCAIIAggCCAIIAggCCAIgAgMC6gIeAAL1AgICYwIEAgUCBgIHAggCCQKyAgsCDAINAggCCAIIAggCCAIIAggCCAIIAggCCAIIAggCCAIIAggCCAIgAgMC5QIeAAL1AgICQwIEAgUCBgIHAggCCQIKAgsCDAINAggCCAIIAggCCAIIAggCCAIIAggCCAIIAggCCAIIAggCCAIgAgMC6QIeAAL1AgICNQIEAgUCBgIHAggCCQIKAgsCDAINAggCCAIIAggCCAIIAggCCAIIAggCCAIIAggCCAIIAggCCAIgAgMCNgIeAAL1AgICHQIEAgUCBgIHAggCCQKyAgsCDAINAggCCAIIAggCCAIIAggCCAIIAggCCAIIAggCCAIIAggCCAIgAgMC5gIeAAL2AAkzOTY4MTI1ODQCAgIxAgQCBQIGAgcCCAIJAgoCCwIMAg0CCAIIAggCCAIIAggCCAIIAggCCAIIAggCCAIIAggCCAIIAiICAwIyAh4AAvYCAgIpAgQCBQIGAgcCCAIJAgoCCwIMAg0CCAIIAggCCAIIAggCCAIIAggCCAIIAggCCAIIAggCCAIIAiICAwIqAh4AAvYCAgJaAgQCBQIGAgcCCAIJArICCwIMAg0CCAIIAggCCAIIAggCCAIIAggCCAIIAggCCAIIAggCCAIIAiICAwLaAh4AAvYCAgJBAgQCBQIGAgcCCAIJArICCwIMAg0CCAIIAggCCAIIAggCCAIIAggCCAIIAggCCAIIAggCCAIIAiICAwLhAh4AAvYCAgInAgQCBQIGAgcCCAIJAgoCCwIMAg0CCAIIAggCCAIIAggCCAIIAggCCAIIAggCCAIIAggCCAIIAiICAwIoAh4AAvYCAgIlAgQCBQIGAgcCCAIJArICCwIMAg0CCAIIAggCCAIIAggCCAIIAggCCAIIAggCCAIIAggCCAIIAiICAwLbAh4AAvYCAgJPAgQCBQIGAgcCCAIJAgoCCwIMAg0CCHoAAAQAAggCCAIIAggCCAIIAggCCAIIAggCCAIIAggCCAIIAggCIgIDAsYCHgAC9gICAkMCBAIFAgYCBwIIAgkCRAILAgwCDQIIAggCCAIIAggCCAIIAggCCAIIAggCCAIIAggCCAIIAggCIgIDAtkCHgAC9gICAhsCBAIFAgYCBwIIAgkCRAILAgwCDQIIAggCCAIIAggCCAIIAggCCAIIAggCCAIIAggCCAIIAggCIgIDAtQCHgAC9gICAiMCBAIFAgYCBwIIAgkCsgILAgwCDQIIAggCCAIIAggCCAIIAggCCAIIAggCCAIIAggCCAIIAggCIgIDAkACHgAC9gICAiMCBAIFAgYCBwIIAgkCRAILAgwCDQIIAggCCAIIAggCCAIIAggCCAIIAggCCAIIAggCCAIIAggCIgIDAtACHgAC9gICAhsCBAIFAgYCBwIIAgkCCgILAgwCDQIIAggCCAIIAggCCAIIAggCCAIIAggCCAIIAggCCAIIAggCIgIDAhwCHgAC9gICAm4CBAIFAgYCBwIIAgkCsgILAgwCDQIIAggCCAIIAggCCAIIAggCCAIIAggCCAIIAggCCAIIAggCIgIDAtMCHgAC9gICAjMCBAIFAgYCBwIIAgkCRAILAgwCDQIIAggCCAIIAggCCAIIAggCCAIIAggCCAIIAggCCAIIAggCIgIDAtYCHgAC9gICAjcCBAIFAgYCBwIIAgkCRAILAgwCDQIIAggCCAIIAggCCAIIAggCCAIIAggCCAIIAggCCAIIAggCIgIDAtcCHgAC9gICAkgCBAIFAgYCBwIIAgkCCgILAgwCDQIIAggCCAIIAggCCAIIAggCCAIIAggCCAIIAggCCAIIAggCIgIDAtUCHgAC9gICAi8CBAIFAgYCBwIIAgkCsgILAgwCDQIIAggCCAIIAggCCAIIAggCCAIIAggCCAIIAggCCAIIAggCIgIDAtICHgAC9gICAkECBAIFAgYCBwIIAgkCRAILAgwCDQIIAggCCAIIAggCCAIIAggCCAIIAggCCAIIAggCCAIIAggCIgIDAtECHgAC9gICAk8CBAIFAgYCBwIIAgkCRAILAgwCDQIIAggCCAIIAggCCAIIAggCCAIIAggCCAIIAggCCAIIAggCIgIDAucCHgAC9gICAicCBAIFAgYCBwIIAgkCRAILAgwCDQIIAggCCAIIAggCCAIIAggCCAIIAggCCAIIAggCCAIIAggCIgIDAuoCHgAC9gICAh0CBAIFAgYCBwIIAgkCsgILAgwCDQIIAggCCAIIAggCCAIIAggCCAIIAggCCAIIAggCCAIIAggCIgIDAuYCHgAC9gICAmMCBAIFAgYCBwIIAnoAAAQACQKyAgsCDAINAggCCAIIAggCCAIIAggCCAIIAggCCAIIAggCCAIIAggCCAIiAgMC5QIeAAL2AgICXAIEAgUCBgIHAggCCQIKAgsCDAINAggCCAIIAggCCAIIAggCCAIIAggCCAIIAggCCAIIAggCCAIiAgMCtQIeAAL2AgICQwIEAgUCBgIHAggCCQIKAgsCDAINAggCCAIIAggCCAIIAggCCAIIAggCCAIIAggCCAIIAggCCAIiAgMC6QIeAAL2AgICVwIEAgUCBgIHAggCCQIKAgsCDAINAggCCAIIAggCCAIIAggCCAIIAggCCAIIAggCCAIIAggCCAIiAgMC3gIeAAL2AgICIwIEAgUCBgIHAggCCQIKAgsCDAINAggCCAIIAggCCAIIAggCCAIIAggCCAIIAggCCAIIAggCCAIiAgMCJAIeAAL2AgICHwIEAgUCBgIHAggCCQIKAgsCDAINAggCCAIIAggCCAIIAggCCAIIAggCCAIIAggCCAIIAggCCAIiAgMCIAIeAAL2AgICegIEAgUCBgIHAggCCQKyAgsCDAINAggCCAIIAggCCAIIAggCCAIIAggCCAIIAggCCAIIAggCCAIiAgMC3wIeAAL2AgICNQIEAgUCBgIHAggCCQIKAgsCDAINAggCCAIIAggCCAIIAggCCAIIAggCCAIIAggCCAIIAggCCAIiAgMCNgIeAAL2AgICNwIEAgUCBgIHAggCCQKyAgsCDAINAggCCAIIAggCCAIIAggCCAIIAggCCAIIAggCCAIIAggCCAIiAgMC4AIeAAL2AgICMwIEAgUCBgIHAggCCQKyAgsCDAINAggCCAIIAggCCAIIAggCCAIIAggCCAIIAggCCAIIAggCCAIiAgMC4gIeAAL2AgICLwIEAgUCBgIHAggCCQJEAgsCDAINAggCCAIIAggCCAIIAggCCAIIAggCCAIIAggCCAIIAggCCAIiAgMC3AIeAAL2AgICMQIEAgUCBgIHAggCCQJEAgsCDAINAggCCAIIAggCCAIIAggCCAIIAggCCAIIAggCCAIIAggCCAIiAgMC6wIeAAL2AgICLQIEAgUCBgIHAggCCQKyAgsCDAINAggCCAIIAggCCAIIAggCCAIIAggCCAIIAggCCAIIAggCCAIiAgMCQAIeAAL2AgICaQIEAgUCBgIHAggCCQIKAgsCDAINAggCCAIIAggCCAIIAggCCAIIAggCCAIIAggCCAIIAggCCAIiAgMC3QIeAAL2AgICbgIEAgUCBgIHAggCCQJEAgsCDAINAggCCAIIAggCCAIIAggCCAIIAggCCAIIAggCCAIIAggCCAIiAgMC5AIeAAL2AgICJ3oAAAQAAgQCBQIGAgcCCAIJArICCwIMAg0CCAIIAggCCAIIAggCCAIIAggCCAIIAggCCAIIAggCCAIIAiICAwLAAh4AAvYCAgJaAgQCBQIGAgcCCAIJAgoCCwIMAg0CCAIIAggCCAIIAggCCAIIAggCCAIIAggCCAIIAggCCAIIAiICAwK6Ah4AAvYCAgJPAgQCBQIGAgcCCAIJArICCwIMAg0CCAIIAggCCAIIAggCCAIIAggCCAIIAggCCAIIAggCCAIIAiICAwK/Ah4AAvYCAgIlAgQCBQIGAgcCCAIJAgoCCwIMAg0CCAIIAggCCAIIAggCCAIIAggCCAIIAggCCAIIAggCCAIIAiICAwImAh4AAvYCAgIfAgQCBQIGAgcCCAIJArICCwIMAg0CCAIIAggCCAIIAggCCAIIAggCCAIIAggCCAIIAggCCAIIAiICAwJAAh4AAvYCAgJjAgQCBQIGAgcCCAIJAkQCCwIMAg0CCAIIAggCCAIIAggCCAIIAggCCAIIAggCCAIIAggCCAIIAiICAwK7Ah4AAvYCAgIdAgQCBQIGAgcCCAIJAkQCCwIMAg0CCAIIAggCCAIIAggCCAIIAggCCAIIAggCCAIIAggCCAIIAiICAwK8Ah4AAvYCAgJcAgQCBQIGAgcCCAIJAkQCCwIMAg0CCAIIAggCCAIIAggCCAIIAggCCAIIAggCCAIIAggCCAIIAiICAwK+Ah4AAvYCAgI1AgQCBQIGAgcCCAIJAkQCCwIMAg0CCAIIAggCCAIIAggCCAIIAggCCAIIAggCCAIIAggCCAIIAiICAwKuAh4AAvYCAgJuAgQCBQIGAgcCCAIJAgoCCwIMAg0CCAIIAggCCAIIAggCCAIIAggCCAIIAggCCAIIAggCCAIIAiICAwKxAh4AAvYCAgIvAgQCBQIGAgcCCAIJAgoCCwIMAg0CCAIIAggCCAIIAggCCAIIAggCCAIIAggCCAIIAggCCAIIAiICAwIwAh4AAvYCAgJXAgQCBQIGAgcCCAIJArICCwIMAg0CCAIIAggCCAIIAggCCAIIAggCCAIIAggCCAIIAggCCAIIAiICAwK9Ah4AAvYCAgJIAgQCBQIGAgcCCAIJArICCwIMAg0CCAIIAggCCAIIAggCCAIIAggCCAIIAggCCAIIAggCCAIIAiICAwK5Ah4AAvYCAgIxAgQCBQIGAgcCCAIJArICCwIMAg0CCAIIAggCCAIIAggCCAIIAggCCAIIAggCCAIIAggCCAIIAiICAwK4Ah4AAvYCAgIpAgQCBQIGAgcCCAIJArICCwIMAg0CCAIIAggCCAIIAggCCAIIAggCCAIIAggCCAIIAggCCAIIAiICA3oAAAQAArcCHgAC9gICAnoCBAIFAgYCBwIIAgkCRAILAgwCDQIIAggCCAIIAggCCAIIAggCCAIIAggCCAIIAggCCAIIAggCIgIDArYCHgAC9gICAi0CBAIFAgYCBwIIAgkCRAILAgwCDQIIAggCCAIIAggCCAIIAggCCAIIAggCCAIIAggCCAIIAggCIgIDArQCHgAC9gICAmkCBAIFAgYCBwIIAgkCRAILAgwCDQIIAggCCAIIAggCCAIIAggCCAIIAggCCAIIAggCCAIIAggCIgIDArACHgAC9gICAmMCBAIFAgYCBwIIAgkCCgILAgwCDQIIAggCCAIIAggCCAIIAggCCAIIAggCCAIIAggCCAIIAggCIgIDAscCHgAC9gICAi0CBAIFAgYCBwIIAgkCCgILAgwCDQIIAggCCAIIAggCCAIIAggCCAIIAggCCAIIAggCCAIIAggCIgIDAi4CHgAC9gICAjcCBAIFAgYCBwIIAgkCCgILAgwCDQIIAggCCAIIAggCCAIIAggCCAIIAggCCAIIAggCCAIIAggCIgIDAjgCHgAC9gICAh0CBAIFAgYCBwIIAgkCCgILAgwCDQIIAggCCAIIAggCCAIIAggCCAIIAggCCAIIAggCCAIIAggCIgIDAh4CHgAC9gICAlwCBAIFAgYCBwIIAgkCsgILAgwCDQIIAggCCAIIAggCCAIIAggCCAIIAggCCAIIAggCCAIIAggCIgIDAswCHgAC9gICAloCBAIFAgYCBwIIAgkCRAILAgwCDQIIAggCCAIIAggCCAIIAggCCAIIAggCCAIIAggCCAIIAggCIgIDAs0CHgAC9gICAiUCBAIFAgYCBwIIAgkCRAILAgwCDQIIAggCCAIIAggCCAIIAggCCAIIAggCCAIIAggCCAIIAggCIgIDAsgCHgAC9gICAh8CBAIFAgYCBwIIAgkCRAILAgwCDQIIAggCCAIIAggCCAIIAggCCAIIAggCCAIIAggCCAIIAggCIgIDArMCHgAC9gICAlcCBAIFAgYCBwIIAgkCRAILAgwCDQIIAggCCAIIAggCCAIIAggCCAIIAggCCAIIAggCCAIIAggCIgIDAs4CHgAC9gICAhsCBAIFAgYCBwIIAgkCsgILAgwCDQIIAggCCAIIAggCCAIIAggCCAIIAggCCAIIAggCCAIIAggCIgIDAssCHgAC9gICAjUCBAIFAgYCBwIIAgkCsgILAgwCDQIIAggCCAIIAggCCAIIAggCCAIIAggCCAIIAggCCAIIAggCIgIDAsECHgAC9gICAikCBAIFAgYCBwIIAgkCRAILAgwCDQIIAggCCAIIAggCCAIIAggCCAIIAggCCAIIAnoAAAQACAIIAggCCAIiAgMCwwIeAAL2AgICQQIEAgUCBgIHAggCCQIKAgsCDAINAggCCAIIAggCCAIIAggCCAIIAggCCAIIAggCCAIIAggCCAIiAgMCxQIeAAL2AgICMwIEAgUCBgIHAggCCQIKAgsCDAINAggCCAIIAggCCAIIAggCCAIIAggCCAIIAggCCAIIAggCCAIiAgMCNAIeAAL2AgICQwIEAgUCBgIHAggCCQKyAgsCDAINAggCCAIIAggCCAIIAggCCAIIAggCCAIIAggCCAIIAggCCAIiAgMCygIeAAL2AgICaQIEAgUCBgIHAggCCQKyAgsCDAINAggCCAIIAggCCAIIAggCCAIIAggCCAIIAggCCAIIAggCCAIiAgMCwgIeAAL2AgICegIEAgUCBgIHAggCCQIKAgsCDAINAggCCAIIAggCCAIIAggCCAIIAggCCAIIAggCCAIIAggCCAIiAgMCyQIeAAL2AgICSAIEAgUCBgIHAggCCQJEAgsCDAINAggCCAIIAggCCAIIAggCCAIIAggCCAIIAggCCAIIAggCCAIiAgMCxAIeAAL3AAk1MzI5MjEzMzYCAgKbAgQCBQIGAgcCCAIJAgoCCwIMAg0CCAIIAggCCAIIAggCCAIIAggCCAIIAggCCAIIAggCCAIIAhYCAwLzAh4AAvcCAgIrAgQCBQIGAgcCCAIJAgoCCwIMAg0CCAIIAggCCAIIAggCCAIIAggCCAIIAggCCAIIAggCCAIIAhYCAwIsAh4AAvcCAgI7AgQCBQIGAgcCCAIJAkQCCwIMAg0CCAIIAggCCAIIAggCCAIIAggCCAIIAggCCAIIAggCCAIIAhYCAwLYAh4AAvcCAgJDAgQCBQIGAgcCCAIJAkQCCwIMAg0CCAIIAggCCAIIAggCCAIIAggCCAIIAggCCAIIAggCCAIIAhYCAwLZAh4AAvcCAgIlAgQCBQIGAgcCCAIJArICCwIMAg0CCAIIAggCCAIIAggCCAIIAggCCAIIAggCCAIIAggCCAIIAhYCAwLbAh4AAvcCAgIbAgQCBQIGAgcCCAIJAkQCCwIMAg0CCAIIAggCCAIIAggCCAIIAggCCAIIAggCCAIIAggCCAIIAhYCAwLUAh4AAvcCAgJcAgQCBQIGAgcCCAIJArICCwIMAg0CCAIIAggCCAIIAggCCAIIAggCCAIIAggCCAIIAggCCAIIAhYCAwLMAh4AAvcCAgJBAgQCBQIGAgcCCAIJArICCwIMAg0CCAIIAggCCAIIAggCCAIIAggCCAIIAggCCAIIAggCCAIIAhYCAwLhAh4AAvcCAgInAgQCBQIGAgcCCAIJAgoCCwIMAg0CCAIIAnoAAAQACAIIAggCCAIIAggCCAIIAggCCAIIAggCCAIIAggCFgIDAigCHgAC9wICAi0CBAIFAgYCBwIIAgkCsgILAgwCDQIIAggCCAIIAggCCAIIAggCCAIIAggCCAIIAggCCAIIAggCFgIDAkACHgAC9wICAmkCBAIFAgYCBwIIAgkCsgILAgwCDQIIAggCCAIIAggCCAIIAggCCAIIAggCCAIIAggCCAIIAggCFgIDAsICHgAC9wICAmkCBAIFAgYCBwIIAgkCCgILAgwCDQIIAggCCAIIAggCCAIIAggCCAIIAggCCAIIAggCCAIIAggCFgIDAt0CHgAC9wICApsCBAIFAgYCBwIIAgkCRAILAgwCDQIIAggCCAIIAggCCAIIAggCCAIIAggCCAIIAggCCAIIAggCFgIDAvECHgAC9wICAlcCBAIFAgYCBwIIAgkCsgILAgwCDQIIAggCCAIIAggCCAIIAggCCAIIAggCCAIIAggCCAIIAggCFgIDAr0CHgAC9wICAkMCBAIFAgYCBwIIAgkCCgILAgwCDQIIAggCCAIIAggCCAIIAggCCAIIAggCCAIIAggCCAIIAggCFgIDAukCHgAC9wICAiMCBAIFAgYCBwIIAgkCsgILAgwCDQIIAggCCAIIAggCCAIIAggCCAIIAggCCAIIAggCCAIIAggCFgIDAkACHgAC9wICAjkCBAIFAgYCBwIIAgkCCgILAgwCDQIIAggCCAIIAggCCAIIAggCCAIIAggCCAIIAggCCAIIAggCFgIDAjoCHgAC9wICAh0CBAIFAgYCBwIIAgkCsgILAgwCDQIIAggCCAIIAggCCAIIAggCCAIIAggCCAIIAggCCAIIAggCFgIDAuYCHgAC9wICAjECBAIFAgYCBwIIAgkCCgILAgwCDQIIAggCCAIIAggCCAIIAggCCAIIAggCCAIIAggCCAIIAggCFgIDAjICHgAC9wICAicCBAIFAgYCBwIIAgkCRAILAgwCDQIIAggCCAIIAggCCAIIAggCCAIIAggCCAIIAggCCAIIAggCFgIDAuoCHgAC9wICAjMCBAIFAgYCBwIIAgkCRAILAgwCDQIIAggCCAIIAggCCAIIAggCCAIIAggCCAIIAggCCAIIAggCFgIDAtYCHgAC9wICAhsCBAIFAgYCBwIIAgkCCgILAgwCDQIIAggCCAIIAggCCAIIAggCCAIIAggCCAIIAggCCAIIAggCFgIDAhwCHgAC9wICAnoCBAIFAgYCBwIIAgkCRAILAgwCDQIIAggCCAIIAggCCAIIAggCCAIIAggCCAIIAggCCAIIAggCFgIDArYCHgAC9wICAm4CBAIFAgYCBwIIAgkCCnoAAAQAAgsCDAINAggCCAIIAggCCAIIAggCCAIIAggCCAIIAggCCAIIAggCCAIWAgMCsQIeAAL3AgICnwIEAgUCBgIHAggCCQIKAgsCDAINAggCCAIIAggCCAIIAggCCAIIAggCCAIIAggCCAIIAggCCAIWAgMC7wIeAAL3AgICKwIEAgUCBgIHAggCCQKyAgsCDAINAggCCAIIAggCCAIIAggCCAIIAggCCAIIAggCCAIIAggCCAIWAgMCQAIeAAL3AgICOQIEAgUCBgIHAggCCQJEAgsCDAINAggCCAIIAggCCAIIAggCCAIIAggCCAIIAggCCAIIAggCCAIWAgMCrwIeAAL3AgICAwIEAgUCBgIHAggCCQKyAgsCDAINAggCCAIIAggCCAIIAggCCAIIAggCCAIIAggCCAIIAggCCAIWAgMCQAIeAAL3AgICYwIEAgUCBgIHAggCCQJEAgsCDAINAggCCAIIAggCCAIIAggCCAIIAggCCAIIAggCCAIIAggCCAIWAgMCuwIeAAL3AgICVwIEAgUCBgIHAggCCQJEAgsCDAINAggCCAIIAggCCAIIAggCCAIIAggCCAIIAggCCAIIAggCCAIWAgMCzgIeAAL3AgICJQIEAgUCBgIHAggCCQIKAgsCDAINAggCCAIIAggCCAIIAggCCAIIAggCCAIIAggCCAIIAggCCAIWAgMCJgIeAAL3AgICnAIEAgUCBgIHAggCCQJEAgsCDAINAggCCAIIAggCCAIIAggCCAIIAggCCAIIAggCCAIIAggCCAIWAgMC8gIeAAL3AgICegIEAgUCBgIHAggCCQIKAgsCDAINAggCCAIIAggCCAIIAggCCAIIAggCCAIIAggCCAIIAggCCAIWAgMCyQIeAAL3AgICLwIEAgUCBgIHAggCCQJEAgsCDAINAggCCAIIAggCCAIIAggCCAIIAggCCAIIAggCCAIIAggCCAIWAgMC3AIeAAL3AgICOwIEAgUCBgIHAggCCQKyAgsCDAINAggCCAIIAggCCAIIAggCCAIIAggCCAIIAggCCAIIAggCCAIWAgMCQAIeAAL3AgICIwIEAgUCBgIHAggCCQIKAgsCDAINAggCCAIIAggCCAIIAggCCAIIAggCCAIIAggCCAIIAggCCAIWAgMCJAIeAAL3AgICNQIEAgUCBgIHAggCCQKyAgsCDAINAggCCAIIAggCCAIIAggCCAIIAggCCAIIAggCCAIIAggCCAIWAgMCwQIeAAL3AgICKQIEAgUCBgIHAggCCQJEAgsCDAINAggCCAIIAggCCAIIAggCCAIIAggCCAIIAggCCAIIAggCCAIWAgMCwwIeAAL3AgICMwIEAnoAAAQABQIGAgcCCAIJAgoCCwIMAg0CCAIIAggCCAIIAggCCAIIAggCCAIIAggCCAIIAggCCAIIAhYCAwI0Ah4AAvcCAgJXAgQCBQIGAgcCCAIJAgoCCwIMAg0CCAIIAggCCAIIAggCCAIIAggCCAIIAggCCAIIAggCCAIIAhYCAwLeAh4AAvcCAgIlAgQCBQIGAgcCCAIJAkQCCwIMAg0CCAIIAggCCAIIAggCCAIIAggCCAIIAggCCAIIAggCCAIIAhYCAwLIAh4AAvcCAgI7AgQCBQIGAgcCCAIJAgoCCwIMAg0CCAIIAggCCAIIAggCCAIIAggCCAIIAggCCAIIAggCCAIIAhYCAwI8Ah4AAvcCAgInAgQCBQIGAgcCCAIJArICCwIMAg0CCAIIAggCCAIIAggCCAIIAggCCAIIAggCCAIIAggCCAIIAhYCAwLAAh4AAvcCAgJjAgQCBQIGAgcCCAIJAgoCCwIMAg0CCAIIAggCCAIIAggCCAIIAggCCAIIAggCCAIIAggCCAIIAhYCAwLHAh4AAvcCAgIjAgQCBQIGAgcCCAIJAkQCCwIMAg0CCAIIAggCCAIIAggCCAIIAggCCAIIAggCCAIIAggCCAIIAhYCAwLQAh4AAvcCAgJuAgQCBQIGAgcCCAIJArICCwIMAg0CCAIIAggCCAIIAggCCAIIAggCCAIIAggCCAIIAggCCAIIAhYCAwLTAh4AAvcCAgKfAgQCBQIGAgcCCAIJArICCwIMAg0CCAIIAggCCAIIAggCCAIIAggCCAIIAggCCAIIAggCCAIIAhYCAwJAAh4AAvcCAgJpAgQCBQIGAgcCCAIJAkQCCwIMAg0CCAIIAggCCAIIAggCCAIIAggCCAIIAggCCAIIAggCCAIIAhYCAwKwAh4AAvcCAgKcAgQCBQIGAgcCCAIJAgoCCwIMAg0CCAIIAggCCAIIAggCCAIIAggCCAIIAggCCAIIAggCCAIIAhYCAwLwAh4AAvcCAgIxAgQCBQIGAgcCCAIJArICCwIMAg0CCAIIAggCCAIIAggCCAIIAggCCAIIAggCCAIIAggCCAIIAhYCAwK4Ah4AAvcCAgI3AgQCBQIGAgcCCAIJAkQCCwIMAg0CCAIIAggCCAIIAggCCAIIAggCCAIIAggCCAIIAggCCAIIAhYCAwLXAh4AAvcCAgIpAgQCBQIGAgcCCAIJAgoCCwIMAg0CCAIIAggCCAIIAggCCAIIAggCCAIIAggCCAIIAggCCAIIAhYCAwIqAh4AAvcCAgJaAgQCBQIGAgcCCAIJArICCwIMAg0CCAIIAggCCAIIAggCCAIIAggCCAIIAggCCAIIAggCCAIIAhYCAwLaAnoAAAQAHgAC9wICAp4CBAIFAgYCBwIIAgkCsgILAgwCDQIIAggCCAIIAggCCAIIAggCCAIIAggCCAIIAggCCAIIAggCFgIDAkACHgAC9wICAgMCBAIFAgYCBwIIAgkCRAILAgwCDQIIAggCCAIIAggCCAIIAggCCAIIAggCCAIIAggCCAIIAggCFgIDAuMCHgAC9wICAjcCBAIFAgYCBwIIAgkCCgILAgwCDQIIAggCCAIIAggCCAIIAggCCAIIAggCCAIIAggCCAIIAggCFgIDAjgCHgAC9wICAmMCBAIFAgYCBwIIAgkCsgILAgwCDQIIAggCCAIIAggCCAIIAggCCAIIAggCCAIIAggCCAIIAggCFgIDAuUCHgAC9wICAk8CBAIFAgYCBwIIAgkCCgILAgwCDQIIAggCCAIIAggCCAIIAggCCAIIAggCCAIIAggCCAIIAggCFgIDAsYCHgAC9wICAnoCBAIFAgYCBwIIAgkCsgILAgwCDQIIAggCCAIIAggCCAIIAggCCAIIAggCCAIIAggCCAIIAggCFgIDAt8CHgAC9wICAiECBAIFAgYCBwIIAgkCCgILAgwCDQIIAggCCAIIAggCCAIIAggCCAIIAggCCAIIAggCCAIIAggCFgIDAiICHgAC9wICAjMCBAIFAgYCBwIIAgkCsgILAgwCDQIIAggCCAIIAggCCAIIAggCCAIIAggCCAIIAggCCAIIAggCFgIDAuICHgAC9wICAjUCBAIFAgYCBwIIAgkCCgILAgwCDQIIAggCCAIIAggCCAIIAggCCAIIAggCCAIIAggCCAIIAggCFgIDAjYCHgAC9wICAh8CBAIFAgYCBwIIAgkCsgILAgwCDQIIAggCCAIIAggCCAIIAggCCAIIAggCCAIIAggCCAIIAggCFgIDAkACHgAC9wICAp8CBAIFAgYCBwIIAgkCRAILAgwCDQIIAggCCAIIAggCCAIIAggCCAIIAggCCAIIAggCCAIIAggCFgIDAu4CHgAC9wICApgCBAIFAgYCBwIIAgkCRAILAgwCDQIIAggCCAIIAggCCAIIAggCCAIIAggCCAIIAggCCAIIAggCFgIDApkCHgAC9wICAk8CBAIFAgYCBwIIAgkCRAILAgwCDQIIAggCCAIIAggCCAIIAggCCAIIAggCCAIIAggCCAIIAggCFgIDAucCHgAC9wICAiECBAIFAgYCBwIIAgkCRAILAgwCDQIIAggCCAIIAggCCAIIAggCCAIIAggCCAIIAggCCAIIAggCFgIDAugCHgAC9wICApgCBAIFAgYCBwIIAgkCCgILAgwCDQIIAggCCAIIAggCCAIIAggCCAIIAggCCAIIAggCCHoAAAQAAggCCAIWAgMCmQIeAAL3AgICnAIEAgUCBgIHAggCCQKyAgsCDAINAggCCAIIAggCCAIIAggCCAIIAggCCAIIAggCCAIIAggCCAIWAgMCQAIeAAL3AgICQQIEAgUCBgIHAggCCQJEAgsCDAINAggCCAIIAggCCAIIAggCCAIIAggCCAIIAggCCAIIAggCCAIWAgMC0QIeAAL3AgICAwIEAgUCBgIHAggCCQIKAgsCDAINAggCCAIIAggCCAIIAggCCAIIAggCCAIIAggCCAIIAggCCAIWAgMCDgIeAAL3AgICKQIEAgUCBgIHAggCCQKyAgsCDAINAggCCAIIAggCCAIIAggCCAIIAggCCAIIAggCCAIIAggCCAIWAgMCtwIeAAL3AgICLwIEAgUCBgIHAggCCQIKAgsCDAINAggCCAIIAggCCAIIAggCCAIIAggCCAIIAggCCAIIAggCCAIWAgMCMAIeAAL3AgICSAIEAgUCBgIHAggCCQKyAgsCDAINAggCCAIIAggCCAIIAggCCAIIAggCCAIIAggCCAIIAggCCAIWAgMCuQIeAAL3AgICLQIEAgUCBgIHAggCCQJEAgsCDAINAggCCAIIAggCCAIIAggCCAIIAggCCAIIAggCCAIIAggCCAIWAgMCtAIeAAL3AgICNQIEAgUCBgIHAggCCQJEAgsCDAINAggCCAIIAggCCAIIAggCCAIIAggCCAIIAggCCAIIAggCCAIWAgMCrgIeAAL3AgICXAIEAgUCBgIHAggCCQIKAgsCDAINAggCCAIIAggCCAIIAggCCAIIAggCCAIIAggCCAIIAggCCAIWAgMCtQIeAAL3AgICHwIEAgUCBgIHAggCCQJEAgsCDAINAggCCAIIAggCCAIIAggCCAIIAggCCAIIAggCCAIIAggCCAIWAgMCswIeAAL3AgICmwIEAgUCBgIHAggCCQKyAgsCDAINAggCCAIIAggCCAIIAggCCAIIAggCCAIIAggCCAIIAggCCAIWAgMCQAIeAAL3AgICGwIEAgUCBgIHAggCCQKyAgsCDAINAggCCAIIAggCCAIIAggCCAIIAggCCAIIAggCCAIIAggCCAIWAgMCywIeAAL3AgICIQIEAgUCBgIHAggCCQKyAgsCDAINAggCCAIIAggCCAIIAggCCAIIAggCCAIIAggCCAIIAggCCAIWAgMCQAIeAAL3AgICWgIEAgUCBgIHAggCCQIKAgsCDAINAggCCAIIAggCCAIIAggCCAIIAggCCAIIAggCCAIIAggCCAIWAgMCugIeAAL3AgICLQIEAgUCBgIHAggCCQIKAgsCDAINAggCCAIIAggCCAIIAggCCAIIAnoAAAQACAIIAggCCAIIAggCCAIIAhYCAwIuAh4AAvcCAgIdAgQCBQIGAgcCCAIJAkQCCwIMAg0CCAIIAggCCAIIAggCCAIIAggCCAIIAggCCAIIAggCCAIIAhYCAwK8Ah4AAvcCAgIxAgQCBQIGAgcCCAIJAkQCCwIMAg0CCAIIAggCCAIIAggCCAIIAggCCAIIAggCCAIIAggCCAIIAhYCAwLrAh4AAvcCAgJuAgQCBQIGAgcCCAIJAkQCCwIMAg0CCAIIAggCCAIIAggCCAIIAggCCAIIAggCCAIIAggCCAIIAhYCAwLkAh4AAvcCAgKeAgQCBQIGAgcCCAIJAgoCCwIMAg0CCAIIAggCCAIIAggCCAIIAggCCAIIAggCCAIIAggCCAIIAhYCAwLzAh4AAvcCAgI3AgQCBQIGAgcCCAIJArICCwIMAg0CCAIIAggCCAIIAggCCAIIAggCCAIIAggCCAIIAggCCAIIAhYCAwLgAh4AAvcCAgJIAgQCBQIGAgcCCAIJAkQCCwIMAg0CCAIIAggCCAIIAggCCAIIAggCCAIIAggCCAIIAggCCAIIAhYCAwLEAh4AAvcCAgIrAgQCBQIGAgcCCAIJAkQCCwIMAg0CCAIIAggCCAIIAggCCAIIAggCCAIIAggCCAIIAggCCAIIAhYCAwLPAh4AAvcCAgI5AgQCBQIGAgcCCAIJArICCwIMAg0CCAIIAggCCAIIAggCCAIIAggCCAIIAggCCAIIAggCCAIIAhYCAwJAAh4AAvcCAgJDAgQCBQIGAgcCCAIJArICCwIMAg0CCAIIAggCCAIIAggCCAIIAggCCAIIAggCCAIIAggCCAIIAhYCAwLKAh4AAvcCAgIfAgQCBQIGAgcCCAIJAgoCCwIMAg0CCAIIAggCCAIIAggCCAIIAggCCAIIAggCCAIIAggCCAIIAhYCAwIgAh4AAvcCAgJBAgQCBQIGAgcCCAIJAgoCCwIMAg0CCAIIAggCCAIIAggCCAIIAggCCAIIAggCCAIIAggCCAIIAhYCAwLFAh4AAvcCAgJaAgQCBQIGAgcCCAIJAkQCCwIMAg0CCAIIAggCCAIIAggCCAIIAggCCAIIAggCCAIIAggCCAIIAhYCAwLNAh4AAvcCAgJcAgQCBQIGAgcCCAIJAkQCCwIMAg0CCAIIAggCCAIIAggCCAIIAggCCAIIAggCCAIIAggCCAIIAhYCAwK+Ah4AAvcCAgJPAgQCBQIGAgcCCAIJArICCwIMAg0CCAIIAggCCAIIAggCCAIIAggCCAIIAggCCAIIAggCCAIIAhYCAwK/Ah4AAvcCAgIdAgQCBQIGAgcCCAIJAgoCCwIMAg0CCAIIAggCCHoAAAQAAggCCAIIAggCCAIIAggCCAIIAggCCAIIAggCFgIDAh4CHgAC9wICAkgCBAIFAgYCBwIIAgkCCgILAgwCDQIIAggCCAIIAggCCAIIAggCCAIIAggCCAIIAggCCAIIAggCFgIDAtUCHgAC9wICAp4CBAIFAgYCBwIIAgkCRAILAgwCDQIIAggCCAIIAggCCAIIAggCCAIIAggCCAIIAggCCAIIAggCFgIDAvECHgAC9wICApgCBAIFAgYCBwIIAgkCsgILAgwCDQIIAggCCAIIAggCCAIIAggCCAIIAggCCAIIAggCCAIIAggCFgIDApkCHgAC9wICAi8CBAIFAgYCBwIIAgkCsgILAgwCDQIIAggCCAIIAggCCAIIAggCCAIIAggCCAIIAggCCAIIAggCFgIDAtICHgAC+AAJMzk2ODA3OTQ0AgICegIEAgUCBgIHAggCCQKyAgsCDAINAggCCAIIAggCCAIIAggCCAIIAggCCAIIAggCCAIIAggCCAIeAgMC3wIeAAL4AgICLQIEAgUCBgIHAggCCQKyAgsCDAINAggCCAIIAggCCAIIAggCCAIIAggCCAIIAggCCAIIAggCCAIeAgMCQAIeAAL4AgICWgIEAgUCBgIHAggCCQJEAgsCDAINAggCCAIIAggCCAIIAggCCAIIAggCCAIIAggCCAIIAggCCAIeAgMCzQIeAAL4AgICIwIEAgUCBgIHAggCCQIKAgsCDAINAggCCAIIAggCCAIIAggCCAIIAggCCAIIAggCCAIIAggCCAIeAgMCJAIeAAL4AgICNQIEAgUCBgIHAggCCQKyAgsCDAINAggCCAIIAggCCAIIAggCCAIIAggCCAIIAggCCAIIAggCCAIeAgMCwQIeAAL4AgICYwIEAgUCBgIHAggCCQKyAgsCDAINAggCCAIIAggCCAIIAggCCAIIAggCCAIIAggCCAIIAggCCAIeAgMC5QIeAAL4AgICMwIEAgUCBgIHAggCCQIKAgsCDAINAggCCAIIAggCCAIIAggCCAIIAggCCAIIAggCCAIIAggCCAIeAgMCNAIeAAL4AgICNwIEAgUCBgIHAggCCQIKAgsCDAINAggCCAIIAggCCAIIAggCCAIIAggCCAIIAggCCAIIAggCCAIeAgMCOAIeAAL4AgICQQIEAgUCBgIHAggCCQIKAgsCDAINAggCCAIIAggCCAIIAggCCAIIAggCCAIIAggCCAIIAggCCAIeAgMCxQIeAAL4AgICLwIEAgUCBgIHAggCCQJEAgsCDAINAggCCAIIAggCCAIIAggCCAIIAggCCAIIAggCCAIIAggCCAIeAgMC3AIeAAL4AgICMwIEAgUCBnoAAAQAAgcCCAIJAkQCCwIMAg0CCAIIAggCCAIIAggCCAIIAggCCAIIAggCCAIIAggCCAIIAh4CAwLWAh4AAvgCAgJXAgQCBQIGAgcCCAIJArICCwIMAg0CCAIIAggCCAIIAggCCAIIAggCCAIIAggCCAIIAggCCAIIAh4CAwK9Ah4AAvgCAgJuAgQCBQIGAgcCCAIJAkQCCwIMAg0CCAIIAggCCAIIAggCCAIIAggCCAIIAggCCAIIAggCCAIIAh4CAwLkAh4AAvgCAgJcAgQCBQIGAgcCCAIJAkQCCwIMAg0CCAIIAggCCAIIAggCCAIIAggCCAIIAggCCAIIAggCCAIIAh4CAwK+Ah4AAvgCAgJPAgQCBQIGAgcCCAIJArICCwIMAg0CCAIIAggCCAIIAggCCAIIAggCCAIIAggCCAIIAggCCAIIAh4CAwK/Ah4AAvgCAgInAgQCBQIGAgcCCAIJArICCwIMAg0CCAIIAggCCAIIAggCCAIIAggCCAIIAggCCAIIAggCCAIIAh4CAwLAAh4AAvgCAgIfAgQCBQIGAgcCCAIJArICCwIMAg0CCAIIAggCCAIIAggCCAIIAggCCAIIAggCCAIIAggCCAIIAh4CAwJAAh4AAvgCAgJaAgQCBQIGAgcCCAIJAgoCCwIMAg0CCAIIAggCCAIIAggCCAIIAggCCAIIAggCCAIIAggCCAIIAh4CAwK6Ah4AAvgCAgIlAgQCBQIGAgcCCAIJAgoCCwIMAg0CCAIIAggCCAIIAggCCAIIAggCCAIIAggCCAIIAggCCAIIAh4CAwImAh4AAvgCAgJpAgQCBQIGAgcCCAIJArICCwIMAg0CCAIIAggCCAIIAggCCAIIAggCCAIIAggCCAIIAggCCAIIAh4CAwLCAh4AAvgCAgJjAgQCBQIGAgcCCAIJAkQCCwIMAg0CCAIIAggCCAIIAggCCAIIAggCCAIIAggCCAIIAggCCAIIAh4CAwK7Ah4AAvgCAgIdAgQCBQIGAgcCCAIJAkQCCwIMAg0CCAIIAggCCAIIAggCCAIIAggCCAIIAggCCAIIAggCCAIIAh4CAwK8Ah4AAvgCAgI3AgQCBQIGAgcCCAIJAkQCCwIMAg0CCAIIAggCCAIIAggCCAIIAggCCAIIAggCCAIIAggCCAIIAh4CAwLXAh4AAvgCAgI7AgQCBQIGAgcCCAIJAkQCCwIMAg0CCAIIAggCCAIIAggCCAIIAggCCAIIAggCCAIIAggCCAIIAh4CAwLYAh4AAvgCAgJ6AgQCBQIGAgcCCAIJAkQCCwIMAg0CCAIIAggCCAIIAggCCAIIAggCCAIIAggCCAIIAggCCAIIAh4CAwK2Ah4AAnoAAAQA+AICAikCBAIFAgYCBwIIAgkCsgILAgwCDQIIAggCCAIIAggCCAIIAggCCAIIAggCCAIIAggCCAIIAggCHgIDArcCHgAC+AICAloCBAIFAgYCBwIIAgkCsgILAgwCDQIIAggCCAIIAggCCAIIAggCCAIIAggCCAIIAggCCAIIAggCHgIDAtoCHgAC+AICAkgCBAIFAgYCBwIIAgkCsgILAgwCDQIIAggCCAIIAggCCAIIAggCCAIIAggCCAIIAggCCAIIAggCHgIDArkCHgAC+AICAiUCBAIFAgYCBwIIAgkCsgILAgwCDQIIAggCCAIIAggCCAIIAggCCAIIAggCCAIIAggCCAIIAggCHgIDAtsCHgAC+AICAi8CBAIFAgYCBwIIAgkCCgILAgwCDQIIAggCCAIIAggCCAIIAggCCAIIAggCCAIIAggCCAIIAggCHgIDAjACHgAC+AICAjECBAIFAgYCBwIIAgkCCgILAgwCDQIIAggCCAIIAggCCAIIAggCCAIIAggCCAIIAggCCAIIAggCHgIDAjICHgAC+AICAm4CBAIFAgYCBwIIAgkCCgILAgwCDQIIAggCCAIIAggCCAIIAggCCAIIAggCCAIIAggCCAIIAggCHgIDArECHgAC+AICAi0CBAIFAgYCBwIIAgkCRAILAgwCDQIIAggCCAIIAggCCAIIAggCCAIIAggCCAIIAggCCAIIAggCHgIDArQCHgAC+AICAkECBAIFAgYCBwIIAgkCRAILAgwCDQIIAggCCAIIAggCCAIIAggCCAIIAggCCAIIAggCCAIIAggCHgIDAtECHgAC+AICAhsCBAIFAgYCBwIIAgkCCgILAgwCDQIIAggCCAIIAggCCAIIAggCCAIIAggCCAIIAggCCAIIAggCHgIDAhwCHgAC+AICAgMCBAIFAgYCBwIIAgkCCgILAgwCDQIIAggCCAIIAggCCAIIAggCCAIIAggCCAIIAggCCAIIAggCHgIDAg4CHgAC+AICAh0CBAIFAgYCBwIIAgkCsgILAgwCDQIIAggCCAIIAggCCAIIAggCCAIIAggCCAIIAggCCAIIAggCHgIDAuYCHgAC+AICAk8CBAIFAgYCBwIIAgkCRAILAgwCDQIIAggCCAIIAggCCAIIAggCCAIIAggCCAIIAggCCAIIAggCHgIDAucCHgAC+AICAkMCBAIFAgYCBwIIAgkCCgILAgwCDQIIAggCCAIIAggCCAIIAggCCAIIAggCCAIIAggCCAIIAggCHgIDAukCHgAC+AICAicCBAIFAgYCBwIIAgkCRAILAgwCDQIIAggCCAIIAggCCAIIAggCCAIIAggCCAIIAggCCAIIAnoAAAQACAIeAgMC6gIeAAL4AgICXAIEAgUCBgIHAggCCQIKAgsCDAINAggCCAIIAggCCAIIAggCCAIIAggCCAIIAggCCAIIAggCCAIeAgMCtQIeAAL4AgICNwIEAgUCBgIHAggCCQKyAgsCDAINAggCCAIIAggCCAIIAggCCAIIAggCCAIIAggCCAIIAggCCAIeAgMC4AIeAAL4AgICQwIEAgUCBgIHAggCCQKyAgsCDAINAggCCAIIAggCCAIIAggCCAIIAggCCAIIAggCCAIIAggCCAIeAgMCygIeAAL4AgICOwIEAgUCBgIHAggCCQKyAgsCDAINAggCCAIIAggCCAIIAggCCAIIAggCCAIIAggCCAIIAggCCAIeAgMCQAIeAAL4AgICNQIEAgUCBgIHAggCCQIKAgsCDAINAggCCAIIAggCCAIIAggCCAIIAggCCAIIAggCCAIIAggCCAIeAgMCNgIeAAL4AgICLQIEAgUCBgIHAggCCQIKAgsCDAINAggCCAIIAggCCAIIAggCCAIIAggCCAIIAggCCAIIAggCCAIeAgMCLgIeAAL4AgICSAIEAgUCBgIHAggCCQJEAgsCDAINAggCCAIIAggCCAIIAggCCAIIAggCCAIIAggCCAIIAggCCAIeAgMCxAIeAAL4AgICKQIEAgUCBgIHAggCCQJEAgsCDAINAggCCAIIAggCCAIIAggCCAIIAggCCAIIAggCCAIIAggCCAIeAgMCwwIeAAL4AgICaQIEAgUCBgIHAggCCQIKAgsCDAINAggCCAIIAggCCAIIAggCCAIIAggCCAIIAggCCAIIAggCCAIeAgMC3QIeAAL4AgICegIEAgUCBgIHAggCCQIKAgsCDAINAggCCAIIAggCCAIIAggCCAIIAggCCAIIAggCCAIIAggCCAIeAgMCyQIeAAL4AgICMQIEAgUCBgIHAggCCQJEAgsCDAINAggCCAIIAggCCAIIAggCCAIIAggCCAIIAggCCAIIAggCCAIeAgMC6wIeAAL4AgICTwIEAgUCBgIHAggCCQIKAgsCDAINAggCCAIIAggCCAIIAggCCAIIAggCCAIIAggCCAIIAggCCAIeAgMCxgIeAAL4AgICJwIEAgUCBgIHAggCCQIKAgsCDAINAggCCAIIAggCCAIIAggCCAIIAggCCAIIAggCCAIIAggCCAIeAgMCKAIeAAL4AgICQQIEAgUCBgIHAggCCQKyAgsCDAINAggCCAIIAggCCAIIAggCCAIIAggCCAIIAggCCAIIAggCCAIeAgMC4QIeAAL4AgICMwIEAgUCBgIHAggCCQKyAgsCDAINAggCCAIIAggCCAIIAggCCAIIAggCCHoAAAQAAggCCAIIAggCCAIIAh4CAwLiAh4AAvgCAgIDAgQCBQIGAgcCCAIJAkQCCwIMAg0CCAIIAggCCAIIAggCCAIIAggCCAIIAggCCAIIAggCCAIIAh4CAwLjAh4AAvgCAgIfAgQCBQIGAgcCCAIJAgoCCwIMAg0CCAIIAggCCAIIAggCCAIIAggCCAIIAggCCAIIAggCCAIIAh4CAwIgAh4AAvgCAgIjAgQCBQIGAgcCCAIJArICCwIMAg0CCAIIAggCCAIIAggCCAIIAggCCAIIAggCCAIIAggCCAIIAh4CAwJAAh4AAvgCAgIbAgQCBQIGAgcCCAIJAkQCCwIMAg0CCAIIAggCCAIIAggCCAIIAggCCAIIAggCCAIIAggCCAIIAh4CAwLUAh4AAvgCAgJXAgQCBQIGAgcCCAIJAgoCCwIMAg0CCAIIAggCCAIIAggCCAIIAggCCAIIAggCCAIIAggCCAIIAh4CAwLeAh4AAvgCAgIpAgQCBQIGAgcCCAIJAgoCCwIMAg0CCAIIAggCCAIIAggCCAIIAggCCAIIAggCCAIIAggCCAIIAh4CAwIqAh4AAvgCAgJDAgQCBQIGAgcCCAIJAkQCCwIMAg0CCAIIAggCCAIIAggCCAIIAggCCAIIAggCCAIIAggCCAIIAh4CAwLZAh4AAvgCAgIxAgQCBQIGAgcCCAIJArICCwIMAg0CCAIIAggCCAIIAggCCAIIAggCCAIIAggCCAIIAggCCAIIAh4CAwK4Ah4AAvgCAgJpAgQCBQIGAgcCCAIJAkQCCwIMAg0CCAIIAggCCAIIAggCCAIIAggCCAIIAggCCAIIAggCCAIIAh4CAwKwAh4AAvgCAgJIAgQCBQIGAgcCCAIJAgoCCwIMAg0CCAIIAggCCAIIAggCCAIIAggCCAIIAggCCAIIAggCCAIIAh4CAwLVAh4AAvgCAgI1AgQCBQIGAgcCCAIJAkQCCwIMAg0CCAIIAggCCAIIAggCCAIIAggCCAIIAggCCAIIAggCCAIIAh4CAwKuAh4AAvgCAgJXAgQCBQIGAgcCCAIJAkQCCwIMAg0CCAIIAggCCAIIAggCCAIIAggCCAIIAggCCAIIAggCCAIIAh4CAwLOAh4AAvgCAgIDAgQCBQIGAgcCCAIJArICCwIMAg0CCAIIAggCCAIIAggCCAIIAggCCAIIAggCCAIIAggCCAIIAh4CAwJAAh4AAvgCAgIbAgQCBQIGAgcCCAIJArICCwIMAg0CCAIIAggCCAIIAggCCAIIAggCCAIIAggCCAIIAggCCAIIAh4CAwLLAh4AAvgCAgIjAgQCBQIGAgcCCAIJAkQCCwIMAg0CCAIIAggCCAIIAnoAAAQACAIIAggCCAIIAggCCAIIAggCCAIIAggCHgIDAtACHgAC+AICAlwCBAIFAgYCBwIIAgkCsgILAgwCDQIIAggCCAIIAggCCAIIAggCCAIIAggCCAIIAggCCAIIAggCHgIDAswCHgAC+AICAh0CBAIFAgYCBwIIAgkCCgILAgwCDQIIAggCCAIIAggCCAIIAggCCAIIAggCCAIIAggCCAIIAggCHgIDAh4CHgAC+AICAi8CBAIFAgYCBwIIAgkCsgILAgwCDQIIAggCCAIIAggCCAIIAggCCAIIAggCCAIIAggCCAIIAggCHgIDAtICHgAC+AICAm4CBAIFAgYCBwIIAgkCsgILAgwCDQIIAggCCAIIAggCCAIIAggCCAIIAggCCAIIAggCCAIIAggCHgIDAtMCHgAC+AICAjsCBAIFAgYCBwIIAgkCCgILAgwCDQIIAggCCAIIAggCCAIIAggCCAIIAggCCAIIAggCCAIIAggCHgIDAjwCHgAC+AICAmMCBAIFAgYCBwIIAgkCCgILAgwCDQIIAggCCAIIAggCCAIIAggCCAIIAggCCAIIAggCCAIIAggCHgIDAscCHgAC+AICAh8CBAIFAgYCBwIIAgkCRAILAgwCDQIIAggCCAIIAggCCAIIAggCCAIIAggCCAIIAggCCAIIAggCHgIDArMCHgAC+AICAiUCBAIFAgYCBwIIAgkCRAILAgwCDQIIAggCCAIIAggCCAIIAggCCAIIAggCCAIIAggCCAIIAggCHgIDAsgCHgAC+QAJNzAzMjAwOTUyAgICMQIEAgUCBgIHAggCCQJEAgsCPwINAggCCAIIAggCCAIIAggCCAIIAggCCAIIAggCCAIIAggCCAIDAgMCgAIeAAL5AgICHQIEAgUCBgIHAggCCQJEAgsCPwINAggCCAIIAggCCAIIAggCCAIIAggCCAIIAggCCAIIAggCCAIDAgMCfgIeAAL5AgICJQIEAgUCBgIHAggCCQJEAgsCPwINAggCCAIIAggCCAIIAggCCAIIAggCCAIIAggCCAIIAggCCAIDAgMCaAIeAAL5AgICOwIEAgUCBgIHAggCCQJEAgsCPwINAggCCAIIAggCCAIIAggCCAIIAggCCAIIAggCCAIIAggCCAIDAgMCSgIeAAL5AgICIQIEAgUCBgIHAggCCQJEAgsCPwINAggCCAIIAggCCAIIAggCCAIIAggCCAIIAggCCAIIAggCCAIDAgMCoAIeAAL5AgICKwIEAgUCBgIHAggCCQJEAgsCPwINAggCCAIIAggCCAIIAggCCAIIAggCCAIIAggCCAIIAggCCAIDAgMCogIeAAL5AgICKQIEAgUCBgIHAnoAAAQACAIJAkQCCwI/Ag0CCAIIAggCCAIIAggCCAIIAggCCAIIAggCCAIIAggCCAIIAgMCAwJWAh4AAvkCAgI1AgQCBQIGAgcCCAIJAkQCCwI/Ag0CCAIIAggCCAIIAggCCAIIAggCCAIIAggCCAIIAggCCAIIAgMCAwJwAh4AAvkCAgIzAgQCBQIGAgcCCAIJAkQCCwI/Ag0CCAIIAggCCAIIAggCCAIIAggCCAIIAggCCAIIAggCCAIIAgMCAwJLAh4AAvkCAgI3AgQCBQIGAgcCCAIJAkQCCwI/Ag0CCAIIAggCCAIIAggCCAIIAggCCAIIAggCCAIIAggCCAIIAgMCAwJMAh4AAvkCAgItAgQCBQIGAgcCCAIJAkQCCwI/Ag0CCAIIAggCCAIIAggCCAIIAggCCAIIAggCCAIIAggCCAIIAgMCAwJyAh4AAvkCAgIvAgQCBQIGAgcCCAIJAkQCCwI/Ag0CCAIIAggCCAIIAggCCAIIAggCCAIIAggCCAIIAggCCAIIAgMCAwKIAh4AAvkCAgI5AgQCBQIGAgcCCAIJAkQCCwI/Ag0CCAIIAggCCAIIAggCCAIIAggCCAIIAggCCAIIAggCCAIIAgMCAwKlAh4AAvkCAgIDAgQCBQIGAgcCCAIJAkQCCwI/Ag0CCAIIAggCCAIIAggCCAIIAggCCAIIAggCCAIIAggCCAIIAgMCAwJSAh4AAvkCAgIjAgQCBQIGAgcCCAIJAkQCCwI/Ag0CCAIIAggCCAIIAggCCAIIAggCCAIIAggCCAIIAggCCAIIAgMCAwJnAh4AAvkCAgIbAgQCBQIGAgcCCAIJAkQCCwI/Ag0CCAIIAggCCAIIAggCCAIIAggCCAIIAggCCAIIAggCCAIIAgMCAwJOAh4AAvkCAgInAgQCBQIGAgcCCAIJAkQCCwI/Ag0CCAIIAggCCAIIAggCCAIIAggCCAIIAggCCAIIAggCCAIIAgMCAwKOAh4AAvkCAgIfAgQCBQIGAgcCCAIJAkQCCwI/Ag0CCAIIAggCCAIIAggCCAIIAggCCAIIAggCCAIIAggCCAIIAgMCAwJmAh4AAvoACTcwMzIwMzI3MgICAjUCBAIFAgYCBwIIAgkCCgILAj8CDQIIAggCCAIIAggCCAIIAggCCAIIAggCCAIIAggCCAIIAggCBQIDAosCHgAC+gICAjkCBAIFAgYCBwIIAgkCCgILAj8CDQIIAggCCAIIAggCCAIIAggCCAIIAggCCAIIAggCCAIIAggCBQIDAqECHgAC+gICAi8CBAIFAgYCBwIIAgkCCgILAj8CDQIIAggCCAIIAggCCAIIAggCCAIIAggCCAIIAggCCAIIAggCBXoAAAQAAgMCbQIeAAL6AgICKQIEAgUCBgIHAggCCQIKAgsCPwINAggCCAIIAggCCAIIAggCCAIIAggCCAIIAggCCAIIAggCCAIFAgMCRwIeAAL6AgICKwIEAgUCBgIHAggCCQIKAgsCPwINAggCCAIIAggCCAIIAggCCAIIAggCCAIIAggCCAIIAggCCAIFAgMCowIeAAL6AgICIwIEAgUCBgIHAggCCQIKAgsCPwINAggCCAIIAggCCAIIAggCCAIIAggCCAIIAggCCAIIAggCCAIFAgMChQIeAAL6AgICOwIEAgUCBgIHAggCCQIKAgsCPwINAggCCAIIAggCCAIIAggCCAIIAggCCAIIAggCCAIIAggCCAIFAgMCYQIeAAL6AgICGwIEAgUCBgIHAggCCQIKAgsCPwINAggCCAIIAggCCAIIAggCCAIIAggCCAIIAggCCAIIAggCCAIFAgMClQIeAAL6AgICJQIEAgUCBgIHAggCCQIKAgsCPwINAggCCAIIAggCCAIIAggCCAIIAggCCAIIAggCCAIIAggCCAIFAgMCeQIeAAL6AgICHwIEAgUCBgIHAggCCQIKAgsCPwINAggCCAIIAggCCAIIAggCCAIIAggCCAIIAggCCAIIAggCCAIFAgMCUwIeAAL6AgICHQIEAgUCBgIHAggCCQIKAgsCPwINAggCCAIIAggCCAIIAggCCAIIAggCCAIIAggCCAIIAggCCAIFAgMCawIeAAL6AgICJwIEAgUCBgIHAggCCQIKAgsCPwINAggCCAIIAggCCAIIAggCCAIIAggCCAIIAggCCAIIAggCCAIFAgMCUQIeAAL6AgICIQIEAgUCBgIHAggCCQIKAgsCPwINAggCCAIIAggCCAIIAggCCAIIAggCCAIIAggCCAIIAggCCAIFAgMCmgIeAAL6AgICAwIEAgUCBgIHAggCCQIKAgsCPwINAggCCAIIAggCCAIIAggCCAIIAggCCAIIAggCCAIIAggCCAIFAgMClAIeAAL6AgICNwIEAgUCBgIHAggCCQIKAgsCPwINAggCCAIIAggCCAIIAggCCAIIAggCCAIIAggCCAIIAggCCAIFAgMCYAIeAAL6AgICMwIEAgUCBgIHAggCCQIKAgsCPwINAggCCAIIAggCCAIIAggCCAIIAggCCAIIAggCCAIIAggCCAIFAgMCXgIeAAL6AgICLQIEAgUCBgIHAggCCQIKAgsCPwINAggCCAIIAggCCAIIAggCCAIIAggCCAIIAggCCAIIAggCCAIFAgMCXwIeAAL6AgICMQIEAgUCBgIHAggCCQIKAgsCPwINAggCCAIIAggCCAIIAggCCAIIAggCCAIIAnoAAAQACAIIAggCCAIIAgUCAwKNAh4AAvsACTcwOTYxNjM2MAICAicCBAIFAgYCBwIIAgkCPgILAj8CDQIIAggCCAIIAggCCAIIAggCCAIIAggCCAIIAggCCAIIAggCHQIDAnUCHgAC+wICAk8CBAIFAgYCBwIIAgkCPgILAj8CDQIIAggCCAIIAggCCAIIAggCCAIIAggCCAIIAggCCAIIAggCHQIDAncCHgAC+wICAh8CBAIFAgYCBwIIAgkCRAILAj8CDQIIAggCCAIIAggCCAIIAggCCAIIAggCCAIIAggCCAIIAggCHQIDAmYCHgAC+wICAlwCBAIFAgYCBwIIAgkCCgILAj8CDQIIAggCCAIIAggCCAIIAggCCAIIAggCCAIIAggCCAIIAggCHQIDAnMCHgAC+wICAlcCBAIFAgYCBwIIAgkCRAILAj8CDQIIAggCCAIIAggCCAIIAggCCAIIAggCCAIIAggCCAIIAggCHQIDAnYCHgAC+wICAmkCBAIFAgYCBwIIAgkCRAILAj8CDQIIAggCCAIIAggCCAIIAggCCAIIAggCCAIIAggCCAIIAggCHQIDAnECHgAC+wICAi8CBAIFAgYCBwIIAgkCCgILAj8CDQIIAggCCAIIAggCCAIIAggCCAIIAggCCAIIAggCCAIIAggCHQIDAm0CHgAC+wICAm4CBAIFAgYCBwIIAgkCCgILAj8CDQIIAggCCAIIAggCCAIIAggCCAIIAggCCAIIAggCCAIIAggCHQIDAm8CHgAC+wICAjECBAIFAgYCBwIIAgkCPgILAj8CDQIIAggCCAIIAggCCAIIAggCCAIIAggCCAIIAggCCAIIAggCHQIDAn8CHgAC+wICAlcCBAIFAgYCBwIIAgkCPgILAj8CDQIIAggCCAIIAggCCAIIAggCCAIIAggCCAIIAggCCAIIAggCHQIDAmwCHgAC+wICAjUCBAIFAgYCBwIIAgkCRAILAj8CDQIIAggCCAIIAggCCAIIAggCCAIIAggCCAIIAggCCAIIAggCHQIDAnACHgAC+wICAisCBAIFAgYCBwIIAgkCPgILAj8CDQIIAggCCAIIAggCCAIIAggCCAIIAggCCAIIAggCCAIIAggCHQIDAkACHgAC+wICAi0CBAIFAgYCBwIIAgkCCgILAj8CDQIIAggCCAIIAggCCAIIAggCCAIIAggCCAIIAggCCAIIAggCHQIDAl8CHgAC+wICAjUCBAIFAgYCBwIIAgkCPgILAj8CDQIIAggCCAIIAggCCAIIAggCCAIIAggCCAIIAggCCAIIAggCHQIDAnQCHgAC+wICAi0CBAIFAgYCBwIIAgkCRAILAj8CDQIIAnoAAAQACAIIAggCCAIIAggCCAIIAggCCAIIAggCCAIIAggCCAIdAgMCcgIeAAL7AgICegIEAgUCBgIHAggCCQJEAgsCPwINAggCCAIIAggCCAIIAggCCAIIAggCCAIIAggCCAIIAggCCAIdAgMCkgIeAAL7AgICegIEAgUCBgIHAggCCQI+AgsCPwINAggCCAIIAggCCAIIAggCCAIIAggCCAIIAggCCAIIAggCCAIdAgMCjwIeAAL7AgICLQIEAgUCBgIHAggCCQI+AgsCPwINAggCCAIIAggCCAIIAggCCAIIAggCCAIIAggCCAIIAggCCAIdAgMCQAIeAAL7AgICaQIEAgUCBgIHAggCCQI+AgsCPwINAggCCAIIAggCCAIIAggCCAIIAggCCAIIAggCCAIIAggCCAIdAgMCagIeAAL7AgICTwIEAgUCBgIHAggCCQJEAgsCPwINAggCCAIIAggCCAIIAggCCAIIAggCCAIIAggCCAIIAggCCAIdAgMCjAIeAAL7AgICHwIEAgUCBgIHAggCCQI+AgsCPwINAggCCAIIAggCCAIIAggCCAIIAggCCAIIAggCCAIIAggCCAIdAgMCQAIeAAL7AgICYwIEAgUCBgIHAggCCQIKAgsCPwINAggCCAIIAggCCAIIAggCCAIIAggCCAIIAggCCAIIAggCCAIdAgMCZAIeAAL7AgICJwIEAgUCBgIHAggCCQJEAgsCPwINAggCCAIIAggCCAIIAggCCAIIAggCCAIIAggCCAIIAggCCAIdAgMCjgIeAAL7AgICHQIEAgUCBgIHAggCCQIKAgsCPwINAggCCAIIAggCCAIIAggCCAIIAggCCAIIAggCCAIIAggCCAIdAgMCawIeAAL7AgICLwIEAgUCBgIHAggCCQJEAgsCPwINAggCCAIIAggCCAIIAggCCAIIAggCCAIIAggCCAIIAggCCAIdAgMCiAIeAAL7AgICGwIEAgUCBgIHAggCCQI+AgsCPwINAggCCAIIAggCCAIIAggCCAIIAggCCAIIAggCCAIIAggCCAIdAgMCWQIeAAL7AgICXAIEAgUCBgIHAggCCQI+AgsCPwINAggCCAIIAggCCAIIAggCCAIIAggCCAIIAggCCAIIAggCCAIdAgMCXQIeAAL7AgICXAIEAgUCBgIHAggCCQJEAgsCPwINAggCCAIIAggCCAIIAggCCAIIAggCCAIIAggCCAIIAggCCAIdAgMCfQIeAAL7AgICbgIEAgUCBgIHAggCCQJEAgsCPwINAggCCAIIAggCCAIIAggCCAIIAggCCAIIAggCCAIIAggCCAIdAgMCgwIeAAL7AgICLwIEAgUCBgIHAggCCXoAAAQAAj4CCwI/Ag0CCAIIAggCCAIIAggCCAIIAggCCAIIAggCCAIIAggCCAIIAh0CAwKJAh4AAvsCAgI1AgQCBQIGAgcCCAIJAgoCCwI/Ag0CCAIIAggCCAIIAggCCAIIAggCCAIIAggCCAIIAggCCAIIAh0CAwKLAh4AAvsCAgJpAgQCBQIGAgcCCAIJAgoCCwI/Ag0CCAIIAggCCAIIAggCCAIIAggCCAIIAggCCAIIAggCCAIIAh0CAwKHAh4AAvsCAgIpAgQCBQIGAgcCCAIJAgoCCwI/Ag0CCAIIAggCCAIIAggCCAIIAggCCAIIAggCCAIIAggCCAIIAh0CAwJHAh4AAvsCAgIrAgQCBQIGAgcCCAIJAgoCCwI/Ag0CCAIIAggCCAIIAggCCAIIAggCCAIIAggCCAIIAggCCAIIAh0CAwKjAh4AAvsCAgIxAgQCBQIGAgcCCAIJAkQCCwI/Ag0CCAIIAggCCAIIAggCCAIIAggCCAIIAggCCAIIAggCCAIIAh0CAwKAAh4AAvsCAgJDAgQCBQIGAgcCCAIJAj4CCwI/Ag0CCAIIAggCCAIIAggCCAIIAggCCAIIAggCCAIIAggCCAIIAh0CAwJNAh4AAvsCAgJDAgQCBQIGAgcCCAIJAkQCCwI/Ag0CCAIIAggCCAIIAggCCAIIAggCCAIIAggCCAIIAggCCAIIAh0CAwJFAh4AAvsCAgIjAgQCBQIGAgcCCAIJAgoCCwI/Ag0CCAIIAggCCAIIAggCCAIIAggCCAIIAggCCAIIAggCCAIIAh0CAwKFAh4AAvsCAgJuAgQCBQIGAgcCCAIJAj4CCwI/Ag0CCAIIAggCCAIIAggCCAIIAggCCAIIAggCCAIIAggCCAIIAh0CAwKGAh4AAvsCAgJaAgQCBQIGAgcCCAIJAgoCCwI/Ag0CCAIIAggCCAIIAggCCAIIAggCCAIIAggCCAIIAggCCAIIAh0CAwJ4Ah4AAvsCAgJXAgQCBQIGAgcCCAIJAgoCCwI/Ag0CCAIIAggCCAIIAggCCAIIAggCCAIIAggCCAIIAggCCAIIAh0CAwJYAh4AAvsCAgIDAgQCBQIGAgcCCAIJAj4CCwI/Ag0CCAIIAggCCAIIAggCCAIIAggCCAIIAggCCAIIAggCCAIIAh0CAwJAAh4AAvsCAgIbAgQCBQIGAgcCCAIJAkQCCwI/Ag0CCAIIAggCCAIIAggCCAIIAggCCAIIAggCCAIIAggCCAIIAh0CAwJOAh4AAvsCAgIDAgQCBQIGAgcCCAIJAkQCCwI/Ag0CCAIIAggCCAIIAggCCAIIAggCCAIIAggCCAIIAggCCAIIAh0CAwJSAh4AAvsCAgIlAnoAAAQABAIFAgYCBwIIAgkCCgILAj8CDQIIAggCCAIIAggCCAIIAggCCAIIAggCCAIIAggCCAIIAggCHQIDAnkCHgAC+wICAh8CBAIFAgYCBwIIAgkCCgILAj8CDQIIAggCCAIIAggCCAIIAggCCAIIAggCCAIIAggCCAIIAggCHQIDAlMCHgAC+wICAiMCBAIFAgYCBwIIAgkCRAILAj8CDQIIAggCCAIIAggCCAIIAggCCAIIAggCCAIIAggCCAIIAggCHQIDAmcCHgAC+wICAjMCBAIFAgYCBwIIAgkCRAILAj8CDQIIAggCCAIIAggCCAIIAggCCAIIAggCCAIIAggCCAIIAggCHQIDAksCHgAC+wICAgMCBAIFAgYCBwIIAgkCCgILAj8CDQIIAggCCAIIAggCCAIIAggCCAIIAggCCAIIAggCCAIIAggCHQIDApQCHgAC+wICAkECBAIFAgYCBwIIAgkCPgILAj8CDQIIAggCCAIIAggCCAIIAggCCAIIAggCCAIIAggCCAIIAggCHQIDAkICHgAC+wICAkECBAIFAgYCBwIIAgkCRAILAj8CDQIIAggCCAIIAggCCAIIAggCCAIIAggCCAIIAggCCAIIAggCHQIDApMCHgAC+wICAloCBAIFAgYCBwIIAgkCPgILAj8CDQIIAggCCAIIAggCCAIIAggCCAIIAggCCAIIAggCCAIIAggCHQIDAmICHgAC+wICAjMCBAIFAgYCBwIIAgkCPgILAj8CDQIIAggCCAIIAggCCAIIAggCCAIIAggCCAIIAggCCAIIAggCHQIDAkYCHgAC+wICAjcCBAIFAgYCBwIIAgkCCgILAj8CDQIIAggCCAIIAggCCAIIAggCCAIIAggCCAIIAggCCAIIAggCHQIDAmACHgAC+wICAjsCBAIFAgYCBwIIAgkCRAILAj8CDQIIAggCCAIIAggCCAIIAggCCAIIAggCCAIIAggCCAIIAggCHQIDAkoCHgAC+wICAkgCBAIFAgYCBwIIAgkCCgILAj8CDQIIAggCCAIIAggCCAIIAggCCAIIAggCCAIIAggCCAIIAggCHQIDAkkCHgAC+wICAkMCBAIFAgYCBwIIAgkCCgILAj8CDQIIAggCCAIIAggCCAIIAggCCAIIAggCCAIIAggCCAIIAggCHQIDApACHgAC+wICAjcCBAIFAgYCBwIIAgkCRAILAj8CDQIIAggCCAIIAggCCAIIAggCCAIIAggCCAIIAggCCAIIAggCHQIDAkwCHgAC+wICAiUCBAIFAgYCBwIIAgkCRAILAj8CDQIIAggCCAIIAggCCAIIAggCCAIIAggCCAIIAggCCAIIAggCHQIDAnoAAAQAaAIeAAL7AgICOwIEAgUCBgIHAggCCQIKAgsCPwINAggCCAIIAggCCAIIAggCCAIIAggCCAIIAggCCAIIAggCCAIdAgMCYQIeAAL7AgICWgIEAgUCBgIHAggCCQJEAgsCPwINAggCCAIIAggCCAIIAggCCAIIAggCCAIIAggCCAIIAggCCAIdAgMCWwIeAAL7AgICIwIEAgUCBgIHAggCCQI+AgsCPwINAggCCAIIAggCCAIIAggCCAIIAggCCAIIAggCCAIIAggCCAIdAgMCQAIeAAL7AgICJQIEAgUCBgIHAggCCQI+AgsCPwINAggCCAIIAggCCAIIAggCCAIIAggCCAIIAggCCAIIAggCCAIdAgMCZQIeAAL7AgICGwIEAgUCBgIHAggCCQIKAgsCPwINAggCCAIIAggCCAIIAggCCAIIAggCCAIIAggCCAIIAggCCAIdAgMClQIeAAL7AgICTwIEAgUCBgIHAggCCQIKAgsCPwINAggCCAIIAggCCAIIAggCCAIIAggCCAIIAggCCAIIAggCCAIdAgMCUAIeAAL7AgICHQIEAgUCBgIHAggCCQI+AgsCPwINAggCCAIIAggCCAIIAggCCAIIAggCCAIIAggCCAIIAggCCAIdAgMCggIeAAL7AgICYwIEAgUCBgIHAggCCQI+AgsCPwINAggCCAIIAggCCAIIAggCCAIIAggCCAIIAggCCAIIAggCCAIdAgMCigIeAAL7AgICNwIEAgUCBgIHAggCCQI+AgsCPwINAggCCAIIAggCCAIIAggCCAIIAggCCAIIAggCCAIIAggCCAIdAgMCkQIeAAL7AgICKQIEAgUCBgIHAggCCQJEAgsCPwINAggCCAIIAggCCAIIAggCCAIIAggCCAIIAggCCAIIAggCCAIdAgMCVgIeAAL7AgICMwIEAgUCBgIHAggCCQIKAgsCPwINAggCCAIIAggCCAIIAggCCAIIAggCCAIIAggCCAIIAggCCAIdAgMCXgIeAAL7AgICQQIEAgUCBgIHAggCCQIKAgsCPwINAggCCAIIAggCCAIIAggCCAIIAggCCAIIAggCCAIIAggCCAIdAgMCVQIeAAL7AgICOwIEAgUCBgIHAggCCQI+AgsCPwINAggCCAIIAggCCAIIAggCCAIIAggCCAIIAggCCAIIAggCCAIdAgMCQAIeAAL7AgICKwIEAgUCBgIHAggCCQJEAgsCPwINAggCCAIIAggCCAIIAggCCAIIAggCCAIIAggCCAIIAggCCAIdAgMCogIeAAL7AgICMQIEAgUCBgIHAggCCQIKAgsCPwINAggCCAIIAggCCAIIAggCCAIIAggCCAIIAggCCHoAAAQAAggCCAIIAh0CAwKNAh4AAvsCAgJIAgQCBQIGAgcCCAIJAj4CCwI/Ag0CCAIIAggCCAIIAggCCAIIAggCCAIIAggCCAIIAggCCAIIAh0CAwKEAh4AAvsCAgIpAgQCBQIGAgcCCAIJAj4CCwI/Ag0CCAIIAggCCAIIAggCCAIIAggCCAIIAggCCAIIAggCCAIIAh0CAwKBAh4AAvsCAgJ6AgQCBQIGAgcCCAIJAgoCCwI/Ag0CCAIIAggCCAIIAggCCAIIAggCCAIIAggCCAIIAggCCAIIAh0CAwJ7Ah4AAvsCAgIdAgQCBQIGAgcCCAIJAkQCCwI/Ag0CCAIIAggCCAIIAggCCAIIAggCCAIIAggCCAIIAggCCAIIAh0CAwJ+Ah4AAvsCAgJIAgQCBQIGAgcCCAIJAkQCCwI/Ag0CCAIIAggCCAIIAggCCAIIAggCCAIIAggCCAIIAggCCAIIAh0CAwJUAh4AAvsCAgJjAgQCBQIGAgcCCAIJAkQCCwI/Ag0CCAIIAggCCAIIAggCCAIIAggCCAIIAggCCAIIAggCCAIIAh0CAwJ8Ah4AAvsCAgInAgQCBQIGAgcCCAIJAgoCCwI/Ag0CCAIIAggCCAIIAggCCAIIAggCCAIIAggCCAIIAggCCAIIAh0CAwJRAh4AAvwACTcwOTYxNDA0MAICAjUCBAIFAgYCBwIIAgkCPgILAj8CDQIIAggCCAIIAggCCAIIAggCCAIIAggCCAIIAggCCAIIAggCGwIDAnQCHgAC/AICAmMCBAIFAgYCBwIIAgkCRAILAj8CDQIIAggCCAIIAggCCAIIAggCCAIIAggCCAIIAggCCAIIAggCGwIDAnwCHgAC/AICAnoCBAIFAgYCBwIIAgkCRAILAj8CDQIIAggCCAIIAggCCAIIAggCCAIIAggCCAIIAggCCAIIAggCGwIDApICHgAC/AICAmkCBAIFAgYCBwIIAgkCPgILAj8CDQIIAggCCAIIAggCCAIIAggCCAIIAggCCAIIAggCCAIIAggCGwIDAmoCHgAC/AICAnoCBAIFAgYCBwIIAgkCPgILAj8CDQIIAggCCAIIAggCCAIIAggCCAIIAggCCAIIAggCCAIIAggCGwIDAo8CHgAC/AICAh8CBAIFAgYCBwIIAgkCPgILAj8CDQIIAggCCAIIAggCCAIIAggCCAIIAggCCAIIAggCCAIIAggCGwIDAkACHgAC/AICAiUCBAIFAgYCBwIIAgkCCgILAj8CDQIIAggCCAIIAggCCAIIAggCCAIIAggCCAIIAggCCAIIAggCGwIDAnkCHgAC/AICAh0CBAIFAgYCBwIIAgkCRAILAj8CDQIIAggCCHoAAAQAAggCCAIIAggCCAIIAggCCAIIAggCCAIIAggCCAIbAgMCfgIeAAL8AgICHQIEAgUCBgIHAggCCQI+AgsCPwINAggCCAIIAggCCAIIAggCCAIIAggCCAIIAggCCAIIAggCCAIbAgMCggIeAAL8AgICXAIEAgUCBgIHAggCCQIKAgsCPwINAggCCAIIAggCCAIIAggCCAIIAggCCAIIAggCCAIIAggCCAIbAgMCcwIeAAL8AgICWgIEAgUCBgIHAggCCQIKAgsCPwINAggCCAIIAggCCAIIAggCCAIIAggCCAIIAggCCAIIAggCCAIbAgMCeAIeAAL8AgICIQIEAgUCBgIHAggCCQI+AgsCPwINAggCCAIIAggCCAIIAggCCAIIAggCCAIIAggCCAIIAggCCAIbAgMCQAIeAAL8AgICYwIEAgUCBgIHAggCCQI+AgsCPwINAggCCAIIAggCCAIIAggCCAIIAggCCAIIAggCCAIIAggCCAIbAgMCigIeAAL8AgICXAIEAgUCBgIHAggCCQJEAgsCPwINAggCCAIIAggCCAIIAggCCAIIAggCCAIIAggCCAIIAggCCAIbAgMCfQIeAAL8AgICXAIEAgUCBgIHAggCCQI+AgsCPwINAggCCAIIAggCCAIIAggCCAIIAggCCAIIAggCCAIIAggCCAIbAgMCXQIeAAL8AgICLQIEAgUCBgIHAggCCQI+AgsCPwINAggCCAIIAggCCAIIAggCCAIIAggCCAIIAggCCAIIAggCCAIbAgMCQAIeAAL8AgICaQIEAgUCBgIHAggCCQJEAgsCPwINAggCCAIIAggCCAIIAggCCAIIAggCCAIIAggCCAIIAggCCAIbAgMCcQIeAAL8AgICLwIEAgUCBgIHAggCCQIKAgsCPwINAggCCAIIAggCCAIIAggCCAIIAggCCAIIAggCCAIIAggCCAIbAgMCbQIeAAL8AgICLQIEAgUCBgIHAggCCQJEAgsCPwINAggCCAIIAggCCAIIAggCCAIIAggCCAIIAggCCAIIAggCCAIbAgMCcgIeAAL8AgICNQIEAgUCBgIHAggCCQJEAgsCPwINAggCCAIIAggCCAIIAggCCAIIAggCCAIIAggCCAIIAggCCAIbAgMCcAIeAAL8AgICbgIEAgUCBgIHAggCCQIKAgsCPwINAggCCAIIAggCCAIIAggCCAIIAggCCAIIAggCCAIIAggCCAIbAgMCbwIeAAL8AgICWgIEAgUCBgIHAggCCQJEAgsCPwINAggCCAIIAggCCAIIAggCCAIIAggCCAIIAggCCAIIAggCCAIbAgMCWwIeAAL8AgICJQIEAgUCBgIHAggCCQJEAnoAAAQACwI/Ag0CCAIIAggCCAIIAggCCAIIAggCCAIIAggCCAIIAggCCAIIAhsCAwJoAh4AAvwCAgJIAgQCBQIGAgcCCAIJAj4CCwI/Ag0CCAIIAggCCAIIAggCCAIIAggCCAIIAggCCAIIAggCCAIIAhsCAwKEAh4AAvwCAgI7AgQCBQIGAgcCCAIJAgoCCwI/Ag0CCAIIAggCCAIIAggCCAIIAggCCAIIAggCCAIIAggCCAIIAhsCAwJhAh4AAvwCAgJaAgQCBQIGAgcCCAIJAj4CCwI/Ag0CCAIIAggCCAIIAggCCAIIAggCCAIIAggCCAIIAggCCAIIAhsCAwJiAh4AAvwCAgIlAgQCBQIGAgcCCAIJAj4CCwI/Ag0CCAIIAggCCAIIAggCCAIIAggCCAIIAggCCAIIAggCCAIIAhsCAwJlAh4AAvwCAgIdAgQCBQIGAgcCCAIJAgoCCwI/Ag0CCAIIAggCCAIIAggCCAIIAggCCAIIAggCCAIIAggCCAIIAhsCAwJrAh4AAvwCAgJjAgQCBQIGAgcCCAIJAgoCCwI/Ag0CCAIIAggCCAIIAggCCAIIAggCCAIIAggCCAIIAggCCAIIAhsCAwJkAh4AAvwCAgJXAgQCBQIGAgcCCAIJAkQCCwI/Ag0CCAIIAggCCAIIAggCCAIIAggCCAIIAggCCAIIAggCCAIIAhsCAwJ2Ah4AAvwCAgIfAgQCBQIGAgcCCAIJAkQCCwI/Ag0CCAIIAggCCAIIAggCCAIIAggCCAIIAggCCAIIAggCCAIIAhsCAwJmAh4AAvwCAgInAgQCBQIGAgcCCAIJAgoCCwI/Ag0CCAIIAggCCAIIAggCCAIIAggCCAIIAggCCAIIAggCCAIIAhsCAwJRAh4AAvwCAgIhAgQCBQIGAgcCCAIJAgoCCwI/Ag0CCAIIAggCCAIIAggCCAIIAggCCAIIAggCCAIIAggCCAIIAhsCAwKaAh4AAvwCAgJXAgQCBQIGAgcCCAIJAj4CCwI/Ag0CCAIIAggCCAIIAggCCAIIAggCCAIIAggCCAIIAggCCAIIAhsCAwJsAh4AAvwCAgJIAgQCBQIGAgcCCAIJAkQCCwI/Ag0CCAIIAggCCAIIAggCCAIIAggCCAIIAggCCAIIAggCCAIIAhsCAwJUAh4AAvwCAgIzAgQCBQIGAgcCCAIJAgoCCwI/Ag0CCAIIAggCCAIIAggCCAIIAggCCAIIAggCCAIIAggCCAIIAhsCAwJeAh4AAvwCAgI3AgQCBQIGAgcCCAIJAgoCCwI/Ag0CCAIIAggCCAIIAggCCAIIAggCCAIIAggCCAIIAggCCAIIAhsCAwJgAh4AAvwCAgIrAgQCBXoAAAQAAgYCBwIIAgkCRAILAj8CDQIIAggCCAIIAggCCAIIAggCCAIIAggCCAIIAggCCAIIAggCGwIDAqICHgAC/AICAi0CBAIFAgYCBwIIAgkCCgILAj8CDQIIAggCCAIIAggCCAIIAggCCAIIAggCCAIIAggCCAIIAggCGwIDAl8CHgAC/AICAnoCBAIFAgYCBwIIAgkCCgILAj8CDQIIAggCCAIIAggCCAIIAggCCAIIAggCCAIIAggCCAIIAggCGwIDAnsCHgAC/AICAikCBAIFAgYCBwIIAgkCPgILAj8CDQIIAggCCAIIAggCCAIIAggCCAIIAggCCAIIAggCCAIIAggCGwIDAoECHgAC/AICAisCBAIFAgYCBwIIAgkCPgILAj8CDQIIAggCCAIIAggCCAIIAggCCAIIAggCCAIIAggCCAIIAggCGwIDAkACHgAC/AICAikCBAIFAgYCBwIIAgkCRAILAj8CDQIIAggCCAIIAggCCAIIAggCCAIIAggCCAIIAggCCAIIAggCGwIDAlYCHgAC/AICAkECBAIFAgYCBwIIAgkCCgILAj8CDQIIAggCCAIIAggCCAIIAggCCAIIAggCCAIIAggCCAIIAggCGwIDAlUCHgAC/AICAikCBAIFAgYCBwIIAgkCCgILAj8CDQIIAggCCAIIAggCCAIIAggCCAIIAggCCAIIAggCCAIIAggCGwIDAkcCHgAC/AICAjsCBAIFAgYCBwIIAgkCRAILAj8CDQIIAggCCAIIAggCCAIIAggCCAIIAggCCAIIAggCCAIIAggCGwIDAkoCHgAC/AICAkMCBAIFAgYCBwIIAgkCRAILAj8CDQIIAggCCAIIAggCCAIIAggCCAIIAggCCAIIAggCCAIIAggCGwIDAkUCHgAC/AICAkMCBAIFAgYCBwIIAgkCPgILAj8CDQIIAggCCAIIAggCCAIIAggCCAIIAggCCAIIAggCCAIIAggCGwIDAk0CHgAC/AICAisCBAIFAgYCBwIIAgkCCgILAj8CDQIIAggCCAIIAggCCAIIAggCCAIIAggCCAIIAggCCAIIAggCGwIDAqMCHgAC/AICAiMCBAIFAgYCBwIIAgkCPgILAj8CDQIIAggCCAIIAggCCAIIAggCCAIIAggCCAIIAggCCAIIAggCGwIDAkACHgAC/AICAhsCBAIFAgYCBwIIAgkCRAILAj8CDQIIAggCCAIIAggCCAIIAggCCAIIAggCCAIIAggCCAIIAggCGwIDAk4CHgAC/AICAk8CBAIFAgYCBwIIAgkCCgILAj8CDQIIAggCCAIIAggCCAIIAggCCAIIAggCCAIIAggCCAIIAggCGwIDAlACHnoAAAQAAAL8AgICQQIEAgUCBgIHAggCCQJEAgsCPwINAggCCAIIAggCCAIIAggCCAIIAggCCAIIAggCCAIIAggCCAIbAgMCkwIeAAL8AgICGwIEAgUCBgIHAggCCQIKAgsCPwINAggCCAIIAggCCAIIAggCCAIIAggCCAIIAggCCAIIAggCCAIbAgMClQIeAAL8AgICIwIEAgUCBgIHAggCCQJEAgsCPwINAggCCAIIAggCCAIIAggCCAIIAggCCAIIAggCCAIIAggCCAIbAgMCZwIeAAL8AgICQQIEAgUCBgIHAggCCQI+AgsCPwINAggCCAIIAggCCAIIAggCCAIIAggCCAIIAggCCAIIAggCCAIbAgMCQgIeAAL8AgICAwIEAgUCBgIHAggCCQIKAgsCPwINAggCCAIIAggCCAIIAggCCAIIAggCCAIIAggCCAIIAggCCAIbAgMClAIeAAL8AgICMQIEAgUCBgIHAggCCQIKAgsCPwINAggCCAIIAggCCAIIAggCCAIIAggCCAIIAggCCAIIAggCCAIbAgMCjQIeAAL8AgICNwIEAgUCBgIHAggCCQI+AgsCPwINAggCCAIIAggCCAIIAggCCAIIAggCCAIIAggCCAIIAggCCAIbAgMCkQIeAAL8AgICOwIEAgUCBgIHAggCCQI+AgsCPwINAggCCAIIAggCCAIIAggCCAIIAggCCAIIAggCCAIIAggCCAIbAgMCQAIeAAL8AgICMwIEAgUCBgIHAggCCQI+AgsCPwINAggCCAIIAggCCAIIAggCCAIIAggCCAIIAggCCAIIAggCCAIbAgMCRgIeAAL8AgICMwIEAgUCBgIHAggCCQJEAgsCPwINAggCCAIIAggCCAIIAggCCAIIAggCCAIIAggCCAIIAggCCAIbAgMCSwIeAAL8AgICNwIEAgUCBgIHAggCCQJEAgsCPwINAggCCAIIAggCCAIIAggCCAIIAggCCAIIAggCCAIIAggCCAIbAgMCTAIeAAL8AgICSAIEAgUCBgIHAggCCQIKAgsCPwINAggCCAIIAggCCAIIAggCCAIIAggCCAIIAggCCAIIAggCCAIbAgMCSQIeAAL8AgICMQIEAgUCBgIHAggCCQJEAgsCPwINAggCCAIIAggCCAIIAggCCAIIAggCCAIIAggCCAIIAggCCAIbAgMCgAIeAAL8AgICNQIEAgUCBgIHAggCCQIKAgsCPwINAggCCAIIAggCCAIIAggCCAIIAggCCAIIAggCCAIIAggCCAIbAgMCiwIeAAL8AgICbgIEAgUCBgIHAggCCQI+AgsCPwINAggCCAIIAggCCAIIAggCCAIIAggCCAIIAggCCAIIAnoAAAQACAIIAhsCAwKGAh4AAvwCAgInAgQCBQIGAgcCCAIJAkQCCwI/Ag0CCAIIAggCCAIIAggCCAIIAggCCAIIAggCCAIIAggCCAIIAhsCAwKOAh4AAvwCAgJPAgQCBQIGAgcCCAIJAkQCCwI/Ag0CCAIIAggCCAIIAggCCAIIAggCCAIIAggCCAIIAggCCAIIAhsCAwKMAh4AAvwCAgIfAgQCBQIGAgcCCAIJAgoCCwI/Ag0CCAIIAggCCAIIAggCCAIIAggCCAIIAggCCAIIAggCCAIIAhsCAwJTAh4AAvwCAgIhAgQCBQIGAgcCCAIJAkQCCwI/Ag0CCAIIAggCCAIIAggCCAIIAggCCAIIAggCCAIIAggCCAIIAhsCAwKgAh4AAvwCAgIDAgQCBQIGAgcCCAIJAj4CCwI/Ag0CCAIIAggCCAIIAggCCAIIAggCCAIIAggCCAIIAggCCAIIAhsCAwJAAh4AAvwCAgIbAgQCBQIGAgcCCAIJAj4CCwI/Ag0CCAIIAggCCAIIAggCCAIIAggCCAIIAggCCAIIAggCCAIIAhsCAwJZAh4AAvwCAgJXAgQCBQIGAgcCCAIJAgoCCwI/Ag0CCAIIAggCCAIIAggCCAIIAggCCAIIAggCCAIIAggCCAIIAhsCAwJYAh4AAvwCAgJDAgQCBQIGAgcCCAIJAgoCCwI/Ag0CCAIIAggCCAIIAggCCAIIAggCCAIIAggCCAIIAggCCAIIAhsCAwKQAh4AAvwCAgJPAgQCBQIGAgcCCAIJAj4CCwI/Ag0CCAIIAggCCAIIAggCCAIIAggCCAIIAggCCAIIAggCCAIIAhsCAwJ3Ah4AAvwCAgInAgQCBQIGAgcCCAIJAj4CCwI/Ag0CCAIIAggCCAIIAggCCAIIAggCCAIIAggCCAIIAggCCAIIAhsCAwJ1Ah4AAvwCAgJuAgQCBQIGAgcCCAIJAkQCCwI/Ag0CCAIIAggCCAIIAggCCAIIAggCCAIIAggCCAIIAggCCAIIAhsCAwKDAh4AAvwCAgIDAgQCBQIGAgcCCAIJAkQCCwI/Ag0CCAIIAggCCAIIAggCCAIIAggCCAIIAggCCAIIAggCCAIIAhsCAwJSAh4AAvwCAgIjAgQCBQIGAgcCCAIJAgoCCwI/Ag0CCAIIAggCCAIIAggCCAIIAggCCAIIAggCCAIIAggCCAIIAhsCAwKFAh4AAvwCAgIvAgQCBQIGAgcCCAIJAj4CCwI/Ag0CCAIIAggCCAIIAggCCAIIAggCCAIIAggCCAIIAggCCAIIAhsCAwKJAh4AAvwCAgIxAgQCBQIGAgcCCAIJAj4CCwI/Ag0CCAIIAggCCAIIAggCCAIIAggCCHoAAAQAAggCCAIIAggCCAIIAggCGwIDAn8CHgAC/AICAi8CBAIFAgYCBwIIAgkCRAILAj8CDQIIAggCCAIIAggCCAIIAggCCAIIAggCCAIIAggCCAIIAggCGwIDAogCHgAC/AICAmkCBAIFAgYCBwIIAgkCCgILAj8CDQIIAggCCAIIAggCCAIIAggCCAIIAggCCAIIAggCCAIIAggCGwIDAocCHgAC/QAJNTMyOTIwMTc2AgICOQIEAgUCBgIHAggCCQJEAgsCPwINAggCCAIIAggCCAIIAggCCAIIAggCCAIIAggCCAIIAggCCAIVAgMCpQIeAAL9AgICaQIEAgUCBgIHAggCCQJEAgsCPwINAggCCAIIAggCCAIIAggCCAIIAggCCAIIAggCCAIIAggCCAIVAgMCcQIeAAL9AgICVwIEAgUCBgIHAggCCQJEAgsCPwINAggCCAIIAggCCAIIAggCCAIIAggCCAIIAggCCAIIAggCCAIVAgMCdgIeAAL9AgICTwIEAgUCBgIHAggCCQI+AgsCPwINAggCCAIIAggCCAIIAggCCAIIAggCCAIIAggCCAIIAggCCAIVAgMCdwIeAAL9AgICnwIEAgUCBgIHAggCCQIKAgsCPwINAggCCAIIAggCCAIIAggCCAIIAggCCAIIAggCCAIIAggCCAIVAgMCqQIeAAL9AgICHQIEAgUCBgIHAggCCQIKAgsCPwINAggCCAIIAggCCAIIAggCCAIIAggCCAIIAggCCAIIAggCCAIVAgMCawIeAAL9AgICHwIEAgUCBgIHAggCCQI+AgsCPwINAggCCAIIAggCCAIIAggCCAIIAggCCAIIAggCCAIIAggCCAIVAgMCQAIeAAL9AgICIQIEAgUCBgIHAggCCQI+AgsCPwINAggCCAIIAggCCAIIAggCCAIIAggCCAIIAggCCAIIAggCCAIVAgMCQAIeAAL9AgICXAIEAgUCBgIHAggCCQIKAgsCPwINAggCCAIIAggCCAIIAggCCAIIAggCCAIIAggCCAIIAggCCAIVAgMCcwIeAAL9AgICJwIEAgUCBgIHAggCCQJEAgsCPwINAggCCAIIAggCCAIIAggCCAIIAggCCAIIAggCCAIIAggCCAIVAgMCjgIeAAL9AgICegIEAgUCBgIHAggCCQI+AgsCPwINAggCCAIIAggCCAIIAggCCAIIAggCCAIIAggCCAIIAggCCAIVAgMCjwIeAAL9AgICNQIEAgUCBgIHAggCCQI+AgsCPwINAggCCAIIAggCCAIIAggCCAIIAggCCAIIAggCCAIIAggCCAIVAgMCdAIeAAL9AgICLQIEAgUCBgIHAggCCQJEAgsCP3oAAAQAAg0CCAIIAggCCAIIAggCCAIIAggCCAIIAggCCAIIAggCCAIIAhUCAwJyAh4AAv0CAgJuAgQCBQIGAgcCCAIJAgoCCwI/Ag0CCAIIAggCCAIIAggCCAIIAggCCAIIAggCCAIIAggCCAIIAhUCAwJvAh4AAv0CAgIDAgQCBQIGAgcCCAIJAj4CCwI/Ag0CCAIIAggCCAIIAggCCAIIAggCCAIIAggCCAIIAggCCAIIAhUCAwJAAh4AAv0CAgJuAgQCBQIGAgcCCAIJAkQCCwI/Ag0CCAIIAggCCAIIAggCCAIIAggCCAIIAggCCAIIAggCCAIIAhUCAwKDAh4AAv0CAgKfAgQCBQIGAgcCCAIJAkQCCwI/Ag0CCAIIAggCCAIIAggCCAIIAggCCAIIAggCCAIIAggCCAIIAhUCAwKnAh4AAv0CAgIjAgQCBQIGAgcCCAIJAgoCCwI/Ag0CCAIIAggCCAIIAggCCAIIAggCCAIIAggCCAIIAggCCAIIAhUCAwKFAh4AAv0CAgJcAgQCBQIGAgcCCAIJAkQCCwI/Ag0CCAIIAggCCAIIAggCCAIIAggCCAIIAggCCAIIAggCCAIIAhUCAwJ9Ah4AAv0CAgJXAgQCBQIGAgcCCAIJAgoCCwI/Ag0CCAIIAggCCAIIAggCCAIIAggCCAIIAggCCAIIAggCCAIIAhUCAwJYAh4AAv0CAgIbAgQCBQIGAgcCCAIJAkQCCwI/Ag0CCAIIAggCCAIIAggCCAIIAggCCAIIAggCCAIIAggCCAIIAhUCAwJOAh4AAv0CAgIlAgQCBQIGAgcCCAIJAgoCCwI/Ag0CCAIIAggCCAIIAggCCAIIAggCCAIIAggCCAIIAggCCAIIAhUCAwJ5Ah4AAv0CAgI5AgQCBQIGAgcCCAIJAgoCCwI/Ag0CCAIIAggCCAIIAggCCAIIAggCCAIIAggCCAIIAggCCAIIAhUCAwKhAh4AAv0CAgKYAgQCBQIGAgcCCAIJAj4CCwI/Ag0CCAIIAggCCAIIAggCCAIIAggCCAIIAggCCAIIAggCCAIIAhUCAwKZAh4AAv0CAgIvAgQCBQIGAgcCCAIJAj4CCwI/Ag0CCAIIAggCCAIIAggCCAIIAggCCAIIAggCCAIIAggCCAIIAhUCAwKJAh4AAv0CAgIxAgQCBQIGAgcCCAIJAkQCCwI/Ag0CCAIIAggCCAIIAggCCAIIAggCCAIIAggCCAIIAggCCAIIAhUCAwKAAh4AAv0CAgJpAgQCBQIGAgcCCAIJAgoCCwI/Ag0CCAIIAggCCAIIAggCCAIIAggCCAIIAggCCAIIAggCCAIIAhUCAwKHAh4AAv0CAgIDAgQCBQIGAnoAAAQABwIIAgkCCgILAj8CDQIIAggCCAIIAggCCAIIAggCCAIIAggCCAIIAggCCAIIAggCFQIDApQCHgAC/QICAiMCBAIFAgYCBwIIAgkCRAILAj8CDQIIAggCCAIIAggCCAIIAggCCAIIAggCCAIIAggCCAIIAggCFQIDAmcCHgAC/QICAkECBAIFAgYCBwIIAgkCPgILAj8CDQIIAggCCAIIAggCCAIIAggCCAIIAggCCAIIAggCCAIIAggCFQIDAkICHgAC/QICAkMCBAIFAgYCBwIIAgkCRAILAj8CDQIIAggCCAIIAggCCAIIAggCCAIIAggCCAIIAggCCAIIAggCFQIDAkUCHgAC/QICAp4CBAIFAgYCBwIIAgkCPgILAj8CDQIIAggCCAIIAggCCAIIAggCCAIIAggCCAIIAggCCAIIAggCFQIDAkACHgAC/QICAikCBAIFAgYCBwIIAgkCCgILAj8CDQIIAggCCAIIAggCCAIIAggCCAIIAggCCAIIAggCCAIIAggCFQIDAkcCHgAC/QICAjsCBAIFAgYCBwIIAgkCRAILAj8CDQIIAggCCAIIAggCCAIIAggCCAIIAggCCAIIAggCCAIIAggCFQIDAkoCHgAC/QICAjECBAIFAgYCBwIIAgkCCgILAj8CDQIIAggCCAIIAggCCAIIAggCCAIIAggCCAIIAggCCAIIAggCFQIDAo0CHgAC/QICAjcCBAIFAgYCBwIIAgkCPgILAj8CDQIIAggCCAIIAggCCAIIAggCCAIIAggCCAIIAggCCAIIAggCFQIDApECHgAC/QICAjMCBAIFAgYCBwIIAgkCRAILAj8CDQIIAggCCAIIAggCCAIIAggCCAIIAggCCAIIAggCCAIIAggCFQIDAksCHgAC/QICAjMCBAIFAgYCBwIIAgkCCgILAj8CDQIIAggCCAIIAggCCAIIAggCCAIIAggCCAIIAggCCAIIAggCFQIDAl4CHgAC/QICAicCBAIFAgYCBwIIAgkCCgILAj8CDQIIAggCCAIIAggCCAIIAggCCAIIAggCCAIIAggCCAIIAggCFQIDAlECHgAC/QICApsCBAIFAgYCBwIIAgkCPgILAj8CDQIIAggCCAIIAggCCAIIAggCCAIIAggCCAIIAggCCAIIAggCFQIDAkACHgAC/QICAh0CBAIFAgYCBwIIAgkCPgILAj8CDQIIAggCCAIIAggCCAIIAggCCAIIAggCCAIIAggCCAIIAggCFQIDAoICHgAC/QICAiUCBAIFAgYCBwIIAgkCRAILAj8CDQIIAggCCAIIAggCCAIIAggCCAIIAggCCAIIAggCCAIIAggCFQIDAmgCHgAC/XoAAAQAAgICegIEAgUCBgIHAggCCQIKAgsCPwINAggCCAIIAggCCAIIAggCCAIIAggCCAIIAggCCAIIAggCCAIVAgMCewIeAAL9AgICSAIEAgUCBgIHAggCCQI+AgsCPwINAggCCAIIAggCCAIIAggCCAIIAggCCAIIAggCCAIIAggCCAIVAgMChAIeAAL9AgICKwIEAgUCBgIHAggCCQI+AgsCPwINAggCCAIIAggCCAIIAggCCAIIAggCCAIIAggCCAIIAggCCAIVAgMCQAIeAAL9AgICnAIEAgUCBgIHAggCCQJEAgsCPwINAggCCAIIAggCCAIIAggCCAIIAggCCAIIAggCCAIIAggCCAIVAgMCqAIeAAL9AgICWgIEAgUCBgIHAggCCQI+AgsCPwINAggCCAIIAggCCAIIAggCCAIIAggCCAIIAggCCAIIAggCCAIVAgMCYgIeAAL9AgICOwIEAgUCBgIHAggCCQIKAgsCPwINAggCCAIIAggCCAIIAggCCAIIAggCCAIIAggCCAIIAggCCAIVAgMCYQIeAAL9AgICKQIEAgUCBgIHAggCCQJEAgsCPwINAggCCAIIAggCCAIIAggCCAIIAggCCAIIAggCCAIIAggCCAIVAgMCVgIeAAL9AgICVwIEAgUCBgIHAggCCQI+AgsCPwINAggCCAIIAggCCAIIAggCCAIIAggCCAIIAggCCAIIAggCCAIVAgMCbAIeAAL9AgICIQIEAgUCBgIHAggCCQJEAgsCPwINAggCCAIIAggCCAIIAggCCAIIAggCCAIIAggCCAIIAggCCAIVAgMCoAIeAAL9AgICTwIEAgUCBgIHAggCCQJEAgsCPwINAggCCAIIAggCCAIIAggCCAIIAggCCAIIAggCCAIIAggCCAIVAgMCjAIeAAL9AgICHwIEAgUCBgIHAggCCQJEAgsCPwINAggCCAIIAggCCAIIAggCCAIIAggCCAIIAggCCAIIAggCCAIVAgMCZgIeAAL9AgICJwIEAgUCBgIHAggCCQI+AgsCPwINAggCCAIIAggCCAIIAggCCAIIAggCCAIIAggCCAIIAggCCAIVAgMCdQIeAAL9AgICYwIEAgUCBgIHAggCCQIKAgsCPwINAggCCAIIAggCCAIIAggCCAIIAggCCAIIAggCCAIIAggCCAIVAgMCZAIeAAL9AgICLQIEAgUCBgIHAggCCQI+AgsCPwINAggCCAIIAggCCAIIAggCCAIIAggCCAIIAggCCAIIAggCCAIVAgMCQAIeAAL9AgICYwIEAgUCBgIHAggCCQJEAgsCPwINAggCCAIIAggCCAIIAggCCAIIAggCCAIIAggCCAIIAggCCHoAAAQAAhUCAwJ8Ah4AAv0CAgJpAgQCBQIGAgcCCAIJAj4CCwI/Ag0CCAIIAggCCAIIAggCCAIIAggCCAIIAggCCAIIAggCCAIIAhUCAwJqAh4AAv0CAgKcAgQCBQIGAgcCCAIJAgoCCwI/Ag0CCAIIAggCCAIIAggCCAIIAggCCAIIAggCCAIIAggCCAIIAhUCAwKdAh4AAv0CAgJ6AgQCBQIGAgcCCAIJAkQCCwI/Ag0CCAIIAggCCAIIAggCCAIIAggCCAIIAggCCAIIAggCCAIIAhUCAwKSAh4AAv0CAgIvAgQCBQIGAgcCCAIJAgoCCwI/Ag0CCAIIAggCCAIIAggCCAIIAggCCAIIAggCCAIIAggCCAIIAhUCAwJtAh4AAv0CAgI5AgQCBQIGAgcCCAIJAj4CCwI/Ag0CCAIIAggCCAIIAggCCAIIAggCCAIIAggCCAIIAggCCAIIAhUCAwJAAh4AAv0CAgI1AgQCBQIGAgcCCAIJAkQCCwI/Ag0CCAIIAggCCAIIAggCCAIIAggCCAIIAggCCAIIAggCCAIIAhUCAwJwAh4AAv0CAgJcAgQCBQIGAgcCCAIJAj4CCwI/Ag0CCAIIAggCCAIIAggCCAIIAggCCAIIAggCCAIIAggCCAIIAhUCAwJdAh4AAv0CAgIbAgQCBQIGAgcCCAIJAj4CCwI/Ag0CCAIIAggCCAIIAggCCAIIAggCCAIIAggCCAIIAggCCAIIAhUCAwJZAh4AAv0CAgIfAgQCBQIGAgcCCAIJAgoCCwI/Ag0CCAIIAggCCAIIAggCCAIIAggCCAIIAggCCAIIAggCCAIIAhUCAwJTAh4AAv0CAgIDAgQCBQIGAgcCCAIJAkQCCwI/Ag0CCAIIAggCCAIIAggCCAIIAggCCAIIAggCCAIIAggCCAIIAhUCAwJSAh4AAv0CAgJDAgQCBQIGAgcCCAIJAgoCCwI/Ag0CCAIIAggCCAIIAggCCAIIAggCCAIIAggCCAIIAggCCAIIAhUCAwKQAh4AAv0CAgJaAgQCBQIGAgcCCAIJAgoCCwI/Ag0CCAIIAggCCAIIAggCCAIIAggCCAIIAggCCAIIAggCCAIIAhUCAwJ4Ah4AAv0CAgKYAgQCBQIGAgcCCAIJAkQCCwI/Ag0CCAIIAggCCAIIAggCCAIIAggCCAIIAggCCAIIAggCCAIIAhUCAwKZAh4AAv0CAgKeAgQCBQIGAgcCCAIJAgoCCwI/Ag0CCAIIAggCCAIIAggCCAIIAggCCAIIAggCCAIIAggCCAIIAhUCAwKmAh4AAv0CAgJuAgQCBQIGAgcCCAIJAj4CCwI/Ag0CCAIIAggCCAIIAggCCAIIAggCCAIIAnoAAAQACAIIAggCCAIIAggCFQIDAoYCHgAC/QICAp8CBAIFAgYCBwIIAgkCPgILAj8CDQIIAggCCAIIAggCCAIIAggCCAIIAggCCAIIAggCCAIIAggCFQIDAkACHgAC/QICAjUCBAIFAgYCBwIIAgkCCgILAj8CDQIIAggCCAIIAggCCAIIAggCCAIIAggCCAIIAggCCAIIAggCFQIDAosCHgAC/QICAjECBAIFAgYCBwIIAgkCPgILAj8CDQIIAggCCAIIAggCCAIIAggCCAIIAggCCAIIAggCCAIIAggCFQIDAn8CHgAC/QICAi8CBAIFAgYCBwIIAgkCRAILAj8CDQIIAggCCAIIAggCCAIIAggCCAIIAggCCAIIAggCCAIIAggCFQIDAogCHgAC/QICAhsCBAIFAgYCBwIIAgkCCgILAj8CDQIIAggCCAIIAggCCAIIAggCCAIIAggCCAIIAggCCAIIAggCFQIDApUCHgAC/QICApsCBAIFAgYCBwIIAgkCCgILAj8CDQIIAggCCAIIAggCCAIIAggCCAIIAggCCAIIAggCCAIIAggCFQIDAqYCHgAC/QICAiMCBAIFAgYCBwIIAgkCPgILAj8CDQIIAggCCAIIAggCCAIIAggCCAIIAggCCAIIAggCCAIIAggCFQIDAkACHgAC/QICAiUCBAIFAgYCBwIIAgkCPgILAj8CDQIIAggCCAIIAggCCAIIAggCCAIIAggCCAIIAggCCAIIAggCFQIDAmUCHgAC/QICAkMCBAIFAgYCBwIIAgkCPgILAj8CDQIIAggCCAIIAggCCAIIAggCCAIIAggCCAIIAggCCAIIAggCFQIDAk0CHgAC/QICAp4CBAIFAgYCBwIIAgkCRAILAj8CDQIIAggCCAIIAggCCAIIAggCCAIIAggCCAIIAggCCAIIAggCFQIDAqQCHgAC/QICAisCBAIFAgYCBwIIAgkCCgILAj8CDQIIAggCCAIIAggCCAIIAggCCAIIAggCCAIIAggCCAIIAggCFQIDAqMCHgAC/QICApgCBAIFAgYCBwIIAgkCCgILAj8CDQIIAggCCAIIAggCCAIIAggCCAIIAggCCAIIAggCCAIIAggCFQIDApkCHgAC/QICAkECBAIFAgYCBwIIAgkCRAILAj8CDQIIAggCCAIIAggCCAIIAggCCAIIAggCCAIIAggCCAIIAggCFQIDApMCHgAC/QICAjMCBAIFAgYCBwIIAgkCPgILAj8CDQIIAggCCAIIAggCCAIIAggCCAIIAggCCAIIAggCCAIIAggCFQIDAkYCHgAC/QICAjsCBAIFAgYCBwIIAgkCPgILAj8CDQIIAggCCAIIAggCCHoAAAQAAggCCAIIAggCCAIIAggCCAIIAggCCAIVAgMCQAIeAAL9AgICSAIEAgUCBgIHAggCCQIKAgsCPwINAggCCAIIAggCCAIIAggCCAIIAggCCAIIAggCCAIIAggCCAIVAgMCSQIeAAL9AgICNwIEAgUCBgIHAggCCQJEAgsCPwINAggCCAIIAggCCAIIAggCCAIIAggCCAIIAggCCAIIAggCCAIVAgMCTAIeAAL9AgICmwIEAgUCBgIHAggCCQJEAgsCPwINAggCCAIIAggCCAIIAggCCAIIAggCCAIIAggCCAIIAggCCAIVAgMCpAIeAAL9AgICIQIEAgUCBgIHAggCCQIKAgsCPwINAggCCAIIAggCCAIIAggCCAIIAggCCAIIAggCCAIIAggCCAIVAgMCmgIeAAL9AgICnAIEAgUCBgIHAggCCQI+AgsCPwINAggCCAIIAggCCAIIAggCCAIIAggCCAIIAggCCAIIAggCCAIVAgMCQAIeAAL9AgICYwIEAgUCBgIHAggCCQI+AgsCPwINAggCCAIIAggCCAIIAggCCAIIAggCCAIIAggCCAIIAggCCAIVAgMCigIeAAL9AgICTwIEAgUCBgIHAggCCQIKAgsCPwINAggCCAIIAggCCAIIAggCCAIIAggCCAIIAggCCAIIAggCCAIVAgMCUAIeAAL9AgICHQIEAgUCBgIHAggCCQJEAgsCPwINAggCCAIIAggCCAIIAggCCAIIAggCCAIIAggCCAIIAggCCAIVAgMCfgIeAAL9AgICKQIEAgUCBgIHAggCCQI+AgsCPwINAggCCAIIAggCCAIIAggCCAIIAggCCAIIAggCCAIIAggCCAIVAgMCgQIeAAL9AgICNwIEAgUCBgIHAggCCQIKAgsCPwINAggCCAIIAggCCAIIAggCCAIIAggCCAIIAggCCAIIAggCCAIVAgMCYAIeAAL9AgICLQIEAgUCBgIHAggCCQIKAgsCPwINAggCCAIIAggCCAIIAggCCAIIAggCCAIIAggCCAIIAggCCAIVAgMCXwIeAAL9AgICWgIEAgUCBgIHAggCCQJEAgsCPwINAggCCAIIAggCCAIIAggCCAIIAggCCAIIAggCCAIIAggCCAIVAgMCWwIeAAL9AgICSAIEAgUCBgIHAggCCQJEAgsCPwINAggCCAIIAggCCAIIAggCCAIIAggCCAIIAggCCAIIAggCCAIVAgMCVAIeAAL9AgICKwIEAgUCBgIHAggCCQJEAgsCPwINAggCCAIIAggCCAIIAggCCAIIAggCCAIIAggCCAIIAggCCAIVAgMCogIeAAL9AgICQQIEAgUCBgIHAggCCQIKAgsCPwINAnoAAAQACAIIAggCCAIIAggCCAIIAggCCAIIAggCCAIIAggCCAIIAhUCAwJVAh4AAv4ACTcwOTYxNTIwMAICAloCBAIFAgYCBwIIAgkCsgILAgwCDQIIAggCCAIIAggCCAIIAggCCAIIAggCCAIIAggCCAIIAggCHAIDAtoCHgAC/gICAikCBAIFAgYCBwIIAgkCCgILAgwCDQIIAggCCAIIAggCCAIIAggCCAIIAggCCAIIAggCCAIIAggCHAIDAioCHgAC/gICAjECBAIFAgYCBwIIAgkCCgILAgwCDQIIAggCCAIIAggCCAIIAggCCAIIAggCCAIIAggCCAIIAggCHAIDAjICHgAC/gICAkgCBAIFAgYCBwIIAgkCCgILAgwCDQIIAggCCAIIAggCCAIIAggCCAIIAggCCAIIAggCCAIIAggCHAIDAtUCHgAC/gICAk8CBAIFAgYCBwIIAgkCCgILAgwCDQIIAggCCAIIAggCCAIIAggCCAIIAggCCAIIAggCCAIIAggCHAIDAsYCHgAC/gICAhsCBAIFAgYCBwIIAgkCRAILAgwCDQIIAggCCAIIAggCCAIIAggCCAIIAggCCAIIAggCCAIIAggCHAIDAtQCHgAC/gICAjsCBAIFAgYCBwIIAgkCRAILAgwCDQIIAggCCAIIAggCCAIIAggCCAIIAggCCAIIAggCCAIIAggCHAIDAtgCHgAC/gICAiUCBAIFAgYCBwIIAgkCsgILAgwCDQIIAggCCAIIAggCCAIIAggCCAIIAggCCAIIAggCCAIIAggCHAIDAtsCHgAC/gICAisCBAIFAgYCBwIIAgkCCgILAgwCDQIIAggCCAIIAggCCAIIAggCCAIIAggCCAIIAggCCAIIAggCHAIDAiwCHgAC/gICAiMCBAIFAgYCBwIIAgkCsgILAgwCDQIIAggCCAIIAggCCAIIAggCCAIIAggCCAIIAggCCAIIAggCHAIDAkACHgAC/gICAkMCBAIFAgYCBwIIAgkCRAILAgwCDQIIAggCCAIIAggCCAIIAggCCAIIAggCCAIIAggCCAIIAggCHAIDAtkCHgAC/gICAlcCBAIFAgYCBwIIAgkCCgILAgwCDQIIAggCCAIIAggCCAIIAggCCAIIAggCCAIIAggCCAIIAggCHAIDAt4CHgAC/gICAh8CBAIFAgYCBwIIAgkCCgILAgwCDQIIAggCCAIIAggCCAIIAggCCAIIAggCCAIIAggCCAIIAggCHAIDAiACHgAC/gICAikCBAIFAgYCBwIIAgkCRAILAgwCDQIIAggCCAIIAggCCAIIAggCCAIIAggCCAIIAggCCAIIAggCHAIDAsMCHgAC/gICAnoAAAQAKwIEAgUCBgIHAggCCQJEAgsCDAINAggCCAIIAggCCAIIAggCCAIIAggCCAIIAggCCAIIAggCCAIcAgMCzwIeAAL+AgICAwIEAgUCBgIHAggCCQJEAgsCDAINAggCCAIIAggCCAIIAggCCAIIAggCCAIIAggCCAIIAggCCAIcAgMC4wIeAAL+AgICaQIEAgUCBgIHAggCCQIKAgsCDAINAggCCAIIAggCCAIIAggCCAIIAggCCAIIAggCCAIIAggCCAIcAgMC3QIeAAL+AgICJwIEAgUCBgIHAggCCQIKAgsCDAINAggCCAIIAggCCAIIAggCCAIIAggCCAIIAggCCAIIAggCCAIcAgMCKAIeAAL+AgICOwIEAgUCBgIHAggCCQKyAgsCDAINAggCCAIIAggCCAIIAggCCAIIAggCCAIIAggCCAIIAggCCAIcAgMCQAIeAAL+AgICQQIEAgUCBgIHAggCCQKyAgsCDAINAggCCAIIAggCCAIIAggCCAIIAggCCAIIAggCCAIIAggCCAIcAgMC4QIeAAL+AgICSAIEAgUCBgIHAggCCQJEAgsCDAINAggCCAIIAggCCAIIAggCCAIIAggCCAIIAggCCAIIAggCCAIcAgMCxAIeAAL+AgICNwIEAgUCBgIHAggCCQKyAgsCDAINAggCCAIIAggCCAIIAggCCAIIAggCCAIIAggCCAIIAggCCAIcAgMC4AIeAAL+AgICMwIEAgUCBgIHAggCCQKyAgsCDAINAggCCAIIAggCCAIIAggCCAIIAggCCAIIAggCCAIIAggCCAIcAgMC4gIeAAL+AgICOwIEAgUCBgIHAggCCQIKAgsCDAINAggCCAIIAggCCAIIAggCCAIIAggCCAIIAggCCAIIAggCCAIcAgMCPAIeAAL+AgICNwIEAgUCBgIHAggCCQIKAgsCDAINAggCCAIIAggCCAIIAggCCAIIAggCCAIIAggCCAIIAggCCAIcAgMCOAIeAAL+AgICegIEAgUCBgIHAggCCQIKAgsCDAINAggCCAIIAggCCAIIAggCCAIIAggCCAIIAggCCAIIAggCCAIcAgMCyQIeAAL+AgICYwIEAgUCBgIHAggCCQIKAgsCDAINAggCCAIIAggCCAIIAggCCAIIAggCCAIIAggCCAIIAggCCAIcAgMCxwIeAAL+AgICHQIEAgUCBgIHAggCCQIKAgsCDAINAggCCAIIAggCCAIIAggCCAIIAggCCAIIAggCCAIIAggCCAIcAgMCHgIeAAL+AgICLQIEAgUCBgIHAggCCQIKAgsCDAINAggCCAIIAggCCAIIAggCCAIIAggCCAIIAggCCAIIAggCCAIcAnoAAAQAAwIuAh4AAv4CAgIDAgQCBQIGAgcCCAIJArICCwIMAg0CCAIIAggCCAIIAggCCAIIAggCCAIIAggCCAIIAggCCAIIAhwCAwJAAh4AAv4CAgJDAgQCBQIGAgcCCAIJArICCwIMAg0CCAIIAggCCAIIAggCCAIIAggCCAIIAggCCAIIAggCCAIIAhwCAwLKAh4AAv4CAgIbAgQCBQIGAgcCCAIJArICCwIMAg0CCAIIAggCCAIIAggCCAIIAggCCAIIAggCCAIIAggCCAIIAhwCAwLLAh4AAv4CAgJcAgQCBQIGAgcCCAIJArICCwIMAg0CCAIIAggCCAIIAggCCAIIAggCCAIIAggCCAIIAggCCAIIAhwCAwLMAh4AAv4CAgIfAgQCBQIGAgcCCAIJAkQCCwIMAg0CCAIIAggCCAIIAggCCAIIAggCCAIIAggCCAIIAggCCAIIAhwCAwKzAh4AAv4CAgIlAgQCBQIGAgcCCAIJAkQCCwIMAg0CCAIIAggCCAIIAggCCAIIAggCCAIIAggCCAIIAggCCAIIAhwCAwLIAh4AAv4CAgJaAgQCBQIGAgcCCAIJAkQCCwIMAg0CCAIIAggCCAIIAggCCAIIAggCCAIIAggCCAIIAggCCAIIAhwCAwLNAh4AAv4CAgJXAgQCBQIGAgcCCAIJAkQCCwIMAg0CCAIIAggCCAIIAggCCAIIAggCCAIIAggCCAIIAggCCAIIAhwCAwLOAh4AAv4CAgJpAgQCBQIGAgcCCAIJAkQCCwIMAg0CCAIIAggCCAIIAggCCAIIAggCCAIIAggCCAIIAggCCAIIAhwCAwKwAh4AAv4CAgI1AgQCBQIGAgcCCAIJAkQCCwIMAg0CCAIIAggCCAIIAggCCAIIAggCCAIIAggCCAIIAggCCAIIAhwCAwKuAh4AAv4CAgJuAgQCBQIGAgcCCAIJArICCwIMAg0CCAIIAggCCAIIAggCCAIIAggCCAIIAggCCAIIAggCCAIIAhwCAwLTAh4AAv4CAgIjAgQCBQIGAgcCCAIJAkQCCwIMAg0CCAIIAggCCAIIAggCCAIIAggCCAIIAggCCAIIAggCCAIIAhwCAwLQAh4AAv4CAgIxAgQCBQIGAgcCCAIJArICCwIMAg0CCAIIAggCCAIIAggCCAIIAggCCAIIAggCCAIIAggCCAIIAhwCAwK4Ah4AAv4CAgIvAgQCBQIGAgcCCAIJArICCwIMAg0CCAIIAggCCAIIAggCCAIIAggCCAIIAggCCAIIAggCCAIIAhwCAwLSAh4AAv4CAgJaAgQCBQIGAgcCCAIJAgoCCwIMAg0CCAIIAggCCAIIAggCCAIIAggCCAIIAggCCHoAAAQAAggCCAIIAggCHAIDAroCHgAC/gICAh0CBAIFAgYCBwIIAgkCRAILAgwCDQIIAggCCAIIAggCCAIIAggCCAIIAggCCAIIAggCCAIIAggCHAIDArwCHgAC/gICAiUCBAIFAgYCBwIIAgkCCgILAgwCDQIIAggCCAIIAggCCAIIAggCCAIIAggCCAIIAggCCAIIAggCHAIDAiYCHgAC/gICAk8CBAIFAgYCBwIIAgkCsgILAgwCDQIIAggCCAIIAggCCAIIAggCCAIIAggCCAIIAggCCAIIAggCHAIDAr8CHgAC/gICAicCBAIFAgYCBwIIAgkCsgILAgwCDQIIAggCCAIIAggCCAIIAggCCAIIAggCCAIIAggCCAIIAggCHAIDAsACHgAC/gICAh8CBAIFAgYCBwIIAgkCsgILAgwCDQIIAggCCAIIAggCCAIIAggCCAIIAggCCAIIAggCCAIIAggCHAIDAkACHgAC/gICAmMCBAIFAgYCBwIIAgkCRAILAgwCDQIIAggCCAIIAggCCAIIAggCCAIIAggCCAIIAggCCAIIAggCHAIDArsCHgAC/gICAlwCBAIFAgYCBwIIAgkCRAILAgwCDQIIAggCCAIIAggCCAIIAggCCAIIAggCCAIIAggCCAIIAggCHAIDAr4CHgAC/gICAjMCBAIFAgYCBwIIAgkCCgILAgwCDQIIAggCCAIIAggCCAIIAggCCAIIAggCCAIIAggCCAIIAggCHAIDAjQCHgAC/gICAkECBAIFAgYCBwIIAgkCCgILAgwCDQIIAggCCAIIAggCCAIIAggCCAIIAggCCAIIAggCCAIIAggCHAIDAsUCHgAC/gICAmkCBAIFAgYCBwIIAgkCsgILAgwCDQIIAggCCAIIAggCCAIIAggCCAIIAggCCAIIAggCCAIIAggCHAIDAsICHgAC/gICAi8CBAIFAgYCBwIIAgkCRAILAgwCDQIIAggCCAIIAggCCAIIAggCCAIIAggCCAIIAggCCAIIAggCHAIDAtwCHgAC/gICAnoCBAIFAgYCBwIIAgkCsgILAgwCDQIIAggCCAIIAggCCAIIAggCCAIIAggCCAIIAggCCAIIAggCHAIDAt8CHgAC/gICAi0CBAIFAgYCBwIIAgkCsgILAgwCDQIIAggCCAIIAggCCAIIAggCCAIIAggCCAIIAggCCAIIAggCHAIDAkACHgAC/gICAm4CBAIFAgYCBwIIAgkCRAILAgwCDQIIAggCCAIIAggCCAIIAggCCAIIAggCCAIIAggCCAIIAggCHAIDAuQCHgAC/gICAiMCBAIFAgYCBwIIAgkCCgILAgwCDQIIAggCCAIIAggCCAIIAnoAAAQACAIIAggCCAIIAggCCAIIAggCCAIcAgMCJAIeAAL+AgICNQIEAgUCBgIHAggCCQKyAgsCDAINAggCCAIIAggCCAIIAggCCAIIAggCCAIIAggCCAIIAggCCAIcAgMCwQIeAAL+AgICYwIEAgUCBgIHAggCCQKyAgsCDAINAggCCAIIAggCCAIIAggCCAIIAggCCAIIAggCCAIIAggCCAIcAgMC5QIeAAL+AgICHQIEAgUCBgIHAggCCQKyAgsCDAINAggCCAIIAggCCAIIAggCCAIIAggCCAIIAggCCAIIAggCCAIcAgMC5gIeAAL+AgICMQIEAgUCBgIHAggCCQJEAgsCDAINAggCCAIIAggCCAIIAggCCAIIAggCCAIIAggCCAIIAggCCAIcAgMC6wIeAAL+AgICQwIEAgUCBgIHAggCCQIKAgsCDAINAggCCAIIAggCCAIIAggCCAIIAggCCAIIAggCCAIIAggCCAIcAgMC6QIeAAL+AgICJwIEAgUCBgIHAggCCQJEAgsCDAINAggCCAIIAggCCAIIAggCCAIIAggCCAIIAggCCAIIAggCCAIcAgMC6gIeAAL+AgICNQIEAgUCBgIHAggCCQIKAgsCDAINAggCCAIIAggCCAIIAggCCAIIAggCCAIIAggCCAIIAggCCAIcAgMCNgIeAAL+AgICTwIEAgUCBgIHAggCCQJEAgsCDAINAggCCAIIAggCCAIIAggCCAIIAggCCAIIAggCCAIIAggCCAIcAgMC5wIeAAL+AgICXAIEAgUCBgIHAggCCQIKAgsCDAINAggCCAIIAggCCAIIAggCCAIIAggCCAIIAggCCAIIAggCCAIcAgMCtQIeAAL+AgICLwIEAgUCBgIHAggCCQIKAgsCDAINAggCCAIIAggCCAIIAggCCAIIAggCCAIIAggCCAIIAggCCAIcAgMCMAIeAAL+AgICGwIEAgUCBgIHAggCCQIKAgsCDAINAggCCAIIAggCCAIIAggCCAIIAggCCAIIAggCCAIIAggCCAIcAgMCHAIeAAL+AgICbgIEAgUCBgIHAggCCQIKAgsCDAINAggCCAIIAggCCAIIAggCCAIIAggCCAIIAggCCAIIAggCCAIcAgMCsQIeAAL+AgICVwIEAgUCBgIHAggCCQKyAgsCDAINAggCCAIIAggCCAIIAggCCAIIAggCCAIIAggCCAIIAggCCAIcAgMCvQIeAAL+AgICMwIEAgUCBgIHAggCCQJEAgsCDAINAggCCAIIAggCCAIIAggCCAIIAggCCAIIAggCCAIIAggCCAIcAgMC1gIeAAL+AgICLQIEAgUCBgIHAggCCQJEAgsCDAINAggCCHoAAAQAAggCCAIIAggCCAIIAggCCAIIAggCCAIIAggCCAIIAhwCAwK0Ah4AAv4CAgJBAgQCBQIGAgcCCAIJAkQCCwIMAg0CCAIIAggCCAIIAggCCAIIAggCCAIIAggCCAIIAggCCAIIAhwCAwLRAh4AAv4CAgI3AgQCBQIGAgcCCAIJAkQCCwIMAg0CCAIIAggCCAIIAggCCAIIAggCCAIIAggCCAIIAggCCAIIAhwCAwLXAh4AAv4CAgJIAgQCBQIGAgcCCAIJArICCwIMAg0CCAIIAggCCAIIAggCCAIIAggCCAIIAggCCAIIAggCCAIIAhwCAwK5Ah4AAv4CAgIrAgQCBQIGAgcCCAIJArICCwIMAg0CCAIIAggCCAIIAggCCAIIAggCCAIIAggCCAIIAggCCAIIAhwCAwJAAh4AAv4CAgIDAgQCBQIGAgcCCAIJAgoCCwIMAg0CCAIIAggCCAIIAggCCAIIAggCCAIIAggCCAIIAggCCAIIAhwCAwIOAh4AAv4CAgIpAgQCBQIGAgcCCAIJArICCwIMAg0CCAIIAggCCAIIAggCCAIIAggCCAIIAggCCAIIAggCCAIIAhwCAwK3Ah4AAv4CAgJ6AgQCBQIGAgcCCAIJAkQCCwIMAg0CCAIIAggCCAIIAggCCAIIAggCCAIIAggCCAIIAggCCAIIAhwCAwK2Ah4AAv8ACTcwMzE5OTc5MgICAiECBAIFAgYCBwIIAgkCRAILAgwCDQIIAggCCAIIAggCCAIIAggCCAIIAggCCAIIAggCCAIIAggCAgIDAugCHgAC/wICAjECBAIFAgYCBwIIAgkCRAILAgwCDQIIAggCCAIIAggCCAIIAggCCAIIAggCCAIIAggCCAIIAggCAgIDAusCHgAC/wICAhsCBAIFAgYCBwIIAgkCRAILAgwCDQIIAggCCAIIAggCCAIIAggCCAIIAggCCAIIAggCCAIIAggCAgIDAtQCHgAC/wICAh0CBAIFAgYCBwIIAgkCRAILAgwCDQIIAggCCAIIAggCCAIIAggCCAIIAggCCAIIAggCCAIIAggCAgIDArwCHgAC/wICAiUCBAIFAgYCBwIIAgkCRAILAgwCDQIIAggCCAIIAggCCAIIAggCCAIIAggCCAIIAggCCAIIAggCAgIDAsgCHgAC/wICAicCBAIFAgYCBwIIAgkCRAILAgwCDQIIAggCCAIIAggCCAIIAggCCAIIAggCCAIIAggCCAIIAggCAgIDAuoCHgAC/wICAjsCBAIFAgYCBwIIAgkCRAILAgwCDQIIAggCCAIIAggCCAIIAggCCAIIAggCCAIIAggCCAIIAggCAgIDAtgCHgAC/wICAh8CBHoAAANHAgUCBgIHAggCCQJEAgsCDAINAggCCAIIAggCCAIIAggCCAIIAggCCAIIAggCCAIIAggCCAICAgMCswIeAAL/AgICNQIEAgUCBgIHAggCCQJEAgsCDAINAggCCAIIAggCCAIIAggCCAIIAggCCAIIAggCCAIIAggCCAICAgMCrgIeAAL/AgICOQIEAgUCBgIHAggCCQJEAgsCDAINAggCCAIIAggCCAIIAggCCAIIAggCCAIIAggCCAIIAggCCAICAgMCrwIeAAL/AgICLwIEAgUCBgIHAggCCQJEAgsCDAINAggCCAIIAggCCAIIAggCCAIIAggCCAIIAggCCAIIAggCCAICAgMC3AIeAAL/AgICKQIEAgUCBgIHAggCCQJEAgsCDAINAggCCAIIAggCCAIIAggCCAIIAggCCAIIAggCCAIIAggCCAICAgMCwwIeAAL/AgICKwIEAgUCBgIHAggCCQJEAgsCDAINAggCCAIIAggCCAIIAggCCAIIAggCCAIIAggCCAIIAggCCAICAgMCzwIeAAL/AgICMwIEAgUCBgIHAggCCQJEAgsCDAINAggCCAIIAggCCAIIAggCCAIIAggCCAIIAggCCAIIAggCCAICAgMC1gIeAAL/AgICNwIEAgUCBgIHAggCCQJEAgsCDAINAggCCAIIAggCCAIIAggCCAIIAggCCAIIAggCCAIIAggCCAICAgMC1wIeAAL/AgICLQIEAgUCBgIHAggCCQJEAgsCDAINAggCCAIIAggCCAIIAggCCAIIAggCCAIIAggCCAIIAggCCAICAgMCtAIeAAL/AgICAwIEAgUCBgIHAggCCQJEAgsCDAINAggCCAIIAggCCAIIAggCCAIIAggCCAIIAggCCAIIAggCCAICAgMC4wIeAAL/AgICIwIEAgUCBgIHAggCCQJEAgsCDAINAggCCAIIAggCCAIIAggCCAIIAggCCAIIAggCCAIIAggCCAICAgMC0AIeAAQAAQAJNjk5OTA1NjQwAgIEAQEABjIwMTMxMgIEAgUCBgIHAggCCQKyAgsCDAINAggCCAIIAggCCAIIAggCCAIIAggCCAIIAggCCAIIAggCCAIqAgMEAgFzcQB+AAAAAAACc3EAfgAE///////////////+/////v////91cQB+AAcAAAADFOXkeHg=]]></xxe4awand>
</file>

<file path=customXml/item50.xml><?xml version="1.0" encoding="utf-8"?>
<xxe4awand xmlns="http://www.excel4apps.com"><![CDATA[rO0ABXfZCMCtii8CLAJ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0UCHgACAQICAiYCBAIFAgYCBwIIAgkCHAILAgwCDQIIAggCCAIIAggCCAIIAggCCAIIAggCCAIIAggCCAIIAggCEgIDAiQ=]]></xxe4awand>
</file>

<file path=customXml/item51.xml><?xml version="1.0" encoding="utf-8"?>
<xxe4awand xmlns="http://www.excel4apps.com"><![CDATA[rO0ABXfZCMCtii8CLgJ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d4oCHgACAQICAmoCBAIFAgYCBwIIAgkCCgILAgwCDQIIAggCCAIIAggCCAIIAggCCAIIAggCCAIIAggCCAIIAggCEwIDAoMCHgACAQICAmcCBAIFAgYCBwIIAgkCHAILAgwCDQIIAggCCAIIAggCCAIIAggCCAIIAggCCAIIAggCCAIIAggCEwIDAig=]]></xxe4awand>
</file>

<file path=customXml/item52.xml><?xml version="1.0" encoding="utf-8"?>
<xxe4awand xmlns="http://www.excel4apps.com"><![CDATA[rO0ABXfaCMCtii8CAgRn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Ah4AAvQCAgJXAgQCBQIGAgcCCAIJAo4CCwKJAg0CCAIIAggCCAIIAggCCAIIAggCCAIIAggCCAIIAggCCAIIAhMCAwK2Ah4AAvQCAgI7AgQCBQIGAgcCCAIJAh4CCwKJAg0CCAIIAggCCAIIAggCCAIIAggCCAIIAggCCAIIAggCCAIIAhMCAwK/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AgoCCwIMAg0CCAIIAggCCAIIAggCCAIIAggCCAIIAggCCAIIAggCCAIIAgMCAwJ+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HNxAH4AAAAAAAJzcQB+AAT///////////////7////+/////3VxAH4ABwAAAAMU5eR4eHoAAAQAAh4AAvkACTQ3NTU5OTQyNAICAjICBAIFAgYCBwIIAgkCCgILAgwCDQIIAggCCAIIAggCCAIIAggCCAIIAggCCAIIAggCCAIIAggCKQIDAnMCHgAC+QICAlMCBAIFAgYCBwIIAgkCIgILAgwCDQIIAggCCAIIAggCCAIIAggCCAIIAggCCAIIAggCCAIIAggCKQIDAnkCHgAC+QICAkACBAIFAgYCBwIIAgkCIgILAgwCDQIIAggCCAIIAggCCAIIAggCCAIIAggCCAIIAggCCAIIAggCKQIDAkECHgAC+QICAi8CBAIFAgYCBwIIAgkCHgILAgwCDQIIAggCCAIIAggCCAIIAggCCAIIAggCCAIIAggCCAIIAggCKQIDAnsCHgAC+QICAhsCBAIFAgYCBwIIAgkCHgILAgwCDQIIAggCCAIIAggCCAIIAggCCAIIAggCCAIIAggCCAIIAggCKQIDAn8CHgAC+QICAtgCBAIFAgYCBwIIAgkCCgILAgwCDQIIAggCCAIIAggCCAIIAggCCAIIAggCCAIIAggCCAIIAggCKQIDAuwCHgAC+QICAkUCBAIFAgYCBwIIAgkCIgILAgwCDQIIAggCCAIIAggCCAIIAggCCAIIAggCCAIIAggCCAIIAggCKQIDAiMCHgAC+QICAl4CBAIFAgYCBwIIAgkCIgILAgwCDQIIAggCCAIIAggCCAIIAggCCAIIAggCCAIIAggCCAIIAggCKQIDAoUCHgAC+QICAkICBAIFAgYCBwIIAgkCCgILAgwCDQIIAggCCAIIAggCCAIIAggCCAIIAggCCAIIAggCCAIIAggCKQIDAk0CHgAC+QICAjICBAIFAgYCBwIIAgkCHgILAgwCDQIIAggCCAIIAggCCAIIAggCCAIIAggCCAIIAggCCAIIAggCKQIDAk8CHgAC+QICAjsCBAIFAgYCBwIIAgkCHgILAgwCDQIIAggCCAIIAggCCAIIAggCCAIIAggCCAIIAggCCAIIAggCKQIDAlUCHgAC+QICAuECBAIFAgYCBwIIAgkCIgILAgwCDQIIAggCCAIIAggCCAIIAggCCAIIAggCCAIIAggCCAIIAggCKQIDAiMCHgAC+QICAm8CBAIFAgYCBwIIAgkCCgILAgwCDQIIAggCCAIIAggCCAIIAggCCAIIAggCCAIIAggCCAIIAggCKQIDAoYCHgAC+QICAikCBAIFAgYCBwIIAgkCHgILAgwCDQIIAggCCAIIAggCCAIIAggCCAIIAggCCAIIAggCCAIIAggCKQIDAioCHgAC+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QICAmQCBAIFAgYCBwIIAgkCIgILAgwCDQIIAggCCAIIAggCCAIIAggCCAIIAggCCAIIAggCCAIIAggCKQIDAmUCHgAC+QICAi8CBAIFAgYCBwIIAgkCCgILAgwCDQIIAggCCAIIAggCCAIIAggCCAIIAggCCAIIAggCCAIIAggCKQIDAjACHgAC+QICAmcCBAIFAgYCBwIIAgkCCgILAgwCDQIIAggCCAIIAggCCAIIAggCCAIIAggCCAIIAggCCAIIAggCKQIDAmoCHgAC+QICAnECBAIFAgYCBwIIAgkCCgILAgwCDQIIAggCCAIIAggCCAIIAggCCAIIAggCCAIIAggCCAIIAggCKQIDAnICHgAC+QICAjkCBAIFAgYCBwIIAgkCHgILAgwCDQIIAggCCAIIAggCCAIIAggCCAIIAggCCAIIAggCCAIIAggCKQIDAjoCHgAC+QICAgMCBAIFAgYCBwIIAgkCHgILAgwCDQIIAggCCAIIAggCCAIIAggCCAIIAggCCAIIAggCCAIIAggCKQIDAnoCHgAC+QICAkICBAIFAgYCBwIIAgkCIgILAgwCDQIIAggCCAIIAggCCAIIAggCCAIIAggCCAIIAggCCAIIAggCKQIDAkMCHgAC+QICAlMCBAIFAgYCBwIIAgkCCgILAgwCDQIIAggCCAIIAggCCAIIAggCCAIIAggCCAIIAggCCAIIAggCKQIDAncCHgAC+QICAtgCBAIFAgYCBwIIAgkCIgILAgwCDQIIAggCCAIIAggCCAIIAggCCAIIAggCCAIIAggCCAIIAggCKQIDAiMCHgAC+QICAkUCBAIFAgYCBwIIAgkCCgILAgwCDQIIAggCCAIIAggCCAIIAggCCAIIAggCCAIIAggCCAIIAggCKQIDAkYCHgAC+QICAkACBAIFAgYCBwIIAgkCCgILAgwCDQIIAggCCAIIAggCCAIIAggCCAIIAggCCAIIAggCCAIIAggCKQIDAkcCHgAC+QICAm8CBAIFAgYCBwIIAgkCIgILAgwCDQIIAggCCAIIAggCCAIIAggCCAIIAggCCAIIAggCCAIIAggCKQIDAoMCHgAC+QICAisCBAIFAgYCBwIIAgkCHgILAgwCDQIIAggCCAIIAggCCAIIAggCCAIIAggCCAIIAggCCAIIAggCKQIDAlACHgAC+QICAlMCBAIFAgYCBwIIAgkCHgILAgwCDQIIAggCCAIIAggCCAIIAggCCAIIAggCCAIIAggCCAIIAggCKQIDAlQCHgAC+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Ah4AAvkCAgIdAgQCBQIGAgcCCAIJAiICCwIMAg0CCAIIAggCCAIIAggCCAIIAggCCAIIAggCCAIIAggCCAIIAikCAwJ1Ah4AAvkCAgIpAgQCBQIGAgcCCAIJAgoCCwIMAg0CCAIIAggCCAIIAggCCAIIAggCCAIIAggCCAIIAggCCAIIAikCAwJ+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QICAlwCBAIFAgYCBwIIAgkCCgILAgwCDQIIAggCCAIIAggCCAIIAggCCAIIAggCCAIIAggCCAIIAggCKQIDAl0CHgAC+QICAicCBAIFAgYCBwIIAgkCHgILAgwCDQIIAggCCAIIAggCCAIIAggCCAIIAggCCAIIAggCCAIIAggCKQIDAigCHgAC+QICAkICBAIFAgYCBwIIAgkCHgILAgwCDQIIAggCCAIIAggCCAIIAggCCAIIAggCCAIIAggCCAIIAggCKQIDAmICHgAC+QICAtgCBAIFAgYCBwIIAgkCHgILAgwCDQIIAggCCAIIAggCCAIIAggCCAIIAggCCAIIAggCCAIIAggCKQIDAusCHgAC+QICAhsCBAIFAgYCBwIIAgkCIgILAgwCDQIIAggCCAIIAggCCAIIAggCCAIIAggCCAIIAggCCAIIAggCKQIDAiQCHgAC+QICAgMCBAIFAgYCBwIIAgkCCgILAgwCDQIIAggCCAIIAggCCAIIAggCCAIIAggCCAIIAggCCAIIAggCKQIDAg4CHgAC+QICAnECBAIFAgYCBwIIAgkCIgILAgwCDQIIAggCCAIIAggCCAIIAggCCAIIAggCCAIIAggCCAIIAggCKQIDAiMCHgAC+QICAmcCBAIFAgYCBwIIAgkCIgILAgwCDQIIAggCCAIIAggCCAIIAggCCAIIAggCCAIIAggCCAIIAggCKQIDAmgCHgAC+QICAjcCBAIFAgYCBwIIAgkCHgILAgwCDQIIAggCCAIIAggCCAIIAggCCAIIAggCCAIIAggCCAIIAggCKQIDAjgCHgAC+QICAt4CBAIFAgYCBwIIAgkCHgILAgwCDQIIAggCCAIIAggCCAIIAggCCAIIAggCCAIIAggCCAIIAggCKQIDAusCHgAC+QICAi0CBAIFAgYCBwIIAgkCHgILAgwCDQIIAggCCAIIAggCCAIIAggCCAIIAggCCAIIAggCCAIIAggCKQIDAi4CHgAC+QICAi8CBAIFAgYCBwIIAgkCIgILAgwCDQIIAggCCAIIAggCCAIIAggCCAIIAggCCAIIAggCCAIIAggCKQIDAjECHgAC+QICAmQCBAIFAgYCBwIIAgkCCgILAgwCDQIIAggCCAIIAggCCAIIAggCCAIIAggCCAIIAggCCAIIAggCKQIDAm0CHgAC+gAJMzMzODI3NzM2AgICPQIEAgUCBgIHAggCCQIeAgsCDAINAggCCAIIAggCCAIIAggCCAIIAggCCAIIAggCCAIIAggCCAIYAgMCPgIeAAL6AgICKQIEAgUCBgIHAggCCQIKAgsCDAINAggCCAIIAggCCHoAAAQAAggCCAIIAggCCAIIAggCCAIIAggCCAIIAhgCAwJ+Ah4AAvoCAgIlAgQCBQIGAgcCCAIJAgoCCwIMAg0CCAIIAggCCAIIAggCCAIIAggCCAIIAggCCAIIAggCCAIIAhgCAwJEAh4AAvoCAgInAgQCBQIGAgcCCAIJAgoCCwIMAg0CCAIIAggCCAIIAggCCAIIAggCCAIIAggCCAIIAggCCAIIAhgCAwI/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gICAicCBAIFAgYCBwIIAgkCIgILAgwCDQIIAggCCAIIAggCCAIIAggCCAIIAggCCAIIAggCCAIIAggCGAIDAiMCHgAC+gICAjkCBAIFAgYCBwIIAgkCIgILAgwCDQIIAggCCAIIAggCCAIIAggCCAIIAggCCAIIAggCCAIIAggCGAIDAlYCHgAC+gICAi0CBAIFAgYCBwIIAgkCIgILAgwCDQIIAggCCAIIAggCCAIIAggCCAIIAggCCAIIAggCCAIIAggCGAIDAiMCHgAC+gICAjUCBAIFAgYCBwIIAgkCCgILAgwCDQIIAggCCAIIAggCCAIIAggCCAIIAggCCAIIAggCCAIIAggCGAIDAocCHgAC+gICAh0CBAIFAgYCBwIIAgkCIgILAgwCDQIIAggCCAIIAggCCAIIAggCCAIIAggCCAIIAggCCAIIAggCGAIDAnUCHgAC+gICAlcCBAIFAgYCBwIIAgkCHgILAgwCDQIIAggCCAIIAggCCAIIAggCCAIIAggCCAIIAggCCAIIAggCGAIDAlgCHgAC+gICAlECBAIFAgYCBwIIAgkCHgILAgwCDQIIAggCCAIIAggCCAIIAggCCAIIAggCCAIIAggCCAIIAggCGAIDAlICHgAC+gICAmQCBAIFAgYCBwIIAgkCHgILAgwCDQIIAggCCAIIAggCCAIIAggCCAIIAggCCAIIAggCCAIIAggCGAIDAoACHgAC+gICAj0CBAIFAgYCBwIIAgkCIgILAgwCDQIIAggCCAIIAggCCAIIAggCCAIIAggCCAIIAggCCAIIAggCGAIDAlsCHgAC+gICAh0CBAIFAgYCBwIIAgkCHgILAgwCDQIIAggCCAIIAggCCAIIAggCCAIIAggCCAIIAggCCAIIAggCGAIDAh8CHgAC+gICAisCBAIFAgYCBwIIAgkCIgILAgwCDQIIAggCCAIIAggCCAIIAggCCAIIAggCCAIIAggCCAIIAggCGAIDAjQCHgAC+gICAkgCBAIFAgYCBwIIAgkCIgILAgwCDQIIAggCCAIIAggCCAIIAggCCAIIAggCCAIIAggCCAIIAggCGAIDAloCHgAC+gICAj0CBAIFAgYCBwIIAgkCCgILAgwCDQIIAggCCAIIAggCCAIIAggCCAIIAggCCAIIAggCCAIIAggCGAIDAmkCHgAC+gICAlECBAIFAgYCBwIIAgkCIgILAgwCDQIIAggCCAIIAggCCAIIAggCCAIIAggCCAIIAggCCAIIAggCGAIDAiMCHgAC+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gICAjsCBAIFAgYCBwIIAgkCHgILAgwCDQIIAggCCAIIAggCCAIIAggCCAIIAggCCAIIAggCCAIIAggCGAIDAlUCHgAC+gICAjICBAIFAgYCBwIIAgkCHgILAgwCDQIIAggCCAIIAggCCAIIAggCCAIIAggCCAIIAggCCAIIAggCGAIDAk8CHgAC+gICAisCBAIFAgYCBwIIAgkCHgILAgwCDQIIAggCCAIIAggCCAIIAggCCAIIAggCCAIIAggCCAIIAggCGAIDAlACHgAC+gICAlwCBAIFAgYCBwIIAgkCCgILAgwCDQIIAggCCAIIAggCCAIIAggCCAIIAggCCAIIAggCCAIIAggCGAIDAl0CHgAC+gICAhsCBAIFAgYCBwIIAgkCCgILAgwCDQIIAggCCAIIAggCCAIIAggCCAIIAggCCAIIAggCCAIIAggCGAIDAhwCHgAC+gICAkICBAIFAgYCBwIIAgkCHgILAgwCDQIIAggCCAIIAggCCAIIAggCCAIIAggCCAIIAggCCAIIAggCGAIDAmICHgAC+gICAl4CBAIFAgYCBwIIAgkCCgILAgwCDQIIAggCCAIIAggCCAIIAggCCAIIAggCCAIIAggCCAIIAggCGAIDAl8CHgAC+gICAicCBAIFAgYCBwIIAgkCHgILAgwCDQIIAggCCAIIAggCCAIIAggCCAIIAggCCAIIAggCCAIIAggCGAIDAigCHgAC+gICAgMCBAIFAgYCBwIIAgkCIgILAgwCDQIIAggCCAIIAggCCAIIAggCCAIIAggCCAIIAggCCAIIAggCGAIDAiMCHgAC+gICAgMCBAIFAgYCBwIIAgkCCgILAgwCDQIIAggCCAIIAggCCAIIAggCCAIIAggCCAIIAggCCAIIAggCGAIDAg4CHgAC+gICAkACBAIFAgYCBwIIAgkCHgILAgwCDQIIAggCCAIIAggCCAIIAggCCAIIAggCCAIIAggCCAIIAggCGAIDAmMCHgAC+gICAiUCBAIFAgYCBwIIAgkCHgILAgwCDQIIAggCCAIIAggCCAIIAggCCAIIAggCCAIIAggCCAIIAggCGAIDAiYCHgAC+gICAmQCBAIFAgYCBwIIAgkCIgILAgwCDQIIAggCCAIIAggCCAIIAggCCAIIAggCCAIIAggCCAIIAggCGAIDAmUCHgAC+gICAmQCBAIFAgYCBwIIAgkCCgILAgwCDQIIAggCCAIIAggCCAIIAggCCAIIAggCCAIIAggCCAIIAggCGAIDAm0CHgAC+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wICAlECBAIFAgYCBwIIAgkCHgILAokCDQIIAggCCAIIAggCCAIIAggCCAIIAggCCAIIAggCCAIIAggCBAIDApkCHgAC+wICAi0CBAIFAgYCBwIIAgkCHgILAokCDQIIAggCCAIIAggCCAIIAggCCAIIAggCCAIIAggCCAIIAggCBAIDAuACHgAC+wICAikCBAIFAgYCBwIIAgkCHgILAokCDQIIAggCCAIIAggCCAIIAggCCAIIAggCCAIIAggCCAIIAggCBAIDAqoCHgAC+wICAkgCBAIFAgYCBwIIAgkCHgILAokCDQIIAggCCAIIAggCCAIIAggCCAIIAggCCAIIAggCCAIIAggCBAIDApgCHgAC+wICAjUCBAIFAgYCBwIIAgkCHgILAokCDQIIAggCCAIIAggCCAIIAggCCAIIAggCCAIIAggCCAIIAggCBAIDAqsCHgAC+wICAicCBAIFAgYCBwIIAgkCHgILAokCDQIIAggCCAIIAggCCAIIAggCCAIIAggCCAIIAggCCAIIAggCBAIDApACHgAC+wICAkACBAIFAgYCBwIIAgkCHgILAokCDQIIAggCCAIIAggCCAIIAggCCAIIAggCCAIIAggCCAIIAggCBAIDAs0CHgAC+wICAhsCBAIFAgYCBwIIAgkCHgILAokCDQIIAggCCAIIAggCCAIIAggCCAIIAggCCAIIAggCCAIIAggCBAIDAqECHgAC+wICAiACBAIFAgYCBwIIAgkCHgILAokCDQIIAggCCAIIAggCCAIIAggCCAIIAggCCAIIAggCCAIIAggCBAIDAtcCHgAC+wICAkUCBAIFAgYCBwIIAgkCHgILAokCDQIIAggCCAIIAggCCAIIAggCCAIIAggCCAIIAggCCAIIAggCBAIDArMCHgAC+wICAgMCBAIFAgYCBwIIAgkCHgILAokCDQIIAggCCAIIAggCCAIIAggCCAIIAggCCAIIAggCCAIIAggCBAIDAtMCHgAC/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AICAmQCBAIFAgYCBwIIAgkCCgILAokCDQIIAggCCAIIAggCCAIIAggCCAIIAggCCAIIAggCCAIIAggCFQIDAsICHgAC/AICAnECBAIFAgYCBwIIAgkCCgILAokCDQIIAggCCAIIAggCCAIIAggCCAIIAggCCAIIAggCCAIIAggCFQIDAtsCHgAC/AICAmcCBAIFAgYCBwIIAgkCCgILAokCDQIIAggCCAIIAggCCAIIAggCCAIIAggCCAIIAggCCAIIAggCFQIDAsgCHgAC/AICAl4CBAIFAgYCBwIIAgkCHgILAokCDQIIAggCCAIIAggCCAIIAggCCAIIAggCCAIIAggCCAIIAggCFQIDAqACHgAC/AICAi0CBAIFAgYCBwIIAgkCjgILAokCDQIIAggCCAIIAggCCAIIAggCCAIIAggCCAIIAggCCAIIAggCFQIDAiMCHgAC/AICAisCBAIFAgYCBwIIAgkCCgILAokCDQIIAggCCAIIAggCCAIIAggCCAIIAggCCAIIAggCCAIIAggCFQIDAqUCHgAC/AICAlECBAIFAgYCBwIIAgkCCgILAokCDQIIAggCCAIIAggCCAIIAggCCAIIAggCCAIIAggCCAIIAggCFQIDAqYCHgAC/AICAjsCBAIFAgYCBwIIAgkCCgILAokCDQIIAggCCAIIAggCCAIIAggCCAIIAggCCAIIAggCCAIIAggCFQIDAqMCHgAC/AICAkICBAIFAgYCBwIIAgkCjgILAokCDQIIAggCCAIIAggCCAIIAggCCAIIAggCCAIIAggCCAIIAggCFQIDAq4CHgAC/AICAm8CBAIFAgYCBwIIAgkCHgILAokCDQIIAggCCAIIAggCCAIIAggCCAIIAggCCAIIAggCCAIIAggCFQIDAp8CHgAC/AICAkgCBAIFAgYCBwIIAgkCCgILAokCDQIIAggCCAIIAggCCAIIAggCCAIIAggCCAIIAggCCAIIAggCFQIDArACHgAC/AICAkACBAIFAgYCBwIIAgkCjgILAokCDQIIAggCCAIIAggCCAIIAggCCAIIAggCCAIIAggCCAIIAggCFQIDAq0CHgAC/AICAj0CBAIFAgYCBwIIAgkCCgILAokCDQIIAggCCAIIAggCCAIIAggCCAIIAggCCAIIAggCCAIIAggCFQIDArECHgAC/AICAhsCBAIFAgYCBwIIAgkCjgILAokCDQIIAggCCAIIAggCCAIIAggCCAIIAggCCAIIAggCCAIIAggCFQIDApwCHgAC/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AICAjUCBAIFAgYCBwIIAgkCjgILAokCDQIIAggCCAIIAggCCAIIAggCCAIIAggCCAIIAggCCAIIAggCFQIDAscCHgAC/AICAgMCBAIFAgYCBwIIAgkCHgILAokCDQIIAggCCAIIAggCCAIIAggCCAIIAggCCAIIAggCCAIIAggCFQIDAtMCHgAC/AICAlcCBAIFAgYCBwIIAgkCCgILAokCDQIIAggCCAIIAggCCAIIAggCCAIIAggCCAIIAggCCAIIAggCFQIDAqcCHgAC/AICAjkCBAIFAgYCBwIIAgkCjgILAokCDQIIAggCCAIIAggCCAIIAggCCAIIAggCCAIIAggCCAIIAggCFQIDAqgCHgAC/AICAi0CBAIFAgYCBwIIAgkCHgILAokCDQIIAggCCAIIAggCCAIIAggCCAIIAggCCAIIAggCCAIIAggCFQIDAuACHgAC/AICAjcCBAIFAgYCBwIIAgkCHgILAokCDQIIAggCCAIIAggCCAIIAggCCAIIAggCCAIIAggCCAIIAggCFQIDAsUCHgAC/AICAjcCBAIFAgYCBwIIAgkCjgILAokCDQIIAggCCAIIAggCCAIIAggCCAIIAggCCAIIAggCCAIIAggCFQIDAqICHgAC/AICAjkCBAIFAgYCBwIIAgkCHgILAokCDQIIAggCCAIIAggCCAIIAggCCAIIAggCCAIIAggCCAIIAggCFQIDAs8CHgAC/AICAkICBAIFAgYCBwIIAgkCHgILAokCDQIIAggCCAIIAggCCAIIAggCCAIIAggCCAIIAggCCAIIAggCFQIDAswCHgAC/AICAikCBAIFAgYCBwIIAgkCjgILAokCDQIIAggCCAIIAggCCAIIAggCCAIIAggCCAIIAggCCAIIAggCFQIDAsoCHgAC/AICAiACBAIFAgYCBwIIAgkCjgILAokCDQIIAggCCAIIAggCCAIIAggCCAIIAggCCAIIAggCCAIIAggCFQIDAiMCHgAC/AICAlwCBAIFAgYCBwIIAgkCHgILAokCDQIIAggCCAIIAggCCAIIAggCCAIIAggCCAIIAggCCAIIAggCFQIDApsCHgAC/AICAlwCBAIFAgYCBwIIAgkCCgILAokCDQIIAggCCAIIAggCCAIIAggCCAIIAggCCAIIAggCCAIIAggCFQIDAtACHgAC/AICAi8CBAIFAgYCBwIIAgkCCgILAokCDQIIAggCCAIIAggCCAIIAggCCAIIAggCCAIIAggCCAIIAggCFQIDAtECHgAC/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QICAkACBAIFAgYCBwIIAgkCIgILAgwCDQIIAggCCAIIAggCCAIIAggCCAIIAggCCAIIAggCCAIIAggCGgIDAkECHgAC/QICAkACBAIFAgYCBwIIAgkCCgILAgwCDQIIAggCCAIIAggCCAIIAggCCAIIAggCCAIIAggCCAIIAggCGgIDAkcCHgAC/QICAjICBAIFAgYCBwIIAgkCHgILAgwCDQIIAggCCAIIAggCCAIIAggCCAIIAggCCAIIAggCCAIIAggCGgIDAk8CHgAC/QICAl4CBAIFAgYCBwIIAgkCCgILAgwCDQIIAggCCAIIAggCCAIIAggCCAIIAggCCAIIAggCCAIIAggCGgIDAl8CHgAC/QICAkUCBAIFAgYCBwIIAgkCHgILAgwCDQIIAggCCAIIAggCCAIIAggCCAIIAggCCAIIAggCCAIIAggCGgIDAoQCHgAC/QICAm8CBAIFAgYCBwIIAgkCIgILAgwCDQIIAggCCAIIAggCCAIIAggCCAIIAggCCAIIAggCCAIIAggCGgIDAoMCHgAC/QICAl4CBAIFAgYCBwIIAgkCIgILAgwCDQIIAggCCAIIAggCCAIIAggCCAIIAggCCAIIAggCCAIIAggCGgIDAoUCHgAC/QICAlMCBAIFAgYCBwIIAgkCHgILAgwCDQIIAggCCAIIAggCCAIIAggCCAIIAggCCAIIAggCCAIIAggCGgIDAlQCHgAC/QICAm8CBAIFAgYCBwIIAgkCCgILAgwCDQIIAggCCAIIAggCCAIIAggCCAIIAggCCAIIAggCCAIIAggCGgIDAoYCHgAC/QICAi8CBAIFAgYCBwIIAgkCIgILAgwCDQIIAggCCAIIAggCCAIIAggCCAIIAggCCAIIAggCCAIIAggCGgIDAjECHgAC/QICAi0CBAIFAgYCBwIIAgkCHgILAgwCDQIIAggCCAIIAggCCAIIAggCCAIIAggCCAIIAggCCAIIAggCGgIDAi4CHgAC/QICAjkCBAIFAgYCBwIIAgkCHgILAgwCDQIIAggCCAIIAggCCAIIAggCCAIIAggCCAIIAggCCAIIAggCGgIDAjoCHgAC/QICAkACBAIFAgYCBwIIAgkCHgILAgwCDQIIAggCCAIIAggCCAIIAggCCAIIAggCCAIIAggCCAIIAggCGgIDAmMCHgAC/QICAmcCBAIFAgYCBwIIAgkCIgILAgwCDQIIAggCCAIIAggCCAIIAggCCAIIAggCCAIIAggCCAIIAggCGgIDAmgCHgAC/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Ah4AAv0CAgIlAgQCBQIGAgcCCAIJAh4CCwIMAg0CCAIIAggCCAIIAggCCAIIAggCCAIIAggCCAIIAggCCAIIAhoCAwImAh4AAv0CAgInAgQCBQIGAgcCCAIJAgoCCwIMAg0CCAIIAggCCAIIAggCCAIIAggCCAIIAggCCAIIAggCCAIIAhoCAwI/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QICAh0CBAIFAgYCBwIIAgkCIgILAgwCDQIIAggCCAIIAggCCAIIAggCCAIIAggCCAIIAggCCAIIAggCGgIDAnUCHgAC/QICAjkCBAIFAgYCBwIIAgkCCgILAgwCDQIIAggCCAIIAggCCAIIAggCCAIIAggCCAIIAggCCAIIAggCGgIDAkoCHgAC/QICAi0CBAIFAgYCBwIIAgkCCgILAgwCDQIIAggCCAIIAggCCAIIAggCCAIIAggCCAIIAggCCAIIAggCGgIDAlkCHgAC/QICAjUCBAIFAgYCBwIIAgkCIgILAgwCDQIIAggCCAIIAggCCAIIAggCCAIIAggCCAIIAggCCAIIAggCGgIDAnYCHgAC/QICAmQCBAIFAgYCBwIIAgkCHgILAgwCDQIIAggCCAIIAggCCAIIAggCCAIIAggCCAIIAggCCAIIAggCGgIDAoACHgAC/QICAjcCBAIFAgYCBwIIAgkCCgILAgwCDQIIAggCCAIIAggCCAIIAggCCAIIAggCCAIIAggCCAIIAggCGgIDAk4CHgAC/QICAmcCBAIFAgYCBwIIAgkCHgILAgwCDQIIAggCCAIIAggCCAIIAggCCAIIAggCCAIIAggCCAIIAggCGgIDAoECHgAC/QICAjUCBAIFAgYCBwIIAgkCCgILAgwCDQIIAggCCAIIAggCCAIIAggCCAIIAggCCAIIAggCCAIIAggCGgIDAocCHgAC/QICAlcCBAIFAgYCBwIIAgkCHgILAgwCDQIIAggCCAIIAggCCAIIAggCCAIIAggCCAIIAggCCAIIAggCGgIDAlgCHgAC/QICAj0CBAIFAgYCBwIIAgkCCgILAgwCDQIIAggCCAIIAggCCAIIAggCCAIIAggCCAIIAggCCAIIAggCGgIDAmkCHgAC/QICAjsCBAIFAgYCBwIIAgkCCgILAgwCDQIIAggCCAIIAggCCAIIAggCCAIIAggCCAIIAggCCAIIAggCGgIDAjwCHgAC/QICAlcCBAIFAgYCBwIIAgkCIgILAgwCDQIIAggCCAIIAggCCAIIAggCCAIIAggCCAIIAggCCAIIAggCGgIDAmECHgAC/QICAj0CBAIFAgYCBwIIAgkCIgILAgwCDQIIAggCCAIIAggCCAIIAggCCAIIAggCCAIIAggCCAIIAggCGgIDAlsCHgAC/QICAh0CBAIFAgYCBwIIAgkCHgILAgwCDQIIAggCCAIIAggCCAIIAggCCAIIAggCCAIIAggCCAIIAggCGgIDAh8CHgAC/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gICAjICBAIFAgYCBwIIAgkCHgILAgwCDQIIAggCCAIIAggCCAIIAggCCAIIAggCCAIIAggCCAIIAggCHAIDAk8CHgAC/gICAlMCBAIFAgYCBwIIAgkCHgILAgwCDQIIAggCCAIIAggCCAIIAggCCAIIAggCCAIIAggCCAIIAggCHAIDAlQCHgAC/gICAm8CBAIFAgYCBwIIAgkCCgILAgwCDQIIAggCCAIIAggCCAIIAggCCAIIAggCCAIIAggCCAIIAggCHAIDAoYCHgAC/gICAkUCBAIFAgYCBwIIAgkCHgILAgwCDQIIAggCCAIIAggCCAIIAggCCAIIAggCCAIIAggCCAIIAggCHAIDAoQCHgAC/gICAl4CBAIFAgYCBwIIAgkCCgILAgwCDQIIAggCCAIIAggCCAIIAggCCAIIAggCCAIIAggCCAIIAggCHAIDAl8CHgAC/gICAj0CBAIFAgYCBwIIAgkCIgILAgwCDQIIAggCCAIIAggCCAIIAggCCAIIAggCCAIIAggCCAIIAggCHAIDAlsCHgAC/gICAl4CBAIFAgYCBwIIAgkCIgILAgwCDQIIAggCCAIIAggCCAIIAggCCAIIAggCCAIIAggCCAIIAggCHAIDAoUCHgAC/gICAm8CBAIFAgYCBwIIAgkCIgILAgwCDQIIAggCCAIIAggCCAIIAggCCAIIAggCCAIIAggCCAIIAggCHAIDAoMCHgAC/gICAj0CBAIFAgYCBwIIAgkCCgILAgwCDQIIAggCCAIIAggCCAIIAggCCAIIAggCCAIIAggCCAIIAggCHAIDAmkCHgAC/gICAkgCBAIFAgYCBwIIAgkCCgILAgwCDQIIAggCCAIIAggCCAIIAggCCAIIAggCCAIIAggCCAIIAggCHAIDAmACHgAC/gICAlwCBAIFAgYCBwIIAgkCCgILAgwCDQIIAggCCAIIAggCCAIIAggCCAIIAggCCAIIAggCCAIIAggCHAIDAl0CHgAC/gICAkgCBAIFAgYCBwIIAgkCIgILAgwCDQIIAggCCAIIAggCCAIIAggCCAIIAggCCAIIAggCCAIIAnoAAAQACAIcAgMCWgIeAAL+AgICQgIEAgUCBgIHAggCCQIeAgsCDAINAggCCAIIAggCCAIIAggCCAIIAggCCAIIAggCCAIIAggCCAIcAgMCYgIeAAL+AgICQAIEAgUCBgIHAggCCQIeAgsCDAINAggCCAIIAggCCAIIAggCCAIIAggCCAIIAggCCAIIAggCCAIcAgMCYwIeAAL+AgICGwIEAgUCBgIHAggCCQIeAgsCDAINAggCCAIIAggCCAIIAggCCAIIAggCCAIIAggCCAIIAggCCAIcAgMCfwIeAAL+AgICAwIEAgUCBgIHAggCCQIeAgsCDAINAggCCAIIAggCCAIIAggCCAIIAggCCAIIAggCCAIIAggCCAIcAgMCegIeAAL+AgICXAIEAgUCBgIHAggCCQIeAgsCDAINAggCCAIIAggCCAIIAggCCAIIAggCCAIIAggCCAIIAggCCAIcAgMCfAIeAAL+AgICKQIEAgUCBgIHAggCCQIiAgsCDAINAggCCAIIAggCCAIIAggCCAIIAggCCAIIAggCCAIIAggCCAIcAgMCdAIeAAL+AgICMgIEAgUCBgIHAggCCQIiAgsCDAINAggCCAIIAggCCAIIAggCCAIIAggCCAIIAggCCAIIAggCCAIcAgMCMwIeAAL+AgICUwIEAgUCBgIHAggCCQIKAgsCDAINAggCCAIIAggCCAIIAggCCAIIAggCCAIIAggCCAIIAggCCAIcAgMCdwIeAAL+AgICUwIEAgUCBgIHAggCCQIiAgsCDAINAggCCAIIAggCCAIIAggCCAIIAggCCAIIAggCCAIIAggCCAIcAgMCeQIeAAL+AgICHQIEAgUCBgIHAggCCQIiAgsCDAINAggCCAIIAggCCAIIAggCCAIIAggCCAIIAggCCAIIAggCCAIcAgMCdQIeAAL+AgICNQIEAgUCBgIHAggCCQIiAgsCDAINAggCCAIIAggCCAIIAggCCAIIAggCCAIIAggCCAIIAggCCAIcAgMCdgIeAAL+AgICUQIEAgUCBgIHAggCCQIKAgsCDAINAggCCAIIAggCCAIIAggCCAIIAggCCAIIAggCCAIIAggCCAIcAgMCZgIeAAL+AgICXgIEAgUCBgIHAggCCQIeAgsCDAINAggCCAIIAggCCAIIAggCCAIIAggCCAIIAggCCAIIAggCCAIcAgMCbgIeAAL+AgICbwIEAgUCBgIHAggCCQIeAgsCDAINAggCCAIIAggCCAIIAggCCAIIAggCCAIIAggCCAIIAggCCAIcAgMCcAIeAAL+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gICAjUCBAIFAgYCBwIIAgkCHgILAgwCDQIIAggCCAIIAggCCAIIAggCCAIIAggCCAIIAggCCAIIAggCHAIDAjYCHgAC/gICAjsCBAIFAgYCBwIIAgkCIgILAgwCDQIIAggCCAIIAggCCAIIAggCCAIIAggCCAIIAggCCAIIAggCHAIDAiMCHgAC/gICAlcCBAIFAgYCBwIIAgkCHgILAgwCDQIIAggCCAIIAggCCAIIAggCCAIIAggCCAIIAggCCAIIAggCHAIDAlgCHgAC/gICAjkCBAIFAgYCBwIIAgkCHgILAgwCDQIIAggCCAIIAggCCAIIAggCCAIIAggCCAIIAggCCAIIAggCHAIDAjoCHgAC/gICAjUCBAIFAgYCBwIIAgkCCgILAgwCDQIIAggCCAIIAggCCAIIAggCCAIIAggCCAIIAggCCAIIAggCHAIDAocCHgAC/gICAjkCBAIFAgYCBwIIAgkCIgILAgwCDQIIAggCCAIIAggCCAIIAggCCAIIAggCCAIIAggCCAIIAggCHAIDAlYCHgAC/gICAi8CBAIFAgYCBwIIAgkCIgILAgwCDQIIAggCCAIIAggCCAIIAggCCAIIAggCCAIIAggCCAIIAggCHAIDAjECHgAC/gICAjcCBAIFAgYCBwIIAgkCIgILAgwCDQIIAggCCAIIAggCCAIIAggCCAIIAggCCAIIAggCCAIIAggCHAIDAkwCHgAC/gICAi8CBAIFAgYCBwIIAgkCCgILAgwCDQIIAggCCAIIAggCCAIIAggCCAIIAggCCAIIAggCCAIIAggCHAIDAjACHgAC/gICAgMCBAIFAgYCBwIIAgkCCgILAgwCDQIIAggCCAIIAggCCAIIAggCCAIIAggCCAIIAggCCAIIAggCHAIDAg4CHgAC/gICAhsCBAIFAgYCBwIIAgkCCgILAgwCDQIIAggCCAIIAggCCAIIAggCCAIIAggCCAIIAggCCAIIAggCHAIDAhwCHgAC/gICAikCBAIFAgYCBwIIAgkCHgILAgwCDQIIAggCCAIIAggCCAIIAggCCAIIAggCCAIIAggCCAIIAggCHAIDAioCHgAC/gICAicCBAIFAgYCBwIIAgkCHgILAgwCDQIIAggCCAIIAggCCAIIAggCCAIIAggCCAIIAggCCAIIAggCHAIDAigCHgAC/gICAh0CBAIFAgYCBwIIAgkCHgILAgwCDQIIAggCCAIIAggCCAIIAggCCAIIAggCCAIIAggCCAIIAggCHAIDAh8CHgAC/gICAgMCBAIFAgYCBwIIAgkCIgILAgwCDXoAAAQAAggCCAIIAggCCAIIAggCCAIIAggCCAIIAggCCAIIAggCCAIcAgMCIwIeAAL+AgICJwIEAgUCBgIHAggCCQIiAgsCDAINAggCCAIIAggCCAIIAggCCAIIAggCCAIIAggCCAIIAggCCAIcAgMCIwIeAAL+AgICJQIEAgUCBgIHAggCCQIKAgsCDAINAggCCAIIAggCCAIIAggCCAIIAggCCAIIAggCCAIIAggCCAIcAgMCRAIeAAL+AgICJQIEAgUCBgIHAggCCQIiAgsCDAINAggCCAIIAggCCAIIAggCCAIIAggCCAIIAggCCAIIAggCCAIcAgMCSwIeAAL+AgICZwIEAgUCBgIHAggCCQIKAgsCDAINAggCCAIIAggCCAIIAggCCAIIAggCCAIIAggCCAIIAggCCAIcAgMCagIeAAL+AgICZAIEAgUCBgIHAggCCQIiAgsCDAINAggCCAIIAggCCAIIAggCCAIIAggCCAIIAggCCAIIAggCCAIcAgMCZQIeAAL+AgICNwIEAgUCBgIHAggCCQIeAgsCDAINAggCCAIIAggCCAIIAggCCAIIAggCCAIIAggCCAIIAggCCAIcAgMCOAIeAAL+AgICZAIEAgUCBgIHAggCCQIKAgsCDAINAggCCAIIAggCCAIIAggCCAIIAggCCAIIAggCCAIIAggCCAIcAgMCbQIeAAL+AgICUQIEAgUCBgIHAggCCQIeAgsCDAINAggCCAIIAggCCAIIAggCCAIIAggCCAIIAggCCAIIAggCCAIcAgMCUgIeAAL+AgICKwIEAgUCBgIHAggCCQIeAgsCDAINAggCCAIIAggCCAIIAggCCAIIAggCCAIIAggCCAIIAggCCAIcAgMCUAIeAAL+AgICQgIEAgUCBgIHAggCCQIKAgsCDAINAggCCAIIAggCCAIIAggCCAIIAggCCAIIAggCCAIIAggCCAIcAgMCTQIeAAL+AgICOwIEAgUCBgIHAggCCQIeAgsCDAINAggCCAIIAggCCAIIAggCCAIIAggCCAIIAggCCAIIAggCCAIcAgMCVQIeAAL+AgICQgIEAgUCBgIHAggCCQIiAgsCDAINAggCCAIIAggCCAIIAggCCAIIAggCCAIIAggCCAIIAggCCAIcAgMCQwIeAAL+AgICZwIEAgUCBgIHAggCCQIiAgsCDAINAggCCAIIAggCCAIIAggCCAIIAggCCAIIAggCCAIIAggCCAIcAgMCaAIeAAL+AgICPQIEAgUCBgIHAggCCQIeAgsCDAINAggCCAIIAggCCAIIAggCCAIIAggCCAIIAggCCAIIAggCCAIcAgMCPgIeAAL+AgICSAIEAgUCBgIHAnoAAAGMCAIJAh4CCwIMAg0CCAIIAggCCAIIAggCCAIIAggCCAIIAggCCAIIAggCCAIIAhwCAwJJAh4AAv4CAgJAAgQCBQIGAgcCCAIJAiICCwIMAg0CCAIIAggCCAIIAggCCAIIAggCCAIIAggCCAIIAggCCAIIAhwCAwJBAh4AAv4CAgInAgQCBQIGAgcCCAIJAgoCCwIMAg0CCAIIAggCCAIIAggCCAIIAggCCAIIAggCCAIIAggCCAIIAhwCAwI/Ah4AAv4CAgJFAgQCBQIGAgcCCAIJAgoCCwIMAg0CCAIIAggCCAIIAggCCAIIAggCCAIIAggCCAIIAggCCAIIAhwCAwJGAh4AAv4CAgJAAgQCBQIGAgcCCAIJAgoCCwIMAg0CCAIIAggCCAIIAggCCAIIAggCCAIIAggCCAIIAggCCAIIAhwCAwJHAh4AAv4CAgJFAgQCBQIGAgcCCAIJAiICCwIMAg0CCAIIAggCCAIIAggCCAIIAggCCAIIAggCCAIIAggCCAIIAhwCAwIj]]></xxe4awand>
</file>

<file path=customXml/item53.xml><?xml version="1.0" encoding="utf-8"?>
<xxe4awand xmlns="http://www.excel4apps.com"><![CDATA[rO0ABXfZCMCtii8ABJsFAh4AAERjb20uZXhjZWw0YXBwcy53YW5kLm9yYWNsZS5n
bHdhbmQuY2FsY3VsYXRpb25zLmdldGJhbGFuY2UuR2V0QmFsYW5jZQIBAAk0ODIx
Njg1MTICAgABMAIDAAYyMDE3MDICBAADWVREAgUAA1VTRAIGAAVUb3RhbAIHAAFB
AggAAAIJAAMwMDECCgAGMTkxMDE1AgsAAkdEAgwAAklE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EobreHh3VQIeAAIBAgICGwAGMjAxNzExAgQCBQIGAgcCCAIJAhwABjE5MTAw
MAILAgwCDQIIAggCCAIIAggCCAIIAggCCAIIAggCCAIIAggCCAIIAggCIAIDAh1zcQB+AAAAAAACc3EAfgAE///////////////+/////v////91cQB+AAcAAAAEHsB0bHh4d00CHgACAQICAh4ABjIwMTcwNQIEAgUCBgIHAggCCQIcAgsCDAINAggCCAIIAggCCAIIAggCCAIIAggCCAIIAggCCAIIAggCCAIgAgMCH3NxAH4AAAAAAAJzcQB+AAT///////////////7////+/////3VxAH4ABwAAAAQC12dUeHh3TQIeAAIBAgICIAAGMjAxNjA0AgQCBQIGAgcCCAIJAhwCCwIMAg0CCAIIAggCCAIIAggCCAIIAggCCAIIAggCCAIIAggCCAIIAiACAwIhc3EAfgAAAAAAAnNxAH4ABP///////////////v////7/////dXEAfgAHAAAABAJQHul4eHdVAh4AAgECAgIiAAYyMDE2MDICBAIFAgYCBwIIAgkCIwAGMTkxMDEwAgsCDAINAggCCAIIAggCCAIIAggCCAIIAggCCAIIAggCCAIIAggCCAIgAgMCJHNxAH4AAAAAAAJzcQB+AAT///////////////7////+/////3VxAH4ABwAAAAQbsx5ceHh3TQIeAAIBAgICJQAGMjAxNzAzAgQCBQIGAgcCCAIJAgoCCwIMAg0CCAIIAggCCAIIAggCCAIIAggCCAIIAggCCAIIAggCCAIIAiACAwImc3EAfgAAAAAAAnNxAH4ABP///////////////v////7/////dXEAfgAHAAAAAxKK33h4d0UCHgACAQICAiUCBAIFAgYCBwIIAgkCIwILAgwCDQIIAggCCAIIAggCCAIIAggCCAIIAggCCAIIAggCCAIIAggCIAIDAidzcQB+AAAAAAACc3EAfgAE///////////////+/////v////91cQB+AAcAAAAEJngfcXh4d00CHgACAQICAigABjIwMTcwMQIEAgUCBgIHAggCCQIKAgsCDAINAggCCAIIAggCCAIIAggCCAIIAggCCAIIAggCCAIIAggCCAIgAgMCKXNxAH4AAAAAAAJzcQB+AAT///////////////7////+/////3VxAH4ABwAAAAMSgvh4eHdNAh4AAgECAgIqAAYyMDE3MTACBAIFAgYCBwIIAgkCIwILAgwCDQIIAggCCAIIAggCCAIIAggCCAIIAggCCAIIAggCCAIIAggCIAIDAitzcQB+AAAAAAACc3EAfgAE///////////////+/////v////91cQB+AAcAAAAEQ0RN4Hh4d00CHgACAQICAiwABjIwMTYxMQIEAgUCBgIHAggCCQIcAgsCDAINAggCCAIIAggCCAIIAggCCAIIAggCCAIIAggCCAIIAggCCAIgAgMCLXNxAH4AAAAAAAJzcQB+AAT///////////////7////+/////3VxAH4ABwAAAAQlkNH7eHh3TQIeAAIBAgICLgAGMjAxNzEyAgQCBQIGAgcCCAIJAhwCCwIMAg0CCAIIAggCCAIIAggCCAIIAggCCAIIAggCCAIIAggCCAIIAiACAwIvc3EAfgAAAAAAAnNxAH4ABP///////////////v////7/////dXEAfgAHAAAABBa3qKJ4eHdNAh4AAgECAgIwAAYyMDE2MDMCBAIFAgYCBwIIAgkCIwILAgwCDQIIAggCCAIIAggCCAIIAggCCAIIAggCCAIIAggCCAIIAggCIAIDAjFzcQB+AAAAAAACc3EAfgAE///////////////+/////v////91cQB+AAcAAAAEHq4JT3h4d00CHgACAQICAjIABjIwMTcwNgIEAgUCBgIHAggCCQIcAgsCDAINAggCCAIIAggCCAIIAggCCAIIAggCCAIIAggCCAIIAggCCAIgAgMCM3NxAH4AAAAAAAJzcQB+AAT///////////////7////+/////3VxAH4ABwAAAAQBbUrSeHh3TQIeAAIBAgICNAAGMjAxNjEwAgQCBQIGAgcCCAIJAiMCCwIMAg0CCAIIAggCCAIIAggCCAIIAggCCAIIAggCCAIIAggCCAIIAiACAwI1c3EAfgAAAAAAAnNxAH4ABP///////////////v////7/////dXEAfgAHAAAABDSYRyN4eHdNAh4AAgECAgI2AAYyMDE3MDQCBAIFAgYCBwIIAgkCCgILAgwCDQIIAggCCAIIAggCCAIIAggCCAIIAggCCAIIAggCCAIIAggCIAIDAjdzcQB+AAAAAAACc3EAfgAE///////////////+/////v////91cQB+AAcAAAADEo7UeHh3TQIeAAIBAgICOAAGMjAxODAxAgQCBQIGAgcCCAIJAgoCCwIMAg0CCAIIAggCCAIIAggCCAIIAggCCAIIAggCCAIIAggCCAIIAiACAwI5c3EAfgAAAAAAAnNxAH4ABP///////////////v////4AAAAAdXEAfgAHAAAAAHh4d0UCHgACAQICAjYCBAIFAgYCBwIIAgkCIwILAgwCDQIIAggCCAIIAggCCAIIAggCCAIIAggCCAIIAggCCAIIAggCIAIDAjpzcQB+AAAAAAACc3EAfgAE///////////////+/////v////91cQB+AAcAAAAEKeDlE3h4d00CHgACAQICAjsABjIwMTYwNQIEAgUCBgIHAggCCQIcAgsCDAINAggCCAIIAggCCAIIAggCCAIIAggCCAIIAggCCAIIAggCCAIgAgMCPHNxAH4AAAAAAAJzcQB+AAT///////////////7////+/////3VxAH4ABwAAAAQBzUp3eHh3RQIeAAIBAgICGwIEAgUCBgIHAggCCQIjAgsCDAINAggCCAIIAggCCAIIAggCCAIIAggCCAIIAggCCAIIAggCCAIgAgMCPXNxAH4AAAAAAAJzcQB+AAT///////////////7////+/////3VxAH4ABwAAAAQcI3yQeHh3TQIeAAIBAgICPgAGMjAxNjEyAgQCBQIGAgcCCAIJAhwCCwIMAg0CCAIIAggCCAIIAggCCAIIAggCCAIIAggCCAIIAggCCAIIAiACAwI/c3EAfgAAAAAAAnNxAH4ABP///////////////v////7/////dXEAfgAHAAAABB0QqXR4eHdFAh4AAgECAgIgAgQCBQIGAgcCCAIJAiMCCwIMAg0CCAIIAggCCAIIAggCCAIIAggCCAIIAggCCAIIAggCCAIIAiACAwJAc3EAfgAAAAAAAnNxAH4ABP///////////////v////7/////dXEAfgAHAAAABCPGeP14eHdFAh4AAgECAgI4AgQCBQIGAgcCCAIJAiMCCwIMAg0CCAIIAggCCAIIAggCCAIIAggCCAIIAggCCAIIAggCCAIIAiACAwJBc3EAfgAAAAAAAnNxAH4ABP///////////////v////7/////dXEAfgAHAAAABCkgj4V4eHdFAh4AAgECAgIwAgQCBQIGAgcCCAIJAgoCCwIMAg0CCAIIAggCCAIIAggCCAIIAggCCAIIAggCCAIIAggCCAIIAiACAwJCc3EAfgAAAAAAAnNxAH4ABP///////////////v////7/////dXEAfgAHAAAAAxJbqXh4d0UCHgACAQICAiACBAIFAgYCBwIIAgkCCgILAgwCDQIIAggCCAIIAggCCAIIAggCCAIIAggCCAIIAggCCAIIAggCIAIDAkNzcQB+AAAAAAACc3EAfgAE///////////////+/////v////91cQB+AAcAAAADEl+UeHh3RQIeAAIBAgICIgIEAgUCBgIHAggCCQIcAgsCDAINAggCCAIIAggCCAIIAggCCAIIAggCCAIIAggCCAIIAggCCAIgAgMCRHNxAH4AAAAAAAJzcQB+AAT///////////////7////+/////3VxAH4ABwAAAAQEW5IQeHh3RQIeAAIBAgICKgIEAgUCBgIHAggCCQIKAgsCDAINAggCCAIIAggCCAIIAggCCAIIAggCCAIIAggCCAIIAggCCAIgAgMCRXNxAH4AAAAAAAJzcQB+AAT///////////////7////+/////3VxAH4ABwAAAAMSpqJ4eHdFAh4AAgECAgIeAgQCBQIGAgcCCAIJAgoCCwIMAg0CCAIIAggCCAIIAggCCAIIAggCCAIIAggCCAIIAggCCAIIAiACAwJGc3EAfgAAAAAAAnNxAH4ABP///////////////v////7/////dXEAfgAHAAAAAxKSynh4d0UCHgACAQICAh4CBAIFAgYCBwIIAgkCIwILAgwCDQIIAggCCAIIAggCCAIIAggCCAIIAggCCAIIAggCCAIIAggCIAIDAkdzcQB+AAAAAAACc3EAfgAE///////////////+/////v////91cQB+AAcAAAAEKiZPC3h4d00CHgACAQICAkgABjIwMTYwOQIEAgUCBgIHAggCCQIKAgsCDAINAggCCAIIAggCCAIIAggCCAIIAggCCAIIAggCCAIIAggCCAIgAgMCSXNxAH4AAAAAAAJzcQB+AAT///////////////7////+/////3VxAH4ABwAAAAMSczV4eHdNAh4AAgECAgJKAAYyMDE3MDgCBAIFAgYCBwIIAgkCHAILAgwCDQIIAggCCAIIAggCCAIIAggCCAIIAggCCAIIAggCCAIIAggCIAIDAktzcQB+AAAAAAACc3EAfgAE///////////////+/////gAAAAF1cQB+AAcAAAAD/4leeHh3RQIeAAIBAgICJQIEAgUCBgIHAggCCQIcAgsCDAINAggCCAIIAggCCAIIAggCCAIIAggCCAIIAggCCAIIAggCCAIgAgMCTHNxAH4AAAAAAAJzcQB+AAT///////////////7////+/////3VxAH4ABwAAAAQIvUgheHh3RQIeAAIBAgICAwIEAgUCBgIHAggCCQIjAgsCDAINAggCCAIIAggCCAIIAggCCAIIAggCCAIIAggCCAIIAggCCAIgAgMCTXNxAH4AAAAAAAJzcQB+AAT///////////////7////+/////3VxAH4ABwAAAAQiCqwxeHh3RQIeAAIBAgICPgIEAgUCBgIHAggCCQIjAgsCDAINAggCCAIIAggCCAIIAggCCAIIAggCCAIIAggCCAIIAggCCAIgAgMCTnNxAH4AAAAAAAJzcQB+AAT///////////////7////+/////3VxAH4ABwAAAAQVrLWfeHh3RQIeAAIBAgICSAIEAgUCBgIHAggCCQIjAgsCDAINAggCCAIIAggCCAIIAggCCAIIAggCCAIIAggCCAIIAggCCAIgAgMCT3NxAH4AAAAAAAJzcQB+AAT///////////////7////+/////3VxAH4ABwAAAAQzvJaSeHh3TQIeAAIBAgICUAAGMjAxNjA3AgQCBQIGAgcCCAIJAhwCCwIMAg0CCAIIAggCCAIIAggCCAIIAggCCAIIAggCCAIIAggCCAIIAiACAwJRc3EAfgAAAAAAAnNxAH4ABP///////////////v////7/////dXEAfgAHAAAABAEGlGB4eHdFAh4AAgECAgI0AgQCBQIGAgcCCAIJAhwCCwIMAg0CCAIIAggCCAIIAggCCAIIAggCCAIIAggCCAIIAggCCAIIAiACAwJSc3EAfgAAAAAAAnNxAH4ABP///////////////v////4AAAABdXEAfgAHAAAAA7lyfHh4d00CHgACAQICAlMABjIwMTcwOQIEAgUCBgIHAggCCQIcAgsCDAINAggCCAIIAggCCAIIAggCCAIIAggCCAIIAggCCAIIAggCCAIgAgMCVHNxAH4AAAAAAAJzcQB+AAT///////////////7////+AAAAAXVxAH4ABwAAAAQCWhLSeHh3TQIeAAIBAgICVQAGMjAxNjA4AgQCBQIGAgcCCAIJAhwCCwIMAg0CCAIIAggCCAIIAggCCAIIAggCCAIIAggCCAIIAggCCAIIAiACAwJWc3EAfgAAAAAAAnNxAH4ABP///////////////v////7/////dXEAfgAHAAAAA56yqnh4d0UCHgACAQICAj4CBAIFAgYCBwIIAgkCCgILAgwCDQIIAggCCAIIAggCCAIIAggCCAIIAggCCAIIAggCCAIIAggCIAIDAldzcQB+AAAAAAACc3EAfgAE///////////////+/////v////91cQB+AAcAAAADEn8GeHh3TQIeAAIBAgICWAAGMjAxNjA2AgQCBQIGAgcCCAIJAiMCCwIMAg0CCAIIAggCCAIIAggCCAIIAggCCAIIAggCCAIIAggCCAIIAiACAwJZc3EAfgAAAAAAAnNxAH4ABP///////////////v////7/////dXEAfgAHAAAABCsQC1F4eHdFAh4AAgECAgI4AgQCBQIGAgcCCAIJAhwCCwIMAg0CCAIIAggCCAIIAggCCAIIAggCCAIIAggCCAIIAggCCAIIAiACAwJac3EAfgAAAAAAAnNxAH4ABP///////////////v////7/////dXEAfgAHAAAABBCmiyR4eHdFAh4AAgECAgJYAgQCBQIGAgcCCAIJAgoCCwIMAg0CCAIIAggCCAIIAggCCAIIAggCCAIIAggCCAIIAggCCAIIAiACAwJbc3EAfgAAAAAAAnNxAH4ABP///////////////v////7/////dXEAfgAHAAAAAxJna3h4d00CHgACAQICAlwABjIwMTcwNwIEAgUCBgIHAggCCQIKAgsCDAINAggCCAIIAggCCAIIAggCCAIIAggCCAIIAggCCAIIAggCCAIgAgMCXXNxAH4AAAAAAAJzcQB+AAT///////////////7////+/////3VxAH4ABwAAAAMSmrd4eHdFAh4AAgECAgJcAgQCBQIGAgcCCAIJAiMCCwIMAg0CCAIIAggCCAIIAggCCAIIAggCCAIIAggCCAIIAggCCAIIAiACAwJec3EAfgAAAAAAAnNxAH4ABP///////////////v////7/////dXEAfgAHAAAABC6RhSt4eHdFAh4AAgECAgIoAgQCBQIGAgcCCAIJAhwCCwIMAg0CCAIIAggCCAIIAggCCAIIAggCCAIIAggCCAIIAggCCAIIAiACAwJfc3EAfgAAAAAAAnNxAH4ABP///////////////v////7/////dXEAfgAHAAAABBQ694N4eHeKAh4AAgECAgIuAgQCBQIGAgcCCAIJAgoCCwIMAg0CCAIIAggCCAIIAggCCAIIAggCCAIIAggCCAIIAggCCAIIAiACAwI5Ah4AAgECAgIsAgQCBQIGAgcCCAIJAgoCCwIMAg0CCAIIAggCCAIIAggCCAIIAggCCAIIAggCCAIIAggCCAIIAiACAwJgc3EAfgAAAAAAAnNxAH4ABP///////////////v////7/////dXEAfgAHAAAAAxJ7FXh4d0UCHgACAQICAlACBAIFAgYCBwIIAgkCCgILAgwCDQIIAggCCAIIAggCCAIIAggCCAIIAggCCAIIAggCCAIIAggCIAIDAmFzcQB+AAAAAAACc3EAfgAE///////////////+/////v////91cQB+AAcAAAADEmtYeHh3RQIeAAIBAgICUAIEAgUCBgIHAggCCQIjAgsCDAINAggCCAIIAggCCAIIAggCCAIIAggCCAIIAggCCAIIAggCCAIgAgMCYnNxAH4AAAAAAAJzcQB+AAT///////////////7////+/////3VxAH4ABwAAAAQu/eCSeHh3RQIeAAIBAgICSgIEAgUCBgIHAggCCQIKAgsCDAINAggCCAIIAggCCAIIAggCCAIIAggCCAIIAggCCAIIAggCCAIgAgMCY3NxAH4AAAAAAAJzcQB+AAT///////////////7////+/////3VxAH4ABwAAAAMSnq94eHeKAh4AAgECAgIbAgQCBQIGAgcCCAIJAgoCCwIMAg0CCAIIAggCCAIIAggCCAIIAggCCAIIAggCCAIIAggCCAIIAiACAwI5Ah4AAgECAgJIAgQCBQIGAgcCCAIJAhwCCwIMAg0CCAIIAggCCAIIAggCCAIIAggCCAIIAggCCAIIAggCCAIIAiACAwJkc3EAfgAAAAAAAnNxAH4ABP///////////////v////7/////dXEAfgAHAAAAAzL3EXh4d0UCHgACAQICAkoCBAIFAgYCBwIIAgkCIwILAgwCDQIIAggCCAIIAggCCAIIAggCCAIIAggCCAIIAggCCAIIAggCIAIDAmVzcQB+AAAAAAACc3EAfgAE///////////////+/////v////91cQB+AAcAAAAENDlU6Hh4d0UCHgACAQICAlUCBAIFAgYCBwIIAgkCCgILAgwCDQIIAggCCAIIAggCCAIIAggCCAIIAggCCAIIAggCCAIIAggCIAIDAmZzcQB+AAAAAAACc3EAfgAE///////////////+/////v////91cQB+AAcAAAADEm9GeHh3RQIeAAIBAgICAwIEAgUCBgIHAggCCQIcAgsCDAINAggCCAIIAggCCAIIAggCCAIIAggCCAIIAggCCAIIAggCCAIgAgMCZ3NxAH4AAAAAAAJzcQB+AAT///////////////7////+/////3VxAH4ABwAAAAQOCxxKeHh3RQIeAAIBAgICXAIEAgUCBgIHAggCCQIcAgsCDAINAggCCAIIAggCCAIIAggCCAIIAggCCAIIAggCCAIIAggCCAIgAgMCaHNxAH4AAAAAAAJzcQB+AAT///////////////7////+/////3VxAH4ABwAAAANOuAp4eHdFAh4AAgECAgI0AgQCBQIGAgcCCAIJAgoCCwIMAg0CCAIIAggCCAIIAggCCAIIAggCCAIIAggCCAIIAggCCAIIAiACAwJpc3EAfgAAAAAAAnNxAH4ABP///////////////v////7/////dXEAfgAHAAAAAxJ3JXh4d0UCHgACAQICAiwCBAIFAgYCBwIIAgkCIwILAgwCDQIIAggCCAIIAggCCAIIAggCCAIIAggCCAIIAggCCAIIAggCIAIDAmpzcQB+AAAAAAACc3EAfgAE///////////////+/////v////91cQB+AAcAAAAEC9ESdHh4d0UCHgACAQICAlUCBAIFAgYCBwIIAgkCIwILAgwCDQIIAggCCAIIAggCCAIIAggCCAIIAggCCAIIAggCCAIIAggCIAIDAmtzcQB+AAAAAAACc3EAfgAE///////////////+/////v////91cQB+AAcAAAAEMe+1GXh4d0UCHgACAQICAlgCBAIFAgYCBwIIAgkCHAILAgwCDQIIAggCCAIIAggCCAIIAggCCAIIAggCCAIIAggCCAIIAggCIAIDAmxzcQB+AAAAAAACc3EAfgAE///////////////+/////v////91cQB+AAcAAAAEAWTK8nh4d0UCHgACAQICAlMCBAIFAgYCBwIIAgkCCgILAgwCDQIIAggCCAIIAggCCAIIAggCCAIIAggCCAIIAggCCAIIAggCIAIDAm1zcQB+AAAAAAACc3EAfgAE///////////////+/////v////91cQB+AAcAAAADEqKoeHh3RQIeAAIBAgICKAIEAgUCBgIHAggCCQIjAgsCDAINAggCCAIIAggCCAIIAggCCAIIAggCCAIIAggCCAIIAggCCAIgAgMCbnNxAH4AAAAAAAJzcQB+AAT///////////////7////+/////3VxAH4ABwAAAAQdsfpMeHh3RQIeAAIBAgICLgIEAgUCBgIHAggCCQIjAgsCDAINAggCCAIIAggCCAIIAggCCAIIAggCCAIIAggCCAIIAggCCAIgAgMCb3NxAH4AAAAAAAJzcQB+AAT///////////////7////+/////3VxAH4ABwAAAAQkNG30eHh3RQIeAAIBAgICUwIEAgUCBgIHAggCCQIjAgsCDAINAggCCAIIAggCCAIIAggCCAIIAggCCAIIAggCCAIIAggCCAIgAgMCcHNxAH4AAAAAAAJzcQB+AAT///////////////7////+/////3VxAH4ABwAAAAQ5RS7+eHh3RQIeAAIBAgICKgIEAgUCBgIHAggCCQIcAgsCDAINAggCCAIIAggCCAIIAggCCAIIAggCCAIIAggCCAIIAggCCAIgAgMCcXNxAH4AAAAAAAJzcQB+AAT///////////////7////+AAAAAXVxAH4ABwAAAAQGG1pqeHh3RQIeAAIBAgICOwIEAgUCBgIHAggCCQIjAgsCDAINAggCCAIIAggCCAIIAggCCAIIAggCCAIIAggCCAIIAggCCAIgAgMCcnNxAH4AAAAAAAJzcQB+AAT///////////////7////+/////3VxAH4ABwAAAAQmLzLCeHh3RQIeAAIBAgICIgIEAgUCBgIHAggCCQIKAgsCDAINAggCCAIIAggCCAIIAggCCAIIAggCCAIIAggCCAIIAggCCAIgAgMCc3NxAH4AAAAAAAJzcQB+AAT///////////////7////+/////3VxAH4ABwAAAAMSV794eHdFAh4AAgECAgIyAgQCBQIGAgcCCAIJAgoCCwIMAg0CCAIIAggCCAIIAggCCAIIAggCCAIIAggCCAIIAggCCAIIAiACAwJ0c3EAfgAAAAAAAnNxAH4ABP///////////////v////7/////dXEAfgAHAAAAAxKWwHh4d0UCHgACAQICAjsCBAIFAgYCBwIIAgkCCgILAgwCDQIIAggCCAIIAggCCAIIAggCCAIIAggCCAIIAggCCAIIAggCIAIDAnVzcQB+AAAAAAACc3EAfgAE///////////////+/////v////91cQB+AAcAAAADEmN/eHh3RQIeAAIBAgICNgIEAgUCBgIHAggCCQIcAgsCDAINAggCCAIIAggCCAIIAggCCAIIAggCCAIIAggCCAIIAggCCAIgAgMCdnNxAH4AAAAAAAJzcQB+AAT///////////////7////+/////3VxAH4ABwAAAAQFBKNBeHh3RQIeAAIBAgICMAIEAgUCBgIHAggCCQIcAgsCDAINAggCCAIIAggCCAIIAggCCAIIAggCCAIIAggCCAIIAggCCAIgAgMCd3NxAH4AAAAAAAJzcQB+AAT///////////////7////+/////3VxAH4ABwAAAAQC+0uLeHh3RQIeAAIBAgICMgIEAgUCBgIHAggCCQIjAgsCDAINAggCCAIIAggCCAIIAggCCAIIAggCCAIIAggCCAIIAggCCAIgAgMCeHNxAH4AAAAAAAJzcQB+AAT///////////////7////+/////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AAAAAAACc3EAfgAE///////////////+/////gAAAAF1cQB+AAcAAAAEAaNwu3h4d00CHgACeQICAnwABjIwMTgwNAIEAgUCBgIHAggCCQIcAgsCDAINAggCCAIIAggCCAIIAggCCAIIAggCCAIIAggCCAIIAggCCAIFAgMCfXNxAH4AAAAAAAJzcQB+AAT///////////////7////+/////3VxAH4ABwAAAAQBMmvPeHh3kgIeAAJ5AgICSgIEAgUCBgIHAggCCQIcAgsCDAINAggCCAIIAggCCAIIAggCCAIIAggCCAIIAggCCAIIAggCCAIFAgMCSwIeAAJ5AgICfgAGMjAxODAyAgQCBQIGAgcCCAIJAhwCCwIMAg0CCAIIAggCCAIIAggCCAIIAggCCAIIAggCCAIIAggCCAIIAgUCAwJ/c3EAfgAAAAAAAnNxAH4ABP///////////////v////7/////dXEAfgAHAAAABAor0+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AAAAAAACc3EAfgAE///////////////+/////gAAAAF1cQB+AAcAAAADNqW2eHh3kgIeAAJ5AgICNgIEAgUCBgIHAggCCQIcAgsCDAINAggCCAIIAggCCAIIAggCCAIIAggCCAIIAggCCAIIAggCCAIFAgMCdgIeAAJ5AgICggAGMjAxODAzAgQCBQIGAgcCCAIJAhwCCwIMAg0CCAIIAggCCAIIAggCCAIIAggCCAIIAggCCAIIAggCCAIIAgUCAwKDc3EAfgAAAAAAAnNxAH4ABP///////////////v////7/////dXEAfgAHAAAABATh3pl4eHdUAh4AAoQACTYyNzAzMzE4NAICAiUCBAIFAgYCBwIIAgkCHAILAoUAAldBAg0CCAIIAggCCAIIAggCCAIIAggCCAIIAggCCAIIAggCCAIIAgQCAwKGc3EAfgAAAAAAAnNxAH4ABP///////////////v////7/////dXEAfgAHAAAABBD98iN4eHdFAh4AAoQCAgJ8AgQCBQIGAgcCCAIJAhwCCwKFAg0CCAIIAggCCAIIAggCCAIIAggCCAIIAggCCAIIAggCCAIIAgQCAwKHc3EAfgAAAAAAAnNxAH4ABP///////////////v////7/////dXEAfgAHAAAABAcZP5l4eHdFAh4AAoQCAgIeAgQCBQIGAgcCCAIJAhwCCwKFAg0CCAIIAggCCAIIAggCCAIIAggCCAIIAggCCAIIAggCCAIIAgQCAwKIc3EAfgAAAAAAAnNxAH4ABP///////////////v////7/////dXEAfgAHAAAABAYhGIV4eHdFAh4AAoQCAgIoAgQCBQIGAgcCCAIJAhwCCwKFAg0CCAIIAggCCAIIAggCCAIIAggCCAIIAggCCAIIAggCCAIIAgQCAwKJc3EAfgAAAAAAAnNxAH4ABP///////////////v////7/////dXEAfgAHAAAABCjphrZ4eHdFAh4AAoQCAgJKAgQCBQIGAgcCCAIJAhwCCwKFAg0CCAIIAggCCAIIAggCCAIIAggCCAIIAggCCAIIAggCCAIIAgQCAwKKc3EAfgAAAAAAAnNxAH4ABP///////////////v////7/////dXEAfgAHAAAAAzKU1nh4d0UCHgAChAICAi4CBAIFAgYCBwIIAgkCHAILAoUCDQIIAggCCAIIAggCCAIIAggCCAIIAggCCAIIAggCCAIIAggCBAIDAotzcQB+AAAAAAACc3EAfgAE///////////////+/////v////91cQB+AAcAAAAENEm+I3h4d0UCHgAChAICAioCBAIFAgYCBwIIAgkCHAILAoUCDQIIAggCCAIIAggCCAIIAggCCAIIAggCCAIIAggCCAIIAggCBAIDAoxzcQB+AAAAAAACc3EAfgAE///////////////+/////gAAAAF1cQB+AAcAAAAECQ0V/Xh4d0UCHgAChAICAjgCBAIFAgYCBwIIAgkCHAILAoUCDQIIAggCCAIIAggCCAIIAggCCAIIAggCCAIIAggCCAIIAggCBAIDAo1zcQB+AAAAAAACc3EAfgAE///////////////+/////v////91cQB+AAcAAAAEJnGjV3h4d0UCHgAChAICAoICBAIFAgYCBwIIAgkCHAILAoUCDQIIAggCCAIIAggCCAIIAggCCAIIAggCCAIIAggCCAIIAggCBAIDAo5zcQB+AAAAAAACc3EAfgAE///////////////+/////v////91cQB+AAcAAAAEDlPJjHh4d0UCHgAChAICAoACBAIFAgYCBwIIAgkCHAILAoUCDQIIAggCCAIIAggCCAIIAggCCAIIAggCCAIIAggCCAIIAggCBAIDAo9zcQB+AAAAAAACc3EAfgAE///////////////+/////v////91cQB+AAcAAAAEBEpBlXh4d0UCHgAChAICAlMCBAIFAgYCBwIIAgkCHAILAoUCDQIIAggCCAIIAggCCAIIAggCCAIIAggCCAIIAggCCAIIAggCBAIDApBzcQB+AAAAAAACc3EAfgAE///////////////+/////gAAAAF1cQB+AAcAAAAEAo6woHh4d0UCHgAChAICAjYCBAIFAgYCBwIIAgkCHAILAoUCDQIIAggCCAIIAggCCAIIAggCCAIIAggCCAIIAggCCAIIAggCBAIDApFzcQB+AAAAAAACc3EAfgAE///////////////+/////v////91cQB+AAcAAAAECfBqRnh4d0UCHgAChAICAjICBAIFAgYCBwIIAgkCHAILAoUCDQIIAggCCAIIAggCCAIIAggCCAIIAggCCAIIAggCCAIIAggCBAIDApJzcQB+AAAAAAACc3EAfgAE///////////////+/////v////91cQB+AAcAAAAEA91NIHh4d0UCHgAChAICAgMCBAIFAgYCBwIIAgkCHAILAoUCDQIIAggCCAIIAggCCAIIAggCCAIIAggCCAIIAggCCAIIAggCBAIDApNzcQB+AAAAAAACc3EAfgAE///////////////+/////v////91cQB+AAcAAAAEG0cx03h4d0UCHgAChAICAhsCBAIFAgYCBwIIAgkCHAILAoUCDQIIAggCCAIIAggCCAIIAggCCAIIAggCCAIIAggCCAIIAggCBAIDApRzcQB+AAAAAAACc3EAfgAE///////////////+/////v////91cQB+AAcAAAAERLpXvHh4d0UCHgAChAICAlwCBAIFAgYCBwIIAgkCHAILAoUCDQIIAggCCAIIAggCCAIIAggCCAIIAggCCAIIAggCCAIIAggCBAIDApVzcQB+AAAAAAACc3EAfgAE///////////////+/////v////91cQB+AAcAAAAEAgr29Hh4d0UCHgAChAICAnoCBAIFAgYCBwIIAgkCHAILAoUCDQIIAggCCAIIAggCCAIIAggCCAIIAggCCAIIAggCCAIIAggCBAIDApZzcQB+AAAAAAACc3EAfgAE///////////////+/////v////91cQB+AAcAAAAEAe561nh4d0UCHgAChAICAn4CBAIFAgYCBwIIAgkCHAILAoUCDQIIAggCCAIIAggCCAIIAggCCAIIAggCCAIIAggCCAIIAggCBAIDApdzcQB+AAAAAAACc3EAfgAE///////////////+/////v////91cQB+AAcAAAAEGWLnZXh4d1ACHgACmAAJNjI3MDMwODY0AgICgAIEAgUCBgIHAggCCQIjAgsChQINAggCCAIIAggCCAIIAggCCAIIAggCCAIIAggCCAIIAggCCAICAgMCmXNxAH4AAAAAAAJzcQB+AAT///////////////7////+/////3VxAH4ABwAAAARc5cCweHh3RQIeAAKYAgICKgIEAgUCBgIHAggCCQIjAgsChQINAggCCAIIAggCCAIIAggCCAIIAggCCAIIAggCCAIIAggCCAICAgMCmnNxAH4AAAAAAAJzcQB+AAT///////////////7////+/////3VxAH4ABwAAAASC3IjxeHh3RQIeAAKYAgICSgIEAgUCBgIHAggCCQIjAgsChQINAggCCAIIAggCCAIIAggCCAIIAggCCAIIAggCCAIIAggCCAICAgMCm3NxAH4AAAAAAAJzcQB+AAT///////////////7////+/////3VxAH4ABwAAAARlMUGreHh3RQIeAAKYAgICMgIEAgUCBgIHAggCCQIjAgsChQINAggCCAIIAggCCAIIAggCCAIIAggCCAIIAggCCAIIAggCCAICAgMCnHNxAH4AAAAAAAJzcQB+AAT///////////////7////+/////3VxAH4ABwAAAARYCwcseHh3RQIeAAKYAgICKAIEAgUCBgIHAggCCQIjAgsChQINAggCCAIIAggCCAIIAggCCAIIAggCCAIIAggCCAIIAggCCAICAgMCnXNxAH4AAAAAAAJzcQB+AAT///////////////7////+/////3VxAH4ABwAAAAQ9FTt2eHh3RQIeAAKYAgICNgIEAgUCBgIHAggCCQIjAgsChQINAggCCAIIAggCCAIIAggCCAIIAggCCAIIAggCCAIIAggCCAICAgMCnnNxAH4AAAAAAAJzcQB+AAT///////////////7////+/////3VxAH4ABwAAAARacNl3eHh3RQIeAAKYAgICAwIEAgUCBgIHAggCCQIjAgsChQINAggCCAIIAggCCAIIAggCCAIIAggCCAIIAggCCAIIAggCCAICAgMCn3NxAH4AAAAAAAJzcQB+AAT///////////////7////+/////3VxAH4ABwAAAARJi1PJeHh3RQIeAAKYAgICfAIEAgUCBgIHAggCCQIjAgsChQINAggCCAIIAggCCAIIAggCCAIIAggCCAIIAggCCAIIAggCCAICAgMCoHNxAH4AAAAAAAJzcQB+AAT///////////////7////+/////3VxAH4ABwAAAARaqchfeHh3RQIeAAKYAgICfgIEAgUCBgIHAggCCQIjAgsChQINAggCCAIIAggCCAIIAggCCAIIAggCCAIIAggCCAIIAggCCAICAgMCoXNxAH4AAAAAAAJzcQB+AAT///////////////7////+/////3VxAH4ABwAAAARPKnH5eHh3RQIeAAKYAgICHgIEAgUCBgIHAggCCQIjAgsChQINAggCCAIIAggCCAIIAggCCAIIAggCCAIIAggCCAIIAggCCAICAgMConNxAH4AAAAAAAJzcQB+AAT///////////////7////+/////3VxAH4ABwAAAARZ/eXyeHh3RQIeAAKYAgICegIEAgUCBgIHAggCCQIjAgsChQINAggCCAIIAggCCAIIAggCCAIIAggCCAIIAggCCAIIAggCCAICAgMCo3NxAH4AAAAAAAJzcQB+AAT///////////////7////+/////3VxAH4ABwAAAARdGgPTeHh3RQIeAAKYAgICXAIEAgUCBgIHAggCCQIjAgsChQINAggCCAIIAggCCAIIAggCCAIIAggCCAIIAggCCAIIAggCCAICAgMCpHNxAH4AAAAAAAJzcQB+AAT///////////////7////+/////3VxAH4ABwAAAARe1GL4eHh3RQIeAAKYAgICGwIEAgUCBgIHAggCCQIjAgsChQINAggCCAIIAggCCAIIAggCCAIIAggCCAIIAggCCAIIAggCCAICAgMCpXNxAH4AAAAAAAJzcQB+AAT///////////////7////+/////3VxAH4ABwAAAAQw0KqzeHh3RQIeAAKYAgICJQIEAgUCBgIHAggCCQIjAgsChQINAggCCAIIAggCCAIIAggCCAIIAggCCAIIAggCCAIIAggCCAICAgMCpnNxAH4AAAAAAAJzcQB+AAT///////////////7////+/////3VxAH4ABwAAAARTY5smeHh3RQIeAAKYAgICUwIEAgUCBgIHAggCCQIjAgsChQINAggCCAIIAggCCAIIAggCCAIIAggCCAIIAggCCAIIAggCCAICAgMCp3NxAH4AAAAAAAJzcQB+AAT///////////////7////+/////3VxAH4ABwAAAARxBllJeHh3RQIeAAKYAgICLgIEAgUCBgIHAggCCQIjAgsChQINAggCCAIIAggCCAIIAggCCAIIAggCCAIIAggCCAIIAggCCAICAgMCqHNxAH4AAAAAAAJzcQB+AAT///////////////7////+/////3VxAH4ABwAAAARCNLx8eHh3RQIeAAKYAgICggIEAgUCBgIHAggCCQIjAgsChQINAggCCAIIAggCCAIIAggCCAIIAggCCAIIAggCCAIIAggCCAICAgMCqXNxAH4AAAAAAAJzcQB+AAT///////////////7////+/////3VxAH4ABwAAAARSfqMaeHh3RQIeAAKYAgICOAIEAgUCBgIHAggCCQIjAgsChQINAggCCAIIAggCCAIIAggCCAIIAggCCAIIAggCCAIIAggCCAICAgMCqnNxAH4AAAAAAAJzcQB+AAT///////////////7////+/////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AgQCBQIGAgcCCAIJAiMCCwIMAg0CCAIIAggCCAIIAggCCAIIAggCCAIIAggCCAIIAggCCAIIAhYCAwJOAh4AAqsCAgI+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AAAAAAACc3EAfgAE///////////////+/////v////91cQB+AAcAAAAEL/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AAAAAAACc3EAfgAE///////////////+/////v////91cQB+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AAT///////////////7////+/////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AAT///////////////7////+/////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AgQCBQIGAgcCCAIJAhwCCwIMAg0CCAIIAggCCAIIAggCCAIIAggCCAIIAggCCAIIAggCCAIIAhYCAwJ/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v////7/////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v////7/////dXEAfgAHAAAAAxTl5Hh4d5UCHgACtQAJNDg3NzM4MTI4AgICKgIEAgUCBgIHAggCCQIjAgsChQINAggCCAIIAggCCAIIAggCCAIIAggCCAIIAggCCAIIAggCCAIVAgMCmgIeAAK1AgICLAIEAgUCBgIHAggCCQIcAgsChQINAggCCAIIAggCCAIIAggCCAIIAggCCAIIAggCCAIIAggCCAIVAgMCtnNxAH4AAAAAAAJzcQB+AAT///////////////7////+/////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AAT///////////////7////+/////3VxAH4ABwAAAAMFZP94eHdFAh4AArUCAgI7AgQCBQIGAgcCCAIJAhwCCwKFAg0CCAIIAggCCAIIAggCCAIIAggCCAIIAggCCAIIAggCCAIIAhUCAwK4c3EAfgAAAAAAAnNxAH4ABP///////////////v////7/////dXEAfgAHAAAABAQ2ieN4eHeKAh4AArUCAgKAAgQCBQIGAgcCCAIJAiMCCwKFAg0CCAIIAggCCAIIAggCCAIIAggCCAIIAggCCAIIAggCCAIIAhUCAwKZAh4AArUCAgIwAgQCBQIGAgcCCAIJAiMCCwKFAg0CCAIIAggCCAIIAggCCAIIAggCCAIIAggCCAIIAggCCAIIAhUCAwK5c3EAfgAAAAAAAnNxAH4ABP///////////////v////7/////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v////7/////dXEAfgAHAAAAA7xcsnh4d4oCHgACtQICAjYCBAIFAgYCBwIIAgkCIwILAoUCDQIIAggCCAIIAggCCAIIAggCCAIIAggCCAIIAggCCAIIAggCFQIDAp4CHgACtQICAj4CBAIFAgYCBwIIAgkCHAILAoUCDQIIAggCCAIIAggCCAIIAggCCAIIAggCCAIIAggCCAIIAggCFQIDArtzcQB+AAAAAAACc3EAfgAE///////////////+/////v////91cQB+AAcAAAAEO4uIvXh4d4oCHgACtQICAjYCBAIFAgYCBwIIAgkCHAILAoUCDQIIAggCCAIIAggCCAIIAggCCAIIAggCCAIIAggCCAIIAggCFQIDApECHgACtQICAlUCBAIFAgYCBwIIAgkCswILAoUCDQIIAggCCAIIAggCCAIIAggCCAIIAggCCAIIAggCCAIIAggCFQIDArxzcQB+AAAAAAACc3EAfgAE///////////////+/////v////91cQB+AAcAAAADCLaceHh3RQIeAAK1AgICNAIEAgUCBgIHAggCCQIjAgsChQINAggCCAIIAggCCAIIAggCCAIIAggCCAIIAggCCAIIAggCCAIVAgMCvXNxAH4AAAAAAAJzcQB+AAT///////////////7////+/////3VxAH4ABwAAAARijcsWeHh3igIeAAK1AgICgAIEAgUCBgIHAggCCQIcAgsChQINAggCCAIIAggCCAIIAggCCAIIAggCCAIIAggCCAIIAggCCAIVAgMCjwIeAAK1AgICAwIEAgUCBgIHAggCCQKzAgsChQINAggCCAIIAggCCAIIAggCCAIIAggCCAIIAggCCAIIAggCCAIVAgMCvnNxAH4AAAAAAAJzcQB+AAT///////////////7////+/////3VxAH4ABwAAAAME+2h4eHdFAh4AArUCAgJTAgQCBQIGAgcCCAIJArMCCwKFAg0CCAIIAggCCAIIAggCCAIIAggCCAIIAggCCAIIAggCCAIIAhUCAwK/c3EAfgAAAAAAAnNxAH4ABP///////////////v////7/////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AAAAAAACc3EAfgAE///////////////+/////v////91cQB+AAcAAAAENzj1T3h4d4oCHgACtQICAh4CBAIFAgYCBwIIAgkCHAILAoUCDQIIAggCCAIIAggCCAIIAggCCAIIAggCCAIIAggCCAIIAggCFQIDAogCHgACtQICAkgCBAIFAgYCBwIIAgkCswILAoUCDQIIAggCCAIIAggCCAIIAggCCAIIAggCCAIIAggCCAIIAggCFQIDAsFzcQB+AAAAAAACc3EAfgAE///////////////+/////v////91cQB+AAcAAAADB43UeHh3RQIeAAK1AgICIAIEAgUCBgIHAggCCQIcAgsChQINAggCCAIIAggCCAIIAggCCAIIAggCCAIIAggCCAIIAggCCAIVAgMCwnNxAH4AAAAAAAJzcQB+AAT///////////////7////+/////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AAT///////////////7////+/////3VxAH4ABwAAAAMEdI14eHdFAh4AArUCAgIqAgQCBQIGAgcCCAIJArMCCwKFAg0CCAIIAggCCAIIAggCCAIIAggCCAIIAggCCAIIAggCCAIIAhUCAwLEc3EAfgAAAAAAAnNxAH4ABP///////////////v////7/////dXEAfgAHAAAAAwPcq3h4d4oCHgACtQICAoACBAIFAgYCBwIIAgkCswILAoUCDQIIAggCCAIIAggCCAIIAggCCAIIAggCCAIIAggCCAIIAggCFQIDAjkCHgACtQICAkgCBAIFAgYCBwIIAgkCIwILAoUCDQIIAggCCAIIAggCCAIIAggCCAIIAggCCAIIAggCCAIIAggCFQIDAsVzcQB+AAAAAAACc3EAfgAE///////////////+/////v////91cQB+AAcAAAAEYTEIFHh4d0UCHgACtQICAj4CBAIFAgYCBwIIAgkCIwILAoUCDQIIAggCCAIIAggCCAIIAggCCAIIAggCCAIIAggCCAIIAggCFQIDAsZzcQB+AAAAAAACc3EAfgAE///////////////+/////v////91cQB+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AAAAAAACc3EAfgAE///////////////+/////v////91cQB+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AAAAAAACc3EAfgAE///////////////+/////v////91cQB+AAcAAAADCoBUeHh3RQIeAAK1AgICIAIEAgUCBgIHAggCCQIjAgsChQINAggCCAIIAggCCAIIAggCCAIIAggCCAIIAggCCAIIAggCCAIVAgMCyXNxAH4AAAAAAAJzcQB+AAT///////////////7////+/////3VxAH4ABwAAAARIcHiveHh3RQIeAAK1AgICXAIEAgUCBgIHAggCCQKzAgsChQINAggCCAIIAggCCAIIAggCCAIIAggCCAIIAggCCAIIAggCCAIVAgMCynNxAH4AAAAAAAJzcQB+AAT///////////////7////+/////3VxAH4ABwAAAAMENDh4eHdFAh4AArUCAgIwAgQCBQIGAgcCCAIJArMCCwKFAg0CCAIIAggCCAIIAggCCAIIAggCCAIIAggCCAIIAggCCAIIAhUCAwLLc3EAfgAAAAAAAnNxAH4ABP///////////////v////7/////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AAAAAAACc3EAfgAE///////////////+/////v////91cQB+AAcAAAAECCX/sXh4d0UCHgACtQICAkgCBAIFAgYCBwIIAgkCHAILAoUCDQIIAggCCAIIAggCCAIIAggCCAIIAggCCAIIAggCCAIIAggCFQIDAs1zcQB+AAAAAAACc3EAfgAE///////////////+/////v////91cQB+AAcAAAAEAhunbnh4d4oCHgACtQICAigCBAIFAgYCBwIIAgkCHAILAoUCDQIIAggCCAIIAggCCAIIAggCCAIIAggCCAIIAggCCAIIAggCFQIDAokCHgACtQICAjsCBAIFAgYCBwIIAgkCswILAoUCDQIIAggCCAIIAggCCAIIAggCCAIIAggCCAIIAggCCAIIAggCFQIDAs5zcQB+AAAAAAACc3EAfgAE///////////////+/////v////91cQB+AAcAAAADC4KteHh3RQIeAAK1AgICUAIEAgUCBgIHAggCCQIjAgsChQINAggCCAIIAggCCAIIAggCCAIIAggCCAIIAggCCAIIAggCCAIVAgMCz3NxAH4AAAAAAAJzcQB+AAT///////////////7////+/////3VxAH4ABwAAAARaL7WteHh3igIeAAK1AgICfgIEAgUCBgIHAggCCQIcAgsChQINAggCCAIIAggCCAIIAggCCAIIAggCCAIIAggCCAIIAggCCAIVAgMClwIeAAK1AgICMgIEAgUCBgIHAggCCQKzAgsChQINAggCCAIIAggCCAIIAggCCAIIAggCCAIIAggCCAIIAggCCAIVAgMC0HNxAH4AAAAAAAJzcQB+AAT///////////////7////+/////3VxAH4ABwAAAAMEQ3p4eHeKAh4AArUCAgIuAgQCBQIGAgcCCAIJArMCCwKFAg0CCAIIAggCCAIIAggCCAIIAggCCAIIAggCCAIIAggCCAIIAhUCAwI5Ah4AArUCAgIgAgQCBQIGAgcCCAIJArMCCwKFAg0CCAIIAggCCAIIAggCCAIIAggCCAIIAggCCAIIAggCCAIIAhUCAwLRc3EAfgAAAAAAAnNxAH4ABP///////////////v////7/////dXEAfgAHAAAAAwzG/nh4d0UCHgACtQICAiwCBAIFAgYCBwIIAgkCswILAoUCDQIIAggCCAIIAggCCAIIAggCCAIIAggCCAIIAggCCAIIAggCFQIDAtJzcQB+AAAAAAACc3EAfgAE///////////////+/////v////91cQB+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AAT///////////////7////+/////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AAT///////////////7////+/////3VxAH4ABwAAAAMEVit4eHeKAh4AArUCAgJ6AgQCBQIGAgcCCAIJArMCCwKFAg0CCAIIAggCCAIIAggCCAIIAggCCAIIAggCCAIIAggCCAIIAhUCAwI5Ah4AArUCAgI+AgQCBQIGAgcCCAIJArMCCwKFAg0CCAIIAggCCAIIAggCCAIIAggCCAIIAggCCAIIAggCCAIIAhUCAwLVc3EAfgAAAAAAAnNxAH4ABP///////////////v////7/////dXEAfgAHAAAAAwbck3h4d0UCHgACtQICAlUCBAIFAgYCBwIIAgkCHAILAoUCDQIIAggCCAIIAggCCAIIAggCCAIIAggCCAIIAggCCAIIAggCFQIDAtZzcQB+AAAAAAACc3EAfgAE///////////////+/////v////91cQB+AAcAAAAEAr0/pHh4d0UCHgACtQICAjsCBAIFAgYCBwIIAgkCIwILAoUCDQIIAggCCAIIAggCCAIIAggCCAIIAggCCAIIAggCCAIIAggCFQIDAtdzcQB+AAAAAAACc3EAfgAE///////////////+/////v////91cQB+AAcAAAAETCsLgHh4d0UCHgACtQICAlACBAIFAgYCBwIIAgkCswILAoUCDQIIAggCCAIIAggCCAIIAggCCAIIAggCCAIIAggCCAIIAggCFQIDAthzcQB+AAAAAAACc3EAfgAE///////////////+/////v////91cQB+AAcAAAADCZ5/eHh3RQIeAAK1AgICLAIEAgUCBgIHAggCCQIjAgsChQINAggCCAIIAggCCAIIAggCCAIIAggCCAIIAggCCAIIAggCCAIVAgMC2XNxAH4AAAAAAAJzcQB+AAT///////////////7////+/////3VxAH4ABwAAAAQSVBWqeHh3RQIeAAK1AgICJQIEAgUCBgIHAggCCQKzAgsChQINAggCCAIIAggCCAIIAggCCAIIAggCCAIIAggCCAIIAggCCAIVAgMC2nNxAH4AAAAAAAJzcQB+AAT///////////////7////+/////3VxAH4ABwAAAAMEq5d4eHdFAh4AArUCAgJKAgQCBQIGAgcCCAIJArMCCwKFAg0CCAIIAggCCAIIAggCCAIIAggCCAIIAggCCAIIAggCCAIIAhUCAwLbc3EAfgAAAAAAAnNxAH4ABP///////////////v////7/////dXEAfgAHAAAAAwQlCXh4d0UCHgACtQICAiICBAIFAgYCBwIIAgkCswILAoUCDQIIAggCCAIIAggCCAIIAggCCAIIAggCCAIIAggCCAIIAggCFQIDAtxzcQB+AAAAAAACc3EAfgAE///////////////+/////v////91cQB+AAcAAAADEhXLeHh3RQIeAAK1AgICMAIEAgUCBgIHAggCCQIcAgsChQINAggCCAIIAggCCAIIAggCCAIIAggCCAIIAggCCAIIAggCCAIVAgMC3XNxAH4AAAAAAAJzcQB+AAT///////////////7////+/////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AAT///////////////7////+/////3VxAH4ABwAAAAMFP694eHeKAh4AArUCAgIDAgQCBQIGAgcCCAIJAhwCCwKFAg0CCAIIAggCCAIIAggCCAIIAggCCAIIAggCCAIIAggCCAIIAhUCAwKTAh4AArUCAgJVAgQCBQIGAgcCCAIJAiMCCwKFAg0CCAIIAggCCAIIAggCCAIIAggCCAIIAggCCAIIAggCCAIIAhUCAwLfc3EAfgAAAAAAAnNxAH4ABP///////////////v////7/////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v////7/////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AgQCBQIGAgcCCAIJAiMCCwIMAg0CCAIIAggCCAIIAggCCAIIAggCCAIIAggCCAIIAggCCAIIAhgCAwJOAh4AAuECAgI+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AgQCBQIGAgcCCAIJAhwCCwIMAg0CCAIIAggCCAIIAggCCAIIAggCCAIIAggCCAIIAggCCAIIAhoCAwI/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AgQCBQIGAgcCCAIJAiMCCwIMAg0CCAIIAggCCAIIAggCCAIIAggCCAIIAggCCAIIAggCCAIIAhoCAwKvAh4AAuICAgJ+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AgQCBQIGAgcCCAIJAhwCCwIMAg0CCAIIAggCCAIIAggCCAIIAggCCAIIAggCCAIIAggCCAIIAhwCAwJ/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v////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v////7/////dXEAfgAHAAAABDWm++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AAAAAAACc3EAfgAE///////////////+/////gAAAAF1cQB+AAcAAAAEA+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AAT///////////////7////+/////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Ah4AAvECAgI0AgQCBQIGAgcCCAIJAiMCCwKFAg0CCAIIAggCCAIIAggCCAIIAggCCAIIAggCCAIIAggCCAIIAhcCAwK9Ah4AAvECAgIwAgQCBQIGAgcCCAIJAiMCCwKFAg0CCAIIAggCCAIIAggCCAIIAggCCAIIAggCCAIIAggCCAIIAhcCAwK5Ah4AAvECAgJ+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v////7/////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v////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v////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AAAAAAACc3EAfgAE///////////////+/////v////91cQB+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Ah4AAvUCAgJ6AgQCBQIGAgcCCAIJAhwCCwKFAg0CCAIIAggCCAIIAggCCAIIAggCCAIIAggCCAIIAggCCAIIAhICAwKWAh4AAvUCAgIgAgQCBQIGAgcCCAIJAhwCCwKFAg0CCAIIAggCCAIIAggCCAIIAggCCAIIAggCCAIIAggCCAIIAhICAwLCAh4AAvUCAgJ+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gICAjICBAIFAgYCBwIIAgkCHAILAoUCDQIIAggCCAIIAggCCAIIAggCCAIIAggCCAIIAggCCAIIAggCGwIDApICHgAC+gICAjACBAIFAgYCBwIIAgkCIwILAoUCDQIIAggCCAIIAggCCAIIAggCCAIIAggCCAIIAggCCAIIAggCGwIDArkCHgAC+gICAjQCBAIFAgYCBwIIAgkCIwILAoUCDQIIAggCCAIIAggCCAIIAggCCAIIAggCCAIIAggCCAIIAggCGwIDAr0CHgAC+gICAgMCBAIFAgYCBwIIAgkCswILAoUCDQIIAggCCAIIAggCCAIIAggCCAIIAggCCAIIAggCCAIIAggCGwIDAr4CHgAC+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gICAlgCBAIFAgYCBwIIAgkCHAILAoUCDQIIAggCCAIIAggCCAIIAggCCAIIAggCCAIIAggCCAIIAggCGwIDAuACHgAC+gICAlMCBAIFAgYCBwIIAgkCIwILAoUCDQIIAggCCAIIAggCCAIIAggCCAIIAggCCAIIAggCCAIIAggCGwIDAqcCHgAC+gICAigCBAIFAgYCBwIIAgkCIwILAoUCDQIIAggCCAIIAggCCAIIAggCCAIIAggCCAIIAggCCAIIAggCGwIDAp0CHgAC+gICAj4CBAIFAgYCBwIIAgkCswILAoUCDQIIAggCCAIIAggCCAIIAggCCAIIAggCCAIIAggCCAIIAggCGwIDAtUCHgAC+gICAlUCBAIFAgYCBwIIAgkCIwILAoUCDQIIAggCCAIIAggCCAIIAggCCAIIAggCCAIIAggCCAIIAggCGwIDAt8CHgAC+gICAjICBAIFAgYCBwIIAgkCswILAoUCDQIIAggCCAIIAggCCAIIAggCCAIIAggCCAIIAggCCAIIAggCGwIDAtACHgAC+gICAn4CBAIFAgYCBwIIAgkCHAILAoUCDQIIAggCCAIIAggCCAIIAggCCAIIAggCCAIIAggCCAIIAggCGwIDApcCHgAC+gICAkgCBAIFAgYCBwIIAgkCHAILAoUCDQIIAggCCAIIAggCCAIIAggCCAIIAggCCAIIAggCCAIIAggCGwIDAs0CHgAC+gICAgMCBAIFAgYCBwIIAgkCHAILAoUCDQIIAggCCAIIAggCCAIIAggCCAIIAggCCAIIAggCCAIIAggCGwIDApMCHgAC+gICAlgCBAIFAgYCBwIIAgkCswILAoUCDQIIAggCCAIIAggCCAIIAggCCAIIAggCCAIIAggCCAIIAggCGwIDAsgCHgAC+gICAjgCBAIFAgYCBwIIAgkCIwILAoUCDQIIAggCCAIIAggCCAIIAggCCAIIAggCCAIIAggCCAIIAggCGwIDAqoCHgAC+gICAlACBAIFAgYCBwIIAgkCIwILAoUCDQIIAggCCAIIAggCCAIIAggCCAIIAggCCAIIAggCCAIIAggCGwIDAs8CHgAC+gICAkoCBAIFAgYCBwIIAgkCIwILAoUCDQIIAggCCAIIAggCCAIIAggCCAIIAggCCAIIAggCCAIIAggCGwIDApsCHgAC+gICAjgCBAIFAgYCBwIIAgkCHAILAoUCDQIIAggCCAIIAggCCAIIAggCCAIIAggCCAIIAggCCAIIAggCGwIDAo0CHgAC+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wICAlACBAIFAgYCBwIIAgkCIwILAoUCDQIIAggCCAIIAggCCAIIAggCCAIIAggCCAIIAggCCAIIAggCEwIDAs8CHgAC+wICAukCBAIFAgYCBwIIAgkCIwILAoUCDQIIAggCCAIIAggCCAIIAggCCAIIAggCCAIIAggCCAIIAggCEwIDAvkCHgAC+wICAgMCBAIFAgYCBwIIAgkCswILAoUCDQIIAggCCAIIAggCCAIIAggCCAIIAggCCAIIAggCCAIIAggCEwIDAr4CHgAC+wICAkgCBAIFAgYCBwIIAgkCHAILAoUCDQIIAggCCAIIAggCCAIIAggCCAIIAggCCAIIAggCCAIIAggCEwIDAs0CHgAC+wICAuYCBAIFAgYCBwIIAgkCswILAoUCDQIIAggCCAIIAggCCAIIAggCCAIIAggCCAIIAggCCAIIAggCEwIDAjkCHgAC+wICAoACBAIFAgYCBwIIAgkCIwILAoUCDQIIAggCCAIIAggCCAIIAggCCAIIAggCCAIIAggCCAIIAggCEwIDApkCHgAC+wICAi4CBAIFAgYCBwIIAgkCHAILAoUCDQIIAggCCAIIAggCCAIIAggCCAIIAggCCAIIAggCCAIIAggCEwIDAosCHgAC+wICAigCBAIFAgYCBwIIAgkCHAILAoUCDQIIAggCCAIIAggCCAIIAggCCAIIAggCCAIIAggCCAIIAggCEwIDAokCHgAC+wICAlUCBAIFAgYCBwIIAgkCIwILAoUCDQIIAggCCAIIAggCCAIIAggCCAIIAggCCAIIAggCCAIIAggCEwIDAt8CHgAC+wICAiICBAIFAgYCBwIIAgkCIwILAoUCDQIIAggCCAIIAggCCAIIAggCCAIIAggCCAIIAggCCAIIAggCEwIDAsACHgAC+wICAnoCBAIFAgYCBwIIAgkCswILAoUCDQIIAggCCAIIAggCCAIIAggCCAIIAggCCAIIAggCCAIIAggCEwIDAjkCHgAC+wICAiACBAIFAgYCBwIIAgkCswILAoUCDQIIAggCCAIIAggCCAIIAggCCAIIAggCCAIIAggCCAIIAggCEwIDAtECHgAC+wICAu4CBAIFAgYCBwIIAgkCIwILAoUCDQIIAggCCAIIAggCCAIIAggCCAIIAggCCAIIAggCCAIIAggCEwIDAuwCHgAC+wICAlwCBAIFAgYCBwIIAgkCHAILAoUCDQIIAggCCAIIAggCCAIIAggCCAIIAggCCAIIAggCCAIIAggCEwIDApUCHgAC+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wICAlgCBAIFAgYCBwIIAgkCIwILAoUCDQIIAggCCAIIAggCCAIIAggCCAIIAggCCAIIAggCCAIIAggCEwIDAtMCHgAC+wICAnwCBAIFAgYCBwIIAgkCswILAoUCDQIIAggCCAIIAggCCAIIAggCCAIIAggCCAIIAggCCAIIAggCEwIDAjkCHgAC+wICAiACBAIFAgYCBwIIAgkCIwILAoUCDQIIAggCCAIIAggCCAIIAggCCAIIAggCCAIIAggCCAIIAggCEwIDAskCHgAC+wICAiICBAIFAgYCBwIIAgkCswILAoUCDQIIAggCCAIIAggCCAIIAggCCAIIAggCCAIIAggCCAIIAggCEwIDAtwCHgAC+wICAlMCBAIFAgYCBwIIAgkCHAILAoUCDQIIAggCCAIIAggCCAIIAggCCAIIAggCCAIIAggCCAIIAggCEwIDApACHgAC+wICAu0CBAIFAgYCBwIIAgkCIwILAoUCDQIIAggCCAIIAggCCAIIAggCCAIIAggCCAIIAggCCAIIAggCEwIDAvkCHgAC+wICAjQCBAIFAgYCBwIIAgkCIwILAoUCDQIIAggCCAIIAggCCAIIAggCCAIIAggCCAIIAggCCAIIAggCEwIDAr0CHgAC+wICAkoCBAIFAgYCBwIIAgkCIwILAoUCDQIIAggCCAIIAggCCAIIAggCCAIIAggCCAIIAggCCAIIAggCEwIDApsCHgAC+wICAjsCBAIFAgYCBwIIAgkCHAILAoUCDQIIAggCCAIIAggCCAIIAggCCAIIAggCCAIIAggCCAIIAggCEwIDArgCHgAC+wICAu4CBAIFAgYCBwIIAgkCswILAoUCDQIIAggCCAIIAggCCAIIAggCCAIIAggCCAIIAggCCAIIAggCEwIDAuwCHgAC+wICAj4CBAIFAgYCBwIIAgkCHAILAoUCDQIIAggCCAIIAggCCAIIAggCCAIIAggCCAIIAggCCAIIAggCEwIDArsCHgAC+wICAoICBAIFAgYCBwIIAgkCswILAoUCDQIIAggCCAIIAggCCAIIAggCCAIIAggCCAIIAggCCAIIAggCEwIDAjkCHgAC+wICAjYCBAIFAgYCBwIIAgkCIwILAoUCDQIIAggCCAIIAggCCAIIAggCCAIIAggCCAIIAggCCAIIAggCEwIDAp4CHgAC+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AgQCBQIGAgcCCAIJAgoCCwIMAg0CCAIIAggCCAIIAggCCAIIegAABAACCAIIAggCCAIIAggCCAIIAggCHgIDAjkCHgAC/AICAgMCBAIFAgYCBwIIAgkCIwILAgwCDQIIAggCCAIIAggCCAIIAggCCAIIAggCCAIIAggCCAIIAggCHgIDAk0CHgAC/AICAgMCBAIFAgYCBwIIAgkCCgILAgwCDQIIAggCCAIIAggCCAIIAggCCAIIAggCCAIIAggCCAIIAggCHgIDAg4CHgAC/AICAiUCBAIFAgYCBwIIAgkCHAILAgwCDQIIAggCCAIIAggCCAIIAggCCAIIAggCCAIIAggCCAIIAggCHgIDAkwCHgAC/AICAkgCBAIFAgYCBwIIAgkCCgILAgwCDQIIAggCCAIIAggCCAIIAggCCAIIAggCCAIIAggCCAIIAggCHgIDAkkCHgAC/AICAiUCBAIFAgYCBwIIAgkCIwILAgwCDQIIAggCCAIIAggCCAIIAggCCAIIAggCCAIIAggCCAIIAggCHgIDAicCHgAC/AICAiICBAIFAgYCBwIIAgkCIwILAgwCDQIIAggCCAIIAggCCAIIAggCCAIIAggCCAIIAggCCAIIAggCHgIDAiQCHgAC/AICAkgCBAIFAgYCBwIIAgkCIwILAgwCDQIIAggCCAIIAggCCAIIAggCCAIIAggCCAIIAggCCAIIAggCHgIDAk8CHgAC/AICAh4CBAIFAgYCBwIIAgkCHAILAgwCDQIIAggCCAIIAggCCAIIAggCCAIIAggCCAIIAggCCAIIAggCHgIDAh8CHgAC/AICAjQCBAIFAgYCBwIIAgkCHAILAgwCDQIIAggCCAIIAggCCAIIAggCCAIIAggCCAIIAggCCAIIAggCHgIDAlICHgAC/AICAhsCBAIFAgYCBwIIAgkCHAILAgwCDQIIAggCCAIIAggCCAIIAggCCAIIAggCCAIIAggCCAIIAggCHgIDAh0CHgAC/AICAiACBAIFAgYCBwIIAgkCHAILAgwCDQIIAggCCAIIAggCCAIIAggCCAIIAggCCAIIAggCCAIIAggCHgIDAiECHgAC/AICAiUCBAIFAgYCBwIIAgkCCgILAgwCDQIIAggCCAIIAggCCAIIAggCCAIIAggCCAIIAggCCAIIAggCHgIDAiYCHgAC/AICAiICBAIFAgYCBwIIAgkCCgILAgwCDQIIAggCCAIIAggCCAIIAggCCAIIAggCCAIIAggCCAIIAggCHgIDAnMCHgAC/AICAioCBAIFAgYCBwIIAgkCIwILAgwCDQIIAggCCAIIAggCCAIIAggCCAIIAggCCAIIAggCCAIIAggCHgIDAisCHgAC/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AgQCegAABAAFAgYCBwIIAgkCCgILAgwCDQIIAggCCAIIAggCCAIIAggCCAIIAggCCAIIAggCCAIIAggCHgIDAlcCHgAC/AICAlwCBAIFAgYCBwIIAgkCCgILAgwCDQIIAggCCAIIAggCCAIIAggCCAIIAggCCAIIAggCCAIIAggCHgIDAl0CHgAC/AICAlgCBAIFAgYCBwIIAgkCCgILAgwCDQIIAggCCAIIAggCCAIIAggCCAIIAggCCAIIAggCCAIIAggCHgIDAlsCHgAC/AICAlUCBAIFAgYCBwIIAgkCHAILAgwCDQIIAggCCAIIAggCCAIIAggCCAIIAggCCAIIAggCCAIIAggCHgIDAlYCHgAC/AICAlwCBAIFAgYCBwIIAgkCIwILAgwCDQIIAggCCAIIAggCCAIIAggCCAIIAggCCAIIAggCCAIIAggCHgIDAl4CHgAC/AICAlgCBAIFAgYCBwIIAgkCIwILAgwCDQIIAggCCAIIAggCCAIIAggCCAIIAggCCAIIAggCCAIIAggCHgIDAlkCHgAC/AICAjgCBAIFAgYCBwIIAgkCHAILAgwCDQIIAggCCAIIAggCCAIIAggCCAIIAggCCAIIAggCCAIIAggCHgIDAloCHgAC/AICAjACBAIFAgYCBwIIAgkCIwILAgwCDQIIAggCCAIIAggCCAIIAggCCAIIAggCCAIIAggCCAIIAggCHgIDAjECHgAC/AICAioCBAIFAgYCBwIIAgkCCgILAgwCDQIIAggCCAIIAggCCAIIAggCCAIIAggCCAIIAggCCAIIAggCHgIDAkUCHgAC/AICAlMCBAIFAgYCBwIIAgkCIwILAgwCDQIIAggCCAIIAggCCAIIAggCCAIIAggCCAIIAggCCAIIAggCHgIDAnACHgAC/AICAjYCBAIFAgYCBwIIAgkCIwILAgwCDQIIAggCCAIIAggCCAIIAggCCAIIAggCCAIIAggCCAIIAggCHgIDAjoCHgAC/AICAkgCBAIFAgYCBwIIAgkCHAILAgwCDQIIAggCCAIIAggCCAIIAggCCAIIAggCCAIIAggCCAIIAggCHgIDAmQCHgAC/AICAj4CBAIFAgYCBwIIAgkCHAILAgwCDQIIAggCCAIIAggCCAIIAggCCAIIAggCCAIIAggCCAIIAggCHgIDAj8CHgAC/AICAjYCBAIFAgYCBwIIAgkCCgILAgwCDQIIAggCCAIIAggCCAIIAggCCAIIAggCCAIIAggCCAIIAggCHgIDAjcCHgAC/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xxe4awand>
</file>

<file path=customXml/item54.xml><?xml version="1.0" encoding="utf-8"?>
<xxe4awand xmlns="http://www.excel4apps.com"><![CDATA[rO0ABXfZCMCtii8ABDMHAh4AAERjb20uZXhjZWw0YXBwcy53YW5kLm9yYWNsZS5n
bHdhbmQuY2FsY3VsYXRpb25zLmdldGJhbGFuY2UuR2V0QmFsYW5jZQIBAAkzMTM3
Mjk5ODQCAgABMAIDAAYyMDE4MDQCBAADWVREAgUAA1VTRAIGAAVUb3RhbAIHAAFB
AggAAAIJAAMwMDECCgAGMTkxMDI1AgsAAkdEAgwAAldBAg0AAkRMAggCCAIIAggC
CAIIAggCCAIIAggCCAIIAggCCAIIAggCCAIB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NjExAgQCBQIGAgcCCAIJAhwABjE5MTAxMAIL
AgwCDQIIAggCCAIIAggCCAIIAggCCAIIAggCCAIIAggCCAIIAggCAQIDAh1zcQB+
AAAAAAACc3EAfgAE///////////////+/////v////91cQB+AAcAAAAEElQVqnh4
d6ICHgACAQICAh4ABjIwMTgxMAIEAgUCBgIHAggCCQIKAgsCDAINAggCCAIIAggC
CAIIAggCCAIIAggCCAIIAggCCAIIAggCCAIBAgMCDgIeAAIBAgICHwAGMjAxODA5
AgQCBQIGAgcCCAIJAiAABjE5MTAwMAILAgwCDQIIAggCCAIIAggCCAIIAggCCAII
AggCCAIIAggCCAIIAggCAQIDAiFzcQB+AAAAAAACc3EAfgAE///////////////+
/////gAAAAF1cQB+AAcAAAAEBKnnZHh4d00CHgACAQICAiIABjIwMTYwNwIEAgUC
BgIHAggCCQIgAgsCDAINAggCCAIIAggCCAIIAggCCAIIAggCCAIIAggCCAIIAggC
CAIBAgMCI3NxAH4AAAAAAAJzcQB+AAT///////////////7////+/////3VxAH4A
BwAAAAQDNpKZeHh3TQIeAAIBAgICJAAGMjAxNzEwAgQCBQIGAgcCCAIJAgoCCwIM
Ag0CCAIIAggCCAIIAggCCAIIAggCCAIIAggCCAIIAggCCAIIAgECAwIlc3EAfgAA
AAAAAnNxAH4ABP///////////////v////7/////dXEAfgAHAAAAAwPcq3h4d00CHgACAQICAiYABjIwMTYwMgIEAgUCBgIHAggCCQIKAgsCDAINAggCCAIIAggCCAIIAggCCAIIAggCCAIIAggCCAIIAggCCAIBAgMCJ3NxAH4AAAAAAAJzcQB+AAT///////////////7////+/////3VxAH4ABwAAAAMSFct4eHdNAh4AAgECAgIoAAYyMDE4MDcCBAIFAgYCBwIIAgkCHAILAgwCDQIIAggCCAIIAggCCAIIAggCCAIIAggCCAIIAggCCAIIAggCAQIDAilzcQB+AAAAAAACc3EAfgAE///////////////+/////v////91cQB+AAcAAAAEY8+aCXh4d00CHgACAQICAioABjIwMTcwNAIEAgUCBgIHAggCCQIKAgsCDAINAggCCAIIAggCCAIIAggCCAIIAggCCAIIAggCCAIIAggCCAIBAgMCK3NxAH4AAAAAAAJzcQB+AAT///////////////7////+/////3VxAH4ABwAAAAMEdI14eHdFAh4AAgECAgIoAgQCBQIGAgcCCAIJAiACCwIMAg0CCAIIAggCCAIIAggCCAIIAggCCAIIAggCCAIIAggCCAIIAgECAwIsc3EAfgAAAAAAAnNxAH4ABP///////////////v////4AAAABdXEAfgAHAAAAAwlJUHh4d00CHgACAQICAi0ABjIwMTYwNQIEAgUCBgIHAggCCQIcAgsCDAINAggCCAIIAggCCAIIAggCCAIIAggCCAIIAggCCAIIAggCCAIBAgMCLnNxAH4AAAAAAAJzcQB+AAT///////////////7////+/////3VxAH4ABwAAAARMKwuAeHh3TQIeAAIBAgICLwAGMjAxNzA1AgQCBQIGAgcCCAIJAhwCCwIMAg0CCAIIAggCCAIIAggCCAIIAggCCAIIAggCCAIIAggCCAIIAgECAwIwc3EAfgAAAAAAAnNxAH4ABP///////////////v////7/////dXEAfgAHAAAABFn95fJ4eHdNAh4AAgECAgIxAAYyMDE3MDcCBAIFAgYCBwIIAgkCIAILAgwCDQIIAggCCAIIAggCCAIIAggCCAIIAggCCAIIAggCCAIIAggCAQIDAjJzcQB+AAAAAAACc3EAfgAE///////////////+/////v////91cQB+AAcAAAAEAgr29Hh4d00CHgACAQICAjMABjIwMTYxMAIEAgUCBgIHAggCCQIKAgsCDAINAggCCAIIAggCCAIIAggCCAIIAggCCAIIAggCCAIIAggCCAIBAgMCNHNxAH4AAAAAAAJzcQB+AAT///////////////7////+/////3VxAH4ABwAAAAMFP694eHdNAh4AAgECAgI1AAYyMDE3MDMCBAIFAgYCBwIIAgkCHAILAgwCDQIIAggCCAIIAggCCAIIAggCCAIIAggCCAIIAggCCAIIAggCAQIDAjZzcQB+AAAAAAACc3EAfgAE///////////////+/////v////91cQB+AAcAAAAEU2ObJnh4d0UCHgACAQICAiICBAIFAgYCBwIIAgkCHAILAgwCDQIIAggCCAIIAggCCAIIAggCCAIIAggCCAIIAggCCAIIAggCAQIDAjdzcQB+AAAAAAACc3EAfgAE///////////////+/////v////91cQB+AAcAAAAEWi+1rXh4d5ICHgACAQICAjgABjIwMTgwNgIEAgUCBgIHAggCCQIKAgsCDAINAggCCAIIAggCCAIIAggCCAIIAggCCAIIAggCCAIIAggCCAIBAgMCDgIeAAIBAgICHwIEAgUCBgIHAggCCQIcAgsCDAINAggCCAIIAggCCAIIAggCCAIIAggCCAIIAggCCAIIAggCCAIBAgMCOXNxAH4AAAAAAAJzcQB+AAT///////////////7////+/////3VxAH4ABwAAAARx0ZiUeHh3TQIeAAIBAgICOgAGMjAxNjA0AgQCBQIGAgcCCAIJAgoCCwIMAg0CCAIIAggCCAIIAggCCAIIAggCCAIIAggCCAIIAggCCAIIAgECAwI7c3EAfgAAAAAAAnNxAH4ABP///////////////v////7/////dXEAfgAHAAAAAwzG/nh4d00CHgACAQICAjwABjIwMTcwMgIEAgUCBgIHAggCCQIKAgsCDAINAggCCAIIAggCCAIIAggCCAIIAggCCAIIAggCCAIIAggCCAIBAgMCPXNxAH4AAAAAAAJzcQB+AAT///////////////7////+/////3VxAH4ABwAAAAME+2h4eHdNAh4AAgECAgI+AAYyMDE4MDUCBAIFAgYCBwIIAgkCIAILAgwCDQIIAggCCAIIAggCCAIIAggCCAIIAggCCAIIAggCCAIIAggCAQIDAj9zcQB+AAAAAAACc3EAfgAE///////////////+/////v////91cQB+AAcAAAAEBEpBlXh4d0UCHgACAQICAi0CBAIFAgYCBwIIAgkCIAILAgwCDQIIAggCCAIIAggCCAIIAggCCAIIAggCCAIIAggCCAIIAggCAQIDAkBzcQB+AAAAAAACc3EAfgAE///////////////+/////v////91cQB+AAcAAAAEBDaJ43h4d00CHgACAQICAkEABjIwMTcxMQIEAgUCBgIHAggCCQIcAgsCDAINAggCCAIIAggCCAIIAggCCAIIAggCCAIIAggCCAIIAggCCAIBAgMCQnNxAH4AAAAAAAJzcQB+AAT///////////////7////+/////3VxAH4ABwAAAAQw0KqzeHh3RQIeAAIBAgICGwIEAgUCBgIHAggCCQIgAgsCDAINAggCCAIIAggCCAIIAggCCAIIAggCCAIIAggCCAIIAggCCAIBAgMCQ3NxAH4AAAAAAAJzcQB+AAT///////////////7////+/////3VxAH4ABwAAAARMQw4VeHh3TQIeAAIBAgICRAAGMjAxODAyAgQCBQIGAgcCCAIJAiACCwIMAg0CCAIIAggCCAIIAggCCAIIAggCCAIIAggCCAIIAggCCAIIAgECAwJFc3EAfgAAAAAAAnNxAH4ABP///////////////v////7/////dXEAfgAHAAAABBli52V4eHdNAh4AAgECAgJGAAYyMDE3MDkCBAIFAgYCBwIIAgkCIAILAgwCDQIIAggCCAIIAggCCAIIAggCCAIIAggCCAIIAggCCAIIAggCAQIDAkdzcQB+AAAAAAACc3EAfgAE///////////////+/////gAAAAF1cQB+AAcAAAAEAo6woHh4d00CHgACAQICAkgABjIwMTYwOQIEAgUCBgIHAggCCQIKAgsCDAINAggCCAIIAggCCAIIAggCCAIIAggCCAIIAggCCAIIAggCCAIBAgMCSXNxAH4AAAAAAAJzcQB+AAT///////////////7////+/////3VxAH4ABwAAAAMHjdR4eHdNAh4AAgECAgJKAAYyMDE2MTICBAIFAgYCBwIIAgkCCgILAgwCDQIIAggCCAIIAggCCAIIAggCCAIIAggCCAIIAggCCAIIAggCAQIDAktzcQB+AAAAAAACc3EAfgAE///////////////+/////v////91cQB+AAcAAAADBtyTeHh3zwIeAAIBAgICHgIEAgUCBgIHAggCCQIgAgsCDAINAggCCAIIAggCCAIIAggCCAIIAggCCAIIAggCCAIIAggCCAIBAgMCIQIeAAIBAgICHwIEAgUCBgIHAggCCQIKAgsCDAINAggCCAIIAggCCAIIAggCCAIIAggCCAIIAggCCAIIAggCCAIBAgMCDgIeAAIBAgICMQIEAgUCBgIHAggCCQIKAgsCDAINAggCCAIIAggCCAIIAggCCAIIAggCCAIIAggCCAIIAggCCAIBAgMCTHNxAH4AAAAAAAJzcQB+AAT///////////////7////+/////3VxAH4ABwAAAAMENDh4eHdNAh4AAgECAgJNAAYyMDE4MDMCBAIFAgYCBwIIAgkCIAILAgwCDQIIAggCCAIIAggCCAIIAggCCAIIAggCCAIIAggCCAIIAggCAQIDAk5zcQB+AAAAAAACc3EAfgAE///////////////+/////v////91cQB+AAcAAAAEDlPJjHh4d0UCHgACAQICAkYCBAIFAgYCBwIIAgkCHAILAgwCDQIIAggCCAIIAggCCAIIAggCCAIIAggCCAIIAggCCAIIAggCAQIDAk9zcQB+AAAAAAACc3EAfgAE///////////////+/////v////91cQB+AAcAAAAEcQZZSXh4d0UCHgACAQICAgMCBAIFAgYCBwIIAgkCIAILAgwCDQIIAggCCAIIAggCCAIIAggCCAIIAggCCAIIAggCCAIIAggCAQIDAlBzcQB+AAAAAAACc3EAfgAE///////////////+/////v////91cQB+AAcAAAAEBxk/mXh4d0UCHgACAQICAiYCBAIFAgYCBwIIAgkCIAILAgwCDQIIAggCCAIIAggCCAIIAggCCAIIAggCCAIIAggCCAIIAggCAQIDAlFzcQB+AAAAAAACc3EAfgAE///////////////+/////v////91cQB+AAcAAAAECCX/sXh4d0UCHgACAQICAiQCBAIFAgYCBwIIAgkCIAILAgwCDQIIAggCCAIIAggCCAIIAggCCAIIAggCCAIIAggCCAIIAggCAQIDAlJzcQB+AAAAAAACc3EAfgAE///////////////+/////gAAAAF1cQB+AAcAAAAECQ0V/Xh4d0UCHgACAQICAiICBAIFAgYCBwIIAgkCCgILAgwCDQIIAggCCAIIAggCCAIIAggCCAIIAggCCAIIAggCCAIIAggCAQIDAlNzcQB+AAAAAAACc3EAfgAE///////////////+/////v////91cQB+AAcAAAADCZ5/eHh3RQIeAAIBAgICRAIEAgUCBgIHAggCCQIcAgsCDAINAggCCAIIAggCCAIIAggCCAIIAggCCAIIAggCCAIIAggCCAIBAgMCVHNxAH4AAAAAAAJzcQB+AAT///////////////7////+/////3VxAH4ABwAAAARPKnH5eHh3mgIeAAIBAgICVQAGMjAxNzEyAgQCBQIGAgcCCAIJAgoCCwIMAg0CCAIIAggCCAIIAggCCAIIAggCCAIIAggCCAIIAggCCAIIAgECAwIOAh4AAgECAgJWAAYyMDE3MDECBAIFAgYCBwIIAgkCCgILAgwCDQIIAggCCAIIAggCCAIIAggCCAIIAggCCAIIAggCCAIIAggCAQIDAldzcQB+AAAAAAACc3EAfgAE///////////////+/////v////91cQB+AAcAAAADBWT/eHh3RQIeAAIBAgICQQIEAgUCBgIHAggCCQIgAgsCDAINAggCCAIIAggCCAIIAggCCAIIAggCCAIIAggCCAIIAggCCAIBAgMCWHNxAH4AAAAAAAJzcQB+AAT///////////////7////+/////3VxAH4ABwAAAAREule8eHh3RQIeAAIBAgICTQIEAgUCBgIHAggCCQIcAgsCDAINAggCCAIIAggCCAIIAggCCAIIAggCCAIIAggCCAIIAggCCAIBAgMCWXNxAH4AAAAAAAJzcQB+AAT///////////////7////+/////3VxAH4ABwAAAARSfqMaeHh3TQIeAAIBAgICWgAGMjAxNjA4AgQCBQIGAgcCCAIJAgoCCwIMAg0CCAIIAggCCAIIAggCCAIIAggCCAIIAggCCAIIAggCCAIIAgECAwJbc3EAfgAAAAAAAnNxAH4ABP///////////////v////7/////dXEAfgAHAAAAAwi2nHh4d0UCHgACAQICAioCBAIFAgYCBwIIAgkCHAILAgwCDQIIAggCCAIIAggCCAIIAggCCAIIAggCCAIIAggCCAIIAggCAQIDAlxzcQB+AAAAAAACc3EAfgAE///////////////+/////v////91cQB+AAcAAAAEWnDZd3h4d00CHgACAQICAl0ABjIwMTYwNgIEAgUCBgIHAggCCQIcAgsCDAINAggCCAIIAggCCAIIAggCCAIIAggCCAIIAggCCAIIAggCCAIBAgMCXnNxAH4AAAAAAAJzcQB+AAT///////////////7////+/////3VxAH4ABwAAAARUiEubeHh3TQIeAAIBAgICXwAGMjAxNzA2AgQCBQIGAgcCCAIJAgoCCwIMAg0CCAIIAggCCAIIAggCCAIIAggCCAIIAggCCAIIAggCCAIIAgECAwJgc3EAfgAAAAAAAnNxAH4ABP///////////////v////7/////dXEAfgAHAAAAAwRDenh4d0UCHgACAQICAiQCBAIFAgYCBwIIAgkCHAILAgwCDQIIAggCCAIIAggCCAIIAggCCAIIAggCCAIIAggCCAIIAggCAQIDAmFzcQB+AAAAAAACc3EAfgAE///////////////+/////v////91cQB+AAcAAAAEgtyI8Xh4d0UCHgACAQICAi8CBAIFAgYCBwIIAgkCIAILAgwCDQIIAggCCAIIAggCCAIIAggCCAIIAggCCAIIAggCCAIIAggCAQIDAmJzcQB+AAAAAAACc3EAfgAE///////////////+/////v////91cQB+AAcAAAAEBiEYhXh4d00CHgACAQICAmMABjIwMTgwOAIEAgUCBgIHAggCCQIcAgsCDAINAggCCAIIAggCCAIIAggCCAIIAggCCAIIAggCCAIIAggCCAIBAgMCZHNxAH4AAAAAAAJzcQB+AAT///////////////7////+/////3VxAH4ABwAAAARvUxbyeHh3RQIeAAIBAgICNQIEAgUCBgIHAggCCQIKAgsCDAINAggCCAIIAggCCAIIAggCCAIIAggCCAIIAggCCAIIAggCCAIBAgMCZXNxAH4AAAAAAAJzcQB+AAT///////////////7////+/////3VxAH4ABwAAAAMEq5d4eHdFAh4AAgECAgJVAgQCBQIGAgcCCAIJAhwCCwIMAg0CCAIIAggCCAIIAggCCAIIAggCCAIIAggCCAIIAggCCAIIAgECAwJmc3EAfgAAAAAAAnNxAH4ABP///////////////v////7/////dXEAfgAHAAAABEI0vHx4eHdFAh4AAgECAgJjAgQCBQIGAgcCCAIJAiACCwIMAg0CCAIIAggCCAIIAggCCAIIAggCCAIIAggCCAIIAggCCAIIAgECAwJnc3EAfgAAAAAAAnNxAH4ABP///////////////v////4AAAABdXEAfgAHAAAABAIIPL14eHdFAh4AAgECAgJdAgQCBQIGAgcCCAIJAiACCwIMAg0CCAIIAggCCAIIAggCCAIIAggCCAIIAggCCAIIAggCCAIIAgECAwJoc3EAfgAAAAAAAnNxAH4ABP///////////////v////7/////dXEAfgAHAAAABAOri614eHdFAh4AAgECAgI6AgQCBQIGAgcCCAIJAhwCCwIMAg0CCAIIAggCCAIIAggCCAIIAggCCAIIAggCCAIIAggCCAIIAgECAwJpc3EAfgAAAAAAAnNxAH4ABP///////////////v////7/////dXEAfgAHAAAABEhweK94eHeSAh4AAgECAgJqAAYyMDE4MTECBAIFAgYCBwIIAgkCCgILAgwCDQIIAggCCAIIAggCCAIIAggCCAIIAggCCAIIAggCCAIIAggCAQIDAg4CHgACAQICAl8CBAIFAgYCBwIIAgkCHAILAgwCDQIIAggCCAIIAggCCAIIAggCCAIIAggCCAIIAggCCAIIAggCAQIDAmtzcQB+AAAAAAACc3EAfgAE///////////////+/////v////91cQB+AAcAAAAEWAsHLHh4d0UCHgACAQICAkoCBAIFAgYCBwIIAgkCIAILAgwCDQIIAggCCAIIAggCCAIIAggCCAIIAggCCAIIAggCCAIIAggCAQIDAmxzcQB+AAAAAAACc3EAfgAE///////////////+/////v////91cQB+AAcAAAAEO4uIvXh4d00CHgACAQICAm0ABjIwMTcwOAIEAgUCBgIHAggCCQIgAgsCDAINAggCCAIIAggCCAIIAggCCAIIAggCCAIIAggCCAIIAggCCAIBAgMCbnNxAH4AAAAAAAJzcQB+AAT///////////////7////+/////3VxAH4ABwAAAAMylNZ4eHdFAh4AAgECAgJKAgQCBQIGAgcCCAIJAhwCCwIMAg0CCAIIAggCCAIIAggCCAIIAggCCAIIAggCCAIIAggCCAIIAgECAwJvc3EAfgAAAAAAAnNxAH4ABP///////////////v////7/////dXEAfgAHAAAABCij2ll4eHfXAh4AAgECAgI+AgQCBQIGAgcCCAIJAgoCCwIMAg0CCAIIAggCCAIIAggCCAIIAggCCAIIAggCCAIIAggCCAIIAgECAwIOAh4AAgECAgJBAgQCBQIGAgcCCAIJAgoCCwIMAg0CCAIIAggCCAIIAggCCAIIAggCCAIIAggCCAIIAggCCAIIAgECAwIOAh4AAgECAgJwAAYyMDE2MDMCBAIFAgYCBwIIAgkCCgILAgwCDQIIAggCCAIIAggCCAIIAggCCAIIAggCCAIIAggCCAIIAggCAQIDAnFzcQB+AAAAAAACc3EAfgAE///////////////+/////v////91cQB+AAcAAAADDoPdeHh3RQIeAAIBAgICOAIEAgUCBgIHAggCCQIcAgsCDAINAggCCAIIAggCCAIIAggCCAIIAggCCAIIAggCCAIIAggCCAIBAgMCcnNxAH4AAAAAAAJzcQB+AAT///////////////7////+/////3VxAH4ABwAAAARdGgPTeHh3RQIeAAIBAgICLwIEAgUCBgIHAggCCQIKAgsCDAINAggCCAIIAggCCAIIAggCCAIIAggCCAIIAggCCAIIAggCCAIBAgMCc3NxAH4AAAAAAAJzcQB+AAT///////////////7////+/////3VxAH4ABwAAAAMEVit4eHdFAh4AAgECAgJtAgQCBQIGAgcCCAIJAhwCCwIMAg0CCAIIAggCCAIIAggCCAIIAggCCAIIAggCCAIIAggCCAIIAgECAwJ0c3EAfgAAAAAAAnNxAH4ABP///////////////v////7/////dXEAfgAHAAAABGUxQat4eHdFAh4AAgECAgImAgQCBQIGAgcCCAIJAhwCCwIMAg0CCAIIAggCCAIIAggCCAIIAggCCAIIAggCCAIIAggCCAIIAgECAwJ1c3EAfgAAAAAAAnNxAH4ABP///////////////v////7/////dXEAfgAHAAAABDc49U94eHeKAh4AAgECAgIeAgQCBQIGAgcCCAIJAhwCCwIMAg0CCAIIAggCCAIIAggCCAIIAggCCAIIAggCCAIIAggCCAIIAgECAwI5Ah4AAgECAgIqAgQCBQIGAgcCCAIJAiACCwIMAg0CCAIIAggCCAIIAggCCAIIAggCCAIIAggCCAIIAggCCAIIAgECAwJ2c3EAfgAAAAAAAnNxAH4ABP///////////////v////7/////dXEAfgAHAAAABAnwakZ4eHdFAh4AAgECAgJfAgQCBQIGAgcCCAIJAiACCwIMAg0CCAIIAggCCAIIAggCCAIIAggCCAIIAggCCAIIAggCCAIIAgECAwJ3c3EAfgAAAAAAAnNxAH4ABP///////////////v////7/////dXEAfgAHAAAABAPdTSB4eHdFAh4AAgECAgIzAgQCBQIGAgcCCAIJAhwCCwIMAg0CCAIIAggCCAIIAggCCAIIAggCCAIIAggCCAIIAggCCAIIAgECAwJ4c3EAfgAAAAAAAnNxAH4ABP///////////////v////7/////dXEAfgAHAAAABGKNyxZ4eHeKAh4AAgECAgJNAgQCBQIGAgcCCAIJAgoCCwIMAg0CCAIIAggCCAIIAggCCAIIAggCCAIIAggCCAIIAggCCAIIAgECAwIOAh4AAgECAgJVAgQCBQIGAgcCCAIJAiACCwIMAg0CCAIIAggCCAIIAggCCAIIAggCCAIIAggCCAIIAggCCAIIAgECAwJ5c3EAfgAAAAAAAnNxAH4ABP///////////////v////7/////dXEAfgAHAAAABDRJviN4eHdFAh4AAgECAgJaAgQCBQIGAgcCCAIJAiACCwIMAg0CCAIIAggCCAIIAggCCAIIAggCCAIIAggCCAIIAggCCAIIAgECAwJ6c3EAfgAAAAAAAnNxAH4ABP///////////////v////7/////dXEAfgAHAAAABAK9P6R4eHdFAh4AAgECAgJWAgQCBQIGAgcCCAIJAiACCwIMAg0CCAIIAggCCAIIAggCCAIIAggCCAIIAggCCAIIAggCCAIIAgECAwJ7c3EAfgAAAAAAAnNxAH4ABP///////////////v////7/////dXEAfgAHAAAABCjphrZ4eHdFAh4AAgECAgIDAgQCBQIGAgcCCAIJAhwCCwIMAg0CCAIIAggCCAIIAggCCAIIAggCCAIIAggCCAIIAggCCAIIAgECAwJ8c3EAfgAAAAAAAnNxAH4ABP///////////////v////7/////dXEAfgAHAAAABFqpyF94eHdFAh4AAgECAgJIAgQCBQIGAgcCCAIJAhwCCwIMAg0CCAIIAggCCAIIAggCCAIIAggCCAIIAggCCAIIAggCCAIIAgECAwJ9c3EAfgAAAAAAAnNxAH4ABP///////////////v////7/////dXEAfgAHAAAABGExCBR4eHdFAh4AAgECAgJWAgQCBQIGAgcCCAIJAhwCCwIMAg0CCAIIAggCCAIIAggCCAIIAggCCAIIAggCCAIIAggCCAIIAgECAwJ+c3EAfgAAAAAAAnNxAH4ABP///////////////v////7/////dXEAfgAHAAAABD0VO3Z4eHdNAh4AAgECAgJ/AAYyMDE4MDECBAIFAgYCBwIIAgkCHAILAgwCDQIIAggCCAIIAggCCAIIAggCCAIIAggCCAIIAggCCAIIAggCAQIDAoBzcQB+AAAAAAACc3EAfgAE///////////////+/////v////91cQB+AAcAAAAETu7o2nh4d0UCHgACAQICAjwCBAIFAgYCBwIIAgkCIAILAgwCDQIIAggCCAIIAggCCAIIAggCCAIIAggCCAIIAggCCAIIAggCAQIDAoFzcQB+AAAAAAACc3EAfgAE///////////////+/////v////91cQB+AAcAAAAEG0cx03h4d0UCHgACAQICAl0CBAIFAgYCBwIIAgkCCgILAgwCDQIIAggCCAIIAggCCAIIAggCCAIIAggCCAIIAggCCAIIAggCAQIDAoJzcQB+AAAAAAACc3EAfgAE///////////////+/////v////91cQB+AAcAAAADCoBUeHh3RQIeAAIBAgICPAIEAgUCBgIHAggCCQIcAgsCDAINAggCCAIIAggCCAIIAggCCAIIAggCCAIIAggCCAIIAggCCAIBAgMCg3NxAH4AAAAAAAJzcQB+AAT///////////////7////+/////3VxAH4ABwAAAARJi1PJeHh3igIeAAIBAgICagIEAgUCBgIHAggCCQIgAgsCDAINAggCCAIIAggCCAIIAggCCAIIAggCCAIIAggCCAIIAggCCAIBAgMCIQIeAAIBAgICcAIEAgUCBgIHAggCCQIgAgsCDAINAggCCAIIAggCCAIIAggCCAIIAggCCAIIAggCCAIIAggCCAIBAgMChHNxAH4AAAAAAAJzcQB+AAT///////////////7////+/////3VxAH4ABwAAAAQF6I5ueHh3igIeAAIBAgICfwIEAgUCBgIHAggCCQIKAgsCDAINAggCCAIIAggCCAIIAggCCAIIAggCCAIIAggCCAIIAggCCAIBAgMCDgIeAAIBAgICWgIEAgUCBgIHAggCCQIcAgsCDAINAggCCAIIAggCCAIIAggCCAIIAggCCAIIAggCCAIIAggCCAIBAgMChXNxAH4AAAAAAAJzcQB+AAT///////////////7////+/////3VxAH4ABwAAAARdV1DJeHh3igIeAAIBAgICYwIEAgUCBgIHAggCCQIKAgsCDAINAggCCAIIAggCCAIIAggCCAIIAggCCAIIAggCCAIIAggCCAIBAgMCDgIeAAIBAgICbQIEAgUCBgIHAggCCQIKAgsCDAINAggCCAIIAggCCAIIAggCCAIIAggCCAIIAggCCAIIAggCCAIBAgMChnNxAH4AAAAAAAJzcQB+AAT///////////////7////+/////3VxAH4ABwAAAAMEJQl4eHdFAh4AAgECAgI1AgQCBQIGAgcCCAIJAiACCwIMAg0CCAIIAggCCAIIAggCCAIIAggCCAIIAggCCAIIAggCCAIIAgECAwKHc3EAfgAAAAAAAnNxAH4ABP///////////////v////7/////dXEAfgAHAAAABBD98iN4eHdFAh4AAgECAgI6AgQCBQIGAgcCCAIJAiACCwIMAg0CCAIIAggCCAIIAggCCAIIAggCCAIIAggCCAIIAggCCAIIAgECAwKIc3EAfgAAAAAAAnNxAH4ABP///////////////v////7/////dXEAfgAHAAAABATkMA94eHdFAh4AAgECAgI4AgQCBQIGAgcCCAIJAiACCwIMAg0CCAIIAggCCAIIAggCCAIIAggCCAIIAggCCAIIAggCCAIIAgECAwKJc3EAfgAAAAAAAnNxAH4ABP///////////////v////7/////dXEAfgAHAAAABAHuetZ4eHeKAh4AAgECAgJEAgQCBQIGAgcCCAIJAgoCCwIMAg0CCAIIAggCCAIIAggCCAIIAggCCAIIAggCCAIIAggCCAIIAgECAwIOAh4AAgECAgIzAgQCBQIGAgcCCAIJAiACCwIMAg0CCAIIAggCCAIIAggCCAIIAggCCAIIAggCCAIIAggCCAIIAgECAwKKc3EAfgAAAAAAAnNxAH4ABP///////////////v////7/////dXEAfgAHAAAAA7xcsnh4d0UCHgACAQICAn8CBAIFAgYCBwIIAgkCIAILAgwCDQIIAggCCAIIAggCCAIIAggCCAIIAggCCAIIAggCCAIIAggCAQIDAotzcQB+AAAAAAACc3EAfgAE///////////////+/////v////91cQB+AAcAAAAEJnGjV3h4d0UCHgACAQICAkgCBAIFAgYCBwIIAgkCIAILAgwCDQIIAggCCAIIAggCCAIIAggCCAIIAggCCAIIAggCCAIIAggCAQIDAoxzcQB+AAAAAAACc3EAfgAE///////////////+/////v////91cQB+AAcAAAAEAhunbnh4d0UCHgACAQICAj4CBAIFAgYCBwIIAgkCHAILAgwCDQIIAggCCAIIAggCCAIIAggCCAIIAggCCAIIAggCCAIIAggCAQIDAo1zcQB+AAAAAAACc3EAfgAE///////////////+/////v////91cQB+AAcAAAAEXOXAsHh4d0UCHgACAQICAhsCBAIFAgYCBwIIAgkCCgILAgwCDQIIAggCCAIIAggCCAIIAggCCAIIAggCCAIIAggCCAIIAggCAQIDAo5zcQB+AAAAAAACc3EAfgAE///////////////+/////v////91cQB+AAcAAAADBmgreHh3RQIeAAIBAgICRgIEAgUCBgIHAggCCQIKAgsCDAINAggCCAIIAggCCAIIAggCCAIIAggCCAIIAggCCAIIAggCCAIBAgMCj3NxAH4AAAAAAAJzcQB+AAT///////////////7////+/////3VxAH4ABwAAAAMEDq54eHdFAh4AAgECAgJwAgQCBQIGAgcCCAIJAhwCCwIMAg0CCAIIAggCCAIIAggCCAIIAggCCAIIAggCCAIIAggCCAIIAgECAwKQc3EAfgAAAAAAAnNxAH4ABP///////////////v////7/////dXEAfgAHAAAABD37VuJ4eHeKAh4AAgECAgIoAgQCBQIGAgcCCAIJAgoCCwIMAg0CCAIIAggCCAIIAggCCAIIAggCCAIIAggCCAIIAggCCAIIAgECAwIOAh4AAgECAgIxAgQCBQIGAgcCCAIJAhwCCwIMAg0CCAIIAggCCAIIAggCCAIIAggCCAIIAggCCAIIAggCCAIIAgECAwKRc3EAfgAAAAAAAnNxAH4ABP///////////////v////7/////dXEAfgAHAAAABF7UYvh4eHeKAh4AAgECAgJqAgQCBQIGAgcCCAIJAhwCCwIMAg0CCAIIAggCCAIIAggCCAIIAggCCAIIAggCCAIIAggCCAIIAgECAwI5Ah4AAgECAgItAgQCBQIGAgcCCAIJAgoCCwIMAg0CCAIIAggCCAIIAggCCAIIAggCCAIIAggCCAIIAggCCAIIAgECAwKSc3EAfgAAAAAAAnNxAH4ABP///////////////v////7/////dXEAfgAHAAAAAwuCrXh4egAABAACHgACkwAJMzEzNzI3NjY0AgICHwIEAgUCBgIHAggCCQIgAgsCDAINAggCCAIIAggCCAIIAggCCAIIAggCCAIIAggCCAIIAggCCAISAgMCIQIeAAKTAgICKgIEAgUCBgIHAggCCQIKAgsCDAINAggCCAIIAggCCAIIAggCCAIIAggCCAIIAggCCAIIAggCCAISAgMCKwIeAAKTAgICMQIEAgUCBgIHAggCCQIcAgsCDAINAggCCAIIAggCCAIIAggCCAIIAggCCAIIAggCCAIIAggCCAISAgMCkQIeAAKTAgICRgIEAgUCBgIHAggCCQIgAgsCDAINAggCCAIIAggCCAIIAggCCAIIAggCCAIIAggCCAIIAggCCAISAgMCRwIeAAKTAgICMwIEAgUCBgIHAggCCQIKAgsCDAINAggCCAIIAggCCAIIAggCCAIIAggCCAIIAggCCAIIAggCCAISAgMCNAIeAAKTAgICMQIEAgUCBgIHAggCCQIgAgsCDAINAggCCAIIAggCCAIIAggCCAIIAggCCAIIAggCCAIIAggCCAISAgMCMgIeAAKTAgICOAIEAgUCBgIHAggCCQIKAgsCDAINAggCCAIIAggCCAIIAggCCAIIAggCCAIIAggCCAIIAggCCAISAgMCDgIeAAKTAgICVQIEAgUCBgIHAggCCQIKAgsCDAINAggCCAIIAggCCAIIAggCCAIIAggCCAIIAggCCAIIAggCCAISAgMCDgIeAAKTAgICLQIEAgUCBgIHAggCCQIcAgsCDAINAggCCAIIAggCCAIIAggCCAIIAggCCAIIAggCCAIIAggCCAISAgMCLgIeAAKTAgICKAIEAgUCBgIHAggCCQIcAgsCDAINAggCCAIIAggCCAIIAggCCAIIAggCCAIIAggCCAIIAggCCAISAgMCKQIeAAKTAgICOgIEAgUCBgIHAggCCQIKAgsCDAINAggCCAIIAggCCAIIAggCCAIIAggCCAIIAggCCAIIAggCCAISAgMCOwIeAAKTAgICIgIEAgUCBgIHAggCCQIgAgsCDAINAggCCAIIAggCCAIIAggCCAIIAggCCAIIAggCCAIIAggCCAISAgMCIwIeAAKTAgICcAIEAgUCBgIHAggCCQIcAgsCDAINAggCCAIIAggCCAIIAggCCAIIAggCCAIIAggCCAIIAggCCAISAgMCkAIeAAKTAgICXwIEAgUCBgIHAggCCQIKAgsCDAINAggCCAIIAggCCAIIAggCCAIIAggCCAIIAggCCAIIAggCCAISAgMCYAIeAAKTAgICagIEAgUCBgIHAggCCQIcAgsCDAINAggCCAIIAggCCAIIAggCCAIIegAABAACCAIIAggCCAIIAggCCAIIAhICAwI5Ah4AApMCAgJEAgQCBQIGAgcCCAIJAgoCCwIMAg0CCAIIAggCCAIIAggCCAIIAggCCAIIAggCCAIIAggCCAIIAhICAwIOAh4AApMCAgJGAgQCBQIGAgcCCAIJAhwCCwIMAg0CCAIIAggCCAIIAggCCAIIAggCCAIIAggCCAIIAggCCAIIAhICAwJPAh4AApMCAgImAgQCBQIGAgcCCAIJAgoCCwIMAg0CCAIIAggCCAIIAggCCAIIAggCCAIIAggCCAIIAggCCAIIAhICAwInAh4AApMCAgIvAgQCBQIGAgcCCAIJAiACCwIMAg0CCAIIAggCCAIIAggCCAIIAggCCAIIAggCCAIIAggCCAIIAhICAwJiAh4AApMCAgIDAgQCBQIGAgcCCAIJAgoCCwIMAg0CCAIIAggCCAIIAggCCAIIAggCCAIIAggCCAIIAggCCAIIAhICAwIOAh4AApMCAgIbAgQCBQIGAgcCCAIJAhwCCwIMAg0CCAIIAggCCAIIAggCCAIIAggCCAIIAggCCAIIAggCCAIIAhICAwIdAh4AApMCAgI8AgQCBQIGAgcCCAIJAiACCwIMAg0CCAIIAggCCAIIAggCCAIIAggCCAIIAggCCAIIAggCCAIIAhICAwKBAh4AApMCAgJIAgQCBQIGAgcCCAIJAiACCwIMAg0CCAIIAggCCAIIAggCCAIIAggCCAIIAggCCAIIAggCCAIIAhICAwKMAh4AApMCAgIeAgQCBQIGAgcCCAIJAgoCCwIMAg0CCAIIAggCCAIIAggCCAIIAggCCAIIAggCCAIIAggCCAIIAhICAwIOAh4AApMCAgI+AgQCBQIGAgcCCAIJAhwCCwIMAg0CCAIIAggCCAIIAggCCAIIAggCCAIIAggCCAIIAggCCAIIAhICAwKNAh4AApMCAgJNAgQCBQIGAgcCCAIJAhwCCwIMAg0CCAIIAggCCAIIAggCCAIIAggCCAIIAggCCAIIAggCCAIIAhICAwJZAh4AApMCAgI+AgQCBQIGAgcCCAIJAiACCwIMAg0CCAIIAggCCAIIAggCCAIIAggCCAIIAggCCAIIAggCCAIIAhICAwI/Ah4AApMCAgJqAgQCBQIGAgcCCAIJAiACCwIMAg0CCAIIAggCCAIIAggCCAIIAggCCAIIAggCCAIIAggCCAIIAhICAwIhAh4AApMCAgJWAgQCBQIGAgcCCAIJAhwCCwIMAg0CCAIIAggCCAIIAggCCAIIAggCCAIIAggCCAIIAggCCAIIAhICAwJ+Ah4AApMCAgImAgQCBQIGAgcCCAIJAiACCwIMAg0CCAIIAggCegAABAAIAggCCAIIAggCCAIIAggCCAIIAggCCAIIAggCEgIDAlECHgACkwICAiYCBAIFAgYCBwIIAgkCHAILAgwCDQIIAggCCAIIAggCCAIIAggCCAIIAggCCAIIAggCCAIIAggCEgIDAnUCHgACkwICAm0CBAIFAgYCBwIIAgkCCgILAgwCDQIIAggCCAIIAggCCAIIAggCCAIIAggCCAIIAggCCAIIAggCEgIDAoYCHgACkwICAgMCBAIFAgYCBwIIAgkCIAILAgwCDQIIAggCCAIIAggCCAIIAggCCAIIAggCCAIIAggCCAIIAggCEgIDAlACHgACkwICAlYCBAIFAgYCBwIIAgkCCgILAgwCDQIIAggCCAIIAggCCAIIAggCCAIIAggCCAIIAggCCAIIAggCEgIDAlcCHgACkwICAh4CBAIFAgYCBwIIAgkCHAILAgwCDQIIAggCCAIIAggCCAIIAggCCAIIAggCCAIIAggCCAIIAggCEgIDAjkCHgACkwICAn8CBAIFAgYCBwIIAgkCCgILAgwCDQIIAggCCAIIAggCCAIIAggCCAIIAggCCAIIAggCCAIIAggCEgIDAg4CHgACkwICAloCBAIFAgYCBwIIAgkCCgILAgwCDQIIAggCCAIIAggCCAIIAggCCAIIAggCCAIIAggCCAIIAggCEgIDAlsCHgACkwICAkECBAIFAgYCBwIIAgkCIAILAgwCDQIIAggCCAIIAggCCAIIAggCCAIIAggCCAIIAggCCAIIAggCEgIDAlgCHgACkwICAnACBAIFAgYCBwIIAgkCIAILAgwCDQIIAggCCAIIAggCCAIIAggCCAIIAggCCAIIAggCCAIIAggCEgIDAoQCHgACkwICAl8CBAIFAgYCBwIIAgkCIAILAgwCDQIIAggCCAIIAggCCAIIAggCCAIIAggCCAIIAggCCAIIAggCEgIDAncCHgACkwICAjwCBAIFAgYCBwIIAgkCCgILAgwCDQIIAggCCAIIAggCCAIIAggCCAIIAggCCAIIAggCCAIIAggCEgIDAj0CHgACkwICAlUCBAIFAgYCBwIIAgkCIAILAgwCDQIIAggCCAIIAggCCAIIAggCCAIIAggCCAIIAggCCAIIAggCEgIDAnkCHgACkwICAlYCBAIFAgYCBwIIAgkCIAILAgwCDQIIAggCCAIIAggCCAIIAggCCAIIAggCCAIIAggCCAIIAggCEgIDAnsCHgACkwICAi8CBAIFAgYCBwIIAgkCHAILAgwCDQIIAggCCAIIAggCCAIIAggCCAIIAggCCAIIAggCCAIIAggCEgIDAjACHgACkwICAh4CBAIFAgYCBwIIAgkCIAILegAABAACDAINAggCCAIIAggCCAIIAggCCAIIAggCCAIIAggCCAIIAggCCAISAgMCIQIeAAKTAgICAwIEAgUCBgIHAggCCQIcAgsCDAINAggCCAIIAggCCAIIAggCCAIIAggCCAIIAggCCAIIAggCCAISAgMCfAIeAAKTAgICSAIEAgUCBgIHAggCCQIKAgsCDAINAggCCAIIAggCCAIIAggCCAIIAggCCAIIAggCCAIIAggCCAISAgMCSQIeAAKTAgICIgIEAgUCBgIHAggCCQIcAgsCDAINAggCCAIIAggCCAIIAggCCAIIAggCCAIIAggCCAIIAggCCAISAgMCNwIeAAKTAgICMQIEAgUCBgIHAggCCQIKAgsCDAINAggCCAIIAggCCAIIAggCCAIIAggCCAIIAggCCAIIAggCCAISAgMCTAIeAAKTAgICQQIEAgUCBgIHAggCCQIcAgsCDAINAggCCAIIAggCCAIIAggCCAIIAggCCAIIAggCCAIIAggCCAISAgMCQgIeAAKTAgICHwIEAgUCBgIHAggCCQIcAgsCDAINAggCCAIIAggCCAIIAggCCAIIAggCCAIIAggCCAIIAggCCAISAgMCOQIeAAKTAgICSgIEAgUCBgIHAggCCQIcAgsCDAINAggCCAIIAggCCAIIAggCCAIIAggCCAIIAggCCAIIAggCCAISAgMCbwIeAAKTAgICcAIEAgUCBgIHAggCCQIKAgsCDAINAggCCAIIAggCCAIIAggCCAIIAggCCAIIAggCCAIIAggCCAISAgMCcQIeAAKTAgICPgIEAgUCBgIHAggCCQIKAgsCDAINAggCCAIIAggCCAIIAggCCAIIAggCCAIIAggCCAIIAggCCAISAgMCDgIeAAKTAgICQQIEAgUCBgIHAggCCQIKAgsCDAINAggCCAIIAggCCAIIAggCCAIIAggCCAIIAggCCAIIAggCCAISAgMCDgIeAAKTAgICagIEAgUCBgIHAggCCQIKAgsCDAINAggCCAIIAggCCAIIAggCCAIIAggCCAIIAggCCAIIAggCCAISAgMCDgIeAAKTAgICWgIEAgUCBgIHAggCCQIgAgsCDAINAggCCAIIAggCCAIIAggCCAIIAggCCAIIAggCCAIIAggCCAISAgMCegIeAAKTAgICYwIEAgUCBgIHAggCCQIcAgsCDAINAggCCAIIAggCCAIIAggCCAIIAggCCAIIAggCCAIIAggCCAISAgMCZAIeAAKTAgICXQIEAgUCBgIHAggCCQIcAgsCDAINAggCCAIIAggCCAIIAggCCAIIAggCCAIIAggCCAIIAggCCAISAgMCXgIeAAKTAgICfwIEAgUCegAABAAGAgcCCAIJAiACCwIMAg0CCAIIAggCCAIIAggCCAIIAggCCAIIAggCCAIIAggCCAIIAhICAwKLAh4AApMCAgJjAgQCBQIGAgcCCAIJAiACCwIMAg0CCAIIAggCCAIIAggCCAIIAggCCAIIAggCCAIIAggCCAIIAhICAwJnAh4AApMCAgIvAgQCBQIGAgcCCAIJAgoCCwIMAg0CCAIIAggCCAIIAggCCAIIAggCCAIIAggCCAIIAggCCAIIAhICAwJzAh4AApMCAgJfAgQCBQIGAgcCCAIJAhwCCwIMAg0CCAIIAggCCAIIAggCCAIIAggCCAIIAggCCAIIAggCCAIIAhICAwJrAh4AApMCAgJtAgQCBQIGAgcCCAIJAiACCwIMAg0CCAIIAggCCAIIAggCCAIIAggCCAIIAggCCAIIAggCCAIIAhICAwJuAh4AApMCAgIbAgQCBQIGAgcCCAIJAgoCCwIMAg0CCAIIAggCCAIIAggCCAIIAggCCAIIAggCCAIIAggCCAIIAhICAwKOAh4AApMCAgJaAgQCBQIGAgcCCAIJAhwCCwIMAg0CCAIIAggCCAIIAggCCAIIAggCCAIIAggCCAIIAggCCAIIAhICAwKFAh4AApMCAgItAgQCBQIGAgcCCAIJAgoCCwIMAg0CCAIIAggCCAIIAggCCAIIAggCCAIIAggCCAIIAggCCAIIAhICAwKSAh4AApMCAgIkAgQCBQIGAgcCCAIJAhwCCwIMAg0CCAIIAggCCAIIAggCCAIIAggCCAIIAggCCAIIAggCCAIIAhICAwJhAh4AApMCAgJdAgQCBQIGAgcCCAIJAiACCwIMAg0CCAIIAggCCAIIAggCCAIIAggCCAIIAggCCAIIAggCCAIIAhICAwJoAh4AApMCAgJVAgQCBQIGAgcCCAIJAhwCCwIMAg0CCAIIAggCCAIIAggCCAIIAggCCAIIAggCCAIIAggCCAIIAhICAwJmAh4AApMCAgI4AgQCBQIGAgcCCAIJAiACCwIMAg0CCAIIAggCCAIIAggCCAIIAggCCAIIAggCCAIIAggCCAIIAhICAwKJAh4AApMCAgI1AgQCBQIGAgcCCAIJAgoCCwIMAg0CCAIIAggCCAIIAggCCAIIAggCCAIIAggCCAIIAggCCAIIAhICAwJlAh4AApMCAgJNAgQCBQIGAgcCCAIJAiACCwIMAg0CCAIIAggCCAIIAggCCAIIAggCCAIIAggCCAIIAggCCAIIAhICAwJOAh4AApMCAgJKAgQCBQIGAgcCCAIJAiACCwIMAg0CCAIIAggCCAIIAggCCAIIAggCCAIIAggCCAIIAggCCAIIAhICAwJsAh4AegAABAACkwICAigCBAIFAgYCBwIIAgkCCgILAgwCDQIIAggCCAIIAggCCAIIAggCCAIIAggCCAIIAggCCAIIAggCEgIDAg4CHgACkwICAioCBAIFAgYCBwIIAgkCHAILAgwCDQIIAggCCAIIAggCCAIIAggCCAIIAggCCAIIAggCCAIIAggCEgIDAlwCHgACkwICAjwCBAIFAgYCBwIIAgkCHAILAgwCDQIIAggCCAIIAggCCAIIAggCCAIIAggCCAIIAggCCAIIAggCEgIDAoMCHgACkwICAkYCBAIFAgYCBwIIAgkCCgILAgwCDQIIAggCCAIIAggCCAIIAggCCAIIAggCCAIIAggCCAIIAggCEgIDAo8CHgACkwICAjUCBAIFAgYCBwIIAgkCIAILAgwCDQIIAggCCAIIAggCCAIIAggCCAIIAggCCAIIAggCCAIIAggCEgIDAocCHgACkwICAiICBAIFAgYCBwIIAgkCCgILAgwCDQIIAggCCAIIAggCCAIIAggCCAIIAggCCAIIAggCCAIIAggCEgIDAlMCHgACkwICAiQCBAIFAgYCBwIIAgkCIAILAgwCDQIIAggCCAIIAggCCAIIAggCCAIIAggCCAIIAggCCAIIAggCEgIDAlICHgACkwICAkQCBAIFAgYCBwIIAgkCHAILAgwCDQIIAggCCAIIAggCCAIIAggCCAIIAggCCAIIAggCCAIIAggCEgIDAlQCHgACkwICAkgCBAIFAgYCBwIIAgkCHAILAgwCDQIIAggCCAIIAggCCAIIAggCCAIIAggCCAIIAggCCAIIAggCEgIDAn0CHgACkwICAjoCBAIFAgYCBwIIAgkCIAILAgwCDQIIAggCCAIIAggCCAIIAggCCAIIAggCCAIIAggCCAIIAggCEgIDAogCHgACkwICAjUCBAIFAgYCBwIIAgkCHAILAgwCDQIIAggCCAIIAggCCAIIAggCCAIIAggCCAIIAggCCAIIAggCEgIDAjYCHgACkwICAh8CBAIFAgYCBwIIAgkCCgILAgwCDQIIAggCCAIIAggCCAIIAggCCAIIAggCCAIIAggCCAIIAggCEgIDAg4CHgACkwICAioCBAIFAgYCBwIIAgkCIAILAgwCDQIIAggCCAIIAggCCAIIAggCCAIIAggCCAIIAggCCAIIAggCEgIDAnYCHgACkwICAjMCBAIFAgYCBwIIAgkCIAILAgwCDQIIAggCCAIIAggCCAIIAggCCAIIAggCCAIIAggCCAIIAggCEgIDAooCHgACkwICAigCBAIFAgYCBwIIAgkCIAILAgwCDQIIAggCCAIIAggCCAIIAggCCAIIAggCCAIIAggCCAIIegAABAACCAISAgMCLAIeAAKTAgICLQIEAgUCBgIHAggCCQIgAgsCDAINAggCCAIIAggCCAIIAggCCAIIAggCCAIIAggCCAIIAggCCAISAgMCQAIeAAKTAgICSgIEAgUCBgIHAggCCQIKAgsCDAINAggCCAIIAggCCAIIAggCCAIIAggCCAIIAggCCAIIAggCCAISAgMCSwIeAAKTAgICTQIEAgUCBgIHAggCCQIKAgsCDAINAggCCAIIAggCCAIIAggCCAIIAggCCAIIAggCCAIIAggCCAISAgMCDgIeAAKTAgICMwIEAgUCBgIHAggCCQIcAgsCDAINAggCCAIIAggCCAIIAggCCAIIAggCCAIIAggCCAIIAggCCAISAgMCeAIeAAKTAgICRAIEAgUCBgIHAggCCQIgAgsCDAINAggCCAIIAggCCAIIAggCCAIIAggCCAIIAggCCAIIAggCCAISAgMCRQIeAAKTAgICGwIEAgUCBgIHAggCCQIgAgsCDAINAggCCAIIAggCCAIIAggCCAIIAggCCAIIAggCCAIIAggCCAISAgMCQwIeAAKTAgICYwIEAgUCBgIHAggCCQIKAgsCDAINAggCCAIIAggCCAIIAggCCAIIAggCCAIIAggCCAIIAggCCAISAgMCDgIeAAKTAgICOAIEAgUCBgIHAggCCQIcAgsCDAINAggCCAIIAggCCAIIAggCCAIIAggCCAIIAggCCAIIAggCCAISAgMCcgIeAAKTAgICOgIEAgUCBgIHAggCCQIcAgsCDAINAggCCAIIAggCCAIIAggCCAIIAggCCAIIAggCCAIIAggCCAISAgMCaQIeAAKTAgICXQIEAgUCBgIHAggCCQIKAgsCDAINAggCCAIIAggCCAIIAggCCAIIAggCCAIIAggCCAIIAggCCAISAgMCggIeAAKTAgICJAIEAgUCBgIHAggCCQIKAgsCDAINAggCCAIIAggCCAIIAggCCAIIAggCCAIIAggCCAIIAggCCAISAgMCJQIeAAKTAgICfwIEAgUCBgIHAggCCQIcAgsCDAINAggCCAIIAggCCAIIAggCCAIIAggCCAIIAggCCAIIAggCCAISAgMCgAIeAAKTAgICbQIEAgUCBgIHAggCCQIcAgsCDAINAggCCAIIAggCCAIIAggCCAIIAggCCAIIAggCCAIIAggCCAISAgMCdAIeAAKUAAkzMTM2OTI1NzYCAgJWAgQCBQIGAgcCCAIJAhwCCwIMAg0CCAIIAggCCAIIAggCCAIIAggCCAIIAggCCAIIAggCCAIIAhwCAwJ+Ah4AApQCAgJIAgQCBQIGAgcCCAIJAhwCCwIMAg0CCAIIAggCCAIIegAABAACCAIIAggCCAIIAggCCAIIAggCCAIIAggCHAIDAn0CHgAClAICAn8CBAIFAgYCBwIIAgkCHAILAgwCDQIIAggCCAIIAggCCAIIAggCCAIIAggCCAIIAggCCAIIAggCHAIDAoACHgAClAICAk0CBAIFAgYCBwIIAgkCIAILAgwCDQIIAggCCAIIAggCCAIIAggCCAIIAggCCAIIAggCCAIIAggCHAIDAk4CHgAClAICAjECBAIFAgYCBwIIAgkCCgILAgwCDQIIAggCCAIIAggCCAIIAggCCAIIAggCCAIIAggCCAIIAggCHAIDAkwCHgAClAICAjwCBAIFAgYCBwIIAgkCIAILAgwCDQIIAggCCAIIAggCCAIIAggCCAIIAggCCAIIAggCCAIIAggCHAIDAoECHgAClAICAl0CBAIFAgYCBwIIAgkCCgILAgwCDQIIAggCCAIIAggCCAIIAggCCAIIAggCCAIIAggCCAIIAggCHAIDAoICHgAClAICAl8CBAIFAgYCBwIIAgkCCgILAgwCDQIIAggCCAIIAggCCAIIAggCCAIIAggCCAIIAggCCAIIAggCHAIDAmACHgAClAICAiICBAIFAgYCBwIIAgkCHAILAgwCDQIIAggCCAIIAggCCAIIAggCCAIIAggCCAIIAggCCAIIAggCHAIDAjcCHgAClAICAlYCBAIFAgYCBwIIAgkCIAILAgwCDQIIAggCCAIIAggCCAIIAggCCAIIAggCCAIIAggCCAIIAggCHAIDAnsCHgAClAICAi0CBAIFAgYCBwIIAgkCCgILAgwCDQIIAggCCAIIAggCCAIIAggCCAIIAggCCAIIAggCCAIIAggCHAIDApICHgAClAICAkoCBAIFAgYCBwIIAgkCCgILAgwCDQIIAggCCAIIAggCCAIIAggCCAIIAggCCAIIAggCCAIIAggCHAIDAksCHgAClAICAkQCBAIFAgYCBwIIAgkCIAILAgwCDQIIAggCCAIIAggCCAIIAggCCAIIAggCCAIIAggCCAIIAggCHAIDAkUCHgAClAICAjUCBAIFAgYCBwIIAgkCHAILAgwCDQIIAggCCAIIAggCCAIIAggCCAIIAggCCAIIAggCCAIIAggCHAIDAjYCHgAClAICAiYCBAIFAgYCBwIIAgkCHAILAgwCDQIIAggCCAIIAggCCAIIAggCCAIIAggCCAIIAggCCAIIAggCHAIDAnUCHgAClAICAi8CBAIFAgYCBwIIAgkCCgILAgwCDQIIAggCCAIIAggCCAIIAggCCAIIAggCCAIIAggCCAIIAggCHAIDAnMCHgAClAICAloCBAIFAgYCBwIIAgkCIAILAgwCegAABAANAggCCAIIAggCCAIIAggCCAIIAggCCAIIAggCCAIIAggCCAIcAgMCegIeAAKUAgICfwIEAgUCBgIHAggCCQIKAgsCDAINAggCCAIIAggCCAIIAggCCAIIAggCCAIIAggCCAIIAggCCAIcAgMCDgIeAAKUAgICSAIEAgUCBgIHAggCCQIgAgsCDAINAggCCAIIAggCCAIIAggCCAIIAggCCAIIAggCCAIIAggCCAIcAgMCjAIeAAKUAgICcAIEAgUCBgIHAggCCQIgAgsCDAINAggCCAIIAggCCAIIAggCCAIIAggCCAIIAggCCAIIAggCCAIcAgMChAIeAAKUAgICOgIEAgUCBgIHAggCCQIKAgsCDAINAggCCAIIAggCCAIIAggCCAIIAggCCAIIAggCCAIIAggCCAIcAgMCOwIeAAKUAgICKgIEAgUCBgIHAggCCQIgAgsCDAINAggCCAIIAggCCAIIAggCCAIIAggCCAIIAggCCAIIAggCCAIcAgMCdgIeAAKUAgICJAIEAgUCBgIHAggCCQIgAgsCDAINAggCCAIIAggCCAIIAggCCAIIAggCCAIIAggCCAIIAggCCAIcAgMCUgIeAAKUAgICRgIEAgUCBgIHAggCCQIcAgsCDAINAggCCAIIAggCCAIIAggCCAIIAggCCAIIAggCCAIIAggCCAIcAgMCTwIeAAKUAgICLQIEAgUCBgIHAggCCQIcAgsCDAINAggCCAIIAggCCAIIAggCCAIIAggCCAIIAggCCAIIAggCCAIcAgMCLgIeAAKUAgICXwIEAgUCBgIHAggCCQIcAgsCDAINAggCCAIIAggCCAIIAggCCAIIAggCCAIIAggCCAIIAggCCAIcAgMCawIeAAKUAgICWgIEAgUCBgIHAggCCQIcAgsCDAINAggCCAIIAggCCAIIAggCCAIIAggCCAIIAggCCAIIAggCCAIcAgMChQIeAAKUAgICQQIEAgUCBgIHAggCCQIKAgsCDAINAggCCAIIAggCCAIIAggCCAIIAggCCAIIAggCCAIIAggCCAIcAgMCDgIeAAKUAgICIgIEAgUCBgIHAggCCQIKAgsCDAINAggCCAIIAggCCAIIAggCCAIIAggCCAIIAggCCAIIAggCCAIcAgMCUwIeAAKUAgICMwIEAgUCBgIHAggCCQIKAgsCDAINAggCCAIIAggCCAIIAggCCAIIAggCCAIIAggCCAIIAggCCAIcAgMCNAIeAAKUAgICbQIEAgUCBgIHAggCCQIKAgsCDAINAggCCAIIAggCCAIIAggCCAIIAggCCAIIAggCCAIIAggCCAIcAgMChgIeAAKUAgICRAIEAgUCBgIHegAABAACCAIJAhwCCwIMAg0CCAIIAggCCAIIAggCCAIIAggCCAIIAggCCAIIAggCCAIIAhwCAwJUAh4AApQCAgIxAgQCBQIGAgcCCAIJAiACCwIMAg0CCAIIAggCCAIIAggCCAIIAggCCAIIAggCCAIIAggCCAIIAhwCAwIyAh4AApQCAgJdAgQCBQIGAgcCCAIJAiACCwIMAg0CCAIIAggCCAIIAggCCAIIAggCCAIIAggCCAIIAggCCAIIAhwCAwJoAh4AApQCAgI1AgQCBQIGAgcCCAIJAgoCCwIMAg0CCAIIAggCCAIIAggCCAIIAggCCAIIAggCCAIIAggCCAIIAhwCAwJlAh4AApQCAgIbAgQCBQIGAgcCCAIJAhwCCwIMAg0CCAIIAggCCAIIAggCCAIIAggCCAIIAggCCAIIAggCCAIIAhwCAwIdAh4AApQCAgJVAgQCBQIGAgcCCAIJAhwCCwIMAg0CCAIIAggCCAIIAggCCAIIAggCCAIIAggCCAIIAggCCAIIAhwCAwJmAh4AApQCAgIvAgQCBQIGAgcCCAIJAhwCCwIMAg0CCAIIAggCCAIIAggCCAIIAggCCAIIAggCCAIIAggCCAIIAhwCAwIwAh4AApQCAgI6AgQCBQIGAgcCCAIJAhwCCwIMAg0CCAIIAggCCAIIAggCCAIIAggCCAIIAggCCAIIAggCCAIIAhwCAwJpAh4AApQCAgIDAgQCBQIGAgcCCAIJAgoCCwIMAg0CCAIIAggCCAIIAggCCAIIAggCCAIIAggCCAIIAggCCAIIAhwCAwIOAh4AApQCAgJKAgQCBQIGAgcCCAIJAiACCwIMAg0CCAIIAggCCAIIAggCCAIIAggCCAIIAggCCAIIAggCCAIIAhwCAwJsAh4AApQCAgIkAgQCBQIGAgcCCAIJAgoCCwIMAg0CCAIIAggCCAIIAggCCAIIAggCCAIIAggCCAIIAggCCAIIAhwCAwIlAh4AApQCAgImAgQCBQIGAgcCCAIJAgoCCwIMAg0CCAIIAggCCAIIAggCCAIIAggCCAIIAggCCAIIAggCCAIIAhwCAwInAh4AApQCAgJfAgQCBQIGAgcCCAIJAiACCwIMAg0CCAIIAggCCAIIAggCCAIIAggCCAIIAggCCAIIAggCCAIIAhwCAwJ3Ah4AApQCAgJtAgQCBQIGAgcCCAIJAiACCwIMAg0CCAIIAggCCAIIAggCCAIIAggCCAIIAggCCAIIAggCCAIIAhwCAwJuAh4AApQCAgJwAgQCBQIGAgcCCAIJAhwCCwIMAg0CCAIIAggCCAIIAggCCAIIAggCCAIIAggCCAIIAggCCAIIAhwCAwKQAh4AApQCegAABAACAioCBAIFAgYCBwIIAgkCHAILAgwCDQIIAggCCAIIAggCCAIIAggCCAIIAggCCAIIAggCCAIIAggCHAIDAlwCHgAClAICAi0CBAIFAgYCBwIIAgkCIAILAgwCDQIIAggCCAIIAggCCAIIAggCCAIIAggCCAIIAggCCAIIAggCHAIDAkACHgAClAICAhsCBAIFAgYCBwIIAgkCIAILAgwCDQIIAggCCAIIAggCCAIIAggCCAIIAggCCAIIAggCCAIIAggCHAIDAkMCHgAClAICAkECBAIFAgYCBwIIAgkCHAILAgwCDQIIAggCCAIIAggCCAIIAggCCAIIAggCCAIIAggCCAIIAggCHAIDAkICHgAClAICAk0CBAIFAgYCBwIIAgkCCgILAgwCDQIIAggCCAIIAggCCAIIAggCCAIIAggCCAIIAggCCAIIAggCHAIDAg4CHgAClAICAiQCBAIFAgYCBwIIAgkCHAILAgwCDQIIAggCCAIIAggCCAIIAggCCAIIAggCCAIIAggCCAIIAggCHAIDAmECHgAClAICAjECBAIFAgYCBwIIAgkCHAILAgwCDQIIAggCCAIIAggCCAIIAggCCAIIAggCCAIIAggCCAIIAggCHAIDApECHgAClAICAjMCBAIFAgYCBwIIAgkCHAILAgwCDQIIAggCCAIIAggCCAIIAggCCAIIAggCCAIIAggCCAIIAggCHAIDAngCHgAClAICAjwCBAIFAgYCBwIIAgkCCgILAgwCDQIIAggCCAIIAggCCAIIAggCCAIIAggCCAIIAggCCAIIAggCHAIDAj0CHgAClAICAkYCBAIFAgYCBwIIAgkCIAILAgwCDQIIAggCCAIIAggCCAIIAggCCAIIAggCCAIIAggCCAIIAggCHAIDAkcCHgAClAICAi8CBAIFAgYCBwIIAgkCIAILAgwCDQIIAggCCAIIAggCCAIIAggCCAIIAggCCAIIAggCCAIIAggCHAIDAmICHgAClAICAkgCBAIFAgYCBwIIAgkCCgILAgwCDQIIAggCCAIIAggCCAIIAggCCAIIAggCCAIIAggCCAIIAggCHAIDAkkCHgAClAICAlUCBAIFAgYCBwIIAgkCIAILAgwCDQIIAggCCAIIAggCCAIIAggCCAIIAggCCAIIAggCCAIIAggCHAIDAnkCHgAClAICAgMCBAIFAgYCBwIIAgkCHAILAgwCDQIIAggCCAIIAggCCAIIAggCCAIIAggCCAIIAggCCAIIAggCHAIDAnwCHgAClAICAn8CBAIFAgYCBwIIAgkCIAILAgwCDQIIAggCCAIIAggCCAIIAggCCAIIAggCCAIIAggCCAIIAggCegAABAAcAgMCiwIeAAKUAgICOgIEAgUCBgIHAggCCQIgAgsCDAINAggCCAIIAggCCAIIAggCCAIIAggCCAIIAggCCAIIAggCCAIcAgMCiAIeAAKUAgICMwIEAgUCBgIHAggCCQIgAgsCDAINAggCCAIIAggCCAIIAggCCAIIAggCCAIIAggCCAIIAggCCAIcAgMCigIeAAKUAgICRAIEAgUCBgIHAggCCQIKAgsCDAINAggCCAIIAggCCAIIAggCCAIIAggCCAIIAggCCAIIAggCCAIcAgMCDgIeAAKUAgICbQIEAgUCBgIHAggCCQIcAgsCDAINAggCCAIIAggCCAIIAggCCAIIAggCCAIIAggCCAIIAggCCAIcAgMCdAIeAAKUAgICXQIEAgUCBgIHAggCCQIcAgsCDAINAggCCAIIAggCCAIIAggCCAIIAggCCAIIAggCCAIIAggCCAIcAgMCXgIeAAKUAgICVQIEAgUCBgIHAggCCQIKAgsCDAINAggCCAIIAggCCAIIAggCCAIIAggCCAIIAggCCAIIAggCCAIcAgMCDgIeAAKUAgICRgIEAgUCBgIHAggCCQIKAgsCDAINAggCCAIIAggCCAIIAggCCAIIAggCCAIIAggCCAIIAggCCAIcAgMCjwIeAAKUAgICVgIEAgUCBgIHAggCCQIKAgsCDAINAggCCAIIAggCCAIIAggCCAIIAggCCAIIAggCCAIIAggCCAIcAgMCVwIeAAKUAgICTQIEAgUCBgIHAggCCQIcAgsCDAINAggCCAIIAggCCAIIAggCCAIIAggCCAIIAggCCAIIAggCCAIcAgMCWQIeAAKUAgICQQIEAgUCBgIHAggCCQIgAgsCDAINAggCCAIIAggCCAIIAggCCAIIAggCCAIIAggCCAIIAggCCAIcAgMCWAIeAAKUAgICGwIEAgUCBgIHAggCCQIKAgsCDAINAggCCAIIAggCCAIIAggCCAIIAggCCAIIAggCCAIIAggCCAIcAgMCjgIeAAKUAgICWgIEAgUCBgIHAggCCQIKAgsCDAINAggCCAIIAggCCAIIAggCCAIIAggCCAIIAggCCAIIAggCCAIcAgMCWwIeAAKUAgICcAIEAgUCBgIHAggCCQIKAgsCDAINAggCCAIIAggCCAIIAggCCAIIAggCCAIIAggCCAIIAggCCAIcAgMCcQIeAAKUAgICIgIEAgUCBgIHAggCCQIgAgsCDAINAggCCAIIAggCCAIIAggCCAIIAggCCAIIAggCCAIIAggCCAIcAgMCIwIeAAKUAgICSgIEAgUCBgIHAggCCQIcAgsCDAINAggCCAIIAggCCAIIAggCCAIIAggCCAIIegAABAACCAIIAggCCAIIAhwCAwJvAh4AApQCAgIqAgQCBQIGAgcCCAIJAgo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MAg0CCAIIAggCCAIIAggCCAIIAggCCAIIAggCCAIIAggCCAIIAhwCAwJQAh4AApQCAgImAgQCBQIGAgcCCAIJAiACCwIMAg0CCAIIAggCCAIIAggCCAIIAggCCAIIAggCCAIIAggCCAIIAhwCAwJRAh4AApUACTMxMzY5NDg5NgICAkoCBAIFAgYCBwIIAgkCCgILAgwCDQIIAggCCAIIAggCCAIIAggCCAIIAggCCAIIAggCCAIIAggCHgIDAksCHgAClQICAkYCBAIFAgYCBwIIAgkCHAILAgwCDQIIAggCCAIIAggCCAIIAggCCAIIAggCCAIIAggCCAIIAggCHgIDAk8CHgAClQICAkgCBAIFAgYCBwIIAgkCIAILAgwCDQIIAggCCAIIAggCCAIIAggCCAIIAggCCAIIAggCCAIIAggCHgIDAowCHgAClQICAiICBAIFAgYCBwIIAgkCHAILAgwCDQIIAggCCAIIAggCCAIIAggCCAIIAggCCAIIAggCCAIIAggCHgIDAjcCHgAClQICAlYCBAIFAgYCBwIIAgkCIAILAgwCDQIIAggCCAIIAggCCAIIAggCCAIIAggCCAIIAggCCAIIAggCHgIDAnsCHgAClQICAi0CBAIFAgYCBwIIAgkCCgILAgwCDQIIAggCCAIIAggCCAIIAggCCAIIAggCCAIIAggCCAIIAggCHgIDApICHgAClQICAl8CBAIFAgYCBwIIAgkCCgILAgwCDQIIAggCCAIIAggCCAIIAggCCAIIAggCCAIIAggCCAIIAggCHgIDAmACHgAClQICAkQCBAIFAgYCBwIIAgkCIAILAgwCDQIIAggCCAIIAggCCAIIAggCCAIIAggCCAIIAggCCAIIAggCHgIDAkUCHgAClQICAkgCBAIFAgYCBwIIAgkCHAILAgwCDQIIAggCCAIIAggCCAIIAggCCAIIAggCCAIIAggCCAIIAggCHgIDAn0CHgAClQICAjoCBAIFAgYCBwIIAgkCCgILAgwCDQIIegAABAACCAIIAggCCAIIAggCCAIIAggCCAIIAggCCAIIAggCCAIeAgMCOwIeAAKVAgICWgIEAgUCBgIHAggCCQIgAgsCDAINAggCCAIIAggCCAIIAggCCAIIAggCCAIIAggCCAIIAggCCAIeAgMCegIeAAKVAgICMQIEAgUCBgIHAggCCQIcAgsCDAINAggCCAIIAggCCAIIAggCCAIIAggCCAIIAggCCAIIAggCCAIeAgMCkQIeAAKVAgICXQIEAgUCBgIHAggCCQIcAgsCDAINAggCCAIIAggCCAIIAggCCAIIAggCCAIIAggCCAIIAggCCAIeAgMCXgIeAAKVAgICGwIEAgUCBgIHAggCCQIKAgsCDAINAggCCAIIAggCCAIIAggCCAIIAggCCAIIAggCCAIIAggCCAIeAgMCjgIeAAKVAgICfwIEAgUCBgIHAggCCQIgAgsCDAINAggCCAIIAggCCAIIAggCCAIIAggCCAIIAggCCAIIAggCCAIeAgMCiwIeAAKVAgICLwIEAgUCBgIHAggCCQIKAgsCDAINAggCCAIIAggCCAIIAggCCAIIAggCCAIIAggCCAIIAggCCAIeAgMCcwIeAAKVAgICVQIEAgUCBgIHAggCCQIKAgsCDAINAggCCAIIAggCCAIIAggCCAIIAggCCAIIAggCCAIIAggCCAIeAgMCDgIeAAKVAgICcAIEAgUCBgIHAggCCQIKAgsCDAINAggCCAIIAggCCAIIAggCCAIIAggCCAIIAggCCAIIAggCCAIeAgMCcQIeAAKVAgICKgIEAgUCBgIHAggCCQIKAgsCDAINAggCCAIIAggCCAIIAggCCAIIAggCCAIIAggCCAIIAggCCAIeAgMCKwIeAAKVAgICSgIEAgUCBgIHAggCCQIcAgsCDAINAggCCAIIAggCCAIIAggCCAIIAggCCAIIAggCCAIIAggCCAIeAgMCbwIeAAKVAgICTQIEAgUCBgIHAggCCQIcAgsCDAINAggCCAIIAggCCAIIAggCCAIIAggCCAIIAggCCAIIAggCCAIeAgMCWQIeAAKVAgICbQIEAgUCBgIHAggCCQIgAgsCDAINAggCCAIIAggCCAIIAggCCAIIAggCCAIIAggCCAIIAggCCAIeAgMCbgIeAAKVAgICIgIEAgUCBgIHAggCCQIgAgsCDAINAggCCAIIAggCCAIIAggCCAIIAggCCAIIAggCCAIIAggCCAIeAgMCIwIeAAKVAgICPAIEAgUCBgIHAggCCQIcAgsCDAINAggCCAIIAggCCAIIAggCCAIIAggCCAIIAggCCAIIAggCCAIeAgMCgwIeAAKVAgICRgIEAgUCBgIHAggCegAABAAJAiACCwIMAg0CCAIIAggCCAIIAggCCAIIAggCCAIIAggCCAIIAggCCAIIAh4CAwJHAh4AApUCAgI1AgQCBQIGAgcCCAIJAiACCwIMAg0CCAIIAggCCAIIAggCCAIIAggCCAIIAggCCAIIAggCCAIIAh4CAwKHAh4AApUCAgIvAgQCBQIGAgcCCAIJAhwCCwIMAg0CCAIIAggCCAIIAggCCAIIAggCCAIIAggCCAIIAggCCAIIAh4CAwIwAh4AApUCAgJtAgQCBQIGAgcCCAIJAhwCCwIMAg0CCAIIAggCCAIIAggCCAIIAggCCAIIAggCCAIIAggCCAIIAh4CAwJ0Ah4AApUCAgImAgQCBQIGAgcCCAIJAiACCwIMAg0CCAIIAggCCAIIAggCCAIIAggCCAIIAggCCAIIAggCCAIIAh4CAwJRAh4AApUCAgJdAgQCBQIGAgcCCAIJAgoCCwIMAg0CCAIIAggCCAIIAggCCAIIAggCCAIIAggCCAIIAggCCAIIAh4CAwKCAh4AApUCAgJ/AgQCBQIGAgcCCAIJAhwCCwIMAg0CCAIIAggCCAIIAggCCAIIAggCCAIIAggCCAIIAggCCAIIAh4CAwKAAh4AApUCAgI6AgQCBQIGAgcCCAIJAhwCCwIMAg0CCAIIAggCCAIIAggCCAIIAggCCAIIAggCCAIIAggCCAIIAh4CAwJpAh4AApUCAgIxAgQCBQIGAgcCCAIJAgoCCwIMAg0CCAIIAggCCAIIAggCCAIIAggCCAIIAggCCAIIAggCCAIIAh4CAwJMAh4AApUCAgIkAgQCBQIGAgcCCAIJAgoCCwIMAg0CCAIIAggCCAIIAggCCAIIAggCCAIIAggCCAIIAggCCAIIAh4CAwIlAh4AApUCAgJwAgQCBQIGAgcCCAIJAhwCCwIMAg0CCAIIAggCCAIIAggCCAIIAggCCAIIAggCCAIIAggCCAIIAh4CAwKQAh4AApUCAgJfAgQCBQIGAgcCCAIJAiACCwIMAg0CCAIIAggCCAIIAggCCAIIAggCCAIIAggCCAIIAggCCAIIAh4CAwJ3Ah4AApUCAgJNAgQCBQIGAgcCCAIJAgoCCwIMAg0CCAIIAggCCAIIAggCCAIIAggCCAIIAggCCAIIAggCCAIIAh4CAwIOAh4AApUCAgIbAgQCBQIGAgcCCAIJAiACCwIMAg0CCAIIAggCCAIIAggCCAIIAggCCAIIAggCCAIIAggCCAIIAh4CAwJDAh4AApUCAgJBAgQCBQIGAgcCCAIJAhwCCwIMAg0CCAIIAggCCAIIAggCCAIIAggCCAIIAggCCAIIAggCCAIIAh4CAwJCAh4AApUCAgIqegAABAACBAIFAgYCBwIIAgkCHAILAgwCDQIIAggCCAIIAggCCAIIAggCCAIIAggCCAIIAggCCAIIAggCHgIDAlwCHgAClQICAi0CBAIFAgYCBwIIAgkCIAILAgwCDQIIAggCCAIIAggCCAIIAggCCAIIAggCCAIIAggCCAIIAggCHgIDAkACHgAClQICAkoCBAIFAgYCBwIIAgkCIAILAgwCDQIIAggCCAIIAggCCAIIAggCCAIIAggCCAIIAggCCAIIAggCHgIDAmwCHgAClQICAlUCBAIFAgYCBwIIAgkCIAILAgwCDQIIAggCCAIIAggCCAIIAggCCAIIAggCCAIIAggCCAIIAggCHgIDAnkCHgAClQICAjwCBAIFAgYCBwIIAgkCCgILAgwCDQIIAggCCAIIAggCCAIIAggCCAIIAggCCAIIAggCCAIIAggCHgIDAj0CHgAClQICAjMCBAIFAgYCBwIIAgkCHAILAgwCDQIIAggCCAIIAggCCAIIAggCCAIIAggCCAIIAggCCAIIAggCHgIDAngCHgAClQICAiYCBAIFAgYCBwIIAgkCHAILAgwCDQIIAggCCAIIAggCCAIIAggCCAIIAggCCAIIAggCCAIIAggCHgIDAnUCHgAClQICAi8CBAIFAgYCBwIIAgkCIAILAgwCDQIIAggCCAIIAggCCAIIAggCCAIIAggCCAIIAggCCAIIAggCHgIDAmICHgAClQICAkgCBAIFAgYCBwIIAgkCCgILAgwCDQIIAggCCAIIAggCCAIIAggCCAIIAggCCAIIAggCCAIIAggCHgIDAkkCHgAClQICAkECBAIFAgYCBwIIAgkCIAILAgwCDQIIAggCCAIIAggCCAIIAggCCAIIAggCCAIIAggCCAIIAggCHgIDAlgCHgAClQICAjMCBAIFAgYCBwIIAgkCIAILAgwCDQIIAggCCAIIAggCCAIIAggCCAIIAggCCAIIAggCCAIIAggCHgIDAooCHgAClQICAjoCBAIFAgYCBwIIAgkCIAILAgwCDQIIAggCCAIIAggCCAIIAggCCAIIAggCCAIIAggCCAIIAggCHgIDAogCHgAClQICAjUCBAIFAgYCBwIIAgkCHAILAgwCDQIIAggCCAIIAggCCAIIAggCCAIIAggCCAIIAggCCAIIAggCHgIDAjYCHgAClQICAiQCBAIFAgYCBwIIAgkCHAILAgwCDQIIAggCCAIIAggCCAIIAggCCAIIAggCCAIIAggCCAIIAggCHgIDAmECHgAClQICAkQCBAIFAgYCBwIIAgkCCgILAgwCDQIIAggCCAIIAggCCAIIAggCCAIIAggCCAIIAggCCAIIAggCHgIDegAABAACDgIeAAKVAgICWgIEAgUCBgIHAggCCQIKAgsCDAINAggCCAIIAggCCAIIAggCCAIIAggCCAIIAggCCAIIAggCCAIeAgMCWwIeAAKVAgICKgIEAgUCBgIHAggCCQIgAgsCDAINAggCCAIIAggCCAIIAggCCAIIAggCCAIIAggCCAIIAggCCAIeAgMCdgIeAAKVAgICRgIEAgUCBgIHAggCCQIKAgsCDAINAggCCAIIAggCCAIIAggCCAIIAggCCAIIAggCCAIIAggCCAIeAgMCjwIeAAKVAgICVgIEAgUCBgIHAggCCQIKAgsCDAINAggCCAIIAggCCAIIAggCCAIIAggCCAIIAggCCAIIAggCCAIeAgMCVwIeAAKVAgICJAIEAgUCBgIHAggCCQIgAgsCDAINAggCCAIIAggCCAIIAggCCAIIAggCCAIIAggCCAIIAggCCAIeAgMCUgIeAAKVAgICXwIEAgUCBgIHAggCCQIcAgsCDAINAggCCAIIAggCCAIIAggCCAIIAggCCAIIAggCCAIIAggCCAIeAgMCawIeAAKVAgICcAIEAgUCBgIHAggCCQIgAgsCDAINAggCCAIIAggCCAIIAggCCAIIAggCCAIIAggCCAIIAggCCAIeAgMChAIeAAKVAgICfwIEAgUCBgIHAggCCQIKAgsCDAINAggCCAIIAggCCAIIAggCCAIIAggCCAIIAggCCAIIAggCCAIeAgMCDgIeAAKVAgICIgIEAgUCBgIHAggCCQIKAgsCDAINAggCCAIIAggCCAIIAggCCAIIAggCCAIIAggCCAIIAggCCAIeAgMCUwIeAAKVAgICbQIEAgUCBgIHAggCCQIKAgsCDAINAggCCAIIAggCCAIIAggCCAIIAggCCAIIAggCCAIIAggCCAIeAgMChgIeAAKVAgICLQIEAgUCBgIHAggCCQIcAgsCDAINAggCCAIIAggCCAIIAggCCAIIAggCCAIIAggCCAIIAggCCAIeAgMCLgIeAAKVAgICMwIEAgUCBgIHAggCCQIKAgsCDAINAggCCAIIAggCCAIIAggCCAIIAggCCAIIAggCCAIIAggCCAIeAgMCNAIeAAKVAgICRAIEAgUCBgIHAggCCQIcAgsCDAINAggCCAIIAggCCAIIAggCCAIIAggCCAIIAggCCAIIAggCCAIeAgMCVAIeAAKVAgICQQIEAgUCBgIHAggCCQIKAgsCDAINAggCCAIIAggCCAIIAggCCAIIAggCCAIIAggCCAIIAggCCAIeAgMCDgIeAAKVAgICJgIEAgUCBgIHAggCCQIKAgsCDAINAggCCAIIAggCCAIIAggCCAIIAggCCAIIAggCegAAAs0IAggCCAIIAh4CAwInAh4AApUCAgIxAgQCBQIGAgcCCAIJAiACCwIMAg0CCAIIAggCCAIIAggCCAIIAggCCAIIAggCCAIIAggCCAIIAh4CAwIyAh4AApUCAgJVAgQCBQIGAgcCCAIJAhwCCwIMAg0CCAIIAggCCAIIAggCCAIIAggCCAIIAggCCAIIAggCCAIIAh4CAwJmAh4AApUCAgJWAgQCBQIGAgcCCAIJAhwCCwIMAg0CCAIIAggCCAIIAggCCAIIAggCCAIIAggCCAIIAggCCAIIAh4CAwJ+Ah4AApUCAgJdAgQCBQIGAgcCCAIJAiACCwIMAg0CCAIIAggCCAIIAggCCAIIAggCCAIIAggCCAIIAggCCAIIAh4CAwJoAh4AApUCAgI8AgQCBQIGAgcCCAIJAiACCwIMAg0CCAIIAggCCAIIAggCCAIIAggCCAIIAggCCAIIAggCCAIIAh4CAwKBAh4AApUCAgJaAgQCBQIGAgcCCAIJAhwCCwIMAg0CCAIIAggCCAIIAggCCAIIAggCCAIIAggCCAIIAggCCAIIAh4CAwKFAh4AApUCAgIbAgQCBQIGAgcCCAIJAhwCCwIMAg0CCAIIAggCCAIIAggCCAIIAggCCAIIAggCCAIIAggCCAIIAh4CAwIdAh4AApUCAgJNAgQCBQIGAgcCCAIJAiACCwIMAg0CCAIIAggCCAIIAggCCAIIAggCCAIIAggCCAIIAggCCAIIAh4CAwJOAh4AApUCAgI1AgQCBQIGAgcCCAIJAgoCCwIMAg0CCAIIAggCCAIIAggCCAIIAggCCAIIAggCCAIIAggCCAIIAh4CAwJlAh4AApYACTMxMzczMTE0NAICAjwCBAIFAgYCBwIIAgkCIAILApcAAklEAg0CCAIIAggCCAIIAggCCAIIAggCCAIIAggCCAIIAggCCAIIAAIDAphzcQB+AAAAAAACc3EAfgAE///////////////+/////v////91cQB+AAcAAAAEDgscSnh4d0wCHgAClgICAloCBAIFAgYCBwIIAgkCmQAGMTkxMDE1AgsClwINAggCCAIIAggCCAIIAggCCAIIAggCCAIIAggCCAIIAggCCAACAwKac3EAfgAAAAAAAnNxAH4ABP///////////////v////7/////dXEAfgAHAAAAAxJvRnh4d0QCHgAClgICAkYCBAIFAgYCBwIIAgkCHAILApcCDQIIAggCCAIIAggCCAIIAggCCAIIAggCCAIIAggCCAIIAggAAgMCm3NxAH4AAAAAAAJzcQB+AAT///////////////7////+/////3VxAH4ABwAAAAQ5RS7+eHh3RAIeAAKWAgICRAIEAgUCBgIHAggCCQIcAgsClwINAggCCAIIAggCCAIIAggCCAIIAggCCAIIAggCCAIIAggCCAACAwKcc3EAfgAAAAAAAnNxAH4ABP///////////////v////7/////dXEAfgAHAAAABClGhLZ4eHdEAh4AApYCAgIDAgQCBQIGAgcCCAIJAiACCwKXAg0CCAIIAggCCAIIAggCCAIIAggCCAIIAggCCAIIAggCCAIIAAIDAp1zcQB+AAAAAAACc3EAfgAE///////////////+/////v////91cQB+AAcAAAAEATJrz3h4d0QCHgAClgICAkgCBAIFAgYCBwIIAgkCHAILApcCDQIIAggCCAIIAggCCAIIAggCCAIIAggCCAIIAggCCAIIAggAAgMCnnNxAH4AAAAAAAJzcQB+AAT///////////////7////+/////3VxAH4ABwAAAAQzvJaSeHh3RAIeAAKWAgICXQIEAgUCBgIHAggCCQKZAgsClwINAggCCAIIAggCCAIIAggCCAIIAggCCAIIAggCCAIIAggCCAACAwKfc3EAfgAAAAAAAnNxAH4ABP///////////////v////7/////dXEAfgAHAAAAAxJna3h4d0QCHgAClgICAjwCBAIFAgYCBwIIAgkCHAILApcCDQIIAggCCAIIAggCCAIIAggCCAIIAggCCAIIAggCCAIIAggAAgMCoHNxAH4AAAAAAAJzcQB+AAT///////////////7////+/////3VxAH4ABwAAAAQiCqwxeHh3RAIeAAKWAgICKgIEAgUCBgIHAggCCQIgAgsClwINAggCCAIIAggCCAIIAggCCAIIAggCCAIIAggCCAIIAggCCAACAwKhc3EAfgAAAAAAAnNxAH4ABP///////////////v////7/////dXEAfgAHAAAABAUEo0F4eHdEAh4AApYCAgJKAgQCBQIGAgcCCAIJApkCCwKXAg0CCAIIAggCCAIIAggCCAIIAggCCAIIAggCCAIIAggCCAIIAAIDAqJzcQB+AAAAAAACc3EAfgAE///////////////+/////v////91cQB+AAcAAAADEn8GeHh3RAIeAAKWAgICAwIEAgUCBgIHAggCCQIcAgsClwINAggCCAIIAggCCAIIAggCCAIIAggCCAIIAggCCAIIAggCCAACAwKjc3EAfgAAAAAAAnNxAH4ABP///////////////v////7/////dXEAfgAHAAAABC70FP94eHdEAh4AApYCAgImAgQCBQIGAgcCCAIJAhwCCwKXAg0CCAIIAggCCAIIAggCCAIIAggCCAIIAggCCAIIAggCCAIIAAIDAqRzcQB+AAAAAAACc3EAfgAE///////////////+/////v////91cQB+AAcAAAAEG7MeXHh4d0QCHgAClgICAkYCBAIFAgYCBwIIAgkCIAILApcCDQIIAggCCAIIAggCCAIIAggCCAIIAggCCAIIAggCCAIIAggAAgMCpXNxAH4AAAAAAAJzcQB+AAT///////////////7////+AAAAAXVxAH4ABwAAAAQCWhLSeHh3RAIeAAKWAgICJgIEAgUCBgIHAggCCQIgAgsClwINAggCCAIIAggCCAIIAggCCAIIAggCCAIIAggCCAIIAggCCAACAwKmc3EAfgAAAAAAAnNxAH4ABP///////////////v////7/////dXEAfgAHAAAABARbkhB4eHdEAh4AApYCAgI6AgQCBQIGAgcCCAIJApkCCwKXAg0CCAIIAggCCAIIAggCCAIIAggCCAIIAggCCAIIAggCCAIIAAIDAqdzcQB+AAAAAAACc3EAfgAE///////////////+/////v////91cQB+AAcAAAADEl+UeHh3RAIeAAKWAgICRAIEAgUCBgIHAggCCQIgAgsClwINAggCCAIIAggCCAIIAggCCAIIAggCCAIIAggCCAIIAggCCAACAwKoc3EAfgAAAAAAAnNxAH4ABP///////////////v////7/////dXEAfgAHAAAABAor0+d4eHdEAh4AApYCAgIiAgQCBQIGAgcCCAIJAhwCCwKXAg0CCAIIAggCCAIIAggCCAIIAggCCAIIAggCCAIIAggCCAIIAAIDAqlzcQB+AAAAAAACc3EAfgAE///////////////+/////v////91cQB+AAcAAAAELv3gknh4d0QCHgAClgICAh4CBAIFAgYCBwIIAgkCIAILApcCDQIIAggCCAIIAggCCAIIAggCCAIIAggCCAIIAggCCAIIAggAAgMCqnNxAH4AAAAAAAJzcQB+AAT///////////////7////+AAAAAXVxAH4ABwAAAAQFeUVCeHh3RAIeAAKWAgICXwIEAgUCBgIHAggCCQIgAgsClwINAggCCAIIAggCCAIIAggCCAIIAggCCAIIAggCCAIIAggCCAACAwKrc3EAfgAAAAAAAnNxAH4ABP///////////////v////7/////dXEAfgAHAAAABAFtStJ4eHdEAh4AApYCAgJtAgQCBQIGAgcCCAIJApkCCwKXAg0CCAIIAggCCAIIAggCCAIIAggCCAIIAggCCAIIAggCCAIIAAIDAqxzcQB+AAAAAAACc3EAfgAE///////////////+/////v////91cQB+AAcAAAADEp6veHh3RAIeAAKWAgICHwIEAgUCBgIHAggCCQIcAgsClwINAggCCAIIAggCCAIIAggCCAIIAggCCAIIAggCCAIIAggCCAACAwKtc3EAfgAAAAAAAnNxAH4ABP///////////////v////7/////dXEAfgAHAAAABD4jPrh4eHeIAh4AApYCAgJ/AgQCBQIGAgcCCAIJApkCCwKXAg0CCAIIAggCCAIIAggCCAIIAggCCAIIAggCCAIIAggCCAIIAAIDAg4CHgAClgICAioCBAIFAgYCBwIIAgkCmQILApcCDQIIAggCCAIIAggCCAIIAggCCAIIAggCCAIIAggCCAIIAggAAgMCrnNxAH4AAAAAAAJzcQB+AAT///////////////7////+/////3VxAH4ABwAAAAMSjtR4eHdEAh4AApYCAgJBAgQCBQIGAgcCCAIJAhwCCwKXAg0CCAIIAggCCAIIAggCCAIIAggCCAIIAggCCAIIAggCCAIIAAIDAq9zcQB+AAAAAAACc3EAfgAE///////////////+/////v////91cQB+AAcAAAAEHCN8kHh4d0QCHgAClgICAjoCBAIFAgYCBwIIAgkCHAILApcCDQIIAggCCAIIAggCCAIIAggCCAIIAggCCAIIAggCCAIIAggAAgMCsHNxAH4AAAAAAAJzcQB+AAT///////////////7////+/////3VxAH4ABwAAAAQjxnj9eHh3RAIeAAKWAgICMwIEAgUCBgIHAggCCQKZAgsClwINAggCCAIIAggCCAIIAggCCAIIAggCCAIIAggCCAIIAggCCAACAwKxc3EAfgAAAAAAAnNxAH4ABP///////////////v////7/////dXEAfgAHAAAAAxJ3JXh4d0QCHgAClgICAiQCBAIFAgYCBwIIAgkCmQILApcCDQIIAggCCAIIAggCCAIIAggCCAIIAggCCAIIAggCCAIIAggAAgMCsnNxAH4AAAAAAAJzcQB+AAT///////////////7////+/////3VxAH4ABwAAAAMSpqJ4eHdEAh4AApYCAgIxAgQCBQIGAgcCCAIJAiACCwKXAg0CCAIIAggCCAIIAggCCAIIAggCCAIIAggCCAIIAggCCAIIAAIDArNzcQB+AAAAAAACc3EAfgAE///////////////+/////v////91cQB+AAcAAAADTrgKeHh3RAIeAAKWAgICVQIEAgUCBgIHAggCCQIcAgsClwINAggCCAIIAggCCAIIAggCCAIIAggCCAIIAggCCAIIAggCCAACAwK0c3EAfgAAAAAAAnNxAH4ABP///////////////v////7/////dXEAfgAHAAAABCQ0bfR4eHdEAh4AApYCAgI4AgQCBQIGAgcCCAIJAhwCCwKXAg0CCAIIAggCCAIIAggCCAIIAggCCAIIAggCCAIIAggCCAIIAAIDArVzcQB+AAAAAAACc3EAfgAE///////////////+/////v////91cQB+AAcAAAAEMPCBKHh4d0QCHgAClgICAlUCBAIFAgYCBwIIAgkCIAILApcCDQIIAggCCAIIAggCCAIIAggCCAIIAggCCAIIAggCCAIIAggAAgMCtnNxAH4AAAAAAAJzcQB+AAT///////////////7////+/////3VxAH4ABwAAAAQWt6iieHh3RAIeAAKWAgICNQIEAgUCBgIHAggCCQKZAgsClwINAggCCAIIAggCCAIIAggCCAIIAggCCAIIAggCCAIIAggCCAACAwK3c3EAfgAAAAAAAnNxAH4ABP///////////////v////7/////dXEAfgAHAAAAAxKK33h4d0QCHgAClgICAl8CBAIFAgYCBwIIAgkCHAILApcCDQIIAggCCAIIAggCCAIIAggCCAIIAggCCAIIAggCCAIIAggAAgMCuHNxAH4AAAAAAAJzcQB+AAT///////////////7////+/////3VxAH4ABwAAAAQqC0YheHh3RAIeAAKWAgICMwIEAgUCBgIHAggCCQIgAgsClwINAggCCAIIAggCCAIIAggCCAIIAggCCAIIAggCCAIIAggCCAACAwK5c3EAfgAAAAAAAnNxAH4ABP///////////////v////4AAAABdXEAfgAHAAAAA7lyfHh4d0QCHgAClgICAm0CBAIFAgYCBwIIAgkCIAILApcCDQIIAggCCAIIAggCCAIIAggCCAIIAggCCAIIAggCCAIIAggAAgMCunNxAH4AAAAAAAJzcQB+AAT///////////////7////+AAAAAXVxAH4ABwAAAAP/iV54eHoAAAEQAh4AApYCAgIeAgQCBQIGAgcCCAIJAhwCCwKXAg0CCAIIAggCCAIIAggCCAIIAggCCAIIAggCCAIIAggCCAIIAAIDAq0CHgAClgICAigCBAIFAgYCBwIIAgkCmQILApcCDQIIAggCCAIIAggCCAIIAggCCAIIAggCCAIIAggCCAIIAggAAgMCDgIeAAKWAgICTQIEAgUCBgIHAggCCQKZAgsClwINAggCCAIIAggCCAIIAggCCAIIAggCCAIIAggCCAIIAggCCAACAwIOAh4AApYCAgIxAgQCBQIGAgcCCAIJAhwCCwKXAg0CCAIIAggCCAIIAggCCAIIAggCCAIIAggCCAIIAggCCAIIAAIDArtzcQB+AAAAAAACc3EAfgAE///////////////+/////v////91cQB+AAcAAAAELpGFK3h4d0QCHgAClgICAn8CBAIFAgYCBwIIAgkCIAILApcCDQIIAggCCAIIAggCCAIIAggCCAIIAggCCAIIAggCCAIIAggAAgMCvHNxAH4AAAAAAAJzcQB+AAT///////////////7////+/////3VxAH4ABwAAAAQQposkeHh3RAIeAAKWAgICLQIEAgUCBgIHAggCCQKZAgsClwINAggCCAIIAggCCAIIAggCCAIIAggCCAIIAggCCAIIAggCCAACAwK9c3EAfgAAAAAAAnNxAH4ABP///////////////v////7/////dXEAfgAHAAAAAxJjf3h4d4gCHgAClgICAmoCBAIFAgYCBwIIAgkCIAILApcCDQIIAggCCAIIAggCCAIIAggCCAIIAggCCAIIAggCCAIIAggAAgMCqgIeAAKWAgICOgIEAgUCBgIHAggCCQIgAgsClwINAggCCAIIAggCCAIIAggCCAIIAggCCAIIAggCCAIIAggCCAACAwK+c3EAfgAAAAAAAnNxAH4ABP///////////////v////7/////dXEAfgAHAAAABAJQHul4eHfMAh4AApYCAgJjAgQCBQIGAgcCCAIJApkCCwKXAg0CCAIIAggCCAIIAggCCAIIAggCCAIIAggCCAIIAggCCAIIAAIDAg4CHgAClgICAkQCBAIFAgYCBwIIAgkCmQILApcCDQIIAggCCAIIAggCCAIIAggCCAIIAggCCAIIAggCCAIIAggAAgMCDgIeAAKWAgICSAIEAgUCBgIHAggCCQIgAgsClwINAggCCAIIAggCCAIIAggCCAIIAggCCAIIAggCCAIIAggCCAACAwK/c3EAfgAAAAAAAnNxAH4ABP///////////////v////7/////dXEAfgAHAAAAAzL3EXh4d4gCHgAClgICAmoCBAIFAgYCBwIIAgkCHAILApcCDQIIAggCCAIIAggCCAIIAggCCAIIAggCCAIIAggCCAIIAggAAgMCrQIeAAKWAgICOAIEAgUCBgIHAggCCQIgAgsClwINAggCCAIIAggCCAIIAggCCAIIAggCCAIIAggCCAIIAggCCAACAwLAc3EAfgAAAAAAAnNxAH4ABP///////////////v////4AAAABdXEAfgAHAAAABAGjcLt4eHdEAh4AApYCAgIbAgQCBQIGAgcCCAIJApkCCwKXAg0CCAIIAggCCAIIAggCCAIIAggCCAIIAggCCAIIAggCCAIIAAIDAsFzcQB+AAAAAAACc3EAfgAE///////////////+/////v////91cQB+AAcAAAADEnsVeHh3RAIeAAKWAgICcAIEAgUCBgIHAggCCQIcAgsClwINAggCCAIIAggCCAIIAggCCAIIAggCCAIIAggCCAIIAggCCAACAwLCc3EAfgAAAAAAAnNxAH4ABP///////////////v////7/////dXEAfgAHAAAABB6uCU94eHdEAh4AApYCAgI+AgQCBQIGAgcCCAIJAhwCCwKXAg0CCAIIAggCCAIIAggCCAIIAggCCAIIAggCCAIIAggCCAIIAAIDAsNzcQB+AAAAAAACc3EAfgAE///////////////+/////v////91cQB+AAcAAAAEL/7GXHh4d0QCHgAClgICAn8CBAIFAgYCBwIIAgkCHAILApcCDQIIAggCCAIIAggCCAIIAggCCAIIAggCCAIIAggCCAIIAggAAgMCxHNxAH4AAAAAAAJzcQB+AAT///////////////7////+/////3VxAH4ABwAAAAQpII+FeHh3RAIeAAKWAgICTQIEAgUCBgIHAggCCQIgAgsClwINAggCCAIIAggCCAIIAggCCAIIAggCCAIIAggCCAIIAggCCAACAwLFc3EAfgAAAAAAAnNxAH4ABP///////////////v////7/////dXEAfgAHAAAABATh3pl4eHdEAh4AApYCAgJGAgQCBQIGAgcCCAIJApkCCwKXAg0CCAIIAggCCAIIAggCCAIIAggCCAIIAggCCAIIAggCCAIIAAIDAsZzcQB+AAAAAAACc3EAfgAE///////////////+/////v////91cQB+AAcAAAADEqKoeHh3RAIeAAKWAgICWgIEAgUCBgIHAggCCQIcAgsClwINAggCCAIIAggCCAIIAggCCAIIAggCCAIIAggCCAIIAggCCAACAwLHc3EAfgAAAAAAAnNxAH4ABP///////////////v////7/////dXEAfgAHAAAABDHvtRl4eHdEAh4AApYCAgJWAgQCBQIGAgcCCAIJAhwCCwKXAg0CCAIIAggCCAIIAggCCAIIAggCCAIIAggCCAIIAggCCAIIAAIDAshzcQB+AAAAAAACc3EAfgAE///////////////+/////v////91cQB+AAcAAAAEHbH6THh4d0QCHgAClgICAlYCBAIFAgYCBwIIAgkCIAILApcCDQIIAggCCAIIAggCCAIIAggCCAIIAggCCAIIAggCCAIIAggAAgMCyXNxAH4AAAAAAAJzcQB+AAT///////////////7////+/////3VxAH4ABwAAAAQUOveDeHh3RAIeAAKWAgICNQIEAgUCBgIHAggCCQIgAgsClwINAggCCAIIAggCCAIIAggCCAIIAggCCAIIAggCCAIIAggCCAACAwLKc3EAfgAAAAAAAnNxAH4ABP///////////////v////7/////dXEAfgAHAAAABAi9SCF4eHdEAh4AApYCAgJIAgQCBQIGAgcCCAIJApkCCwKXAg0CCAIIAggCCAIIAggCCAIIAggCCAIIAggCCAIIAggCCAIIAAIDAstzcQB+AAAAAAACc3EAfgAE///////////////+/////v////91cQB+AAcAAAADEnM1eHh3RAIeAAKWAgICcAIEAgUCBgIHAggCCQIgAgsClwINAggCCAIIAggCCAIIAggCCAIIAggCCAIIAggCCAIIAggCCAACAwLMc3EAfgAAAAAAAnNxAH4ABP///////////////v////7/////dXEAfgAHAAAABAL7S4t4eHdEAh4AApYCAgJNAgQCBQIGAgcCCAIJAhwCCwKXAg0CCAIIAggCCAIIAggCCAIIAggCCAIIAggCCAIIAggCCAIIAAIDAs1zcQB+AAAAAAACc3EAfgAE///////////////+/////v////91cQB+AAcAAAAEKsKx+Hh4d0QCHgAClgICAloCBAIFAgYCBwIIAgkCIAILApcCDQIIAggCCAIIAggCCAIIAggCCAIIAggCCAIIAggCCAIIAggAAgMCznNxAH4AAAAAAAJzcQB+AAT///////////////7////+/////3VxAH4ABwAAAAOesqp4eHdEAh4AApYCAgI8AgQCBQIGAgcCCAIJApkCCwKXAg0CCAIIAggCCAIIAggCCAIIAggCCAIIAggCCAIIAggCCAIIAAIDAs9zcQB+AAAAAAACc3EAfgAE///////////////+/////v////91cQB+AAcAAAADEobreHh3RAIeAAKWAgICPgIEAgUCBgIHAggCCQIgAgsClwINAggCCAIIAggCCAIIAggCCAIIAggCCAIIAggCCAIIAggCCAACAwLQc3EAfgAAAAAAAnNxAH4ABP///////////////v////4AAAABdXEAfgAHAAAAAzaltnh4d0QCHgAClgICAkoCBAIFAgYCBwIIAgkCHAILApcCDQIIAggCCAIIAggCCAIIAggCCAIIAggCCAIIAggCCAIIAggAAgMC0XNxAH4AAAAAAAJzcQB+AAT///////////////7////+/////3VxAH4ABwAAAAQVrLWfeHh3RAIeAAKWAgICNQIEAgUCBgIHAggCCQIcAgsClwINAggCCAIIAggCCAIIAggCCAIIAggCCAIIAggCCAIIAggCCAACAwLSc3EAfgAAAAAAAnNxAH4ABP///////////////v////7/////dXEAfgAHAAAABCZ4H3F4eHdEAh4AApYCAgJtAgQCBQIGAgcCCAIJAhwCCwKXAg0CCAIIAggCCAIIAggCCAIIAggCCAIIAggCCAIIAggCCAIIAAIDAtNzcQB+AAAAAAACc3EAfgAE///////////////+/////v////91cQB+AAcAAAAENDlU6Hh4d0QCHgAClgICAi8CBAIFAgYCBwIIAgkCmQILApcCDQIIAggCCAIIAggCCAIIAggCCAIIAggCCAIIAggCCAIIAggAAgMC1HNxAH4AAAAAAAJzcQB+AAT///////////////7////+/////3VxAH4ABwAAAAMSksp4eHdEAh4AApYCAgIiAgQCBQIGAgcCCAIJApkCCwKXAg0CCAIIAggCCAIIAggCCAIIAggCCAIIAggCCAIIAggCCAIIAAIDAtVzcQB+AAAAAAACc3EAfgAE///////////////+/////v////91cQB+AAcAAAADEmtYeHh3RAIeAAKWAgICLQIEAgUCBgIHAggCCQIgAgsClwINAggCCAIIAggCCAIIAggCCAIIAggCCAIIAggCCAIIAggCCAACAwLWc3EAfgAAAAAAAnNxAH4ABP///////////////v////7/////dXEAfgAHAAAABAHNSnd4eHdEAh4AApYCAgIoAgQCBQIGAgcCCAIJAiACCwKXAg0CCAIIAggCCAIIAggCCAIIAggCCAIIAggCCAIIAggCCAIIAAIDAtdzcQB+AAAAAAACc3EAfgAE///////////////+/////gAAAAF1cQB+AAcAAAAEAtQ47Hh4d4gCHgAClgICAh8CBAIFAgYCBwIIAgkCmQILApcCDQIIAggCCAIIAggCCAIIAggCCAIIAggCCAIIAggCCAIIAggAAgMCDgIeAAKWAgICSgIEAgUCBgIHAggCCQIgAgsClwINAggCCAIIAggCCAIIAggCCAIIAggCCAIIAggCCAIIAggCCAACAwLYc3EAfgAAAAAAAnNxAH4ABP///////////////v////7/////dXEAfgAHAAAABB0QqXR4eHeIAh4AApYCAgJBAgQCBQIGAgcCCAIJApkCCwKXAg0CCAIIAggCCAIIAggCCAIIAggCCAIIAggCCAIIAggCCAIIAAIDAg4CHgAClgICAnACBAIFAgYCBwIIAgkCmQILApcCDQIIAggCCAIIAggCCAIIAggCCAIIAggCCAIIAggCCAIIAggAAgMC2XNxAH4AAAAAAAJzcQB+AAT///////////////7////+/////3VxAH4ABwAAAAMSW6l4eHdEAh4AApYCAgIzAgQCBQIGAgcCCAIJAhwCCwKXAg0CCAIIAggCCAIIAggCCAIIAggCCAIIAggCCAIIAggCCAIIAAIDAtpzcQB+AAAAAAACc3EAfgAE///////////////+/////v////91cQB+AAcAAAAENJhHI3h4d4gCHgAClgICAmoCBAIFAgYCBwIIAgkCmQILApcCDQIIAggCCAIIAggCCAIIAggCCAIIAggCCAIIAggCCAIIAggAAgMCDgIeAAKWAgICYwIEAgUCBgIHAggCCQIgAgsClwINAggCCAIIAggCCAIIAggCCAIIAggCCAIIAggCCAIIAggCCAACAwLbc3EAfgAAAAAAAnNxAH4ABP///////////////v////4AAAABdXEAfgAHAAAABAPuMwZ4eHdEAh4AApYCAgJdAgQCBQIGAgcCCAIJAiACCwKXAg0CCAIIAggCCAIIAggCCAIIAggCCAIIAggCCAIIAggCCAIIAAIDAtxzcQB+AAAAAAACc3EAfgAE///////////////+/////v////91cQB+AAcAAAAEAWTK8nh4d0QCHgAClgICAi8CBAIFAgYCBwIIAgkCHAILApcCDQIIAggCCAIIAggCCAIIAggCCAIIAggCCAIIAggCCAIIAggAAgMC3XNxAH4AAAAAAAJzcQB+AAT///////////////7////+/////3VxAH4ABwAAAAQqJk8LeHh3zAIeAAKWAgICAwIEAgUCBgIHAggCCQKZAgsClwINAggCCAIIAggCCAIIAggCCAIIAggCCAIIAggCCAIIAggCCAACAwIOAh4AApYCAgI4AgQCBQIGAgcCCAIJApkCCwKXAg0CCAIIAggCCAIIAggCCAIIAggCCAIIAggCCAIIAggCCAIIAAIDAg4CHgAClgICAiYCBAIFAgYCBwIIAgkCmQILApcCDQIIAggCCAIIAggCCAIIAggCCAIIAggCCAIIAggCCAIIAggAAgMC3nNxAH4AAAAAAAJzcQB+AAT///////////////7////+/////3VxAH4ABwAAAAMSV794eHdEAh4AApYCAgIbAgQCBQIGAgcCCAIJAiACCwKXAg0CCAIIAggCCAIIAggCCAIIAggCCAIIAggCCAIIAggCCAIIAAIDAt9zcQB+AAAAAAACc3EAfgAE///////////////+/////v////91cQB+AAcAAAAEJZDR+3h4d0QCHgAClgICAiQCBAIFAgYCBwIIAgkCHAILApcCDQIIAggCCAIIAggCCAIIAggCCAIIAggCCAIIAggCCAIIAggAAgMC4HNxAH4AAAAAAAJzcQB+AAT///////////////7////+/////3VxAH4ABwAAAARDRE3geHh3iAIeAAKWAgICHwIEAgUCBgIHAggCCQIgAgsClwINAggCCAIIAggCCAIIAggCCAIIAggCCAIIAggCCAIIAggCCAACAwKqAh4AApYCAgItAgQCBQIGAgcCCAIJAhwCCwKXAg0CCAIIAggCCAIIAggCCAIIAggCCAIIAggCCAIIAggCCAIIAAIDAuFzcQB+AAAAAAACc3EAfgAE///////////////+/////v////91cQB+AAcAAAAEJi8ywnh4d0QCHgAClgICAl8CBAIFAgYCBwIIAgkCmQILApcCDQIIAggCCAIIAggCCAIIAggCCAIIAggCCAIIAggCCAIIAggAAgMC4nNxAH4AAAAAAAJzcQB+AAT///////////////7////+/////3VxAH4ABwAAAAMSlsB4eHdEAh4AApYCAgJBAgQCBQIGAgcCCAIJAiACCwKXAg0CCAIIAggCCAIIAggCCAIIAggCCAIIAggCCAIIAggCCAIIAAIDAuNzcQB+AAAAAAACc3EAfgAE///////////////+/////v////91cQB+AAcAAAAEHsB0bHh4d0QCHgAClgICAiICBAIFAgYCBwIIAgkCIAILApcCDQIIAggCCAIIAggCCAIIAggCCAIIAggCCAIIAggCCAIIAggAAgMC5HNxAH4AAAAAAAJzcQB+AAT///////////////7////+/////3VxAH4ABwAAAAQBBpRgeHh3RAIeAAKWAgICKAIEAgUCBgIHAggCCQIcAgsClwINAggCCAIIAggCCAIIAggCCAIIAggCCAIIAggCCAIIAggCCAACAwLlc3EAfgAAAAAAAnNxAH4ABP///////////////v////7/////dXEAfgAHAAAABDWm++V4eHeIAh4AApYCAgIeAgQCBQIGAgcCCAIJApkCCwKXAg0CCAIIAggCCAIIAggCCAIIAggCCAIIAggCCAIIAggCCAIIAAIDAg4CHgAClgICAmMCBAIFAgYCBwIIAgkCHAILApcCDQIIAggCCAIIAggCCAIIAggCCAIIAggCCAIIAggCCAIIAggAAgMC5nNxAH4AAAAAAAJzcQB+AAT///////////////7////+/////3VxAH4ABwAAAAQ789EkeHh3RAIeAAKWAgICXQIEAgUCBgIHAggCCQIcAgsClwINAggCCAIIAggCCAIIAggCCAIIAggCCAIIAggCCAIIAggCCAACAwLnc3EAfgAAAAAAAnNxAH4ABP///////////////v////7/////dXEAfgAHAAAABCsQC1F4eHdEAh4AApYCAgIxAgQCBQIGAgcCCAIJApkCCwKXAg0CCAIIAggCCAIIAggCCAIIAggCCAIIAggCCAIIAggCCAIIAAIDAuhzcQB+AAAAAAACc3EAfgAE///////////////+/////v////91cQB+AAcAAAADEpq3eHh3RAIeAAKWAgICLwIEAgUCBgIHAggCCQIgAgsClwINAggCCAIIAggCCAIIAggCCAIIAggCCAIIAggCCAIIAggCCAACAwLpc3EAfgAAAAAAAnNxAH4ABP///////////////v////7/////dXEAfgAHAAAABALXZ1R4eHdEAh4AApYCAgIkAgQCBQIGAgcCCAIJAiACCwKXAg0CCAIIAggCCAIIAggCCAIIAggCCAIIAggCCAIIAggCCAIIAAIDAupzcQB+AAAAAAACc3EAfgAE///////////////+/////gAAAAF1cQB+AAcAAAAEBhtaanh4d0QCHgAClgICAlYCBAIFAgYCBwIIAgkCmQILApcCDQIIAggCCAIIAggCCAIIAggCCAIIAggCCAIIAggCCAIIAggAAgMC63NxAH4AAAAAAAJzcQB+AAT///////////////7////+/////3VxAH4ABwAAAAMSgvh4eHeIAh4AApYCAgJVAgQCBQIGAgcCCAIJApkCCwKXAg0CCAIIAggCCAIIAggCCAIIAggCCAIIAggCCAIIAggCCAIIAAIDAg4CHgAClgICAhsCBAIFAgYCBwIIAgkCHAILApcCDQIIAggCCAIIAggCCAIIAggCCAIIAggCCAIIAggCCAIIAggAAgMC7HNxAH4AAAAAAAJzcQB+AAT///////////////7////+/////3VxAH4ABwAAAAQL0RJ0eHh3RAIeAAKWAgICKgIEAgUCBgIHAggCCQIcAgsClwINAggCCAIIAggCCAIIAggCCAIIAggCCAIIAggCCAIIAggCCAACAwLtc3EAfgAAAAAAAnNxAH4ABP///////////////v////7/////dXEAfgAHAAAABCng5RN4eHoAAAQAAh4AApYCAgI+AgQCBQIGAgcCCAIJApkCCwKXAg0CCAIIAggCCAIIAggCCAIIAggCCAIIAggCCAIIAggCCAIIAAIDAg4CHgAC7gAJMzEzNjk2MDU2AgICSAIEAgUCBgIHAggCCQKZAgsClwINAggCCAIIAggCCAIIAggCCAIIAggCCAIIAggCCAIIAggCCAIfAgMCywIeAALuAgICNQIEAgUCBgIHAggCCQIgAgsClwINAggCCAIIAggCCAIIAggCCAIIAggCCAIIAggCCAIIAggCCAIfAgMCygIeAALuAgICRAIEAgUCBgIHAggCCQIcAgsClwINAggCCAIIAggCCAIIAggCCAIIAggCCAIIAggCCAIIAggCCAIfAgMCnAIeAALuAgICfwIEAgUCBgIHAggCCQKZAgsClwINAggCCAIIAggCCAIIAggCCAIIAggCCAIIAggCCAIIAggCCAIfAgMCDgIeAALuAgICTQIEAgUCBgIHAggCCQIcAgsClwINAggCCAIIAggCCAIIAggCCAIIAggCCAIIAggCCAIIAggCCAIfAgMCzQIeAALuAgICSAIEAgUCBgIHAggCCQIcAgsClwINAggCCAIIAggCCAIIAggCCAIIAggCCAIIAggCCAIIAggCCAIfAgMCngIeAALuAgICcAIEAgUCBgIHAggCCQIgAgsClwINAggCCAIIAggCCAIIAggCCAIIAggCCAIIAggCCAIIAggCCAIfAgMCzAIeAALuAgICPAIEAgUCBgIHAggCCQIcAgsClwINAggCCAIIAggCCAIIAggCCAIIAggCCAIIAggCCAIIAggCCAIfAgMCoAIeAALuAgICTQIEAgUCBgIHAggCCQKZAgsClwINAggCCAIIAggCCAIIAggCCAIIAggCCAIIAggCCAIIAggCCAIfAgMCDgIeAALuAgICKgIEAgUCBgIHAggCCQIgAgsClwINAggCCAIIAggCCAIIAggCCAIIAggCCAIIAggCCAIIAggCCAIfAgMCoQIeAALuAgICQQIEAgUCBgIHAggCCQIgAgsClwINAggCCAIIAggCCAIIAggCCAIIAggCCAIIAggCCAIIAggCCAIfAgMC4wIeAALuAgICNQIEAgUCBgIHAggCCQIcAgsClwINAggCCAIIAggCCAIIAggCCAIIAggCCAIIAggCCAIIAggCCAIfAgMC0gIeAALuAgICLwIEAgUCBgIHAggCCQIgAgsClwINAggCCAIIAggCCAIIAggCCAIIAggCCAIIAggCCAIIAggCCAIfAgMC6QIeAALuAgICJgIEAgUCBgIHAggCCQIcAgsClwINAggCCAIIAggCCAIIAggCCAIIAnoAAAQACAIIAggCCAIIAggCCAIIAh8CAwKkAh4AAu4CAgI6AgQCBQIGAgcCCAIJAiACCwKXAg0CCAIIAggCCAIIAggCCAIIAggCCAIIAggCCAIIAggCCAIIAh8CAwK+Ah4AAu4CAgIkAgQCBQIGAgcCCAIJAhwCCwKXAg0CCAIIAggCCAIIAggCCAIIAggCCAIIAggCCAIIAggCCAIIAh8CAwLgAh4AAu4CAgJIAgQCBQIGAgcCCAIJAiACCwKXAg0CCAIIAggCCAIIAggCCAIIAggCCAIIAggCCAIIAggCCAIIAh8CAwK/Ah4AAu4CAgI1AgQCBQIGAgcCCAIJApkCCwKXAg0CCAIIAggCCAIIAggCCAIIAggCCAIIAggCCAIIAggCCAIIAh8CAwK3Ah4AAu4CAgImAgQCBQIGAgcCCAIJApkCCwKXAg0CCAIIAggCCAIIAggCCAIIAggCCAIIAggCCAIIAggCCAIIAh8CAwLeAh4AAu4CAgJwAgQCBQIGAgcCCAIJAhwCCwKXAg0CCAIIAggCCAIIAggCCAIIAggCCAIIAggCCAIIAggCCAIIAh8CAwLCAh4AAu4CAgIqAgQCBQIGAgcCCAIJAhwCCwKXAg0CCAIIAggCCAIIAggCCAIIAggCCAIIAggCCAIIAggCCAIIAh8CAwLtAh4AAu4CAgIqAgQCBQIGAgcCCAIJApkCCwKXAg0CCAIIAggCCAIIAggCCAIIAggCCAIIAggCCAIIAggCCAIIAh8CAwKuAh4AAu4CAgJKAgQCBQIGAgcCCAIJAiACCwKXAg0CCAIIAggCCAIIAggCCAIIAggCCAIIAggCCAIIAggCCAIIAh8CAwLYAh4AAu4CAgI8AgQCBQIGAgcCCAIJAiACCwKXAg0CCAIIAggCCAIIAggCCAIIAggCCAIIAggCCAIIAggCCAIIAh8CAwKYAh4AAu4CAgJNAgQCBQIGAgcCCAIJAiACCwKXAg0CCAIIAggCCAIIAggCCAIIAggCCAIIAggCCAIIAggCCAIIAh8CAwLFAh4AAu4CAgJaAgQCBQIGAgcCCAIJApkCCwKXAg0CCAIIAggCCAIIAggCCAIIAggCCAIIAggCCAIIAggCCAIIAh8CAwKaAh4AAu4CAgIkAgQCBQIGAgcCCAIJAiACCwKXAg0CCAIIAggCCAIIAggCCAIIAggCCAIIAggCCAIIAggCCAIIAh8CAwLqAh4AAu4CAgIxAgQCBQIGAgcCCAIJAiACCwKXAg0CCAIIAggCCAIIAggCCAIIAggCCAIIAggCCAIIAggCCAIIAh8CAwKzAh4AAu4CAgIbAgQCBQIGAgcCCAIJAhwCCwKXAg0CCAIIAggCCHoAAAQAAggCCAIIAggCCAIIAggCCAIIAggCCAIIAggCHwIDAuwCHgAC7gICAloCBAIFAgYCBwIIAgkCHAILApcCDQIIAggCCAIIAggCCAIIAggCCAIIAggCCAIIAggCCAIIAggCHwIDAscCHgAC7gICAkYCBAIFAgYCBwIIAgkCHAILApcCDQIIAggCCAIIAggCCAIIAggCCAIIAggCCAIIAggCCAIIAggCHwIDApsCHgAC7gICAkYCBAIFAgYCBwIIAgkCmQILApcCDQIIAggCCAIIAggCCAIIAggCCAIIAggCCAIIAggCCAIIAggCHwIDAsYCHgAC7gICAlYCBAIFAgYCBwIIAgkCHAILApcCDQIIAggCCAIIAggCCAIIAggCCAIIAggCCAIIAggCCAIIAggCHwIDAsgCHgAC7gICAlYCBAIFAgYCBwIIAgkCmQILApcCDQIIAggCCAIIAggCCAIIAggCCAIIAggCCAIIAggCCAIIAggCHwIDAusCHgAC7gICAkQCBAIFAgYCBwIIAgkCmQILApcCDQIIAggCCAIIAggCCAIIAggCCAIIAggCCAIIAggCCAIIAggCHwIDAg4CHgAC7gICAlUCBAIFAgYCBwIIAgkCmQILApcCDQIIAggCCAIIAggCCAIIAggCCAIIAggCCAIIAggCCAIIAggCHwIDAg4CHgAC7gICAl0CBAIFAgYCBwIIAgkCIAILApcCDQIIAggCCAIIAggCCAIIAggCCAIIAggCCAIIAggCCAIIAggCHwIDAtwCHgAC7gICAlUCBAIFAgYCBwIIAgkCHAILApcCDQIIAggCCAIIAggCCAIIAggCCAIIAggCCAIIAggCCAIIAggCHwIDArQCHgAC7gICAi0CBAIFAgYCBwIIAgkCHAILApcCDQIIAggCCAIIAggCCAIIAggCCAIIAggCCAIIAggCCAIIAggCHwIDAuECHgAC7gICAm0CBAIFAgYCBwIIAgkCIAILApcCDQIIAggCCAIIAggCCAIIAggCCAIIAggCCAIIAggCCAIIAggCHwIDAroCHgAC7gICAjoCBAIFAgYCBwIIAgkCmQILApcCDQIIAggCCAIIAggCCAIIAggCCAIIAggCCAIIAggCCAIIAggCHwIDAqcCHgAC7gICAhsCBAIFAgYCBwIIAgkCmQILApcCDQIIAggCCAIIAggCCAIIAggCCAIIAggCCAIIAggCCAIIAggCHwIDAsECHgAC7gICAi0CBAIFAgYCBwIIAgkCmQILApcCDQIIAggCCAIIAggCCAIIAggCCAIIAggCCAIIAggCCAIIAggCHwIDAr0CHgAC7gICAkoCBAIFAgYCBwIIAgkCHAILAnoAAAQAlwINAggCCAIIAggCCAIIAggCCAIIAggCCAIIAggCCAIIAggCCAIfAgMC0QIeAALuAgICIgIEAgUCBgIHAggCCQIgAgsClwINAggCCAIIAggCCAIIAggCCAIIAggCCAIIAggCCAIIAggCCAIfAgMC5AIeAALuAgICQQIEAgUCBgIHAggCCQKZAgsClwINAggCCAIIAggCCAIIAggCCAIIAggCCAIIAggCCAIIAggCCAIfAgMCDgIeAALuAgICXwIEAgUCBgIHAggCCQIcAgsClwINAggCCAIIAggCCAIIAggCCAIIAggCCAIIAggCCAIIAggCCAIfAgMCuAIeAALuAgICXwIEAgUCBgIHAggCCQKZAgsClwINAggCCAIIAggCCAIIAggCCAIIAggCCAIIAggCCAIIAggCCAIfAgMC4gIeAALuAgICMQIEAgUCBgIHAggCCQIcAgsClwINAggCCAIIAggCCAIIAggCCAIIAggCCAIIAggCCAIIAggCCAIfAgMCuwIeAALuAgICRgIEAgUCBgIHAggCCQIgAgsClwINAggCCAIIAggCCAIIAggCCAIIAggCCAIIAggCCAIIAggCCAIfAgMCpQIeAALuAgICcAIEAgUCBgIHAggCCQKZAgsClwINAggCCAIIAggCCAIIAggCCAIIAggCCAIIAggCCAIIAggCCAIfAgMC2QIeAALuAgICMwIEAgUCBgIHAggCCQIcAgsClwINAggCCAIIAggCCAIIAggCCAIIAggCCAIIAggCCAIIAggCCAIfAgMC2gIeAALuAgICXQIEAgUCBgIHAggCCQIcAgsClwINAggCCAIIAggCCAIIAggCCAIIAggCCAIIAggCCAIIAggCCAIfAgMC5wIeAALuAgICfwIEAgUCBgIHAggCCQIgAgsClwINAggCCAIIAggCCAIIAggCCAIIAggCCAIIAggCCAIIAggCCAIfAgMCvAIeAALuAgICMwIEAgUCBgIHAggCCQKZAgsClwINAggCCAIIAggCCAIIAggCCAIIAggCCAIIAggCCAIIAggCCAIfAgMCsQIeAALuAgICXQIEAgUCBgIHAggCCQKZAgsClwINAggCCAIIAggCCAIIAggCCAIIAggCCAIIAggCCAIIAggCCAIfAgMCnwIeAALuAgICMQIEAgUCBgIHAggCCQKZAgsClwINAggCCAIIAggCCAIIAggCCAIIAggCCAIIAggCCAIIAggCCAIfAgMC6AIeAALuAgICJAIEAgUCBgIHAggCCQKZAgsClwINAggCCAIIAggCCAIIAggCCAIIAggCCAIIAggCCAIIAggCCAIfAgMCsgIeAALuAgICWgIEAgUCBnoAAAQAAgcCCAIJAiACCwKXAg0CCAIIAggCCAIIAggCCAIIAggCCAIIAggCCAIIAggCCAIIAh8CAwLOAh4AAu4CAgIbAgQCBQIGAgcCCAIJAiACCwKXAg0CCAIIAggCCAIIAggCCAIIAggCCAIIAggCCAIIAggCCAIIAh8CAwLfAh4AAu4CAgJVAgQCBQIGAgcCCAIJAiACCwKXAg0CCAIIAggCCAIIAggCCAIIAggCCAIIAggCCAIIAggCCAIIAh8CAwK2Ah4AAu4CAgIiAgQCBQIGAgcCCAIJAhwCCwKXAg0CCAIIAggCCAIIAggCCAIIAggCCAIIAggCCAIIAggCCAIIAh8CAwKpAh4AAu4CAgJWAgQCBQIGAgcCCAIJAiACCwKXAg0CCAIIAggCCAIIAggCCAIIAggCCAIIAggCCAIIAggCCAIIAh8CAwLJAh4AAu4CAgIiAgQCBQIGAgcCCAIJApkCCwKXAg0CCAIIAggCCAIIAggCCAIIAggCCAIIAggCCAIIAggCCAIIAh8CAwLVAh4AAu4CAgJEAgQCBQIGAgcCCAIJAiACCwKXAg0CCAIIAggCCAIIAggCCAIIAggCCAIIAggCCAIIAggCCAIIAh8CAwKoAh4AAu4CAgItAgQCBQIGAgcCCAIJAiACCwKXAg0CCAIIAggCCAIIAggCCAIIAggCCAIIAggCCAIIAggCCAIIAh8CAwLWAh4AAu4CAgJfAgQCBQIGAgcCCAIJAiACCwKXAg0CCAIIAggCCAIIAggCCAIIAggCCAIIAggCCAIIAggCCAIIAh8CAwKrAh4AAu4CAgJtAgQCBQIGAgcCCAIJAhwCCwKXAg0CCAIIAggCCAIIAggCCAIIAggCCAIIAggCCAIIAggCCAIIAh8CAwLTAh4AAu4CAgI8AgQCBQIGAgcCCAIJApkCCwKXAg0CCAIIAggCCAIIAggCCAIIAggCCAIIAggCCAIIAggCCAIIAh8CAwLPAh4AAu4CAgJtAgQCBQIGAgcCCAIJApkCCwKXAg0CCAIIAggCCAIIAggCCAIIAggCCAIIAggCCAIIAggCCAIIAh8CAwKsAh4AAu4CAgJBAgQCBQIGAgcCCAIJAhwCCwKXAg0CCAIIAggCCAIIAggCCAIIAggCCAIIAggCCAIIAggCCAIIAh8CAwKvAh4AAu4CAgIzAgQCBQIGAgcCCAIJAiACCwKXAg0CCAIIAggCCAIIAggCCAIIAggCCAIIAggCCAIIAggCCAIIAh8CAwK5Ah4AAu4CAgJKAgQCBQIGAgcCCAIJApkCCwKXAg0CCAIIAggCCAIIAggCCAIIAggCCAIIAggCCAIIAggCCAIIAh8CAwKiAh4AAnoAAAQA7gICAn8CBAIFAgYCBwIIAgkCHAILApcCDQIIAggCCAIIAggCCAIIAggCCAIIAggCCAIIAggCCAIIAggCHwIDAsQCHgAC7gICAjoCBAIFAgYCBwIIAgkCHAILApcCDQIIAggCCAIIAggCCAIIAggCCAIIAggCCAIIAggCCAIIAggCHwIDArACHgAC7gICAi8CBAIFAgYCBwIIAgkCHAILApcCDQIIAggCCAIIAggCCAIIAggCCAIIAggCCAIIAggCCAIIAggCHwIDAt0CHgAC7gICAi8CBAIFAgYCBwIIAgkCmQILApcCDQIIAggCCAIIAggCCAIIAggCCAIIAggCCAIIAggCCAIIAggCHwIDAtQCHgAC7gICAiYCBAIFAgYCBwIIAgkCIAILApcCDQIIAggCCAIIAggCCAIIAggCCAIIAggCCAIIAggCCAIIAggCHwIDAqYCHgAC7wAJMzEwNTMxODk2AgICVQIEAgUCBgIHAggCCQIcAgsClwINAggCCAIIAggCCAIIAggCCAIIAggCCAIIAggCCAIIAggCCAIDAgMCtAIeAALvAgICAwIEAgUCBgIHAggCCQIcAgsClwINAggCCAIIAggCCAIIAggCCAIIAggCCAIIAggCCAIIAggCCAIDAgMCowIeAALvAgICRAIEAgUCBgIHAggCCQIcAgsClwINAggCCAIIAggCCAIIAggCCAIIAggCCAIIAggCCAIIAggCCAIDAgMCnAIeAALvAgICJAIEAgUCBgIHAggCCQIcAgsClwINAggCCAIIAggCCAIIAggCCAIIAggCCAIIAggCCAIIAggCCAIDAgMC4AIeAALvAgICLwIEAgUCBgIHAggCCQIcAgsClwINAggCCAIIAggCCAIIAggCCAIIAggCCAIIAggCCAIIAggCCAIDAgMC3QIeAALvAgICVgIEAgUCBgIHAggCCQIcAgsClwINAggCCAIIAggCCAIIAggCCAIIAggCCAIIAggCCAIIAggCCAIDAgMCyAIeAALvAgICNQIEAgUCBgIHAggCCQIcAgsClwINAggCCAIIAggCCAIIAggCCAIIAggCCAIIAggCCAIIAggCCAIDAgMC0gIeAALvAgICbQIEAgUCBgIHAggCCQIcAgsClwINAggCCAIIAggCCAIIAggCCAIIAggCCAIIAggCCAIIAggCCAIDAgMC0wIeAALvAgICXwIEAgUCBgIHAggCCQIcAgsClwINAggCCAIIAggCCAIIAggCCAIIAggCCAIIAggCCAIIAggCCAIDAgMCuAIeAALvAgICOAIEAgUCBgIHAggCCQIcAgsClwINAggCCAIIAggCCAIIAggCCAIIAggCCHoAAAQAAggCCAIIAggCCAIIAgMCAwK1Ah4AAu8CAgJNAgQCBQIGAgcCCAIJAhwCCwKXAg0CCAIIAggCCAIIAggCCAIIAggCCAIIAggCCAIIAggCCAIIAgMCAwLNAh4AAu8CAgJBAgQCBQIGAgcCCAIJAhwCCwKXAg0CCAIIAggCCAIIAggCCAIIAggCCAIIAggCCAIIAggCCAIIAgMCAwKvAh4AAu8CAgJGAgQCBQIGAgcCCAIJAhwCCwKXAg0CCAIIAggCCAIIAggCCAIIAggCCAIIAggCCAIIAggCCAIIAgMCAwKbAh4AAu8CAgIxAgQCBQIGAgcCCAIJAhwCCwKXAg0CCAIIAggCCAIIAggCCAIIAggCCAIIAggCCAIIAggCCAIIAgMCAwK7Ah4AAu8CAgIqAgQCBQIGAgcCCAIJAhwCCwKXAg0CCAIIAggCCAIIAggCCAIIAggCCAIIAggCCAIIAggCCAIIAgMCAwLtAh4AAu8CAgI8AgQCBQIGAgcCCAIJAhwCCwKXAg0CCAIIAggCCAIIAggCCAIIAggCCAIIAggCCAIIAggCCAIIAgMCAwKgAh4AAu8CAgI+AgQCBQIGAgcCCAIJAhwCCwKXAg0CCAIIAggCCAIIAggCCAIIAggCCAIIAggCCAIIAggCCAIIAgMCAwLDAh4AAu8CAgJ/AgQCBQIGAgcCCAIJAhwCCwKXAg0CCAIIAggCCAIIAggCCAIIAggCCAIIAggCCAIIAggCCAIIAgMCAwLEAh4AAvAACTMxMzY5ODM3NgICAjwCBAIFAgYCBwIIAgkCIAILApcCDQIIAggCCAIIAggCCAIIAggCCAIIAggCCAIIAggCCAIIAggCIQIDApgCHgAC8AICAkYCBAIFAgYCBwIIAgkCmQILApcCDQIIAggCCAIIAggCCAIIAggCCAIIAggCCAIIAggCCAIIAggCIQIDAsYCHgAC8AICAloCBAIFAgYCBwIIAgkCHAILApcCDQIIAggCCAIIAggCCAIIAggCCAIIAggCCAIIAggCCAIIAggCIQIDAscCHgAC8AICAloCBAIFAgYCBwIIAgkCmQILApcCDQIIAggCCAIIAggCCAIIAggCCAIIAggCCAIIAggCCAIIAggCIQIDApoCHgAC8AICAkYCBAIFAgYCBwIIAgkCHAILApcCDQIIAggCCAIIAggCCAIIAggCCAIIAggCCAIIAggCCAIIAggCIQIDApsCHgAC8AICAlYCBAIFAgYCBwIIAgkCHAILApcCDQIIAggCCAIIAggCCAIIAggCCAIIAggCCAIIAggCCAIIAggCIQIDAsgCHgAC8AICAkQCBAIFAgYCBwIIAgkCHAILApcCDXoAAAQAAggCCAIIAggCCAIIAggCCAIIAggCCAIIAggCCAIIAggCCAIhAgMCnAIeAALwAgICJgIEAgUCBgIHAggCCQIgAgsClwINAggCCAIIAggCCAIIAggCCAIIAggCCAIIAggCCAIIAggCCAIhAgMCpgIeAALwAgICNQIEAgUCBgIHAggCCQIgAgsClwINAggCCAIIAggCCAIIAggCCAIIAggCCAIIAggCCAIIAggCCAIhAgMCygIeAALwAgICSAIEAgUCBgIHAggCCQKZAgsClwINAggCCAIIAggCCAIIAggCCAIIAggCCAIIAggCCAIIAggCCAIhAgMCywIeAALwAgICSAIEAgUCBgIHAggCCQIcAgsClwINAggCCAIIAggCCAIIAggCCAIIAggCCAIIAggCCAIIAggCCAIhAgMCngIeAALwAgICPAIEAgUCBgIHAggCCQIcAgsClwINAggCCAIIAggCCAIIAggCCAIIAggCCAIIAggCCAIIAggCCAIhAgMCoAIeAALwAgICKgIEAgUCBgIHAggCCQIgAgsClwINAggCCAIIAggCCAIIAggCCAIIAggCCAIIAggCCAIIAggCCAIhAgMCoQIeAALwAgICcAIEAgUCBgIHAggCCQIgAgsClwINAggCCAIIAggCCAIIAggCCAIIAggCCAIIAggCCAIIAggCCAIhAgMCzAIeAALwAgICSgIEAgUCBgIHAggCCQKZAgsClwINAggCCAIIAggCCAIIAggCCAIIAggCCAIIAggCCAIIAggCCAIhAgMCogIeAALwAgICWgIEAgUCBgIHAggCCQIgAgsClwINAggCCAIIAggCCAIIAggCCAIIAggCCAIIAggCCAIIAggCCAIhAgMCzgIeAALwAgICRgIEAgUCBgIHAggCCQIgAgsClwINAggCCAIIAggCCAIIAggCCAIIAggCCAIIAggCCAIIAggCCAIhAgMCpQIeAALwAgICPAIEAgUCBgIHAggCCQKZAgsClwINAggCCAIIAggCCAIIAggCCAIIAggCCAIIAggCCAIIAggCCAIhAgMCzwIeAALwAgICNQIEAgUCBgIHAggCCQIcAgsClwINAggCCAIIAggCCAIIAggCCAIIAggCCAIIAggCCAIIAggCCAIhAgMC0gIeAALwAgICJgIEAgUCBgIHAggCCQIcAgsClwINAggCCAIIAggCCAIIAggCCAIIAggCCAIIAggCCAIIAggCCAIhAgMCpAIeAALwAgICVQIEAgUCBgIHAggCCQIgAgsClwINAggCCAIIAggCCAIIAggCCAIIAggCCAIIAggCCAIIAggCCAIhAgMCtgIeAALwAgICVgIEAgUCBgIHAnoAAAQACAIJAiACCwKXAg0CCAIIAggCCAIIAggCCAIIAggCCAIIAggCCAIIAggCCAIIAiECAwLJAh4AAvACAgIiAgQCBQIGAgcCCAIJAhwCCwKXAg0CCAIIAggCCAIIAggCCAIIAggCCAIIAggCCAIIAggCCAIIAiECAwKpAh4AAvACAgJEAgQCBQIGAgcCCAIJAiACCwKXAg0CCAIIAggCCAIIAggCCAIIAggCCAIIAggCCAIIAggCCAIIAiECAwKoAh4AAvACAgI6AgQCBQIGAgcCCAIJApkCCwKXAg0CCAIIAggCCAIIAggCCAIIAggCCAIIAggCCAIIAggCCAIIAiECAwKnAh4AAvACAgIiAgQCBQIGAgcCCAIJApkCCwKXAg0CCAIIAggCCAIIAggCCAIIAggCCAIIAggCCAIIAggCCAIIAiECAwLVAh4AAvACAgJfAgQCBQIGAgcCCAIJAiACCwKXAg0CCAIIAggCCAIIAggCCAIIAggCCAIIAggCCAIIAggCCAIIAiECAwKrAh4AAvACAgItAgQCBQIGAgcCCAIJAiACCwKXAg0CCAIIAggCCAIIAggCCAIIAggCCAIIAggCCAIIAggCCAIIAiECAwLWAh4AAvACAgJtAgQCBQIGAgcCCAIJApkCCwKXAg0CCAIIAggCCAIIAggCCAIIAggCCAIIAggCCAIIAggCCAIIAiECAwKsAh4AAvACAgJBAgQCBQIGAgcCCAIJAhwCCwKXAg0CCAIIAggCCAIIAggCCAIIAggCCAIIAggCCAIIAggCCAIIAiECAwKvAh4AAvACAgJ/AgQCBQIGAgcCCAIJAhwCCwKXAg0CCAIIAggCCAIIAggCCAIIAggCCAIIAggCCAIIAggCCAIIAiECAwLEAh4AAvACAgJtAgQCBQIGAgcCCAIJAhwCCwKXAg0CCAIIAggCCAIIAggCCAIIAggCCAIIAggCCAIIAggCCAIIAiECAwLTAh4AAvACAgJ/AgQCBQIGAgcCCAIJApkCCwKXAg0CCAIIAggCCAIIAggCCAIIAggCCAIIAggCCAIIAggCCAIIAiECAwIOAh4AAvACAgJKAgQCBQIGAgcCCAIJAiACCwKXAg0CCAIIAggCCAIIAggCCAIIAggCCAIIAggCCAIIAggCCAIIAiECAwLYAh4AAvACAgIqAgQCBQIGAgcCCAIJApkCCwKXAg0CCAIIAggCCAIIAggCCAIIAggCCAIIAggCCAIIAggCCAIIAiECAwKuAh4AAvACAgIzAgQCBQIGAgcCCAIJAhwCCwKXAg0CCAIIAggCCAIIAggCCAIIAggCCAIIAggCCAIIAggCCAIIAiECAwLaAh4AAvACAnoAAAQAAkECBAIFAgYCBwIIAgkCmQILApcCDQIIAggCCAIIAggCCAIIAggCCAIIAggCCAIIAggCCAIIAggCIQIDAg4CHgAC8AICAjMCBAIFAgYCBwIIAgkCmQILApcCDQIIAggCCAIIAggCCAIIAggCCAIIAggCCAIIAggCCAIIAggCIQIDArECHgAC8AICAjoCBAIFAgYCBwIIAgkCHAILApcCDQIIAggCCAIIAggCCAIIAggCCAIIAggCCAIIAggCCAIIAggCIQIDArACHgAC8AICAnACBAIFAgYCBwIIAgkCmQILApcCDQIIAggCCAIIAggCCAIIAggCCAIIAggCCAIIAggCCAIIAggCIQIDAtkCHgAC8AICAlUCBAIFAgYCBwIIAgkCHAILApcCDQIIAggCCAIIAggCCAIIAggCCAIIAggCCAIIAggCCAIIAggCIQIDArQCHgAC8AICAiQCBAIFAgYCBwIIAgkCmQILApcCDQIIAggCCAIIAggCCAIIAggCCAIIAggCCAIIAggCCAIIAggCIQIDArICHgAC8AICAjECBAIFAgYCBwIIAgkCIAILApcCDQIIAggCCAIIAggCCAIIAggCCAIIAggCCAIIAggCCAIIAggCIQIDArMCHgAC8AICAi8CBAIFAgYCBwIIAgkCmQILApcCDQIIAggCCAIIAggCCAIIAggCCAIIAggCCAIIAggCCAIIAggCIQIDAtQCHgAC8AICAi8CBAIFAgYCBwIIAgkCHAILApcCDQIIAggCCAIIAggCCAIIAggCCAIIAggCCAIIAggCCAIIAggCIQIDAt0CHgAC8AICAl0CBAIFAgYCBwIIAgkCIAILApcCDQIIAggCCAIIAggCCAIIAggCCAIIAggCCAIIAggCCAIIAggCIQIDAtwCHgAC8AICAi0CBAIFAgYCBwIIAgkCHAILApcCDQIIAggCCAIIAggCCAIIAggCCAIIAggCCAIIAggCCAIIAggCIQIDAuECHgAC8AICAl8CBAIFAgYCBwIIAgkCHAILApcCDQIIAggCCAIIAggCCAIIAggCCAIIAggCCAIIAggCCAIIAggCIQIDArgCHgAC8AICAhsCBAIFAgYCBwIIAgkCIAILApcCDQIIAggCCAIIAggCCAIIAggCCAIIAggCCAIIAggCCAIIAggCIQIDAt8CHgAC8AICAiQCBAIFAgYCBwIIAgkCHAILApcCDQIIAggCCAIIAggCCAIIAggCCAIIAggCCAIIAggCCAIIAggCIQIDAuACHgAC8AICAjUCBAIFAgYCBwIIAgkCmQILApcCDQIIAggCCAIIAggCCAIIAggCCAIIAggCCAIIAggCCAIIAggCIXoAAAQAAgMCtwIeAALwAgICJgIEAgUCBgIHAggCCQKZAgsClwINAggCCAIIAggCCAIIAggCCAIIAggCCAIIAggCCAIIAggCCAIhAgMC3gIeAALwAgICSgIEAgUCBgIHAggCCQIcAgsClwINAggCCAIIAggCCAIIAggCCAIIAggCCAIIAggCCAIIAggCCAIhAgMC0QIeAALwAgICXwIEAgUCBgIHAggCCQKZAgsClwINAggCCAIIAggCCAIIAggCCAIIAggCCAIIAggCCAIIAggCCAIhAgMC4gIeAALwAgICbQIEAgUCBgIHAggCCQIgAgsClwINAggCCAIIAggCCAIIAggCCAIIAggCCAIIAggCCAIIAggCCAIhAgMCugIeAALwAgICMwIEAgUCBgIHAggCCQIgAgsClwINAggCCAIIAggCCAIIAggCCAIIAggCCAIIAggCCAIIAggCCAIhAgMCuQIeAALwAgICQQIEAgUCBgIHAggCCQIgAgsClwINAggCCAIIAggCCAIIAggCCAIIAggCCAIIAggCCAIIAggCCAIhAgMC4wIeAALwAgICIgIEAgUCBgIHAggCCQIgAgsClwINAggCCAIIAggCCAIIAggCCAIIAggCCAIIAggCCAIIAggCCAIhAgMC5AIeAALwAgICMQIEAgUCBgIHAggCCQIcAgsClwINAggCCAIIAggCCAIIAggCCAIIAggCCAIIAggCCAIIAggCCAIhAgMCuwIeAALwAgICXQIEAgUCBgIHAggCCQIcAgsClwINAggCCAIIAggCCAIIAggCCAIIAggCCAIIAggCCAIIAggCCAIhAgMC5wIeAALwAgICfwIEAgUCBgIHAggCCQIgAgsClwINAggCCAIIAggCCAIIAggCCAIIAggCCAIIAggCCAIIAggCCAIhAgMCvAIeAALwAgICLQIEAgUCBgIHAggCCQKZAgsClwINAggCCAIIAggCCAIIAggCCAIIAggCCAIIAggCCAIIAggCCAIhAgMCvQIeAALwAgICXQIEAgUCBgIHAggCCQKZAgsClwINAggCCAIIAggCCAIIAggCCAIIAggCCAIIAggCCAIIAggCCAIhAgMCnwIeAALwAgICOgIEAgUCBgIHAggCCQIgAgsClwINAggCCAIIAggCCAIIAggCCAIIAggCCAIIAggCCAIIAggCCAIhAgMCvgIeAALwAgICLwIEAgUCBgIHAggCCQIgAgsClwINAggCCAIIAggCCAIIAggCCAIIAggCCAIIAggCCAIIAggCCAIhAgMC6QIeAALwAgICMQIEAgUCBgIHAggCCQKZAgsClwINAggCCAIIAggCCAIIAggCCAIIAggCCAIIAnoAAAQACAIIAggCCAIIAiECAwLoAh4AAvACAgJEAgQCBQIGAgcCCAIJApkCCwKXAg0CCAIIAggCCAIIAggCCAIIAggCCAIIAggCCAIIAggCCAIIAiECAwIOAh4AAvACAgIkAgQCBQIGAgcCCAIJAiACCwKXAg0CCAIIAggCCAIIAggCCAIIAggCCAIIAggCCAIIAggCCAIIAiECAwLqAh4AAvACAgJIAgQCBQIGAgcCCAIJAiACCwKXAg0CCAIIAggCCAIIAggCCAIIAggCCAIIAggCCAIIAggCCAIIAiECAwK/Ah4AAvACAgJVAgQCBQIGAgcCCAIJApkCCwKXAg0CCAIIAggCCAIIAggCCAIIAggCCAIIAggCCAIIAggCCAIIAiECAwIOAh4AAvACAgJWAgQCBQIGAgcCCAIJApkCCwKXAg0CCAIIAggCCAIIAggCCAIIAggCCAIIAggCCAIIAggCCAIIAiECAwLrAh4AAvACAgJwAgQCBQIGAgcCCAIJAhwCCwKXAg0CCAIIAggCCAIIAggCCAIIAggCCAIIAggCCAIIAggCCAIIAiECAwLCAh4AAvACAgIbAgQCBQIGAgcCCAIJAhwCCwKXAg0CCAIIAggCCAIIAggCCAIIAggCCAIIAggCCAIIAggCCAIIAiECAwLsAh4AAvACAgIbAgQCBQIGAgcCCAIJApkCCwKXAg0CCAIIAggCCAIIAggCCAIIAggCCAIIAggCCAIIAggCCAIIAiECAwLBAh4AAvACAgIqAgQCBQIGAgcCCAIJAhwCCwKXAg0CCAIIAggCCAIIAggCCAIIAggCCAIIAggCCAIIAggCCAIIAiECAwLtAh4AAvEACTMxMDUzMzA1NgICAioCBAIFAgYCBwIIAgkCIAILAgwCDQIIAggCCAIIAggCCAIIAggCCAIIAggCCAIIAggCCAIIAggCBAIDAnYCHgAC8QICAl8CBAIFAgYCBwIIAgkCIAILAgwCDQIIAggCCAIIAggCCAIIAggCCAIIAggCCAIIAggCCAIIAggCBAIDAncCHgAC8QICAj4CBAIFAgYCBwIIAgkCIAILAgwCDQIIAggCCAIIAggCCAIIAggCCAIIAggCCAIIAggCCAIIAggCBAIDAj8CHgAC8QICAk0CBAIFAgYCBwIIAgkCIAILAgwCDQIIAggCCAIIAggCCAIIAggCCAIIAggCCAIIAggCCAIIAggCBAIDAk4CHgAC8QICAkYCBAIFAgYCBwIIAgkCIAILAgwCDQIIAggCCAIIAggCCAIIAggCCAIIAggCCAIIAggCCAIIAggCBAIDAkcCHgAC8QICAlYCBAIFAgYCBwIIAgkCIAILAgwCDQIIAnoAAAQACAIIAggCCAIIAggCCAIIAggCCAIIAggCCAIIAggCCAIEAgMCewIeAALxAgICRAIEAgUCBgIHAggCCQIgAgsCDAINAggCCAIIAggCCAIIAggCCAIIAggCCAIIAggCCAIIAggCCAIEAgMCRQIeAALxAgICVQIEAgUCBgIHAggCCQIgAgsCDAINAggCCAIIAggCCAIIAggCCAIIAggCCAIIAggCCAIIAggCCAIEAgMCeQIeAALxAgICMQIEAgUCBgIHAggCCQIgAgsCDAINAggCCAIIAggCCAIIAggCCAIIAggCCAIIAggCCAIIAggCCAIEAgMCMgIeAALxAgICNQIEAgUCBgIHAggCCQIgAgsCDAINAggCCAIIAggCCAIIAggCCAIIAggCCAIIAggCCAIIAggCCAIEAgMChwIeAALxAgICJAIEAgUCBgIHAggCCQIgAgsCDAINAggCCAIIAggCCAIIAggCCAIIAggCCAIIAggCCAIIAggCCAIEAgMCUgIeAALxAgICLwIEAgUCBgIHAggCCQIgAgsCDAINAggCCAIIAggCCAIIAggCCAIIAggCCAIIAggCCAIIAggCCAIEAgMCYgIeAALxAgICOAIEAgUCBgIHAggCCQIgAgsCDAINAggCCAIIAggCCAIIAggCCAIIAggCCAIIAggCCAIIAggCCAIEAgMCiQIeAALxAgICAwIEAgUCBgIHAggCCQIgAgsCDAINAggCCAIIAggCCAIIAggCCAIIAggCCAIIAggCCAIIAggCCAIEAgMCUAIeAALxAgICfwIEAgUCBgIHAggCCQIgAgsCDAINAggCCAIIAggCCAIIAggCCAIIAggCCAIIAggCCAIIAggCCAIEAgMCiwIeAALxAgICQQIEAgUCBgIHAggCCQIgAgsCDAINAggCCAIIAggCCAIIAggCCAIIAggCCAIIAggCCAIIAggCCAIEAgMCWAIeAALxAgICPAIEAgUCBgIHAggCCQIgAgsCDAINAggCCAIIAggCCAIIAggCCAIIAggCCAIIAggCCAIIAggCCAIEAgMCgQIeAALxAgICbQIEAgUCBgIHAggCCQIgAgsCDAINAggCCAIIAggCCAIIAggCCAIIAggCCAIIAggCCAIIAggCCAIEAgMCbgIeAALyAAkzMTMxMzgxNzYCAgJGAgQCBQIGAgcCCAIJAiACCwKXAg0CCAIIAggCCAIIAggCCAIIAggCCAIIAggCCAIIAggCCAIIAiMCAwKlAh4AAvICAgJaAgQCBQIGAgcCCAIJAiACCwKXAg0CCAIIAggCCAIIAggCCAIIAggCCAIIAggCCAIIAggCCAIIAiMCAwLOAh4AAvICAgIxAnoAAAQABAIFAgYCBwIIAgkCHAILApcCDQIIAggCCAIIAggCCAIIAggCCAIIAggCCAIIAggCCAIIAggCIwIDArsCHgAC8gICAl8CBAIFAgYCBwIIAgkCmQILApcCDQIIAggCCAIIAggCCAIIAggCCAIIAggCCAIIAggCCAIIAggCIwIDAuICHgAC8gICAiICBAIFAgYCBwIIAgkCHAILApcCDQIIAggCCAIIAggCCAIIAggCCAIIAggCCAIIAggCCAIIAggCIwIDAqkCHgAC8gICAkoCBAIFAgYCBwIIAgkCHAILApcCDQIIAggCCAIIAggCCAIIAggCCAIIAggCCAIIAggCCAIIAggCIwIDAtECHgAC8gICAkoCBAIFAgYCBwIIAgkCmQILApcCDQIIAggCCAIIAggCCAIIAggCCAIIAggCCAIIAggCCAIIAggCIwIDAqICHgAC8gICAi0CBAIFAgYCBwIIAgkCmQILApcCDQIIAggCCAIIAggCCAIIAggCCAIIAggCCAIIAggCCAIIAggCIwIDAr0CHgAC8gICAhsCBAIFAgYCBwIIAgkCmQILApcCDQIIAggCCAIIAggCCAIIAggCCAIIAggCCAIIAggCCAIIAggCIwIDAsECHgAC8gICAlUCBAIFAgYCBwIIAgkCmQILApcCDQIIAggCCAIIAggCCAIIAggCCAIIAggCCAIIAggCCAIIAggCIwIDAg4CHgAC8gICAm0CBAIFAgYCBwIIAgkCmQILApcCDQIIAggCCAIIAggCCAIIAggCCAIIAggCCAIIAggCCAIIAggCIwIDAqwCHgAC8gICAkgCBAIFAgYCBwIIAgkCIAILApcCDQIIAggCCAIIAggCCAIIAggCCAIIAggCCAIIAggCCAIIAggCIwIDAr8CHgAC8gICAm0CBAIFAgYCBwIIAgkCHAILApcCDQIIAggCCAIIAggCCAIIAggCCAIIAggCCAIIAggCCAIIAggCIwIDAtMCHgAC8gICAlUCBAIFAgYCBwIIAgkCHAILApcCDQIIAggCCAIIAggCCAIIAggCCAIIAggCCAIIAggCCAIIAggCIwIDArQCHgAC8gICAhsCBAIFAgYCBwIIAgkCHAILApcCDQIIAggCCAIIAggCCAIIAggCCAIIAggCCAIIAggCCAIIAggCIwIDAuwCHgAC8gICAloCBAIFAgYCBwIIAgkCHAILApcCDQIIAggCCAIIAggCCAIIAggCCAIIAggCCAIIAggCCAIIAggCIwIDAscCHgAC8gICAkYCBAIFAgYCBwIIAgkCHAILApcCDQIIAggCCAIIAggCCAIIAggCCAIIAggCCAIIAggCCAIIAggCIwIDAnoAAAQAmwIeAALyAgICLwIEAgUCBgIHAggCCQKZAgsClwINAggCCAIIAggCCAIIAggCCAIIAggCCAIIAggCCAIIAggCCAIjAgMC1AIeAALyAgICOgIEAgUCBgIHAggCCQKZAgsClwINAggCCAIIAggCCAIIAggCCAIIAggCCAIIAggCCAIIAggCCAIjAgMCpwIeAALyAgICQQIEAgUCBgIHAggCCQKZAgsClwINAggCCAIIAggCCAIIAggCCAIIAggCCAIIAggCCAIIAggCCAIjAgMCDgIeAALyAgICRgIEAgUCBgIHAggCCQKZAgsClwINAggCCAIIAggCCAIIAggCCAIIAggCCAIIAggCCAIIAggCCAIjAgMCxgIeAALyAgICfwIEAgUCBgIHAggCCQIcAgsClwINAggCCAIIAggCCAIIAggCCAIIAggCCAIIAggCCAIIAggCCAIjAgMCxAIeAALyAgICMQIEAgUCBgIHAggCCQIgAgsClwINAggCCAIIAggCCAIIAggCCAIIAggCCAIIAggCCAIIAggCCAIjAgMCswIeAALyAgICXQIEAgUCBgIHAggCCQIgAgsClwINAggCCAIIAggCCAIIAggCCAIIAggCCAIIAggCCAIIAggCCAIjAgMC3AIeAALyAgICfwIEAgUCBgIHAggCCQKZAgsClwINAggCCAIIAggCCAIIAggCCAIIAggCCAIIAggCCAIIAggCCAIjAgMCDgIeAALyAgICQQIEAgUCBgIHAggCCQIcAgsClwINAggCCAIIAggCCAIIAggCCAIIAggCCAIIAggCCAIIAggCCAIjAgMCrwIeAALyAgICLQIEAgUCBgIHAggCCQIcAgsClwINAggCCAIIAggCCAIIAggCCAIIAggCCAIIAggCCAIIAggCCAIjAgMC4QIeAALyAgICMwIEAgUCBgIHAggCCQIcAgsClwINAggCCAIIAggCCAIIAggCCAIIAggCCAIIAggCCAIIAggCCAIjAgMC2gIeAALyAgICMwIEAgUCBgIHAggCCQKZAgsClwINAggCCAIIAggCCAIIAggCCAIIAggCCAIIAggCCAIIAggCCAIjAgMCsQIeAALyAgICIgIEAgUCBgIHAggCCQKZAgsClwINAggCCAIIAggCCAIIAggCCAIIAggCCAIIAggCCAIIAggCCAIjAgMC1QIeAALyAgICVgIEAgUCBgIHAggCCQIgAgsClwINAggCCAIIAggCCAIIAggCCAIIAggCCAIIAggCCAIIAggCCAIjAgMCyQIeAALyAgICXwIEAgUCBgIHAggCCQIcAgsClwINAggCCAIIAggCCAIIAggCCAIIAggCCAIIAggCCHoAAAQAAggCCAIIAiMCAwK4Ah4AAvICAgJVAgQCBQIGAgcCCAIJAiACCwKXAg0CCAIIAggCCAIIAggCCAIIAggCCAIIAggCCAIIAggCCAIIAiMCAwK2Ah4AAvICAgIbAgQCBQIGAgcCCAIJAiACCwKXAg0CCAIIAggCCAIIAggCCAIIAggCCAIIAggCCAIIAggCCAIIAiMCAwLfAh4AAvICAgI1AgQCBQIGAgcCCAIJApkCCwKXAg0CCAIIAggCCAIIAggCCAIIAggCCAIIAggCCAIIAggCCAIIAiMCAwK3Ah4AAvICAgIqAgQCBQIGAgcCCAIJAiACCwKXAg0CCAIIAggCCAIIAggCCAIIAggCCAIIAggCCAIIAggCCAIIAiMCAwKhAh4AAvICAgImAgQCBQIGAgcCCAIJAhwCCwKXAg0CCAIIAggCCAIIAggCCAIIAggCCAIIAggCCAIIAggCCAIIAiMCAwKkAh4AAvICAgImAgQCBQIGAgcCCAIJApkCCwKXAg0CCAIIAggCCAIIAggCCAIIAggCCAIIAggCCAIIAggCCAIIAiMCAwLeAh4AAvICAgIzAgQCBQIGAgcCCAIJAiACCwKXAg0CCAIIAggCCAIIAggCCAIIAggCCAIIAggCCAIIAggCCAIIAiMCAwK5Ah4AAvICAgJBAgQCBQIGAgcCCAIJAiACCwKXAg0CCAIIAggCCAIIAggCCAIIAggCCAIIAggCCAIIAggCCAIIAiMCAwLjAh4AAvICAgI8AgQCBQIGAgcCCAIJApkCCwKXAg0CCAIIAggCCAIIAggCCAIIAggCCAIIAggCCAIIAggCCAIIAiMCAwLPAh4AAvICAgI1AgQCBQIGAgcCCAIJAhwCCwKXAg0CCAIIAggCCAIIAggCCAIIAggCCAIIAggCCAIIAggCCAIIAiMCAwLSAh4AAvICAgIvAgQCBQIGAgcCCAIJAiACCwKXAg0CCAIIAggCCAIIAggCCAIIAggCCAIIAggCCAIIAggCCAIIAiMCAwLpAh4AAvICAgJwAgQCBQIGAgcCCAIJAiACCwKXAg0CCAIIAggCCAIIAggCCAIIAggCCAIIAggCCAIIAggCCAIIAiMCAwLMAh4AAvICAgI8AgQCBQIGAgcCCAIJAhwCCwKXAg0CCAIIAggCCAIIAggCCAIIAggCCAIIAggCCAIIAggCCAIIAiMCAwKgAh4AAvICAgJWAgQCBQIGAgcCCAIJApkCCwKXAg0CCAIIAggCCAIIAggCCAIIAggCCAIIAggCCAIIAggCCAIIAiMCAwLrAh4AAvICAgI1AgQCBQIGAgcCCAIJAiACCwKXAg0CCAIIAggCCAIIAggCCAIIAnoAAAQACAIIAggCCAIIAggCCAIIAggCIwIDAsoCHgAC8gICAi0CBAIFAgYCBwIIAgkCIAILApcCDQIIAggCCAIIAggCCAIIAggCCAIIAggCCAIIAggCCAIIAggCIwIDAtYCHgAC8gICAioCBAIFAgYCBwIIAgkCHAILApcCDQIIAggCCAIIAggCCAIIAggCCAIIAggCCAIIAggCCAIIAggCIwIDAu0CHgAC8gICAiQCBAIFAgYCBwIIAgkCIAILApcCDQIIAggCCAIIAggCCAIIAggCCAIIAggCCAIIAggCCAIIAggCIwIDAuoCHgAC8gICAl8CBAIFAgYCBwIIAgkCIAILApcCDQIIAggCCAIIAggCCAIIAggCCAIIAggCCAIIAggCCAIIAggCIwIDAqsCHgAC8gICAiYCBAIFAgYCBwIIAgkCIAILApcCDQIIAggCCAIIAggCCAIIAggCCAIIAggCCAIIAggCCAIIAggCIwIDAqYCHgAC8gICAlYCBAIFAgYCBwIIAgkCHAILApcCDQIIAggCCAIIAggCCAIIAggCCAIIAggCCAIIAggCCAIIAggCIwIDAsgCHgAC8gICAloCBAIFAgYCBwIIAgkCmQILApcCDQIIAggCCAIIAggCCAIIAggCCAIIAggCCAIIAggCCAIIAggCIwIDApoCHgAC8gICAjoCBAIFAgYCBwIIAgkCHAILApcCDQIIAggCCAIIAggCCAIIAggCCAIIAggCCAIIAggCCAIIAggCIwIDArACHgAC8gICAi8CBAIFAgYCBwIIAgkCHAILApcCDQIIAggCCAIIAggCCAIIAggCCAIIAggCCAIIAggCCAIIAggCIwIDAt0CHgAC8gICAjwCBAIFAgYCBwIIAgkCIAILApcCDQIIAggCCAIIAggCCAIIAggCCAIIAggCCAIIAggCCAIIAggCIwIDApgCHgAC8gICAkoCBAIFAgYCBwIIAgkCIAILApcCDQIIAggCCAIIAggCCAIIAggCCAIIAggCCAIIAggCCAIIAggCIwIDAtgCHgAC8gICAioCBAIFAgYCBwIIAgkCmQILApcCDQIIAggCCAIIAggCCAIIAggCCAIIAggCCAIIAggCCAIIAggCIwIDAq4CHgAC8gICAkgCBAIFAgYCBwIIAgkCHAILApcCDQIIAggCCAIIAggCCAIIAggCCAIIAggCCAIIAggCCAIIAggCIwIDAp4CHgAC8gICAkgCBAIFAgYCBwIIAgkCmQILApcCDQIIAggCCAIIAggCCAIIAggCCAIIAggCCAIIAggCCAIIAggCIwIDAssCHgAC8gICAnACBAIFAgYCBwIIAgkCHAILApcCDQIIAggCCHoAAAQAAggCCAIIAggCCAIIAggCCAIIAggCCAIIAggCCAIjAgMCwgIeAALyAgICcAIEAgUCBgIHAggCCQKZAgsClwINAggCCAIIAggCCAIIAggCCAIIAggCCAIIAggCCAIIAggCCAIjAgMC2QIeAALyAgICbQIEAgUCBgIHAggCCQIgAgsClwINAggCCAIIAggCCAIIAggCCAIIAggCCAIIAggCCAIIAggCCAIjAgMCugIeAALyAgICIgIEAgUCBgIHAggCCQIgAgsClwINAggCCAIIAggCCAIIAggCCAIIAggCCAIIAggCCAIIAggCCAIjAgMC5AIeAALyAgICJAIEAgUCBgIHAggCCQIcAgsClwINAggCCAIIAggCCAIIAggCCAIIAggCCAIIAggCCAIIAggCCAIjAgMC4AIeAALyAgICOgIEAgUCBgIHAggCCQIgAgsClwINAggCCAIIAggCCAIIAggCCAIIAggCCAIIAggCCAIIAggCCAIjAgMCvgIeAALyAgICMQIEAgUCBgIHAggCCQKZAgsClwINAggCCAIIAggCCAIIAggCCAIIAggCCAIIAggCCAIIAggCCAIjAgMC6AIeAALyAgICXQIEAgUCBgIHAggCCQIcAgsClwINAggCCAIIAggCCAIIAggCCAIIAggCCAIIAggCCAIIAggCCAIjAgMC5wIeAALyAgICJAIEAgUCBgIHAggCCQKZAgsClwINAggCCAIIAggCCAIIAggCCAIIAggCCAIIAggCCAIIAggCCAIjAgMCsgIeAALyAgICfwIEAgUCBgIHAggCCQIgAgsClwINAggCCAIIAggCCAIIAggCCAIIAggCCAIIAggCCAIIAggCCAIjAgMCvAIeAALyAgICXQIEAgUCBgIHAggCCQKZAgsClwINAggCCAIIAggCCAIIAggCCAIIAggCCAIIAggCCAIIAggCCAIjAgMCnwIeAALzAAkzMTI2MzQ0MjQCAgIqAgQCBQIGAgcCCAIJAiACCwIMAg0CCAIIAggCCAIIAggCCAIIAggCCAIIAggCCAIIAggCCAIIAhQCAwJ2Ah4AAvMCAgJaAgQCBQIGAgcCCAIJAgoCCwIMAg0CCAIIAggCCAIIAggCCAIIAggCCAIIAggCCAIIAggCCAIIAhQCAwJbAh4AAvMCAgJ/AgQCBQIGAgcCCAIJAgoCCwIMAg0CCAIIAggCCAIIAggCCAIIAggCCAIIAggCCAIIAggCCAIIAhQCAwIOAh4AAvMCAgI8AgQCBQIGAgcCCAIJAhwCCwIMAg0CCAIIAggCCAIIAggCCAIIAggCCAIIAggCCAIIAggCCAIIAhQCAwKDAh4AAvMCAgIeAgQCBXoAAAQAAgYCBwIIAgkCHAILAgwCDQIIAggCCAIIAggCCAIIAggCCAIIAggCCAIIAggCCAIIAggCFAIDAjkCHgAC8wICAiYCBAIFAgYCBwIIAgkCHAILAgwCDQIIAggCCAIIAggCCAIIAggCCAIIAggCCAIIAggCCAIIAggCFAIDAnUCHgAC8wICAkQCBAIFAgYCBwIIAgkCHAILAgwCDQIIAggCCAIIAggCCAIIAggCCAIIAggCCAIIAggCCAIIAggCFAIDAlQCHgAC8wICAkgCBAIFAgYCBwIIAgkCHAILAgwCDQIIAggCCAIIAggCCAIIAggCCAIIAggCCAIIAggCCAIIAggCFAIDAn0CHgAC8wICAiYCBAIFAgYCBwIIAgkCIAILAgwCDQIIAggCCAIIAggCCAIIAggCCAIIAggCCAIIAggCCAIIAggCFAIDAlECHgAC8wICAjMCBAIFAgYCBwIIAgkCIAILAgwCDQIIAggCCAIIAggCCAIIAggCCAIIAggCCAIIAggCCAIIAggCFAIDAooCHgAC8wICAiQCBAIFAgYCBwIIAgkCIAILAgwCDQIIAggCCAIIAggCCAIIAggCCAIIAggCCAIIAggCCAIIAggCFAIDAlICHgAC8wICAm0CBAIFAgYCBwIIAgkCCgILAgwCDQIIAggCCAIIAggCCAIIAggCCAIIAggCCAIIAggCCAIIAggCFAIDAoYCHgAC8wICAgMCBAIFAgYCBwIIAgkCIAILAgwCDQIIAggCCAIIAggCCAIIAggCCAIIAggCCAIIAggCCAIIAggCFAIDAlACHgAC8wICAk0CBAIFAgYCBwIIAgkCCgILAgwCDQIIAggCCAIIAggCCAIIAggCCAIIAggCCAIIAggCCAIIAggCFAIDAg4CHgAC8wICAjMCBAIFAgYCBwIIAgkCHAILAgwCDQIIAggCCAIIAggCCAIIAggCCAIIAggCCAIIAggCCAIIAggCFAIDAngCHgAC8wICAkoCBAIFAgYCBwIIAgkCCgILAgwCDQIIAggCCAIIAggCCAIIAggCCAIIAggCCAIIAggCCAIIAggCFAIDAksCHgAC8wICAl8CBAIFAgYCBwIIAgkCIAILAgwCDQIIAggCCAIIAggCCAIIAggCCAIIAggCCAIIAggCCAIIAggCFAIDAncCHgAC8wICAjoCBAIFAgYCBwIIAgkCHAILAgwCDQIIAggCCAIIAggCCAIIAggCCAIIAggCCAIIAggCCAIIAggCFAIDAmkCHgAC8wICAmMCBAIFAgYCBwIIAgkCCgILAgwCDQIIAggCCAIIAggCCAIIAggCCAIIAggCCAIIAggCCAIIAggCFAIDAg4CHnoAAAQAAALzAgICXQIEAgUCBgIHAggCCQIKAgsCDAINAggCCAIIAggCCAIIAggCCAIIAggCCAIIAggCCAIIAggCCAIUAgMCggIeAALzAgICHgIEAgUCBgIHAggCCQIgAgsCDAINAggCCAIIAggCCAIIAggCCAIIAggCCAIIAggCCAIIAggCCAIUAgMCIQIeAALzAgICHwIEAgUCBgIHAggCCQIcAgsCDAINAggCCAIIAggCCAIIAggCCAIIAggCCAIIAggCCAIIAggCCAIUAgMCOQIeAALzAgICIgIEAgUCBgIHAggCCQIcAgsCDAINAggCCAIIAggCCAIIAggCCAIIAggCCAIIAggCCAIIAggCCAIUAgMCNwIeAALzAgICAwIEAgUCBgIHAggCCQIcAgsCDAINAggCCAIIAggCCAIIAggCCAIIAggCCAIIAggCCAIIAggCCAIUAgMCfAIeAALzAgICVQIEAgUCBgIHAggCCQIgAgsCDAINAggCCAIIAggCCAIIAggCCAIIAggCCAIIAggCCAIIAggCCAIUAgMCeQIeAALzAgICRgIEAgUCBgIHAggCCQIgAgsCDAINAggCCAIIAggCCAIIAggCCAIIAggCCAIIAggCCAIIAggCCAIUAgMCRwIeAALzAgICRAIEAgUCBgIHAggCCQIgAgsCDAINAggCCAIIAggCCAIIAggCCAIIAggCCAIIAggCCAIIAggCCAIUAgMCRQIeAALzAgICMwIEAgUCBgIHAggCCQIKAgsCDAINAggCCAIIAggCCAIIAggCCAIIAggCCAIIAggCCAIIAggCCAIUAgMCNAIeAALzAgICMQIEAgUCBgIHAggCCQIcAgsCDAINAggCCAIIAggCCAIIAggCCAIIAggCCAIIAggCCAIIAggCCAIUAgMCkQIeAALzAgICWgIEAgUCBgIHAggCCQIgAgsCDAINAggCCAIIAggCCAIIAggCCAIIAggCCAIIAggCCAIIAggCCAIUAgMCegIeAALzAgICOAIEAgUCBgIHAggCCQIKAgsCDAINAggCCAIIAggCCAIIAggCCAIIAggCCAIIAggCCAIIAggCCAIUAgMCDgIeAALzAgICOgIEAgUCBgIHAggCCQIKAgsCDAINAggCCAIIAggCCAIIAggCCAIIAggCCAIIAggCCAIIAggCCAIUAgMCOwIeAALzAgICbQIEAgUCBgIHAggCCQIgAgsCDAINAggCCAIIAggCCAIIAggCCAIIAggCCAIIAggCCAIIAggCCAIUAgMCbgIeAALzAgICfwIEAgUCBgIHAggCCQIgAgsCDAINAggCCAIIAggCCAIIAggCCAIIAggCCAIIAggCCAIIAnoAAAQACAIIAhQCAwKLAh4AAvMCAgIkAgQCBQIGAgcCCAIJAgoCCwIMAg0CCAIIAggCCAIIAggCCAIIAggCCAIIAggCCAIIAggCCAIIAhQCAwIlAh4AAvMCAgIbAgQCBQIGAgcCCAIJAgoCCwIMAg0CCAIIAggCCAIIAggCCAIIAggCCAIIAggCCAIIAggCCAIIAhQCAwKOAh4AAvMCAgJVAgQCBQIGAgcCCAIJAhwCCwIMAg0CCAIIAggCCAIIAggCCAIIAggCCAIIAggCCAIIAggCCAIIAhQCAwJmAh4AAvMCAgJfAgQCBQIGAgcCCAIJAhwCCwIMAg0CCAIIAggCCAIIAggCCAIIAggCCAIIAggCCAIIAggCCAIIAhQCAwJrAh4AAvMCAgI4AgQCBQIGAgcCCAIJAhwCCwIMAg0CCAIIAggCCAIIAggCCAIIAggCCAIIAggCCAIIAggCCAIIAhQCAwJyAh4AAvMCAgIxAgQCBQIGAgcCCAIJAiACCwIMAg0CCAIIAggCCAIIAggCCAIIAggCCAIIAggCCAIIAggCCAIIAhQCAwIyAh4AAvMCAgIqAgQCBQIGAgcCCAIJAgoCCwIMAg0CCAIIAggCCAIIAggCCAIIAggCCAIIAggCCAIIAggCCAIIAhQCAwIrAh4AAvMCAgJaAgQCBQIGAgcCCAIJAhwCCwIMAg0CCAIIAggCCAIIAggCCAIIAggCCAIIAggCCAIIAggCCAIIAhQCAwKFAh4AAvMCAgI+AgQCBQIGAgcCCAIJAhwCCwIMAg0CCAIIAggCCAIIAggCCAIIAggCCAIIAggCCAIIAggCCAIIAhQCAwKNAh4AAvMCAgI8AgQCBQIGAgcCCAIJAiACCwIMAg0CCAIIAggCCAIIAggCCAIIAggCCAIIAggCCAIIAggCCAIIAhQCAwKBAh4AAvMCAgI1AgQCBQIGAgcCCAIJAgoCCwIMAg0CCAIIAggCCAIIAggCCAIIAggCCAIIAggCCAIIAggCCAIIAhQCAwJlAh4AAvMCAgJEAgQCBQIGAgcCCAIJAgoCCwIMAg0CCAIIAggCCAIIAggCCAIIAggCCAIIAggCCAIIAggCCAIIAhQCAwIOAh4AAvMCAgJIAgQCBQIGAgcCCAIJAiACCwIMAg0CCAIIAggCCAIIAggCCAIIAggCCAIIAggCCAIIAggCCAIIAhQCAwKMAh4AAvMCAgJqAgQCBQIGAgcCCAIJAhwCCwIMAg0CCAIIAggCCAIIAggCCAIIAggCCAIIAggCCAIIAggCCAIIAhQCAwI5Ah4AAvMCAgI6AgQCBQIGAgcCCAIJAiACCwIMAg0CCAIIAggCCAIIAggCCAIIAggCCHoAAAQAAggCCAIIAggCCAIIAggCFAIDAogCHgAC8wICAigCBAIFAgYCBwIIAgkCCgILAgwCDQIIAggCCAIIAggCCAIIAggCCAIIAggCCAIIAggCCAIIAggCFAIDAg4CHgAC8wICAnACBAIFAgYCBwIIAgkCHAILAgwCDQIIAggCCAIIAggCCAIIAggCCAIIAggCCAIIAggCCAIIAggCFAIDApACHgAC8wICAi0CBAIFAgYCBwIIAgkCCgILAgwCDQIIAggCCAIIAggCCAIIAggCCAIIAggCCAIIAggCCAIIAggCFAIDApICHgAC8wICAjgCBAIFAgYCBwIIAgkCIAILAgwCDQIIAggCCAIIAggCCAIIAggCCAIIAggCCAIIAggCCAIIAggCFAIDAokCHgAC8wICAk0CBAIFAgYCBwIIAgkCHAILAgwCDQIIAggCCAIIAggCCAIIAggCCAIIAggCCAIIAggCCAIIAggCFAIDAlkCHgAC8wICAnACBAIFAgYCBwIIAgkCIAILAgwCDQIIAggCCAIIAggCCAIIAggCCAIIAggCCAIIAggCCAIIAggCFAIDAoQCHgAC8wICAkECBAIFAgYCBwIIAgkCIAILAgwCDQIIAggCCAIIAggCCAIIAggCCAIIAggCCAIIAggCCAIIAggCFAIDAlgCHgAC8wICAj4CBAIFAgYCBwIIAgkCIAILAgwCDQIIAggCCAIIAggCCAIIAggCCAIIAggCCAIIAggCCAIIAggCFAIDAj8CHgAC8wICAkYCBAIFAgYCBwIIAgkCCgILAgwCDQIIAggCCAIIAggCCAIIAggCCAIIAggCCAIIAggCCAIIAggCFAIDAo8CHgAC8wICAlYCBAIFAgYCBwIIAgkCHAILAgwCDQIIAggCCAIIAggCCAIIAggCCAIIAggCCAIIAggCCAIIAggCFAIDAn4CHgAC8wICAjUCBAIFAgYCBwIIAgkCIAILAgwCDQIIAggCCAIIAggCCAIIAggCCAIIAggCCAIIAggCCAIIAggCFAIDAocCHgAC8wICAiICBAIFAgYCBwIIAgkCCgILAgwCDQIIAggCCAIIAggCCAIIAggCCAIIAggCCAIIAggCCAIIAggCFAIDAlMCHgAC8wICAh8CBAIFAgYCBwIIAgkCCgILAgwCDQIIAggCCAIIAggCCAIIAggCCAIIAggCCAIIAggCCAIIAggCFAIDAg4CHgAC8wICAmoCBAIFAgYCBwIIAgkCIAILAgwCDQIIAggCCAIIAggCCAIIAggCCAIIAggCCAIIAggCCAIIAggCFAIDAiECHgAC8wICAjwCBAIFAgYCBwIIAgkCCgILAgwCDQIIAggCCAIIAnoAAAQACAIIAggCCAIIAggCCAIIAggCCAIIAggCCAIUAgMCPQIeAALzAgICQQIEAgUCBgIHAggCCQIcAgsCDAINAggCCAIIAggCCAIIAggCCAIIAggCCAIIAggCCAIIAggCCAIUAgMCQgIeAALzAgICfwIEAgUCBgIHAggCCQIcAgsCDAINAggCCAIIAggCCAIIAggCCAIIAggCCAIIAggCCAIIAggCCAIUAgMCgAIeAALzAgICLQIEAgUCBgIHAggCCQIgAgsCDAINAggCCAIIAggCCAIIAggCCAIIAggCCAIIAggCCAIIAggCCAIUAgMCQAIeAALzAgICLwIEAgUCBgIHAggCCQIcAgsCDAINAggCCAIIAggCCAIIAggCCAIIAggCCAIIAggCCAIIAggCCAIUAgMCMAIeAALzAgICKAIEAgUCBgIHAggCCQIgAgsCDAINAggCCAIIAggCCAIIAggCCAIIAggCCAIIAggCCAIIAggCCAIUAgMCLAIeAALzAgICMQIEAgUCBgIHAggCCQIKAgsCDAINAggCCAIIAggCCAIIAggCCAIIAggCCAIIAggCCAIIAggCCAIUAgMCTAIeAALzAgICSAIEAgUCBgIHAggCCQIKAgsCDAINAggCCAIIAggCCAIIAggCCAIIAggCCAIIAggCCAIIAggCCAIUAgMCSQIeAALzAgICNQIEAgUCBgIHAggCCQIcAgsCDAINAggCCAIIAggCCAIIAggCCAIIAggCCAIIAggCCAIIAggCCAIUAgMCNgIeAALzAgICGwIEAgUCBgIHAggCCQIgAgsCDAINAggCCAIIAggCCAIIAggCCAIIAggCCAIIAggCCAIIAggCCAIUAgMCQwIeAALzAgICbQIEAgUCBgIHAggCCQIcAgsCDAINAggCCAIIAggCCAIIAggCCAIIAggCCAIIAggCCAIIAggCCAIUAgMCdAIeAALzAgICVgIEAgUCBgIHAggCCQIgAgsCDAINAggCCAIIAggCCAIIAggCCAIIAggCCAIIAggCCAIIAggCCAIUAgMCewIeAALzAgICPgIEAgUCBgIHAggCCQIKAgsCDAINAggCCAIIAggCCAIIAggCCAIIAggCCAIIAggCCAIIAggCCAIUAgMCDgIeAALzAgICYwIEAgUCBgIHAggCCQIcAgsCDAINAggCCAIIAggCCAIIAggCCAIIAggCCAIIAggCCAIIAggCCAIUAgMCZAIeAALzAgICKAIEAgUCBgIHAggCCQIcAgsCDAINAggCCAIIAggCCAIIAggCCAIIAggCCAIIAggCCAIIAggCCAIUAgMCKQIeAALzAgICagIEAgUCBgIHAggCCQIKAgsCDHoAAAQAAg0CCAIIAggCCAIIAggCCAIIAggCCAIIAggCCAIIAggCCAIIAhQCAwIOAh4AAvMCAgJdAgQCBQIGAgcCCAIJAhwCCwIMAg0CCAIIAggCCAIIAggCCAIIAggCCAIIAggCCAIIAggCCAIIAhQCAwJeAh4AAvMCAgIvAgQCBQIGAgcCCAIJAgoCCwIMAg0CCAIIAggCCAIIAggCCAIIAggCCAIIAggCCAIIAggCCAIIAhQCAwJzAh4AAvMCAgIfAgQCBQIGAgcCCAIJAiACCwIMAg0CCAIIAggCCAIIAggCCAIIAggCCAIIAggCCAIIAggCCAIIAhQCAwIhAh4AAvMCAgIbAgQCBQIGAgcCCAIJAhwCCwIMAg0CCAIIAggCCAIIAggCCAIIAggCCAIIAggCCAIIAggCCAIIAhQCAwIdAh4AAvMCAgIDAgQCBQIGAgcCCAIJAgoCCwIMAg0CCAIIAggCCAIIAggCCAIIAggCCAIIAggCCAIIAggCCAIIAhQCAwIOAh4AAvMCAgJdAgQCBQIGAgcCCAIJAiACCwIMAg0CCAIIAggCCAIIAggCCAIIAggCCAIIAggCCAIIAggCCAIIAhQCAwJoAh4AAvMCAgIiAgQCBQIGAgcCCAIJAiACCwIMAg0CCAIIAggCCAIIAggCCAIIAggCCAIIAggCCAIIAggCCAIIAhQCAwIjAh4AAvMCAgItAgQCBQIGAgcCCAIJAhwCCwIMAg0CCAIIAggCCAIIAggCCAIIAggCCAIIAggCCAIIAggCCAIIAhQCAwIuAh4AAvMCAgJwAgQCBQIGAgcCCAIJAgoCCwIMAg0CCAIIAggCCAIIAggCCAIIAggCCAIIAggCCAIIAggCCAIIAhQCAwJxAh4AAvMCAgJKAgQCBQIGAgcCCAIJAhwCCwIMAg0CCAIIAggCCAIIAggCCAIIAggCCAIIAggCCAIIAggCCAIIAhQCAwJvAh4AAvMCAgJBAgQCBQIGAgcCCAIJAgoCCwIMAg0CCAIIAggCCAIIAggCCAIIAggCCAIIAggCCAIIAggCCAIIAhQCAwIOAh4AAvMCAgJjAgQCBQIGAgcCCAIJAiACCwIMAg0CCAIIAggCCAIIAggCCAIIAggCCAIIAggCCAIIAggCCAIIAhQCAwJnAh4AAvMCAgJGAgQCBQIGAgcCCAIJAhwCCwIMAg0CCAIIAggCCAIIAggCCAIIAggCCAIIAggCCAIIAggCCAIIAhQCAwJPAh4AAvMCAgJKAgQCBQIGAgcCCAIJAiACCwIMAg0CCAIIAggCCAIIAggCCAIIAggCCAIIAggCCAIIAggCCAIIAhQCAwJsAh4AAvMCAgIqAgQCBQIGAnoAAAQABwIIAgkCHAILAgwCDQIIAggCCAIIAggCCAIIAggCCAIIAggCCAIIAggCCAIIAggCFAIDAlwCHgAC8wICAlYCBAIFAgYCBwIIAgkCCgILAgwCDQIIAggCCAIIAggCCAIIAggCCAIIAggCCAIIAggCCAIIAggCFAIDAlcCHgAC8wICAlUCBAIFAgYCBwIIAgkCCgILAgwCDQIIAggCCAIIAggCCAIIAggCCAIIAggCCAIIAggCCAIIAggCFAIDAg4CHgAC8wICAk0CBAIFAgYCBwIIAgkCIAILAgwCDQIIAggCCAIIAggCCAIIAggCCAIIAggCCAIIAggCCAIIAggCFAIDAk4CHgAC8wICAi8CBAIFAgYCBwIIAgkCIAILAgwCDQIIAggCCAIIAggCCAIIAggCCAIIAggCCAIIAggCCAIIAggCFAIDAmICHgAC8wICAiYCBAIFAgYCBwIIAgkCCgILAgwCDQIIAggCCAIIAggCCAIIAggCCAIIAggCCAIIAggCCAIIAggCFAIDAicCHgAC8wICAiQCBAIFAgYCBwIIAgkCHAILAgwCDQIIAggCCAIIAggCCAIIAggCCAIIAggCCAIIAggCCAIIAggCFAIDAmECHgAC8wICAl8CBAIFAgYCBwIIAgkCCgILAgwCDQIIAggCCAIIAggCCAIIAggCCAIIAggCCAIIAggCCAIIAggCFAIDAmACHgAC8wICAh4CBAIFAgYCBwIIAgkCCgILAgwCDQIIAggCCAIIAggCCAIIAggCCAIIAggCCAIIAggCCAIIAggCFAIDAg4CHgAC9AAJMzEyNjM2NzQ0AgICRAIEAgUCBgIHAggCCQIcAgsCDAINAggCCAIIAggCCAIIAggCCAIIAggCCAIIAggCCAIIAggCCAIWAgMCVAIeAAL0AgICAwIEAgUCBgIHAggCCQIgAgsCDAINAggCCAIIAggCCAIIAggCCAIIAggCCAIIAggCCAIIAggCCAIWAgMCUAIeAAL0AgICJgIEAgUCBgIHAggCCQIgAgsCDAINAggCCAIIAggCCAIIAggCCAIIAggCCAIIAggCCAIIAggCCAIWAgMCUQIeAAL0AgICbQIEAgUCBgIHAggCCQIKAgsCDAINAggCCAIIAggCCAIIAggCCAIIAggCCAIIAggCCAIIAggCCAIWAgMChgIeAAL0AgICSAIEAgUCBgIHAggCCQIcAgsCDAINAggCCAIIAggCCAIIAggCCAIIAggCCAIIAggCCAIIAggCCAIWAgMCfQIeAAL0AgICRgIEAgUCBgIHAggCCQIcAgsCDAINAggCCAIIAggCCAIIAggCCAIIAggCCAIIAggCCAIIAggCCHoAAAQAAhYCAwJPAh4AAvQCAgI8AgQCBQIGAgcCCAIJAiACCwIMAg0CCAIIAggCCAIIAggCCAIIAggCCAIIAggCCAIIAggCCAIIAhYCAwKBAh4AAvQCAgJdAgQCBQIGAgcCCAIJAgoCCwIMAg0CCAIIAggCCAIIAggCCAIIAggCCAIIAggCCAIIAggCCAIIAhYCAwKCAh4AAvQCAgIkAgQCBQIGAgcCCAIJAiACCwIMAg0CCAIIAggCCAIIAggCCAIIAggCCAIIAggCCAIIAggCCAIIAhYCAwJSAh4AAvQCAgIeAgQCBQIGAgcCCAIJAiACCwIMAg0CCAIIAggCCAIIAggCCAIIAggCCAIIAggCCAIIAggCCAIIAhYCAwIhAh4AAvQCAgJjAgQCBQIGAgcCCAIJAgoCCwIMAg0CCAIIAggCCAIIAggCCAIIAggCCAIIAggCCAIIAggCCAIIAhYCAwIOAh4AAvQCAgJVAgQCBQIGAgcCCAIJAgoCCwIMAg0CCAIIAggCCAIIAggCCAIIAggCCAIIAggCCAIIAggCCAIIAhYCAwIOAh4AAvQCAgJWAgQCBQIGAgcCCAIJAgoCCwIMAg0CCAIIAggCCAIIAggCCAIIAggCCAIIAggCCAIIAggCCAIIAhYCAwJXAh4AAvQCAgI6AgQCBQIGAgcCCAIJAiACCwIMAg0CCAIIAggCCAIIAggCCAIIAggCCAIIAggCCAIIAggCCAIIAhYCAwKIAh4AAvQCAgI4AgQCBQIGAgcCCAIJAiACCwIMAg0CCAIIAggCCAIIAggCCAIIAggCCAIIAggCCAIIAggCCAIIAhYCAwKJAh4AAvQCAgIkAgQCBQIGAgcCCAIJAhwCCwIMAg0CCAIIAggCCAIIAggCCAIIAggCCAIIAggCCAIIAggCCAIIAhYCAwJhAh4AAvQCAgJIAgQCBQIGAgcCCAIJAiACCwIMAg0CCAIIAggCCAIIAggCCAIIAggCCAIIAggCCAIIAggCCAIIAhYCAwKMAh4AAvQCAgJfAgQCBQIGAgcCCAIJAgoCCwIMAg0CCAIIAggCCAIIAggCCAIIAggCCAIIAggCCAIIAggCCAIIAhYCAwJgAh4AAvQCAgIzAgQCBQIGAgcCCAIJAiACCwIMAg0CCAIIAggCCAIIAggCCAIIAggCCAIIAggCCAIIAggCCAIIAhYCAwKKAh4AAvQCAgIqAgQCBQIGAgcCCAIJAhwCCwIMAg0CCAIIAggCCAIIAggCCAIIAggCCAIIAggCCAIIAggCCAIIAhYCAwJcAh4AAvQCAgJaAgQCBQIGAgcCCAIJAgoCCwIMAg0CCAIIAggCCAIIAggCCAIIAggCCAIIAnoAAAQACAIIAggCCAIIAggCFgIDAlsCHgAC9AICAjECBAIFAgYCBwIIAgkCHAILAgwCDQIIAggCCAIIAggCCAIIAggCCAIIAggCCAIIAggCCAIIAggCFgIDApECHgAC9AICAjwCBAIFAgYCBwIIAgkCHAILAgwCDQIIAggCCAIIAggCCAIIAggCCAIIAggCCAIIAggCCAIIAggCFgIDAoMCHgAC9AICAh8CBAIFAgYCBwIIAgkCIAILAgwCDQIIAggCCAIIAggCCAIIAggCCAIIAggCCAIIAggCCAIIAggCFgIDAiECHgAC9AICAlUCBAIFAgYCBwIIAgkCHAILAgwCDQIIAggCCAIIAggCCAIIAggCCAIIAggCCAIIAggCCAIIAggCFgIDAmYCHgAC9AICAjECBAIFAgYCBwIIAgkCIAILAgwCDQIIAggCCAIIAggCCAIIAggCCAIIAggCCAIIAggCCAIIAggCFgIDAjICHgAC9AICAiICBAIFAgYCBwIIAgkCIAILAgwCDQIIAggCCAIIAggCCAIIAggCCAIIAggCCAIIAggCCAIIAggCFgIDAiMCHgAC9AICAl8CBAIFAgYCBwIIAgkCHAILAgwCDQIIAggCCAIIAggCCAIIAggCCAIIAggCCAIIAggCCAIIAggCFgIDAmsCHgAC9AICAkoCBAIFAgYCBwIIAgkCHAILAgwCDQIIAggCCAIIAggCCAIIAggCCAIIAggCCAIIAggCCAIIAggCFgIDAm8CHgAC9AICAj4CBAIFAgYCBwIIAgkCCgILAgwCDQIIAggCCAIIAggCCAIIAggCCAIIAggCCAIIAggCCAIIAggCFgIDAg4CHgAC9AICAkECBAIFAgYCBwIIAgkCHAILAgwCDQIIAggCCAIIAggCCAIIAggCCAIIAggCCAIIAggCCAIIAggCFgIDAkICHgAC9AICAl8CBAIFAgYCBwIIAgkCIAILAgwCDQIIAggCCAIIAggCCAIIAggCCAIIAggCCAIIAggCCAIIAggCFgIDAncCHgAC9AICAj4CBAIFAgYCBwIIAgkCHAILAgwCDQIIAggCCAIIAggCCAIIAggCCAIIAggCCAIIAggCCAIIAggCFgIDAo0CHgAC9AICAnACBAIFAgYCBwIIAgkCCgILAgwCDQIIAggCCAIIAggCCAIIAggCCAIIAggCCAIIAggCCAIIAggCFgIDAnECHgAC9AICAjMCBAIFAgYCBwIIAgkCCgILAgwCDQIIAggCCAIIAggCCAIIAggCCAIIAggCCAIIAggCCAIIAggCFgIDAjQCHgAC9AICAi8CBAIFAgYCBwIIAgkCHAILAgwCDQIIAggCCAIIAggCCHoAAAQAAggCCAIIAggCCAIIAggCCAIIAggCCAIWAgMCMAIeAAL0AgICagIEAgUCBgIHAggCCQIKAgsCDAINAggCCAIIAggCCAIIAggCCAIIAggCCAIIAggCCAIIAggCCAIWAgMCDgIeAAL0AgICNQIEAgUCBgIHAggCCQIKAgsCDAINAggCCAIIAggCCAIIAggCCAIIAggCCAIIAggCCAIIAggCCAIWAgMCZQIeAAL0AgICAwIEAgUCBgIHAggCCQIcAgsCDAINAggCCAIIAggCCAIIAggCCAIIAggCCAIIAggCCAIIAggCCAIWAgMCfAIeAAL0AgICHwIEAgUCBgIHAggCCQIcAgsCDAINAggCCAIIAggCCAIIAggCCAIIAggCCAIIAggCCAIIAggCCAIWAgMCOQIeAAL0AgICVgIEAgUCBgIHAggCCQIgAgsCDAINAggCCAIIAggCCAIIAggCCAIIAggCCAIIAggCCAIIAggCCAIWAgMCewIeAAL0AgICSAIEAgUCBgIHAggCCQIKAgsCDAINAggCCAIIAggCCAIIAggCCAIIAggCCAIIAggCCAIIAggCCAIWAgMCSQIeAAL0AgICVQIEAgUCBgIHAggCCQIgAgsCDAINAggCCAIIAggCCAIIAggCCAIIAggCCAIIAggCCAIIAggCCAIWAgMCeQIeAAL0AgICfwIEAgUCBgIHAggCCQIKAgsCDAINAggCCAIIAggCCAIIAggCCAIIAggCCAIIAggCCAIIAggCCAIWAgMCDgIeAAL0AgICIgIEAgUCBgIHAggCCQIcAgsCDAINAggCCAIIAggCCAIIAggCCAIIAggCCAIIAggCCAIIAggCCAIWAgMCNwIeAAL0AgICPgIEAgUCBgIHAggCCQIgAgsCDAINAggCCAIIAggCCAIIAggCCAIIAggCCAIIAggCCAIIAggCCAIWAgMCPwIeAAL0AgICcAIEAgUCBgIHAggCCQIgAgsCDAINAggCCAIIAggCCAIIAggCCAIIAggCCAIIAggCCAIIAggCCAIWAgMChAIeAAL0AgICPAIEAgUCBgIHAggCCQIKAgsCDAINAggCCAIIAggCCAIIAggCCAIIAggCCAIIAggCCAIIAggCCAIWAgMCPQIeAAL0AgICHgIEAgUCBgIHAggCCQIcAgsCDAINAggCCAIIAggCCAIIAggCCAIIAggCCAIIAggCCAIIAggCCAIWAgMCOQIeAAL0AgICOgIEAgUCBgIHAggCCQIKAgsCDAINAggCCAIIAggCCAIIAggCCAIIAggCCAIIAggCCAIIAggCCAIWAgMCOwIeAAL0AgICOAIEAgUCBgIHAggCCQIKAgsCDAINAnoAAAQACAIIAggCCAIIAggCCAIIAggCCAIIAggCCAIIAggCCAIIAhYCAwIOAh4AAvQCAgJaAgQCBQIGAgcCCAIJAiACCwIMAg0CCAIIAggCCAIIAggCCAIIAggCCAIIAggCCAIIAggCCAIIAhYCAwJ6Ah4AAvQCAgImAgQCBQIGAgcCCAIJAhwCCwIMAg0CCAIIAggCCAIIAggCCAIIAggCCAIIAggCCAIIAggCCAIIAhYCAwJ1Ah4AAvQCAgJWAgQCBQIGAgcCCAIJAhwCCwIMAg0CCAIIAggCCAIIAggCCAIIAggCCAIIAggCCAIIAggCCAIIAhYCAwJ+Ah4AAvQCAgI1AgQCBQIGAgcCCAIJAiACCwIMAg0CCAIIAggCCAIIAggCCAIIAggCCAIIAggCCAIIAggCCAIIAhYCAwKHAh4AAvQCAgIiAgQCBQIGAgcCCAIJAgoCCwIMAg0CCAIIAggCCAIIAggCCAIIAggCCAIIAggCCAIIAggCCAIIAhYCAwJTAh4AAvQCAgJqAgQCBQIGAgcCCAIJAiACCwIMAg0CCAIIAggCCAIIAggCCAIIAggCCAIIAggCCAIIAggCCAIIAhYCAwIhAh4AAvQCAgIfAgQCBQIGAgcCCAIJAgoCCwIMAg0CCAIIAggCCAIIAggCCAIIAggCCAIIAggCCAIIAggCCAIIAhYCAwIOAh4AAvQCAgJ/AgQCBQIGAgcCCAIJAhwCCwIMAg0CCAIIAggCCAIIAggCCAIIAggCCAIIAggCCAIIAggCCAIIAhYCAwKAAh4AAvQCAgJNAgQCBQIGAgcCCAIJAiACCwIMAg0CCAIIAggCCAIIAggCCAIIAggCCAIIAggCCAIIAggCCAIIAhYCAwJOAh4AAvQCAgIxAgQCBQIGAgcCCAIJAgoCCwIMAg0CCAIIAggCCAIIAggCCAIIAggCCAIIAggCCAIIAggCCAIIAhYCAwJMAh4AAvQCAgJaAgQCBQIGAgcCCAIJAhwCCwIMAg0CCAIIAggCCAIIAggCCAIIAggCCAIIAggCCAIIAggCCAIIAhYCAwKFAh4AAvQCAgIbAgQCBQIGAgcCCAIJAgoCCwIMAg0CCAIIAggCCAIIAggCCAIIAggCCAIIAggCCAIIAggCCAIIAhYCAwKOAh4AAvQCAgJEAgQCBQIGAgcCCAIJAgoCCwIMAg0CCAIIAggCCAIIAggCCAIIAggCCAIIAggCCAIIAggCCAIIAhYCAwIOAh4AAvQCAgIvAgQCBQIGAgcCCAIJAiACCwIMAg0CCAIIAggCCAIIAggCCAIIAggCCAIIAggCCAIIAggCCAIIAhYCAwJiAh4AAvQCAgItAgQCBQIGAgcCCHoAAAQAAgkCCgILAgwCDQIIAggCCAIIAggCCAIIAggCCAIIAggCCAIIAggCCAIIAggCFgIDApICHgAC9AICAmoCBAIFAgYCBwIIAgkCHAILAgwCDQIIAggCCAIIAggCCAIIAggCCAIIAggCCAIIAggCCAIIAggCFgIDAjkCHgAC9AICAigCBAIFAgYCBwIIAgkCCgILAgwCDQIIAggCCAIIAggCCAIIAggCCAIIAggCCAIIAggCCAIIAggCFgIDAg4CHgAC9AICAnACBAIFAgYCBwIIAgkCHAILAgwCDQIIAggCCAIIAggCCAIIAggCCAIIAggCCAIIAggCCAIIAggCFgIDApACHgAC9AICAkYCBAIFAgYCBwIIAgkCCgILAgwCDQIIAggCCAIIAggCCAIIAggCCAIIAggCCAIIAggCCAIIAggCFgIDAo8CHgAC9AICAmMCBAIFAgYCBwIIAgkCHAILAgwCDQIIAggCCAIIAggCCAIIAggCCAIIAggCCAIIAggCCAIIAggCFgIDAmQCHgAC9AICAk0CBAIFAgYCBwIIAgkCHAILAgwCDQIIAggCCAIIAggCCAIIAggCCAIIAggCCAIIAggCCAIIAggCFgIDAlkCHgAC9AICAkECBAIFAgYCBwIIAgkCIAILAgwCDQIIAggCCAIIAggCCAIIAggCCAIIAggCCAIIAggCCAIIAggCFgIDAlgCHgAC9AICAn8CBAIFAgYCBwIIAgkCIAILAgwCDQIIAggCCAIIAggCCAIIAggCCAIIAggCCAIIAggCCAIIAggCFgIDAosCHgAC9AICAm0CBAIFAgYCBwIIAgkCIAILAgwCDQIIAggCCAIIAggCCAIIAggCCAIIAggCCAIIAggCCAIIAggCFgIDAm4CHgAC9AICAl0CBAIFAgYCBwIIAgkCHAILAgwCDQIIAggCCAIIAggCCAIIAggCCAIIAggCCAIIAggCCAIIAggCFgIDAl4CHgAC9AICAiYCBAIFAgYCBwIIAgkCCgILAgwCDQIIAggCCAIIAggCCAIIAggCCAIIAggCCAIIAggCCAIIAggCFgIDAicCHgAC9AICAigCBAIFAgYCBwIIAgkCHAILAgwCDQIIAggCCAIIAggCCAIIAggCCAIIAggCCAIIAggCCAIIAggCFgIDAikCHgAC9AICAjgCBAIFAgYCBwIIAgkCHAILAgwCDQIIAggCCAIIAggCCAIIAggCCAIIAggCCAIIAggCCAIIAggCFgIDAnICHgAC9AICAmMCBAIFAgYCBwIIAgkCIAILAgwCDQIIAggCCAIIAggCCAIIAggCCAIIAggCCAIIAggCCAIIAggCFgIDAmcCHgAC9AICAnoAAAQAKgIEAgUCBgIHAggCCQIKAgsCDAINAggCCAIIAggCCAIIAggCCAIIAggCCAIIAggCCAIIAggCCAIWAgMCKwIeAAL0AgICHgIEAgUCBgIHAggCCQIKAgsCDAINAggCCAIIAggCCAIIAggCCAIIAggCCAIIAggCCAIIAggCCAIWAgMCDgIeAAL0AgICLQIEAgUCBgIHAggCCQIcAgsCDAINAggCCAIIAggCCAIIAggCCAIIAggCCAIIAggCCAIIAggCCAIWAgMCLgIeAAL0AgICTQIEAgUCBgIHAggCCQIKAgsCDAINAggCCAIIAggCCAIIAggCCAIIAggCCAIIAggCCAIIAggCCAIWAgMCDgIeAAL0AgICQQIEAgUCBgIHAggCCQIKAgsCDAINAggCCAIIAggCCAIIAggCCAIIAggCCAIIAggCCAIIAggCCAIWAgMCDgIeAAL0AgICSgIEAgUCBgIHAggCCQIgAgsCDAINAggCCAIIAggCCAIIAggCCAIIAggCCAIIAggCCAIIAggCCAIWAgMCbAIeAAL0AgICLQIEAgUCBgIHAggCCQIgAgsCDAINAggCCAIIAggCCAIIAggCCAIIAggCCAIIAggCCAIIAggCCAIWAgMCQAIeAAL0AgICXQIEAgUCBgIHAggCCQIgAgsCDAINAggCCAIIAggCCAIIAggCCAIIAggCCAIIAggCCAIIAggCCAIWAgMCaAIeAAL0AgICKAIEAgUCBgIHAggCCQIgAgsCDAINAggCCAIIAggCCAIIAggCCAIIAggCCAIIAggCCAIIAggCCAIWAgMCLAIeAAL0AgICJAIEAgUCBgIHAggCCQIKAgsCDAINAggCCAIIAggCCAIIAggCCAIIAggCCAIIAggCCAIIAggCCAIWAgMCJQIeAAL0AgICAwIEAgUCBgIHAggCCQIKAgsCDAINAggCCAIIAggCCAIIAggCCAIIAggCCAIIAggCCAIIAggCCAIWAgMCDgIeAAL0AgICGwIEAgUCBgIHAggCCQIcAgsCDAINAggCCAIIAggCCAIIAggCCAIIAggCCAIIAggCCAIIAggCCAIWAgMCHQIeAAL0AgICOgIEAgUCBgIHAggCCQIcAgsCDAINAggCCAIIAggCCAIIAggCCAIIAggCCAIIAggCCAIIAggCCAIWAgMCaQIeAAL0AgICbQIEAgUCBgIHAggCCQIcAgsCDAINAggCCAIIAggCCAIIAggCCAIIAggCCAIIAggCCAIIAggCCAIWAgMCdAIeAAL0AgICRAIEAgUCBgIHAggCCQIgAgsCDAINAggCCAIIAggCCAIIAggCCAIIAggCCAIIAggCCAIIAggCCAIWAnoAAAQAAwJFAh4AAvQCAgIqAgQCBQIGAgcCCAIJAiACCwIMAg0CCAIIAggCCAIIAggCCAIIAggCCAIIAggCCAIIAggCCAIIAhYCAwJ2Ah4AAvQCAgIzAgQCBQIGAgcCCAIJAhwCCwIMAg0CCAIIAggCCAIIAggCCAIIAggCCAIIAggCCAIIAggCCAIIAhYCAwJ4Ah4AAvQCAgJGAgQCBQIGAgcCCAIJAiACCwIMAg0CCAIIAggCCAIIAggCCAIIAggCCAIIAggCCAIIAggCCAIIAhYCAwJHAh4AAvQCAgJKAgQCBQIGAgcCCAIJAgoCCwIMAg0CCAIIAggCCAIIAggCCAIIAggCCAIIAggCCAIIAggCCAIIAhYCAwJLAh4AAvQCAgIvAgQCBQIGAgcCCAIJAgoCCwIMAg0CCAIIAggCCAIIAggCCAIIAggCCAIIAggCCAIIAggCCAIIAhYCAwJzAh4AAvQCAgIbAgQCBQIGAgcCCAIJAiACCwIMAg0CCAIIAggCCAIIAggCCAIIAggCCAIIAggCCAIIAggCCAIIAhYCAwJDAh4AAvQCAgI1AgQCBQIGAgcCCAIJAhwCCwIMAg0CCAIIAggCCAIIAggCCAIIAggCCAIIAggCCAIIAggCCAIIAhYCAwI2Ah4AAvUACTMxMzY5MTQxNgICAkYCBAIFAgYCBwIIAgkCmQILApcCDQIIAggCCAIIAggCCAIIAggCCAIIAggCCAIIAggCCAIIAggCGwIDAsYCHgAC9QICAjwCBAIFAgYCBwIIAgkCIAILApcCDQIIAggCCAIIAggCCAIIAggCCAIIAggCCAIIAggCCAIIAggCGwIDApgCHgAC9QICAn8CBAIFAgYCBwIIAgkCmQILApcCDQIIAggCCAIIAggCCAIIAggCCAIIAggCCAIIAggCCAIIAggCGwIDAg4CHgAC9QICAkQCBAIFAgYCBwIIAgkCHAILApcCDQIIAggCCAIIAggCCAIIAggCCAIIAggCCAIIAggCCAIIAggCGwIDApwCHgAC9QICAjUCBAIFAgYCBwIIAgkCIAILApcCDQIIAggCCAIIAggCCAIIAggCCAIIAggCCAIIAggCCAIIAggCGwIDAsoCHgAC9QICAkgCBAIFAgYCBwIIAgkCHAILApcCDQIIAggCCAIIAggCCAIIAggCCAIIAggCCAIIAggCCAIIAggCGwIDAp4CHgAC9QICAkgCBAIFAgYCBwIIAgkCmQILApcCDQIIAggCCAIIAggCCAIIAggCCAIIAggCCAIIAggCCAIIAggCGwIDAssCHgAC9QICAiICBAIFAgYCBwIIAgkCmQILApcCDQIIAggCCAIIAggCCAIIAnoAAAQACAIIAggCCAIIAggCCAIIAggCCAIbAgMC1QIeAAL1AgICAwIEAgUCBgIHAggCCQIgAgsClwINAggCCAIIAggCCAIIAggCCAIIAggCCAIIAggCCAIIAggCCAIbAgMCnQIeAAL1AgICVgIEAgUCBgIHAggCCQKZAgsClwINAggCCAIIAggCCAIIAggCCAIIAggCCAIIAggCCAIIAggCCAIbAgMC6wIeAAL1AgICRAIEAgUCBgIHAggCCQKZAgsClwINAggCCAIIAggCCAIIAggCCAIIAggCCAIIAggCCAIIAggCCAIbAgMCDgIeAAL1AgICJAIEAgUCBgIHAggCCQIgAgsClwINAggCCAIIAggCCAIIAggCCAIIAggCCAIIAggCCAIIAggCCAIbAgMC6gIeAAL1AgICbQIEAgUCBgIHAggCCQKZAgsClwINAggCCAIIAggCCAIIAggCCAIIAggCCAIIAggCCAIIAggCCAIbAgMCrAIeAAL1AgICSAIEAgUCBgIHAggCCQIgAgsClwINAggCCAIIAggCCAIIAggCCAIIAggCCAIIAggCCAIIAggCCAIbAgMCvwIeAAL1AgICJgIEAgUCBgIHAggCCQIgAgsClwINAggCCAIIAggCCAIIAggCCAIIAggCCAIIAggCCAIIAggCCAIbAgMCpgIeAAL1AgICVgIEAgUCBgIHAggCCQIcAgsClwINAggCCAIIAggCCAIIAggCCAIIAggCCAIIAggCCAIIAggCCAIbAgMCyAIeAAL1AgICRgIEAgUCBgIHAggCCQIcAgsClwINAggCCAIIAggCCAIIAggCCAIIAggCCAIIAggCCAIIAggCCAIbAgMCmwIeAAL1AgICWgIEAgUCBgIHAggCCQIcAgsClwINAggCCAIIAggCCAIIAggCCAIIAggCCAIIAggCCAIIAggCCAIbAgMCxwIeAAL1AgICfwIEAgUCBgIHAggCCQIcAgsClwINAggCCAIIAggCCAIIAggCCAIIAggCCAIIAggCCAIIAggCCAIbAgMCxAIeAAL1AgICTQIEAgUCBgIHAggCCQIgAgsClwINAggCCAIIAggCCAIIAggCCAIIAggCCAIIAggCCAIIAggCCAIbAgMCxQIeAAL1AgICWgIEAgUCBgIHAggCCQKZAgsClwINAggCCAIIAggCCAIIAggCCAIIAggCCAIIAggCCAIIAggCCAIbAgMCmgIeAAL1AgICMwIEAgUCBgIHAggCCQIgAgsClwINAggCCAIIAggCCAIIAggCCAIIAggCCAIIAggCCAIIAggCCAIbAgMCuQIeAAL1AgICQQIEAgUCBgIHAggCCQIgAgsClwINAggCCHoAAAQAAggCCAIIAggCCAIIAggCCAIIAggCCAIIAggCCAIIAhsCAwLjAh4AAvUCAgI8AgQCBQIGAgcCCAIJApkCCwKXAg0CCAIIAggCCAIIAggCCAIIAggCCAIIAggCCAIIAggCCAIIAhsCAwLPAh4AAvUCAgIxAgQCBQIGAgcCCAIJApkCCwKXAg0CCAIIAggCCAIIAggCCAIIAggCCAIIAggCCAIIAggCCAIIAhsCAwLoAh4AAvUCAgIxAgQCBQIGAgcCCAIJAhwCCwKXAg0CCAIIAggCCAIIAggCCAIIAggCCAIIAggCCAIIAggCCAIIAhsCAwK7Ah4AAvUCAgJNAgQCBQIGAgcCCAIJApkCCwKXAg0CCAIIAggCCAIIAggCCAIIAggCCAIIAggCCAIIAggCCAIIAhsCAwIOAh4AAvUCAgI6AgQCBQIGAgcCCAIJAiACCwKXAg0CCAIIAggCCAIIAggCCAIIAggCCAIIAggCCAIIAggCCAIIAhsCAwK+Ah4AAvUCAgIvAgQCBQIGAgcCCAIJAiACCwKXAg0CCAIIAggCCAIIAggCCAIIAggCCAIIAggCCAIIAggCCAIIAhsCAwLpAh4AAvUCAgJKAgQCBQIGAgcCCAIJAhwCCwKXAg0CCAIIAggCCAIIAggCCAIIAggCCAIIAggCCAIIAggCCAIIAhsCAwLRAh4AAvUCAgJKAgQCBQIGAgcCCAIJApkCCwKXAg0CCAIIAggCCAIIAggCCAIIAggCCAIIAggCCAIIAggCCAIIAhsCAwKiAh4AAvUCAgJtAgQCBQIGAgcCCAIJAiACCwKXAg0CCAIIAggCCAIIAggCCAIIAggCCAIIAggCCAIIAggCCAIIAhsCAwK6Ah4AAvUCAgIiAgQCBQIGAgcCCAIJAiACCwKXAg0CCAIIAggCCAIIAggCCAIIAggCCAIIAggCCAIIAggCCAIIAhsCAwLkAh4AAvUCAgIkAgQCBQIGAgcCCAIJApkCCwKXAg0CCAIIAggCCAIIAggCCAIIAggCCAIIAggCCAIIAggCCAIIAhsCAwKyAh4AAvUCAgIkAgQCBQIGAgcCCAIJAhwCCwKXAg0CCAIIAggCCAIIAggCCAIIAggCCAIIAggCCAIIAggCCAIIAhsCAwLgAh4AAvUCAgI8AgQCBQIGAgcCCAIJAhwCCwKXAg0CCAIIAggCCAIIAggCCAIIAggCCAIIAggCCAIIAggCCAIIAhsCAwKgAh4AAvUCAgJNAgQCBQIGAgcCCAIJAhwCCwKXAg0CCAIIAggCCAIIAggCCAIIAggCCAIIAggCCAIIAggCCAIIAhsCAwLNAh4AAvUCAgJdAgQCBQIGAgcCCAIJAnoAAAQAHAILApcCDQIIAggCCAIIAggCCAIIAggCCAIIAggCCAIIAggCCAIIAggCGwIDAucCHgAC9QICAn8CBAIFAgYCBwIIAgkCIAILApcCDQIIAggCCAIIAggCCAIIAggCCAIIAggCCAIIAggCCAIIAggCGwIDArwCHgAC9QICAl0CBAIFAgYCBwIIAgkCmQILApcCDQIIAggCCAIIAggCCAIIAggCCAIIAggCCAIIAggCCAIIAggCGwIDAp8CHgAC9QICAi8CBAIFAgYCBwIIAgkCHAILApcCDQIIAggCCAIIAggCCAIIAggCCAIIAggCCAIIAggCCAIIAggCGwIDAt0CHgAC9QICAjoCBAIFAgYCBwIIAgkCHAILApcCDQIIAggCCAIIAggCCAIIAggCCAIIAggCCAIIAggCCAIIAggCGwIDArACHgAC9QICAjECBAIFAgYCBwIIAgkCIAILApcCDQIIAggCCAIIAggCCAIIAggCCAIIAggCCAIIAggCCAIIAggCGwIDArMCHgAC9QICAkECBAIFAgYCBwIIAgkCmQILApcCDQIIAggCCAIIAggCCAIIAggCCAIIAggCCAIIAggCCAIIAggCGwIDAg4CHgAC9QICAkoCBAIFAgYCBwIIAgkCIAILApcCDQIIAggCCAIIAggCCAIIAggCCAIIAggCCAIIAggCCAIIAggCGwIDAtgCHgAC9QICAj4CBAIFAgYCBwIIAgkCmQILApcCDQIIAggCCAIIAggCCAIIAggCCAIIAggCCAIIAggCCAIIAggCGwIDAg4CHgAC9QICAl0CBAIFAgYCBwIIAgkCIAILApcCDQIIAggCCAIIAggCCAIIAggCCAIIAggCCAIIAggCCAIIAggCGwIDAtwCHgAC9QICAjMCBAIFAgYCBwIIAgkCHAILApcCDQIIAggCCAIIAggCCAIIAggCCAIIAggCCAIIAggCCAIIAggCGwIDAtoCHgAC9QICAkECBAIFAgYCBwIIAgkCHAILApcCDQIIAggCCAIIAggCCAIIAggCCAIIAggCCAIIAggCCAIIAggCGwIDAq8CHgAC9QICAioCBAIFAgYCBwIIAgkCmQILApcCDQIIAggCCAIIAggCCAIIAggCCAIIAggCCAIIAggCCAIIAggCGwIDAq4CHgAC9QICAi0CBAIFAgYCBwIIAgkCHAILApcCDQIIAggCCAIIAggCCAIIAggCCAIIAggCCAIIAggCCAIIAggCGwIDAuECHgAC9QICAnACBAIFAgYCBwIIAgkCmQILApcCDQIIAggCCAIIAggCCAIIAggCCAIIAggCCAIIAggCCAIIAggCGwIDAtkCHgAC9QICAjMCBHoAAAQAAgUCBgIHAggCCQKZAgsClwINAggCCAIIAggCCAIIAggCCAIIAggCCAIIAggCCAIIAggCCAIbAgMCsQIeAAL1AgICcAIEAgUCBgIHAggCCQIcAgsClwINAggCCAIIAggCCAIIAggCCAIIAggCCAIIAggCCAIIAggCCAIbAgMCwgIeAAL1AgICPgIEAgUCBgIHAggCCQIcAgsClwINAggCCAIIAggCCAIIAggCCAIIAggCCAIIAggCCAIIAggCCAIbAgMCwwIeAAL1AgICVQIEAgUCBgIHAggCCQKZAgsClwINAggCCAIIAggCCAIIAggCCAIIAggCCAIIAggCCAIIAggCCAIbAgMCDgIeAAL1AgICLQIEAgUCBgIHAggCCQIgAgsClwINAggCCAIIAggCCAIIAggCCAIIAggCCAIIAggCCAIIAggCCAIbAgMC1gIeAAL1AgICXwIEAgUCBgIHAggCCQIgAgsClwINAggCCAIIAggCCAIIAggCCAIIAggCCAIIAggCCAIIAggCCAIbAgMCqwIeAAL1AgICKgIEAgUCBgIHAggCCQIcAgsClwINAggCCAIIAggCCAIIAggCCAIIAggCCAIIAggCCAIIAggCCAIbAgMC7QIeAAL1AgICLwIEAgUCBgIHAggCCQKZAgsClwINAggCCAIIAggCCAIIAggCCAIIAggCCAIIAggCCAIIAggCCAIbAgMC1AIeAAL1AgICVQIEAgUCBgIHAggCCQIcAgsClwINAggCCAIIAggCCAIIAggCCAIIAggCCAIIAggCCAIIAggCCAIbAgMCtAIeAAL1AgICGwIEAgUCBgIHAggCCQIcAgsClwINAggCCAIIAggCCAIIAggCCAIIAggCCAIIAggCCAIIAggCCAIbAgMC7AIeAAL1AgICOgIEAgUCBgIHAggCCQKZAgsClwINAggCCAIIAggCCAIIAggCCAIIAggCCAIIAggCCAIIAggCCAIbAgMCpwIeAAL1AgICGwIEAgUCBgIHAggCCQKZAgsClwINAggCCAIIAggCCAIIAggCCAIIAggCCAIIAggCCAIIAggCCAIbAgMCwQIeAAL1AgICRgIEAgUCBgIHAggCCQIgAgsClwINAggCCAIIAggCCAIIAggCCAIIAggCCAIIAggCCAIIAggCCAIbAgMCpQIeAAL1AgICNQIEAgUCBgIHAggCCQIcAgsClwINAggCCAIIAggCCAIIAggCCAIIAggCCAIIAggCCAIIAggCCAIbAgMC0gIeAAL1AgICAwIEAgUCBgIHAggCCQIcAgsClwINAggCCAIIAggCCAIIAggCCAIIAggCCAIIAggCCAIIAggCCAIbAgMCo3oAAAQAAh4AAvUCAgJaAgQCBQIGAgcCCAIJAiACCwKXAg0CCAIIAggCCAIIAggCCAIIAggCCAIIAggCCAIIAggCCAIIAhsCAwLOAh4AAvUCAgJwAgQCBQIGAgcCCAIJAiACCwKXAg0CCAIIAggCCAIIAggCCAIIAggCCAIIAggCCAIIAggCCAIIAhsCAwLMAh4AAvUCAgIiAgQCBQIGAgcCCAIJAhwCCwKXAg0CCAIIAggCCAIIAggCCAIIAggCCAIIAggCCAIIAggCCAIIAhsCAwKpAh4AAvUCAgJtAgQCBQIGAgcCCAIJAhwCCwKXAg0CCAIIAggCCAIIAggCCAIIAggCCAIIAggCCAIIAggCCAIIAhsCAwLTAh4AAvUCAgJfAgQCBQIGAgcCCAIJApkCCwKXAg0CCAIIAggCCAIIAggCCAIIAggCCAIIAggCCAIIAggCCAIIAhsCAwLiAh4AAvUCAgItAgQCBQIGAgcCCAIJApkCCwKXAg0CCAIIAggCCAIIAggCCAIIAggCCAIIAggCCAIIAggCCAIIAhsCAwK9Ah4AAvUCAgJEAgQCBQIGAgcCCAIJAiACCwKXAg0CCAIIAggCCAIIAggCCAIIAggCCAIIAggCCAIIAggCCAIIAhsCAwKoAh4AAvUCAgJWAgQCBQIGAgcCCAIJAiACCwKXAg0CCAIIAggCCAIIAggCCAIIAggCCAIIAggCCAIIAggCCAIIAhsCAwLJAh4AAvUCAgIDAgQCBQIGAgcCCAIJApkCCwKXAg0CCAIIAggCCAIIAggCCAIIAggCCAIIAggCCAIIAggCCAIIAhsCAwIOAh4AAvUCAgI1AgQCBQIGAgcCCAIJApkCCwKXAg0CCAIIAggCCAIIAggCCAIIAggCCAIIAggCCAIIAggCCAIIAhsCAwK3Ah4AAvUCAgJfAgQCBQIGAgcCCAIJAhwCCwKXAg0CCAIIAggCCAIIAggCCAIIAggCCAIIAggCCAIIAggCCAIIAhsCAwK4Ah4AAvUCAgJVAgQCBQIGAgcCCAIJAiACCwKXAg0CCAIIAggCCAIIAggCCAIIAggCCAIIAggCCAIIAggCCAIIAhsCAwK2Ah4AAvUCAgIbAgQCBQIGAgcCCAIJAiACCwKXAg0CCAIIAggCCAIIAggCCAIIAggCCAIIAggCCAIIAggCCAIIAhsCAwLfAh4AAvUCAgIqAgQCBQIGAgcCCAIJAiACCwKXAg0CCAIIAggCCAIIAggCCAIIAggCCAIIAggCCAIIAggCCAIIAhsCAwKhAh4AAvUCAgImAgQCBQIGAgcCCAIJAhwCCwKXAg0CCAIIAggCCAIIAggCCAIIAggCCAIIAggCCAIIAnftCAIIAggCGwIDAqQCHgAC9QICAj4CBAIFAgYCBwIIAgkCIAILApcCDQIIAggCCAIIAggCCAIIAggCCAIIAggCCAIIAggCCAIIAggCGwIDAtACHgAC9QICAiYCBAIFAgYCBwIIAgkCmQILApcCDQIIAggCCAIIAggCCAIIAggCCAIIAggCCAIIAggCCAIIAggCGwIDAt4CHgAC9gAJNTI0NzY3NDcyAgIC9wAGMjAxMzEyAgQCBQIGAgcCCAIJAgoCCwIMAg0CCAIIAggCCAIIAggCCAIIAggCCAIIAggCCAIIAggCCAIIAioCAwL4c3EAfgAAAAAAAnNxAH4ABP///////////////v////7/////dXEAfgAHAAAAAxTl5Hh4egAABAACHgAC+QAJMzEyNjQwMjI0AgICKgIEAgUCBgIHAggCCQIcAgsClwINAggCCAIIAggCCAIIAggCCAIIAggCCAIIAggCCAIIAggCCAIZAgMC7QIeAAL5AgICGwIEAgUCBgIHAggCCQIgAgsClwINAggCCAIIAggCCAIIAggCCAIIAggCCAIIAggCCAIIAggCCAIZAgMC3wIeAAL5AgICAwIEAgUCBgIHAggCCQKZAgsClwINAggCCAIIAggCCAIIAggCCAIIAggCCAIIAggCCAIIAggCCAIZAgMCDgIeAAL5AgICVQIEAgUCBgIHAggCCQIgAgsClwINAggCCAIIAggCCAIIAggCCAIIAggCCAIIAggCCAIIAggCCAIZAgMCtgIeAAL5AgICPgIEAgUCBgIHAggCCQIcAgsClwINAggCCAIIAggCCAIIAggCCAIIAggCCAIIAggCCAIIAggCCAIZAgMCwwIeAAL5AgICXwIEAgUCBgIHAggCCQIgAgsClwINAggCCAIIAggCCAIIAggCCAIIAggCCAIIAggCCAIIAggCCAIZAgMCqwIeAAL5AgICMwIEAgUCBgIHAggCCQIcAgsClwINAggCCAIIAggCCAIIAggCCAIIAggCCAIIAggCCAIIAggCCAIZAgMC2gIeAAL5AgICQQIEAgUCBgIHAggCCQIcAgsClwINAggCCAIIAggCCAIIAggCCAIIAggCCAIIAggCCAIIAggCCAIZAgMCrwIeAAL5AgICcAIEAgUCBgIHAggCCQKZAgsClwINAggCCAIIAggCCAIIAggCCAIIAggCCAIIAggCCAIIAggCCAIZAgMC2QIeAAL5AgICLQIEAgUCBgIHAggCCQIgAgsClwINAggCCAIIAggCCAIIAggCCAIIAggCCAIIAggCCAIIAggCCAIZAgMC1gIeAAL5AgICOAIEAgUCBgIHAggCCQIgAgsClwINAggCCAIIAggCCAIIAggCCAIIAggCCAIIAggCCAIIAggCCAIZAgMCwAIeAAL5AgICSgIEAgUCBgIHAggCCQIgAgsClwINAggCCAIIAggCCAIIAggCCAIIAggCCAIIAggCCAIIAggCCAIZAgMC2AIeAAL5AgICKgIEAgUCBgIHAggCCQKZAgsClwINAggCCAIIAggCCAIIAggCCAIIAggCCAIIAggCCAIIAggCCAIZAgMCrgIeAAL5AgICcAIEAgUCBgIHAggCCQIcAgsClwINAggCCAIIAggCCAIIAggCCAIIAggCCAIIAggCCAIIAggCCAIZAgMCwgIeAAL5AgICLwIEAgUCBgIHAggCCQIcAgsClwINAggCCAIIAggCCAIIAggCCAIIegAABAACCAIIAggCCAIIAggCCAIIAhkCAwLdAh4AAvkCAgI6AgQCBQIGAgcCCAIJAhwCCwKXAg0CCAIIAggCCAIIAggCCAIIAggCCAIIAggCCAIIAggCCAIIAhkCAwKwAh4AAvkCAgJdAgQCBQIGAgcCCAIJAiACCwKXAg0CCAIIAggCCAIIAggCCAIIAggCCAIIAggCCAIIAggCCAIIAhkCAwLcAh4AAvkCAgI+AgQCBQIGAgcCCAIJApkCCwKXAg0CCAIIAggCCAIIAggCCAIIAggCCAIIAggCCAIIAggCCAIIAhkCAwIOAh4AAvkCAgI4AgQCBQIGAgcCCAIJAhwCCwKXAg0CCAIIAggCCAIIAggCCAIIAggCCAIIAggCCAIIAggCCAIIAhkCAwK1Ah4AAvkCAgIxAgQCBQIGAgcCCAIJAiACCwKXAg0CCAIIAggCCAIIAggCCAIIAggCCAIIAggCCAIIAggCCAIIAhkCAwKzAh4AAvkCAgJVAgQCBQIGAgcCCAIJAhwCCwKXAg0CCAIIAggCCAIIAggCCAIIAggCCAIIAggCCAIIAggCCAIIAhkCAwK0Ah4AAvkCAgI6AgQCBQIGAgcCCAIJApkCCwKXAg0CCAIIAggCCAIIAggCCAIIAggCCAIIAggCCAIIAggCCAIIAhkCAwKnAh4AAvkCAgIvAgQCBQIGAgcCCAIJApkCCwKXAg0CCAIIAggCCAIIAggCCAIIAggCCAIIAggCCAIIAggCCAIIAhkCAwLUAh4AAvkCAgIbAgQCBQIGAgcCCAIJAhwCCwKXAg0CCAIIAggCCAIIAggCCAIIAggCCAIIAggCCAIIAggCCAIIAhkCAwLsAh4AAvkCAgI4AgQCBQIGAgcCCAIJApkCCwKXAg0CCAIIAggCCAIIAggCCAIIAggCCAIIAggCCAIIAggCCAIIAhkCAwIOAh4AAvkCAgJVAgQCBQIGAgcCCAIJApkCCwKXAg0CCAIIAggCCAIIAggCCAIIAggCCAIIAggCCAIIAggCCAIIAhkCAwIOAh4AAvkCAgJWAgQCBQIGAgcCCAIJApkCCwKXAg0CCAIIAggCCAIIAggCCAIIAggCCAIIAggCCAIIAggCCAIIAhkCAwLrAh4AAvkCAgJEAgQCBQIGAgcCCAIJApkCCwKXAg0CCAIIAggCCAIIAggCCAIIAggCCAIIAggCCAIIAggCCAIIAhkCAwIOAh4AAvkCAgJfAgQCBQIGAgcCCAIJAhwCCwKXAg0CCAIIAggCCAIIAggCCAIIAggCCAIIAggCCAIIAggCCAIIAhkCAwK4Ah4AAvkCAgIkAgQCBQIGAgcCCAIJAiACCwKXAg0CCAIIAggCegAABAAIAggCCAIIAggCCAIIAggCCAIIAggCCAIIAggCGQIDAuoCHgAC+QICAkQCBAIFAgYCBwIIAgkCHAILApcCDQIIAggCCAIIAggCCAIIAggCCAIIAggCCAIIAggCCAIIAggCGQIDApwCHgAC+QICAl8CBAIFAgYCBwIIAgkCmQILApcCDQIIAggCCAIIAggCCAIIAggCCAIIAggCCAIIAggCCAIIAggCGQIDAuICHgAC+QICAi0CBAIFAgYCBwIIAgkCmQILApcCDQIIAggCCAIIAggCCAIIAggCCAIIAggCCAIIAggCCAIIAggCGQIDAr0CHgAC+QICAnACBAIFAgYCBwIIAgkCIAILApcCDQIIAggCCAIIAggCCAIIAggCCAIIAggCCAIIAggCCAIIAggCGQIDAswCHgAC+QICAi0CBAIFAgYCBwIIAgkCHAILApcCDQIIAggCCAIIAggCCAIIAggCCAIIAggCCAIIAggCCAIIAggCGQIDAuECHgAC+QICAkECBAIFAgYCBwIIAgkCmQILApcCDQIIAggCCAIIAggCCAIIAggCCAIIAggCCAIIAggCCAIIAggCGQIDAg4CHgAC+QICAloCBAIFAgYCBwIIAgkCIAILApcCDQIIAggCCAIIAggCCAIIAggCCAIIAggCCAIIAggCCAIIAggCGQIDAs4CHgAC+QICAjMCBAIFAgYCBwIIAgkCmQILApcCDQIIAggCCAIIAggCCAIIAggCCAIIAggCCAIIAggCCAIIAggCGQIDArECHgAC+QICAkYCBAIFAgYCBwIIAgkCIAILApcCDQIIAggCCAIIAggCCAIIAggCCAIIAggCCAIIAggCCAIIAggCGQIDAqUCHgAC+QICAgMCBAIFAgYCBwIIAgkCHAILApcCDQIIAggCCAIIAggCCAIIAggCCAIIAggCCAIIAggCCAIIAggCGQIDAqMCHgAC+QICAioCBAIFAgYCBwIIAgkCIAILApcCDQIIAggCCAIIAggCCAIIAggCCAIIAggCCAIIAggCCAIIAggCGQIDAqECHgAC+QICAj4CBAIFAgYCBwIIAgkCIAILApcCDQIIAggCCAIIAggCCAIIAggCCAIIAggCCAIIAggCCAIIAggCGQIDAtACHgAC+QICAjUCBAIFAgYCBwIIAgkCHAILApcCDQIIAggCCAIIAggCCAIIAggCCAIIAggCCAIIAggCCAIIAggCGQIDAtICHgAC+QICAiYCBAIFAgYCBwIIAgkCHAILApcCDQIIAggCCAIIAggCCAIIAggCCAIIAggCCAIIAggCCAIIAggCGQIDAqQCHgAC+QICAiYCBAIFAgYCBwIIAgkCmQILegAABAAClwINAggCCAIIAggCCAIIAggCCAIIAggCCAIIAggCCAIIAggCCAIZAgMC3gIeAAL5AgICNQIEAgUCBgIHAggCCQKZAgsClwINAggCCAIIAggCCAIIAggCCAIIAggCCAIIAggCCAIIAggCCAIZAgMCtwIeAAL5AgICIgIEAgUCBgIHAggCCQKZAgsClwINAggCCAIIAggCCAIIAggCCAIIAggCCAIIAggCCAIIAggCCAIZAgMC1QIeAAL5AgICSAIEAgUCBgIHAggCCQIgAgsClwINAggCCAIIAggCCAIIAggCCAIIAggCCAIIAggCCAIIAggCCAIZAgMCvwIeAAL5AgICRAIEAgUCBgIHAggCCQIgAgsClwINAggCCAIIAggCCAIIAggCCAIIAggCCAIIAggCCAIIAggCCAIZAgMCqAIeAAL5AgICVgIEAgUCBgIHAggCCQIgAgsClwINAggCCAIIAggCCAIIAggCCAIIAggCCAIIAggCCAIIAggCCAIZAgMCyQIeAAL5AgICbQIEAgUCBgIHAggCCQIcAgsClwINAggCCAIIAggCCAIIAggCCAIIAggCCAIIAggCCAIIAggCCAIZAgMC0wIeAAL5AgICIgIEAgUCBgIHAggCCQIcAgsClwINAggCCAIIAggCCAIIAggCCAIIAggCCAIIAggCCAIIAggCCAIZAgMCqQIeAAL5AgICbQIEAgUCBgIHAggCCQKZAgsClwINAggCCAIIAggCCAIIAggCCAIIAggCCAIIAggCCAIIAggCCAIZAgMCrAIeAAL5AgICRgIEAgUCBgIHAggCCQKZAgsClwINAggCCAIIAggCCAIIAggCCAIIAggCCAIIAggCCAIIAggCCAIZAgMCxgIeAAL5AgICWgIEAgUCBgIHAggCCQKZAgsClwINAggCCAIIAggCCAIIAggCCAIIAggCCAIIAggCCAIIAggCCAIZAgMCmgIeAAL5AgICTQIEAgUCBgIHAggCCQIgAgsClwINAggCCAIIAggCCAIIAggCCAIIAggCCAIIAggCCAIIAggCCAIZAgMCxQIeAAL5AgICSgIEAgUCBgIHAggCCQKZAgsClwINAggCCAIIAggCCAIIAggCCAIIAggCCAIIAggCCAIIAggCCAIZAgMCogIeAAL5AgICfwIEAgUCBgIHAggCCQKZAgsClwINAggCCAIIAggCCAIIAggCCAIIAggCCAIIAggCCAIIAggCCAIZAgMCDgIeAAL5AgICfwIEAgUCBgIHAggCCQIcAgsClwINAggCCAIIAggCCAIIAggCCAIIAggCCAIIAggCCAIIAggCCAIZAgMCxAIeAAL5AgICPAIEAgUCegAABAAGAgcCCAIJAiACCwKXAg0CCAIIAggCCAIIAggCCAIIAggCCAIIAggCCAIIAggCCAIIAhkCAwKYAh4AAvkCAgJGAgQCBQIGAgcCCAIJAhwCCwKXAg0CCAIIAggCCAIIAggCCAIIAggCCAIIAggCCAIIAggCCAIIAhkCAwKbAh4AAvkCAgJWAgQCBQIGAgcCCAIJAhwCCwKXAg0CCAIIAggCCAIIAggCCAIIAggCCAIIAggCCAIIAggCCAIIAhkCAwLIAh4AAvkCAgJaAgQCBQIGAgcCCAIJAhwCCwKXAg0CCAIIAggCCAIIAggCCAIIAggCCAIIAggCCAIIAggCCAIIAhkCAwLHAh4AAvkCAgImAgQCBQIGAgcCCAIJAiACCwKXAg0CCAIIAggCCAIIAggCCAIIAggCCAIIAggCCAIIAggCCAIIAhkCAwKmAh4AAvkCAgJIAgQCBQIGAgcCCAIJApkCCwKXAg0CCAIIAggCCAIIAggCCAIIAggCCAIIAggCCAIIAggCCAIIAhkCAwLLAh4AAvkCAgIbAgQCBQIGAgcCCAIJApkCCwKXAg0CCAIIAggCCAIIAggCCAIIAggCCAIIAggCCAIIAggCCAIIAhkCAwLBAh4AAvkCAgIiAgQCBQIGAgcCCAIJAiACCwKXAg0CCAIIAggCCAIIAggCCAIIAggCCAIIAggCCAIIAggCCAIIAhkCAwLkAh4AAvkCAgJNAgQCBQIGAgcCCAIJAhwCCwKXAg0CCAIIAggCCAIIAggCCAIIAggCCAIIAggCCAIIAggCCAIIAhkCAwLNAh4AAvkCAgJtAgQCBQIGAgcCCAIJAiACCwKXAg0CCAIIAggCCAIIAggCCAIIAggCCAIIAggCCAIIAggCCAIIAhkCAwK6Ah4AAvkCAgI1AgQCBQIGAgcCCAIJAiACCwKXAg0CCAIIAggCCAIIAggCCAIIAggCCAIIAggCCAIIAggCCAIIAhkCAwLKAh4AAvkCAgI8AgQCBQIGAgcCCAIJAhwCCwKXAg0CCAIIAggCCAIIAggCCAIIAggCCAIIAggCCAIIAggCCAIIAhkCAwKgAh4AAvkCAgIDAgQCBQIGAgcCCAIJAiACCwKXAg0CCAIIAggCCAIIAggCCAIIAggCCAIIAggCCAIIAggCCAIIAhkCAwKdAh4AAvkCAgJKAgQCBQIGAgcCCAIJAhwCCwKXAg0CCAIIAggCCAIIAggCCAIIAggCCAIIAggCCAIIAggCCAIIAhkCAwLRAh4AAvkCAgJIAgQCBQIGAgcCCAIJAhwCCwKXAg0CCAIIAggCCAIIAggCCAIIAggCCAIIAggCCAIIAggCCAIIAhkCAwKeAh4AegAABAAC+QICAjMCBAIFAgYCBwIIAgkCIAILApcCDQIIAggCCAIIAggCCAIIAggCCAIIAggCCAIIAggCCAIIAggCGQIDArkCHgAC+QICAkECBAIFAgYCBwIIAgkCIAILApcCDQIIAggCCAIIAggCCAIIAggCCAIIAggCCAIIAggCCAIIAggCGQIDAuMCHgAC+QICAk0CBAIFAgYCBwIIAgkCmQILApcCDQIIAggCCAIIAggCCAIIAggCCAIIAggCCAIIAggCCAIIAggCGQIDAg4CHgAC+QICAjwCBAIFAgYCBwIIAgkCmQILApcCDQIIAggCCAIIAggCCAIIAggCCAIIAggCCAIIAggCCAIIAggCGQIDAs8CHgAC+QICAn8CBAIFAgYCBwIIAgkCIAILApcCDQIIAggCCAIIAggCCAIIAggCCAIIAggCCAIIAggCCAIIAggCGQIDArwCHgAC+QICAi8CBAIFAgYCBwIIAgkCIAILApcCDQIIAggCCAIIAggCCAIIAggCCAIIAggCCAIIAggCCAIIAggCGQIDAukCHgAC+QICAjoCBAIFAgYCBwIIAgkCIAILApcCDQIIAggCCAIIAggCCAIIAggCCAIIAggCCAIIAggCCAIIAggCGQIDAr4CHgAC+QICAjECBAIFAgYCBwIIAgkCHAILApcCDQIIAggCCAIIAggCCAIIAggCCAIIAggCCAIIAggCCAIIAggCGQIDArsCHgAC+QICAiQCBAIFAgYCBwIIAgkCHAILApcCDQIIAggCCAIIAggCCAIIAggCCAIIAggCCAIIAggCCAIIAggCGQIDAuACHgAC+QICAl0CBAIFAgYCBwIIAgkCHAILApcCDQIIAggCCAIIAggCCAIIAggCCAIIAggCCAIIAggCCAIIAggCGQIDAucCHgAC+QICAl0CBAIFAgYCBwIIAgkCmQILApcCDQIIAggCCAIIAggCCAIIAggCCAIIAggCCAIIAggCCAIIAggCGQIDAp8CHgAC+QICAjECBAIFAgYCBwIIAgkCmQILApcCDQIIAggCCAIIAggCCAIIAggCCAIIAggCCAIIAggCCAIIAggCGQIDAugCHgAC+QICAiQCBAIFAgYCBwIIAgkCmQILApcCDQIIAggCCAIIAggCCAIIAggCCAIIAggCCAIIAggCCAIIAggCGQIDArICHgAC+gAJMzEyNjM5MDY0AgICNQIEAgUCBgIHAggCCQIcAgsCDAINAggCCAIIAggCCAIIAggCCAIIAggCCAIIAggCCAIIAggCCAIYAgMCNgIeAAL6AgICJgIEAgUCBgIHAggCCQIcAgsCDAINAggCCAIIAggCCAIIAggCCAIIAggCegAABAAIAggCCAIIAggCCAIIAhgCAwJ1Ah4AAvoCAgIDAgQCBQIGAgcCCAIJAhwCCwIMAg0CCAIIAggCCAIIAggCCAIIAggCCAIIAggCCAIIAggCCAIIAhgCAwJ8Ah4AAvoCAgJBAgQCBQIGAgcCCAIJAiACCwIMAg0CCAIIAggCCAIIAggCCAIIAggCCAIIAggCCAIIAggCCAIIAhgCAwJYAh4AAvoCAgIvAgQCBQIGAgcCCAIJAiACCwIMAg0CCAIIAggCCAIIAggCCAIIAggCCAIIAggCCAIIAggCCAIIAhgCAwJiAh4AAvoCAgJIAgQCBQIGAgcCCAIJAgoCCwIMAg0CCAIIAggCCAIIAggCCAIIAggCCAIIAggCCAIIAggCCAIIAhgCAwJJAh4AAvoCAgI4AgQCBQIGAgcCCAIJAiACCwIMAg0CCAIIAggCCAIIAggCCAIIAggCCAIIAggCCAIIAggCCAIIAhgCAwKJAh4AAvoCAgIkAgQCBQIGAgcCCAIJAhwCCwIMAg0CCAIIAggCCAIIAggCCAIIAggCCAIIAggCCAIIAggCCAIIAhgCAwJhAh4AAvoCAgJGAgQCBQIGAgcCCAIJAgoCCwIMAg0CCAIIAggCCAIIAggCCAIIAggCCAIIAggCCAIIAggCCAIIAhgCAwKPAh4AAvoCAgJWAgQCBQIGAgcCCAIJAgoCCwIMAg0CCAIIAggCCAIIAggCCAIIAggCCAIIAggCCAIIAggCCAIIAhgCAwJXAh4AAvoCAgJVAgQCBQIGAgcCCAIJAiACCwIMAg0CCAIIAggCCAIIAggCCAIIAggCCAIIAggCCAIIAggCCAIIAhgCAwJ5Ah4AAvoCAgI6AgQCBQIGAgcCCAIJAiACCwIMAg0CCAIIAggCCAIIAggCCAIIAggCCAIIAggCCAIIAggCCAIIAhgCAwKIAh4AAvoCAgIbAgQCBQIGAgcCCAIJAiACCwIMAg0CCAIIAggCCAIIAggCCAIIAggCCAIIAggCCAIIAggCCAIIAhgCAwJDAh4AAvoCAgJEAgQCBQIGAgcCCAIJAgoCCwIMAg0CCAIIAggCCAIIAggCCAIIAggCCAIIAggCCAIIAggCCAIIAhgCAwIOAh4AAvoCAgI+AgQCBQIGAgcCCAIJAhwCCwIMAg0CCAIIAggCCAIIAggCCAIIAggCCAIIAggCCAIIAggCCAIIAhgCAwKNAh4AAvoCAgItAgQCBQIGAgcCCAIJAiACCwIMAg0CCAIIAggCCAIIAggCCAIIAggCCAIIAggCCAIIAggCCAIIAhgCAwJAAh4AAvoCAgJfAgQCBQIGAgcCCAIJAiACCwIMAg0CCAIIAggCCAIIegAABAACCAIIAggCCAIIAggCCAIIAggCCAIIAggCGAIDAncCHgAC+gICAnACBAIFAgYCBwIIAgkCHAILAgwCDQIIAggCCAIIAggCCAIIAggCCAIIAggCCAIIAggCCAIIAggCGAIDApACHgAC+gICAjwCBAIFAgYCBwIIAgkCCgILAgwCDQIIAggCCAIIAggCCAIIAggCCAIIAggCCAIIAggCCAIIAggCGAIDAj0CHgAC+gICAkoCBAIFAgYCBwIIAgkCIAILAgwCDQIIAggCCAIIAggCCAIIAggCCAIIAggCCAIIAggCCAIIAggCGAIDAmwCHgAC+gICAjMCBAIFAgYCBwIIAgkCHAILAgwCDQIIAggCCAIIAggCCAIIAggCCAIIAggCCAIIAggCCAIIAggCGAIDAngCHgAC+gICAk0CBAIFAgYCBwIIAgkCCgILAgwCDQIIAggCCAIIAggCCAIIAggCCAIIAggCCAIIAggCCAIIAggCGAIDAg4CHgAC+gICAioCBAIFAgYCBwIIAgkCHAILAgwCDQIIAggCCAIIAggCCAIIAggCCAIIAggCCAIIAggCCAIIAggCGAIDAlwCHgAC+gICAkECBAIFAgYCBwIIAgkCHAILAgwCDQIIAggCCAIIAggCCAIIAggCCAIIAggCCAIIAggCCAIIAggCGAIDAkICHgAC+gICAkgCBAIFAgYCBwIIAgkCHAILAgwCDQIIAggCCAIIAggCCAIIAggCCAIIAggCCAIIAggCCAIIAggCGAIDAn0CHgAC+gICAjgCBAIFAgYCBwIIAgkCHAILAgwCDQIIAggCCAIIAggCCAIIAggCCAIIAggCCAIIAggCCAIIAggCGAIDAnICHgAC+gICAjUCBAIFAgYCBwIIAgkCIAILAgwCDQIIAggCCAIIAggCCAIIAggCCAIIAggCCAIIAggCCAIIAggCGAIDAocCHgAC+gICAiYCBAIFAgYCBwIIAgkCIAILAgwCDQIIAggCCAIIAggCCAIIAggCCAIIAggCCAIIAggCCAIIAggCGAIDAlECHgAC+gICAiQCBAIFAgYCBwIIAgkCCgILAgwCDQIIAggCCAIIAggCCAIIAggCCAIIAggCCAIIAggCCAIIAggCGAIDAiUCHgAC+gICAjECBAIFAgYCBwIIAgkCCgILAgwCDQIIAggCCAIIAggCCAIIAggCCAIIAggCCAIIAggCCAIIAggCGAIDAkwCHgAC+gICAi8CBAIFAgYCBwIIAgkCHAILAgwCDQIIAggCCAIIAggCCAIIAggCCAIIAggCCAIIAggCCAIIAggCGAIDAjACHgAC+gICAjoCBAIFAgYCBwIIAgkCHAILAgwCegAABAANAggCCAIIAggCCAIIAggCCAIIAggCCAIIAggCCAIIAggCCAIYAgMCaQIeAAL6AgICPgIEAgUCBgIHAggCCQIKAgsCDAINAggCCAIIAggCCAIIAggCCAIIAggCCAIIAggCCAIIAggCCAIYAgMCDgIeAAL6AgICKgIEAgUCBgIHAggCCQIKAgsCDAINAggCCAIIAggCCAIIAggCCAIIAggCCAIIAggCCAIIAggCCAIYAgMCKwIeAAL6AgICcAIEAgUCBgIHAggCCQIKAgsCDAINAggCCAIIAggCCAIIAggCCAIIAggCCAIIAggCCAIIAggCCAIYAgMCcQIeAAL6AgICSgIEAgUCBgIHAggCCQIcAgsCDAINAggCCAIIAggCCAIIAggCCAIIAggCCAIIAggCCAIIAggCCAIYAgMCbwIeAAL6AgICTQIEAgUCBgIHAggCCQIcAgsCDAINAggCCAIIAggCCAIIAggCCAIIAggCCAIIAggCCAIIAggCCAIYAgMCWQIeAAL6AgICWgIEAgUCBgIHAggCCQIKAgsCDAINAggCCAIIAggCCAIIAggCCAIIAggCCAIIAggCCAIIAggCCAIYAgMCWwIeAAL6AgICbQIEAgUCBgIHAggCCQIgAgsCDAINAggCCAIIAggCCAIIAggCCAIIAggCCAIIAggCCAIIAggCCAIYAgMCbgIeAAL6AgICAwIEAgUCBgIHAggCCQIgAgsCDAINAggCCAIIAggCCAIIAggCCAIIAggCCAIIAggCCAIIAggCCAIYAgMCUAIeAAL6AgICMwIEAgUCBgIHAggCCQIgAgsCDAINAggCCAIIAggCCAIIAggCCAIIAggCCAIIAggCCAIIAggCCAIYAgMCigIeAAL6AgICIgIEAgUCBgIHAggCCQIgAgsCDAINAggCCAIIAggCCAIIAggCCAIIAggCCAIIAggCCAIIAggCCAIYAgMCIwIeAAL6AgICPAIEAgUCBgIHAggCCQIcAgsCDAINAggCCAIIAggCCAIIAggCCAIIAggCCAIIAggCCAIIAggCCAIYAgMCgwIeAAL6AgICLwIEAgUCBgIHAggCCQIKAgsCDAINAggCCAIIAggCCAIIAggCCAIIAggCCAIIAggCCAIIAggCCAIYAgMCcwIeAAL6AgICfwIEAgUCBgIHAggCCQIgAgsCDAINAggCCAIIAggCCAIIAggCCAIIAggCCAIIAggCCAIIAggCCAIYAgMCiwIeAAL6AgICRgIEAgUCBgIHAggCCQIgAgsCDAINAggCCAIIAggCCAIIAggCCAIIAggCCAIIAggCCAIIAggCCAIYAgMCRwIeAAL6AgICVQIEAgUCBgIHegAABAACCAIJAgoCCwIMAg0CCAIIAggCCAIIAggCCAIIAggCCAIIAggCCAIIAggCCAIIAhgCAwIOAh4AAvoCAgIbAgQCBQIGAgcCCAIJAgoCCwIMAg0CCAIIAggCCAIIAggCCAIIAggCCAIIAggCCAIIAggCCAIIAhgCAwKOAh4AAvoCAgI6AgQCBQIGAgcCCAIJAgoCCwIMAg0CCAIIAggCCAIIAggCCAIIAggCCAIIAggCCAIIAggCCAIIAhgCAwI7Ah4AAvoCAgIxAgQCBQIGAgcCCAIJAhwCCwIMAg0CCAIIAggCCAIIAggCCAIIAggCCAIIAggCCAIIAggCCAIIAhgCAwKRAh4AAvoCAgJdAgQCBQIGAgcCCAIJAhwCCwIMAg0CCAIIAggCCAIIAggCCAIIAggCCAIIAggCCAIIAggCCAIIAhgCAwJeAh4AAvoCAgIzAgQCBQIGAgcCCAIJAgoCCwIMAg0CCAIIAggCCAIIAggCCAIIAggCCAIIAggCCAIIAggCCAIIAhgCAwI0Ah4AAvoCAgJaAgQCBQIGAgcCCAIJAiACCwIMAg0CCAIIAggCCAIIAggCCAIIAggCCAIIAggCCAIIAggCCAIIAhgCAwJ6Ah4AAvoCAgI4AgQCBQIGAgcCCAIJAgoCCwIMAg0CCAIIAggCCAIIAggCCAIIAggCCAIIAggCCAIIAggCCAIIAhgCAwIOAh4AAvoCAgJfAgQCBQIGAgcCCAIJAgoCCwIMAg0CCAIIAggCCAIIAggCCAIIAggCCAIIAggCCAIIAggCCAIIAhgCAwJgAh4AAvoCAgJWAgQCBQIGAgcCCAIJAiACCwIMAg0CCAIIAggCCAIIAggCCAIIAggCCAIIAggCCAIIAggCCAIIAhgCAwJ7Ah4AAvoCAgItAgQCBQIGAgcCCAIJAgoCCwIMAg0CCAIIAggCCAIIAggCCAIIAggCCAIIAggCCAIIAggCCAIIAhgCAwKSAh4AAvoCAgJKAgQCBQIGAgcCCAIJAgoCCwIMAg0CCAIIAggCCAIIAggCCAIIAggCCAIIAggCCAIIAggCCAIIAhgCAwJLAh4AAvoCAgJEAgQCBQIGAgcCCAIJAiACCwIMAg0CCAIIAggCCAIIAggCCAIIAggCCAIIAggCCAIIAggCCAIIAhgCAwJFAh4AAvoCAgJ/AgQCBQIGAgcCCAIJAhwCCwIMAg0CCAIIAggCCAIIAggCCAIIAggCCAIIAggCCAIIAggCCAIIAhgCAwKAAh4AAvoCAgJIAgQCBQIGAgcCCAIJAiACCwIMAg0CCAIIAggCCAIIAggCCAIIAggCCAIIAggCCAIIAggCCAIIAhgCAwKMAh4AAvoCegAABAACAjwCBAIFAgYCBwIIAgkCIAILAgwCDQIIAggCCAIIAggCCAIIAggCCAIIAggCCAIIAggCCAIIAggCGAIDAoECHgAC+gICAl0CBAIFAgYCBwIIAgkCCgILAgwCDQIIAggCCAIIAggCCAIIAggCCAIIAggCCAIIAggCCAIIAggCGAIDAoICHgAC+gICAiICBAIFAgYCBwIIAgkCHAILAgwCDQIIAggCCAIIAggCCAIIAggCCAIIAggCCAIIAggCCAIIAggCGAIDAjcCHgAC+gICAm0CBAIFAgYCBwIIAgkCHAILAgwCDQIIAggCCAIIAggCCAIIAggCCAIIAggCCAIIAggCCAIIAggCGAIDAnQCHgAC+gICAjECBAIFAgYCBwIIAgkCIAILAgwCDQIIAggCCAIIAggCCAIIAggCCAIIAggCCAIIAggCCAIIAggCGAIDAjICHgAC+gICAl0CBAIFAgYCBwIIAgkCIAILAgwCDQIIAggCCAIIAggCCAIIAggCCAIIAggCCAIIAggCCAIIAggCGAIDAmgCHgAC+gICAjUCBAIFAgYCBwIIAgkCCgILAgwCDQIIAggCCAIIAggCCAIIAggCCAIIAggCCAIIAggCCAIIAggCGAIDAmUCHgAC+gICAhsCBAIFAgYCBwIIAgkCHAILAgwCDQIIAggCCAIIAggCCAIIAggCCAIIAggCCAIIAggCCAIIAggCGAIDAh0CHgAC+gICAkQCBAIFAgYCBwIIAgkCHAILAgwCDQIIAggCCAIIAggCCAIIAggCCAIIAggCCAIIAggCCAIIAggCGAIDAlQCHgAC+gICAiYCBAIFAgYCBwIIAgkCCgILAgwCDQIIAggCCAIIAggCCAIIAggCCAIIAggCCAIIAggCCAIIAggCGAIDAicCHgAC+gICAk0CBAIFAgYCBwIIAgkCIAILAgwCDQIIAggCCAIIAggCCAIIAggCCAIIAggCCAIIAggCCAIIAggCGAIDAk4CHgAC+gICAiICBAIFAgYCBwIIAgkCCgILAgwCDQIIAggCCAIIAggCCAIIAggCCAIIAggCCAIIAggCCAIIAggCGAIDAlMCHgAC+gICAkYCBAIFAgYCBwIIAgkCHAILAgwCDQIIAggCCAIIAggCCAIIAggCCAIIAggCCAIIAggCCAIIAggCGAIDAk8CHgAC+gICAlYCBAIFAgYCBwIIAgkCHAILAgwCDQIIAggCCAIIAggCCAIIAggCCAIIAggCCAIIAggCCAIIAggCGAIDAn4CHgAC+gICAloCBAIFAgYCBwIIAgkCHAILAgwCDQIIAggCCAIIAggCCAIIAggCCAIIAggCCAIIAggCCAIIAggCegAABAAYAgMChQIeAAL6AgICAwIEAgUCBgIHAggCCQIKAgsCDAINAggCCAIIAggCCAIIAggCCAIIAggCCAIIAggCCAIIAggCCAIYAgMCDgIeAAL6AgICVQIEAgUCBgIHAggCCQIcAgsCDAINAggCCAIIAggCCAIIAggCCAIIAggCCAIIAggCCAIIAggCCAIYAgMCZgIeAAL6AgICJAIEAgUCBgIHAggCCQIgAgsCDAINAggCCAIIAggCCAIIAggCCAIIAggCCAIIAggCCAIIAggCCAIYAgMCUgIeAAL6AgICPgIEAgUCBgIHAggCCQIgAgsCDAINAggCCAIIAggCCAIIAggCCAIIAggCCAIIAggCCAIIAggCCAIYAgMCPwIeAAL6AgICKgIEAgUCBgIHAggCCQIgAgsCDAINAggCCAIIAggCCAIIAggCCAIIAggCCAIIAggCCAIIAggCCAIYAgMCdgIeAAL6AgICfwIEAgUCBgIHAggCCQIKAgsCDAINAggCCAIIAggCCAIIAggCCAIIAggCCAIIAggCCAIIAggCCAIYAgMCDgIeAAL6AgICbQIEAgUCBgIHAggCCQIKAgsCDAINAggCCAIIAggCCAIIAggCCAIIAggCCAIIAggCCAIIAggCCAIYAgMChgIeAAL6AgICQQIEAgUCBgIHAggCCQIKAgsCDAINAggCCAIIAggCCAIIAggCCAIIAggCCAIIAggCCAIIAggCCAIYAgMCDgIeAAL6AgICLQIEAgUCBgIHAggCCQIcAgsCDAINAggCCAIIAggCCAIIAggCCAIIAggCCAIIAggCCAIIAggCCAIYAgMCLgIeAAL6AgICcAIEAgUCBgIHAggCCQIgAgsCDAINAggCCAIIAggCCAIIAggCCAIIAggCCAIIAggCCAIIAggCCAIYAgMChAIeAAL6AgICXwIEAgUCBgIHAggCCQIcAgsCDAINAggCCAIIAggCCAIIAggCCAIIAggCCAIIAggCCAIIAggCCAIYAgMCawIeAAL7AAkzMTM2OTcyMTYCAgJwAgQCBQIGAgcCCAIJAgoCCwIMAg0CCAIIAggCCAIIAggCCAIIAggCCAIIAggCCAIIAggCCAIIAiACAwJxAh4AAvsCAgJtAgQCBQIGAgcCCAIJAiACCwIMAg0CCAIIAggCCAIIAggCCAIIAggCCAIIAggCCAIIAggCCAIIAiACAwJuAh4AAvsCAgJfAgQCBQIGAgcCCAIJAhwCCwIMAg0CCAIIAggCCAIIAggCCAIIAggCCAIIAggCCAIIAggCCAIIAiACAwJrAh4AAvsCAgIiAgQCBQIGAgcCCAIJAiACCwIMAg0CCAIIAggCCAIIAggCegAABAAIAggCCAIIAggCCAIIAggCCAIIAggCIAIDAiMCHgAC+wICAjMCBAIFAgYCBwIIAgkCCgILAgwCDQIIAggCCAIIAggCCAIIAggCCAIIAggCCAIIAggCCAIIAggCIAIDAjQCHgAC+wICAi0CBAIFAgYCBwIIAgkCHAILAgwCDQIIAggCCAIIAggCCAIIAggCCAIIAggCCAIIAggCCAIIAggCIAIDAi4CHgAC+wICAkoCBAIFAgYCBwIIAgkCHAILAgwCDQIIAggCCAIIAggCCAIIAggCCAIIAggCCAIIAggCCAIIAggCIAIDAm8CHgAC+wICAioCBAIFAgYCBwIIAgkCCgILAgwCDQIIAggCCAIIAggCCAIIAggCCAIIAggCCAIIAggCCAIIAggCIAIDAisCHgAC+wICAkECBAIFAgYCBwIIAgkCCgILAgwCDQIIAggCCAIIAggCCAIIAggCCAIIAggCCAIIAggCCAIIAggCIAIDAg4CHgAC+wICAl0CBAIFAgYCBwIIAgkCIAILAgwCDQIIAggCCAIIAggCCAIIAggCCAIIAggCCAIIAggCCAIIAggCIAIDAmgCHgAC+wICAjoCBAIFAgYCBwIIAgkCHAILAgwCDQIIAggCCAIIAggCCAIIAggCCAIIAggCCAIIAggCCAIIAggCIAIDAmkCHgAC+wICAjECBAIFAgYCBwIIAgkCIAILAgwCDQIIAggCCAIIAggCCAIIAggCCAIIAggCCAIIAggCCAIIAggCIAIDAjICHgAC+wICAiYCBAIFAgYCBwIIAgkCCgILAgwCDQIIAggCCAIIAggCCAIIAggCCAIIAggCCAIIAggCCAIIAggCIAIDAicCHgAC+wICAlUCBAIFAgYCBwIIAgkCHAILAgwCDQIIAggCCAIIAggCCAIIAggCCAIIAggCCAIIAggCCAIIAggCIAIDAmYCHgAC+wICAi8CBAIFAgYCBwIIAgkCHAILAgwCDQIIAggCCAIIAggCCAIIAggCCAIIAggCCAIIAggCCAIIAggCIAIDAjACHgAC+wICAkoCBAIFAgYCBwIIAgkCIAILAgwCDQIIAggCCAIIAggCCAIIAggCCAIIAggCCAIIAggCCAIIAggCIAIDAmwCHgAC+wICAjUCBAIFAgYCBwIIAgkCCgILAgwCDQIIAggCCAIIAggCCAIIAggCCAIIAggCCAIIAggCCAIIAggCIAIDAmUCHgAC+wICAhsCBAIFAgYCBwIIAgkCHAILAgwCDQIIAggCCAIIAggCCAIIAggCCAIIAggCCAIIAggCCAIIAggCIAIDAh0CHgAC+wICAiQCBAIFAgYCBwIIAgkCCgILAgwCDQIIegAABAACCAIIAggCCAIIAggCCAIIAggCCAIIAggCCAIIAggCCAIgAgMCJQIeAAL7AgICVgIEAgUCBgIHAggCCQIgAgsCDAINAggCCAIIAggCCAIIAggCCAIIAggCCAIIAggCCAIIAggCCAIgAgMCewIeAAL7AgICXwIEAgUCBgIHAggCCQIgAgsCDAINAggCCAIIAggCCAIIAggCCAIIAggCCAIIAggCCAIIAggCCAIgAgMCdwIeAAL7AgICGwIEAgUCBgIHAggCCQIgAgsCDAINAggCCAIIAggCCAIIAggCCAIIAggCCAIIAggCCAIIAggCCAIgAgMCQwIeAAL7AgICVQIEAgUCBgIHAggCCQIgAgsCDAINAggCCAIIAggCCAIIAggCCAIIAggCCAIIAggCCAIIAggCCAIgAgMCeQIeAAL7AgICSgIEAgUCBgIHAggCCQIKAgsCDAINAggCCAIIAggCCAIIAggCCAIIAggCCAIIAggCCAIIAggCCAIgAgMCSwIeAAL7AgICRgIEAgUCBgIHAggCCQIcAgsCDAINAggCCAIIAggCCAIIAggCCAIIAggCCAIIAggCCAIIAggCCAIgAgMCTwIeAAL7AgICLQIEAgUCBgIHAggCCQIgAgsCDAINAggCCAIIAggCCAIIAggCCAIIAggCCAIIAggCCAIIAggCCAIgAgMCQAIeAAL7AgICIgIEAgUCBgIHAggCCQIcAgsCDAINAggCCAIIAggCCAIIAggCCAIIAggCCAIIAggCCAIIAggCCAIgAgMCNwIeAAL7AgICbQIEAgUCBgIHAggCCQIcAgsCDAINAggCCAIIAggCCAIIAggCCAIIAggCCAIIAggCCAIIAggCCAIgAgMCdAIeAAL7AgICMwIEAgUCBgIHAggCCQIcAgsCDAINAggCCAIIAggCCAIIAggCCAIIAggCCAIIAggCCAIIAggCCAIgAgMCeAIeAAL7AgICQQIEAgUCBgIHAggCCQIcAgsCDAINAggCCAIIAggCCAIIAggCCAIIAggCCAIIAggCCAIIAggCCAIgAgMCQgIeAAL7AgICSAIEAgUCBgIHAggCCQIKAgsCDAINAggCCAIIAggCCAIIAggCCAIIAggCCAIIAggCCAIIAggCCAIgAgMCSQIeAAL7AgICPAIEAgUCBgIHAggCCQIKAgsCDAINAggCCAIIAggCCAIIAggCCAIIAggCCAIIAggCCAIIAggCCAIgAgMCPQIeAAL7AgICRAIEAgUCBgIHAggCCQIgAgsCDAINAggCCAIIAggCCAIIAggCCAIIAggCCAIIAggCCAIIAggCCAIgAgMCRQIeAAL7AgICJgIEAgUCBgIHAggCegAABAAJAhwCCwIMAg0CCAIIAggCCAIIAggCCAIIAggCCAIIAggCCAIIAggCCAIIAiACAwJ1Ah4AAvsCAgJGAgQCBQIGAgcCCAIJAiACCwIMAg0CCAIIAggCCAIIAggCCAIIAggCCAIIAggCCAIIAggCCAIIAiACAwJHAh4AAvsCAgI6AgQCBQIGAgcCCAIJAgoCCwIMAg0CCAIIAggCCAIIAggCCAIIAggCCAIIAggCCAIIAggCCAIIAiACAwI7Ah4AAvsCAgJaAgQCBQIGAgcCCAIJAiACCwIMAg0CCAIIAggCCAIIAggCCAIIAggCCAIIAggCCAIIAggCCAIIAiACAwJ6Ah4AAvsCAgI1AgQCBQIGAgcCCAIJAhwCCwIMAg0CCAIIAggCCAIIAggCCAIIAggCCAIIAggCCAIIAggCCAIIAiACAwI2Ah4AAvsCAgIqAgQCBQIGAgcCCAIJAiACCwIMAg0CCAIIAggCCAIIAggCCAIIAggCCAIIAggCCAIIAggCCAIIAiACAwJ2Ah4AAvsCAgIvAgQCBQIGAgcCCAIJAgoCCwIMAg0CCAIIAggCCAIIAggCCAIIAggCCAIIAggCCAIIAggCCAIIAiACAwJzAh4AAvsCAgIkAgQCBQIGAgcCCAIJAiACCwIMAg0CCAIIAggCCAIIAggCCAIIAggCCAIIAggCCAIIAggCCAIIAiACAwJSAh4AAvsCAgI8AgQCBQIGAgcCCAIJAhwCCwIMAg0CCAIIAggCCAIIAggCCAIIAggCCAIIAggCCAIIAggCCAIIAiACAwKDAh4AAvsCAgJwAgQCBQIGAgcCCAIJAiACCwIMAg0CCAIIAggCCAIIAggCCAIIAggCCAIIAggCCAIIAggCCAIIAiACAwKEAh4AAvsCAgJ/AgQCBQIGAgcCCAIJAgoCCwIMAg0CCAIIAggCCAIIAggCCAIIAggCCAIIAggCCAIIAggCCAIIAiACAwIOAh4AAvsCAgJEAgQCBQIGAgcCCAIJAhwCCwIMAg0CCAIIAggCCAIIAggCCAIIAggCCAIIAggCCAIIAggCCAIIAiACAwJUAh4AAvsCAgI1AgQCBQIGAgcCCAIJAiACCwIMAg0CCAIIAggCCAIIAggCCAIIAggCCAIIAggCCAIIAggCCAIIAiACAwKHAh4AAvsCAgIiAgQCBQIGAgcCCAIJAgoCCwIMAg0CCAIIAggCCAIIAggCCAIIAggCCAIIAggCCAIIAggCCAIIAiACAwJTAh4AAvsCAgJIAgQCBQIGAgcCCAIJAhwCCwIMAg0CCAIIAggCCAIIAggCCAIIAggCCAIIAggCCAIIAggCCAIIAiACAwJ9Ah4AAvsCAgJtegAABAACBAIFAgYCBwIIAgkCCgILAgwCDQIIAggCCAIIAggCCAIIAggCCAIIAggCCAIIAggCCAIIAggCIAIDAoYCHgAC+wICAlYCBAIFAgYCBwIIAgkCHAILAgwCDQIIAggCCAIIAggCCAIIAggCCAIIAggCCAIIAggCCAIIAggCIAIDAn4CHgAC+wICAn8CBAIFAgYCBwIIAgkCHAILAgwCDQIIAggCCAIIAggCCAIIAggCCAIIAggCCAIIAggCCAIIAggCIAIDAoACHgAC+wICAiYCBAIFAgYCBwIIAgkCIAILAgwCDQIIAggCCAIIAggCCAIIAggCCAIIAggCCAIIAggCCAIIAggCIAIDAlECHgAC+wICAloCBAIFAgYCBwIIAgkCHAILAgwCDQIIAggCCAIIAggCCAIIAggCCAIIAggCCAIIAggCCAIIAggCIAIDAoUCHgAC+wICAjwCBAIFAgYCBwIIAgkCIAILAgwCDQIIAggCCAIIAggCCAIIAggCCAIIAggCCAIIAggCCAIIAggCIAIDAoECHgAC+wICAl0CBAIFAgYCBwIIAgkCCgILAgwCDQIIAggCCAIIAggCCAIIAggCCAIIAggCCAIIAggCCAIIAggCIAIDAoICHgAC+wICAjECBAIFAgYCBwIIAgkCCgILAgwCDQIIAggCCAIIAggCCAIIAggCCAIIAggCCAIIAggCCAIIAggCIAIDAkwCHgAC+wICAnACBAIFAgYCBwIIAgkCHAILAgwCDQIIAggCCAIIAggCCAIIAggCCAIIAggCCAIIAggCCAIIAggCIAIDApACHgAC+wICAioCBAIFAgYCBwIIAgkCHAILAgwCDQIIAggCCAIIAggCCAIIAggCCAIIAggCCAIIAggCCAIIAggCIAIDAlwCHgAC+wICAi0CBAIFAgYCBwIIAgkCCgILAgwCDQIIAggCCAIIAggCCAIIAggCCAIIAggCCAIIAggCCAIIAggCIAIDApICHgAC+wICAkgCBAIFAgYCBwIIAgkCIAILAgwCDQIIAggCCAIIAggCCAIIAggCCAIIAggCCAIIAggCCAIIAggCIAIDAowCHgAC+wICAi8CBAIFAgYCBwIIAgkCIAILAgwCDQIIAggCCAIIAggCCAIIAggCCAIIAggCCAIIAggCCAIIAggCIAIDAmICHgAC+wICAl8CBAIFAgYCBwIIAgkCCgILAgwCDQIIAggCCAIIAggCCAIIAggCCAIIAggCCAIIAggCCAIIAggCIAIDAmACHgAC+wICAkECBAIFAgYCBwIIAgkCIAILAgwCDQIIAggCCAIIAggCCAIIAggCCAIIAggCCAIIAggCCAIIAggCIAIDegAABAACWAIeAAL7AgICOgIEAgUCBgIHAggCCQIgAgsCDAINAggCCAIIAggCCAIIAggCCAIIAggCCAIIAggCCAIIAggCCAIgAgMCiAIeAAL7AgICMwIEAgUCBgIHAggCCQIgAgsCDAINAggCCAIIAggCCAIIAggCCAIIAggCCAIIAggCCAIIAggCCAIgAgMCigIeAAL7AgICMQIEAgUCBgIHAggCCQIcAgsCDAINAggCCAIIAggCCAIIAggCCAIIAggCCAIIAggCCAIIAggCCAIgAgMCkQIeAAL7AgICVgIEAgUCBgIHAggCCQIKAgsCDAINAggCCAIIAggCCAIIAggCCAIIAggCCAIIAggCCAIIAggCCAIgAgMCVwIeAAL7AgICRAIEAgUCBgIHAggCCQIKAgsCDAINAggCCAIIAggCCAIIAggCCAIIAggCCAIIAggCCAIIAggCCAIgAgMCDgIeAAL7AgICJAIEAgUCBgIHAggCCQIcAgsCDAINAggCCAIIAggCCAIIAggCCAIIAggCCAIIAggCCAIIAggCCAIgAgMCYQIeAAL7AgICGwIEAgUCBgIHAggCCQIKAgsCDAINAggCCAIIAggCCAIIAggCCAIIAggCCAIIAggCCAIIAggCCAIgAgMCjgIeAAL7AgICXQIEAgUCBgIHAggCCQIcAgsCDAINAggCCAIIAggCCAIIAggCCAIIAggCCAIIAggCCAIIAggCCAIgAgMCXgIeAAL7AgICWgIEAgUCBgIHAggCCQIKAgsCDAINAggCCAIIAggCCAIIAggCCAIIAggCCAIIAggCCAIIAggCCAIgAgMCWwIeAAL7AgICfwIEAgUCBgIHAggCCQIgAgsCDAINAggCCAIIAggCCAIIAggCCAIIAggCCAIIAggCCAIIAggCCAIgAgMCiwIeAAL7AgICRgIEAgUCBgIHAggCCQIKAgsCDAINAggCCAIIAggCCAIIAggCCAIIAggCCAIIAggCCAIIAggCCAIgAgMCjwIeAAL7AgICVQIEAgUCBgIHAggCCQIKAgsCDAINAggCCAIIAggCCAIIAggCCAIIAggCCAIIAggCCAIIAggCCAIgAgMCDgIeAAL8AAkzMTM2OTM3MzYCAgIiAgQCBQIGAgcCCAIJApkCCwKXAg0CCAIIAggCCAIIAggCCAIIAggCCAIIAggCCAIIAggCCAIIAh0CAwLVAh4AAvwCAgJtAgQCBQIGAgcCCAIJApkCCwKXAg0CCAIIAggCCAIIAggCCAIIAggCCAIIAggCCAIIAggCCAIIAh0CAwKsAh4AAvwCAgJEAgQCBQIGAgcCCAIJAiACCwKXAg0CCAIIAggCCAIIAggCCAIIegAABAACCAIIAggCCAIIAggCCAIIAggCHQIDAqgCHgAC/AICAlYCBAIFAgYCBwIIAgkCIAILApcCDQIIAggCCAIIAggCCAIIAggCCAIIAggCCAIIAggCCAIIAggCHQIDAskCHgAC/AICAkYCBAIFAgYCBwIIAgkCHAILApcCDQIIAggCCAIIAggCCAIIAggCCAIIAggCCAIIAggCCAIIAggCHQIDApsCHgAC/AICAk0CBAIFAgYCBwIIAgkCIAILApcCDQIIAggCCAIIAggCCAIIAggCCAIIAggCCAIIAggCCAIIAggCHQIDAsUCHgAC/AICAl0CBAIFAgYCBwIIAgkCmQILApcCDQIIAggCCAIIAggCCAIIAggCCAIIAggCCAIIAggCCAIIAggCHQIDAp8CHgAC/AICAjECBAIFAgYCBwIIAgkCmQILApcCDQIIAggCCAIIAggCCAIIAggCCAIIAggCCAIIAggCCAIIAggCHQIDAugCHgAC/AICAloCBAIFAgYCBwIIAgkCHAILApcCDQIIAggCCAIIAggCCAIIAggCCAIIAggCCAIIAggCCAIIAggCHQIDAscCHgAC/AICAn8CBAIFAgYCBwIIAgkCmQILApcCDQIIAggCCAIIAggCCAIIAggCCAIIAggCCAIIAggCCAIIAggCHQIDAg4CHgAC/AICAloCBAIFAgYCBwIIAgkCmQILApcCDQIIAggCCAIIAggCCAIIAggCCAIIAggCCAIIAggCCAIIAggCHQIDApoCHgAC/AICAloCBAIFAgYCBwIIAgkCIAILApcCDQIIAggCCAIIAggCCAIIAggCCAIIAggCCAIIAggCCAIIAggCHQIDAs4CHgAC/AICAjwCBAIFAgYCBwIIAgkCIAILApcCDQIIAggCCAIIAggCCAIIAggCCAIIAggCCAIIAggCCAIIAggCHQIDApgCHgAC/AICAn8CBAIFAgYCBwIIAgkCHAILApcCDQIIAggCCAIIAggCCAIIAggCCAIIAggCCAIIAggCCAIIAggCHQIDAsQCHgAC/AICAkYCBAIFAgYCBwIIAgkCIAILApcCDQIIAggCCAIIAggCCAIIAggCCAIIAggCCAIIAggCCAIIAggCHQIDAqUCHgAC/AICAiICBAIFAgYCBwIIAgkCHAILApcCDQIIAggCCAIIAggCCAIIAggCCAIIAggCCAIIAggCCAIIAggCHQIDAqkCHgAC/AICAkgCBAIFAgYCBwIIAgkCIAILApcCDQIIAggCCAIIAggCCAIIAggCCAIIAggCCAIIAggCCAIIAggCHQIDAr8CHgAC/AICAm0CBAIFAgYCBwIIAgkCHAILApcCDQIIAggCegAABAAIAggCCAIIAggCCAIIAggCCAIIAggCCAIIAggCCAIdAgMC0wIeAAL8AgICVgIEAgUCBgIHAggCCQKZAgsClwINAggCCAIIAggCCAIIAggCCAIIAggCCAIIAggCCAIIAggCCAIdAgMC6wIeAAL8AgICRAIEAgUCBgIHAggCCQKZAgsClwINAggCCAIIAggCCAIIAggCCAIIAggCCAIIAggCCAIIAggCCAIdAgMCDgIeAAL8AgICGwIEAgUCBgIHAggCCQKZAgsClwINAggCCAIIAggCCAIIAggCCAIIAggCCAIIAggCCAIIAggCCAIdAgMCwQIeAAL8AgICXwIEAgUCBgIHAggCCQIcAgsClwINAggCCAIIAggCCAIIAggCCAIIAggCCAIIAggCCAIIAggCCAIdAgMCuAIeAAL8AgICKgIEAgUCBgIHAggCCQIgAgsClwINAggCCAIIAggCCAIIAggCCAIIAggCCAIIAggCCAIIAggCCAIdAgMCoQIeAAL8AgICJAIEAgUCBgIHAggCCQIgAgsClwINAggCCAIIAggCCAIIAggCCAIIAggCCAIIAggCCAIIAggCCAIdAgMC6gIeAAL8AgICVQIEAgUCBgIHAggCCQIcAgsClwINAggCCAIIAggCCAIIAggCCAIIAggCCAIIAggCCAIIAggCCAIdAgMCtAIeAAL8AgICVgIEAgUCBgIHAggCCQIcAgsClwINAggCCAIIAggCCAIIAggCCAIIAggCCAIIAggCCAIIAggCCAIdAgMCyAIeAAL8AgICGwIEAgUCBgIHAggCCQIcAgsClwINAggCCAIIAggCCAIIAggCCAIIAggCCAIIAggCCAIIAggCCAIdAgMC7AIeAAL8AgICVQIEAgUCBgIHAggCCQKZAgsClwINAggCCAIIAggCCAIIAggCCAIIAggCCAIIAggCCAIIAggCCAIdAgMCDgIeAAL8AgICRgIEAgUCBgIHAggCCQKZAgsClwINAggCCAIIAggCCAIIAggCCAIIAggCCAIIAggCCAIIAggCCAIdAgMCxgIeAAL8AgICXQIEAgUCBgIHAggCCQIgAgsClwINAggCCAIIAggCCAIIAggCCAIIAggCCAIIAggCCAIIAggCCAIdAgMC3AIeAAL8AgICRAIEAgUCBgIHAggCCQIcAgsClwINAggCCAIIAggCCAIIAggCCAIIAggCCAIIAggCCAIIAggCCAIdAgMCnAIeAAL8AgICMQIEAgUCBgIHAggCCQIgAgsClwINAggCCAIIAggCCAIIAggCCAIIAggCCAIIAggCCAIIAggCCAIdAgMCswIeAAL8AgICcAIEAgUCBgIHAggCCQIgegAABAACCwKXAg0CCAIIAggCCAIIAggCCAIIAggCCAIIAggCCAIIAggCCAIIAh0CAwLMAh4AAvwCAgItAgQCBQIGAgcCCAIJAhwCCwKXAg0CCAIIAggCCAIIAggCCAIIAggCCAIIAggCCAIIAggCCAIIAh0CAwLhAh4AAvwCAgItAgQCBQIGAgcCCAIJApkCCwKXAg0CCAIIAggCCAIIAggCCAIIAggCCAIIAggCCAIIAggCCAIIAh0CAwK9Ah4AAvwCAgJfAgQCBQIGAgcCCAIJApkCCwKXAg0CCAIIAggCCAIIAggCCAIIAggCCAIIAggCCAIIAggCCAIIAh0CAwLiAh4AAvwCAgJwAgQCBQIGAgcCCAIJAhwCCwKXAg0CCAIIAggCCAIIAggCCAIIAggCCAIIAggCCAIIAggCCAIIAh0CAwLCAh4AAvwCAgItAgQCBQIGAgcCCAIJAiACCwKXAg0CCAIIAggCCAIIAggCCAIIAggCCAIIAggCCAIIAggCCAIIAh0CAwLWAh4AAvwCAgIqAgQCBQIGAgcCCAIJAhwCCwKXAg0CCAIIAggCCAIIAggCCAIIAggCCAIIAggCCAIIAggCCAIIAh0CAwLtAh4AAvwCAgIDAgQCBQIGAgcCCAIJApkCCwKXAg0CCAIIAggCCAIIAggCCAIIAggCCAIIAggCCAIIAggCCAIIAh0CAwIOAh4AAvwCAgJVAgQCBQIGAgcCCAIJAiACCwKXAg0CCAIIAggCCAIIAggCCAIIAggCCAIIAggCCAIIAggCCAIIAh0CAwK2Ah4AAvwCAgJfAgQCBQIGAgcCCAIJAiACCwKXAg0CCAIIAggCCAIIAggCCAIIAggCCAIIAggCCAIIAggCCAIIAh0CAwKrAh4AAvwCAgIkAgQCBQIGAgcCCAIJAhwCCwKXAg0CCAIIAggCCAIIAggCCAIIAggCCAIIAggCCAIIAggCCAIIAh0CAwLgAh4AAvwCAgI6AgQCBQIGAgcCCAIJAiACCwKXAg0CCAIIAggCCAIIAggCCAIIAggCCAIIAggCCAIIAggCCAIIAh0CAwK+Ah4AAvwCAgIbAgQCBQIGAgcCCAIJAiACCwKXAg0CCAIIAggCCAIIAggCCAIIAggCCAIIAggCCAIIAggCCAIIAh0CAwLfAh4AAvwCAgI1AgQCBQIGAgcCCAIJApkCCwKXAg0CCAIIAggCCAIIAggCCAIIAggCCAIIAggCCAIIAggCCAIIAh0CAwK3Ah4AAvwCAgImAgQCBQIGAgcCCAIJApkCCwKXAg0CCAIIAggCCAIIAggCCAIIAggCCAIIAggCCAIIAggCCAIIAh0CAwLeAh4AAvwCAgI6AgQCegAABAAFAgYCBwIIAgkCHAILApcCDQIIAggCCAIIAggCCAIIAggCCAIIAggCCAIIAggCCAIIAggCHQIDArACHgAC/AICAiYCBAIFAgYCBwIIAgkCHAILApcCDQIIAggCCAIIAggCCAIIAggCCAIIAggCCAIIAggCCAIIAggCHQIDAqQCHgAC/AICAiQCBAIFAgYCBwIIAgkCmQILApcCDQIIAggCCAIIAggCCAIIAggCCAIIAggCCAIIAggCCAIIAggCHQIDArICHgAC/AICAkECBAIFAgYCBwIIAgkCmQILApcCDQIIAggCCAIIAggCCAIIAggCCAIIAggCCAIIAggCCAIIAggCHQIDAg4CHgAC/AICAjMCBAIFAgYCBwIIAgkCmQILApcCDQIIAggCCAIIAggCCAIIAggCCAIIAggCCAIIAggCCAIIAggCHQIDArECHgAC/AICAjUCBAIFAgYCBwIIAgkCHAILApcCDQIIAggCCAIIAggCCAIIAggCCAIIAggCCAIIAggCCAIIAggCHQIDAtICHgAC/AICAi8CBAIFAgYCBwIIAgkCIAILApcCDQIIAggCCAIIAggCCAIIAggCCAIIAggCCAIIAggCCAIIAggCHQIDAukCHgAC/AICAgMCBAIFAgYCBwIIAgkCHAILApcCDQIIAggCCAIIAggCCAIIAggCCAIIAggCCAIIAggCCAIIAggCHQIDAqMCHgAC/AICAkECBAIFAgYCBwIIAgkCHAILApcCDQIIAggCCAIIAggCCAIIAggCCAIIAggCCAIIAggCCAIIAggCHQIDAq8CHgAC/AICAjMCBAIFAgYCBwIIAgkCHAILApcCDQIIAggCCAIIAggCCAIIAggCCAIIAggCCAIIAggCCAIIAggCHQIDAtoCHgAC/AICAnACBAIFAgYCBwIIAgkCmQILApcCDQIIAggCCAIIAggCCAIIAggCCAIIAggCCAIIAggCCAIIAggCHQIDAtkCHgAC/AICAioCBAIFAgYCBwIIAgkCmQILApcCDQIIAggCCAIIAggCCAIIAggCCAIIAggCCAIIAggCCAIIAggCHQIDAq4CHgAC/AICAkoCBAIFAgYCBwIIAgkCIAILApcCDQIIAggCCAIIAggCCAIIAggCCAIIAggCCAIIAggCCAIIAggCHQIDAtgCHgAC/AICAiICBAIFAgYCBwIIAgkCIAILApcCDQIIAggCCAIIAggCCAIIAggCCAIIAggCCAIIAggCCAIIAggCHQIDAuQCHgAC/AICAk0CBAIFAgYCBwIIAgkCHAILApcCDQIIAggCCAIIAggCCAIIAggCCAIIAggCCAIIAggCCAIIAggCHQIDAs0CegAABAAeAAL8AgICbQIEAgUCBgIHAggCCQIgAgsClwINAggCCAIIAggCCAIIAggCCAIIAggCCAIIAggCCAIIAggCCAIdAgMCugIeAAL8AgICNQIEAgUCBgIHAggCCQIgAgsClwINAggCCAIIAggCCAIIAggCCAIIAggCCAIIAggCCAIIAggCCAIdAgMCygIeAAL8AgICLwIEAgUCBgIHAggCCQKZAgsClwINAggCCAIIAggCCAIIAggCCAIIAggCCAIIAggCCAIIAggCCAIdAgMC1AIeAAL8AgICOgIEAgUCBgIHAggCCQKZAgsClwINAggCCAIIAggCCAIIAggCCAIIAggCCAIIAggCCAIIAggCCAIdAgMCpwIeAAL8AgICMQIEAgUCBgIHAggCCQIcAgsClwINAggCCAIIAggCCAIIAggCCAIIAggCCAIIAggCCAIIAggCCAIdAgMCuwIeAAL8AgICJgIEAgUCBgIHAggCCQIgAgsClwINAggCCAIIAggCCAIIAggCCAIIAggCCAIIAggCCAIIAggCCAIdAgMCpgIeAAL8AgICXQIEAgUCBgIHAggCCQIcAgsClwINAggCCAIIAggCCAIIAggCCAIIAggCCAIIAggCCAIIAggCCAIdAgMC5wIeAAL8AgICfwIEAgUCBgIHAggCCQIgAgsClwINAggCCAIIAggCCAIIAggCCAIIAggCCAIIAggCCAIIAggCCAIdAgMCvAIeAAL8AgICMwIEAgUCBgIHAggCCQIgAgsClwINAggCCAIIAggCCAIIAggCCAIIAggCCAIIAggCCAIIAggCCAIdAgMCuQIeAAL8AgICLwIEAgUCBgIHAggCCQIcAgsClwINAggCCAIIAggCCAIIAggCCAIIAggCCAIIAggCCAIIAggCCAIdAgMC3QIeAAL8AgICTQIEAgUCBgIHAggCCQKZAgsClwINAggCCAIIAggCCAIIAggCCAIIAggCCAIIAggCCAIIAggCCAIdAgMCDgIeAAL8AgICQQIEAgUCBgIHAggCCQIgAgsClwINAggCCAIIAggCCAIIAggCCAIIAggCCAIIAggCCAIIAggCCAIdAgMC4wIeAAL8AgICAwIEAgUCBgIHAggCCQIgAgsClwINAggCCAIIAggCCAIIAggCCAIIAggCCAIIAggCCAIIAggCCAIdAgMCnQIeAAL8AgICPAIEAgUCBgIHAggCCQIcAgsClwINAggCCAIIAggCCAIIAggCCAIIAggCCAIIAggCCAIIAggCCAIdAgMCoAIeAAL8AgICSAIEAgUCBgIHAggCCQIcAgsClwINAggCCAIIAggCCAIIAggCCAIIAggCCAIIAggCCAIIegAABAACCAIIAh0CAwKeAh4AAvwCAgJIAgQCBQIGAgcCCAIJApkCCwKXAg0CCAIIAggCCAIIAggCCAIIAggCCAIIAggCCAIIAggCCAIIAh0CAwLLAh4AAvwCAgJKAgQCBQIGAgcCCAIJAhwCCwKXAg0CCAIIAggCCAIIAggCCAIIAggCCAIIAggCCAIIAggCCAIIAh0CAwLRAh4AAvwCAgJKAgQCBQIGAgcCCAIJApkCCwKXAg0CCAIIAggCCAIIAggCCAIIAggCCAIIAggCCAIIAggCCAIIAh0CAwKiAh4AAvwCAgI8AgQCBQIGAgcCCAIJApkCCwKXAg0CCAIIAggCCAIIAggCCAIIAggCCAIIAggCCAIIAggCCAIIAh0CAwLPAh4AAv0ACTMxMDUzMDczNgICAjECBAIFAgYCBwIIAgkCHAILAgwCDQIIAggCCAIIAggCCAIIAggCCAIIAggCCAIIAggCCAIIAggCAgIDApECHgAC/QICAn8CBAIFAgYCBwIIAgkCHAILAgwCDQIIAggCCAIIAggCCAIIAggCCAIIAggCCAIIAggCCAIIAggCAgIDAoACHgAC/QICAk0CBAIFAgYCBwIIAgkCHAILAgwCDQIIAggCCAIIAggCCAIIAggCCAIIAggCCAIIAggCCAIIAggCAgIDAlkCHgAC/QICAjgCBAIFAgYCBwIIAgkCHAILAgwCDQIIAggCCAIIAggCCAIIAggCCAIIAggCCAIIAggCCAIIAggCAgIDAnICHgAC/QICAj4CBAIFAgYCBwIIAgkCHAILAgwCDQIIAggCCAIIAggCCAIIAggCCAIIAggCCAIIAggCCAIIAggCAgIDAo0CHgAC/QICAkECBAIFAgYCBwIIAgkCHAILAgwCDQIIAggCCAIIAggCCAIIAggCCAIIAggCCAIIAggCCAIIAggCAgIDAkICHgAC/QICAl8CBAIFAgYCBwIIAgkCHAILAgwCDQIIAggCCAIIAggCCAIIAggCCAIIAggCCAIIAggCCAIIAggCAgIDAmsCHgAC/QICAjwCBAIFAgYCBwIIAgkCHAILAgwCDQIIAggCCAIIAggCCAIIAggCCAIIAggCCAIIAggCCAIIAggCAgIDAoMCHgAC/QICAm0CBAIFAgYCBwIIAgkCHAILAgwCDQIIAggCCAIIAggCCAIIAggCCAIIAggCCAIIAggCCAIIAggCAgIDAnQCHgAC/QICAioCBAIFAgYCBwIIAgkCHAILAgwCDQIIAggCCAIIAggCCAIIAggCCAIIAggCCAIIAggCCAIIAggCAgIDAlwCHgAC/QICAiQCBAIFAgYCBwIIAgkCHAILAgwCDQIIAggCCAIIegAABAACCAIIAggCCAIIAggCCAIIAggCCAIIAggCCAICAgMCYQIeAAL9AgICRAIEAgUCBgIHAggCCQIcAgsCDAINAggCCAIIAggCCAIIAggCCAIIAggCCAIIAggCCAIIAggCCAICAgMCVAIeAAL9AgICNQIEAgUCBgIHAggCCQIcAgsCDAINAggCCAIIAggCCAIIAggCCAIIAggCCAIIAggCCAIIAggCCAICAgMCNgIeAAL9AgICAwIEAgUCBgIHAggCCQIcAgsCDAINAggCCAIIAggCCAIIAggCCAIIAggCCAIIAggCCAIIAggCCAICAgMCfAIeAAL9AgICRgIEAgUCBgIHAggCCQIcAgsCDAINAggCCAIIAggCCAIIAggCCAIIAggCCAIIAggCCAIIAggCCAICAgMCTwIeAAL9AgICLwIEAgUCBgIHAggCCQIcAgsCDAINAggCCAIIAggCCAIIAggCCAIIAggCCAIIAggCCAIIAggCCAICAgMCMAIeAAL9AgICVgIEAgUCBgIHAggCCQIcAgsCDAINAggCCAIIAggCCAIIAggCCAIIAggCCAIIAggCCAIIAggCCAICAgMCfgIeAAL9AgICVQIEAgUCBgIHAggCCQIcAgsCDAINAggCCAIIAggCCAIIAggCCAIIAggCCAIIAggCCAIIAggCCAICAgMCZgIeAAL+AAkzMTMxMzcwMTYCAgItAgQCBQIGAgcCCAIJAiACCwIMAg0CCAIIAggCCAIIAggCCAIIAggCCAIIAggCCAIIAggCCAIIAiICAwJAAh4AAv4CAgJwAgQCBQIGAgcCCAIJAhwCCwIMAg0CCAIIAggCCAIIAggCCAIIAggCCAIIAggCCAIIAggCCAIIAiICAwKQAh4AAv4CAgJfAgQCBQIGAgcCCAIJAiACCwIMAg0CCAIIAggCCAIIAggCCAIIAggCCAIIAggCCAIIAggCCAIIAiICAwJ3Ah4AAv4CAgIzAgQCBQIGAgcCCAIJAhwCCwIMAg0CCAIIAggCCAIIAggCCAIIAggCCAIIAggCCAIIAggCCAIIAiICAwJ4Ah4AAv4CAgI8AgQCBQIGAgcCCAIJAgoCCwIMAg0CCAIIAggCCAIIAggCCAIIAggCCAIIAggCCAIIAggCCAIIAiICAwI9Ah4AAv4CAgJKAgQCBQIGAgcCCAIJAiACCwIMAg0CCAIIAggCCAIIAggCCAIIAggCCAIIAggCCAIIAggCCAIIAiICAwJsAh4AAv4CAgJBAgQCBQIGAgcCCAIJAhwCCwIMAg0CCAIIAggCCAIIAggCCAIIAggCCAIIAggCCAIIAggCCAIIAiICAwJCAh4AAv4CAgIqAgQCBQIGegAABAACBwIIAgkCHAILAgwCDQIIAggCCAIIAggCCAIIAggCCAIIAggCCAIIAggCCAIIAggCIgIDAlwCHgAC/gICAjUCBAIFAgYCBwIIAgkCHAILAgwCDQIIAggCCAIIAggCCAIIAggCCAIIAggCCAIIAggCCAIIAggCIgIDAjYCHgAC/gICAiYCBAIFAgYCBwIIAgkCHAILAgwCDQIIAggCCAIIAggCCAIIAggCCAIIAggCCAIIAggCCAIIAggCIgIDAnUCHgAC/gICAi8CBAIFAgYCBwIIAgkCIAILAgwCDQIIAggCCAIIAggCCAIIAggCCAIIAggCCAIIAggCCAIIAggCIgIDAmICHgAC/gICAkgCBAIFAgYCBwIIAgkCCgILAgwCDQIIAggCCAIIAggCCAIIAggCCAIIAggCCAIIAggCCAIIAggCIgIDAkkCHgAC/gICAlYCBAIFAgYCBwIIAgkCCgILAgwCDQIIAggCCAIIAggCCAIIAggCCAIIAggCCAIIAggCCAIIAggCIgIDAlcCHgAC/gICAhsCBAIFAgYCBwIIAgkCIAILAgwCDQIIAggCCAIIAggCCAIIAggCCAIIAggCCAIIAggCCAIIAggCIgIDAkMCHgAC/gICAiQCBAIFAgYCBwIIAgkCHAILAgwCDQIIAggCCAIIAggCCAIIAggCCAIIAggCCAIIAggCCAIIAggCIgIDAmECHgAC/gICAlUCBAIFAgYCBwIIAgkCIAILAgwCDQIIAggCCAIIAggCCAIIAggCCAIIAggCCAIIAggCCAIIAggCIgIDAnkCHgAC/gICAjoCBAIFAgYCBwIIAgkCIAILAgwCDQIIAggCCAIIAggCCAIIAggCCAIIAggCCAIIAggCCAIIAggCIgIDAogCHgAC/gICAiQCBAIFAgYCBwIIAgkCIAILAgwCDQIIAggCCAIIAggCCAIIAggCCAIIAggCCAIIAggCCAIIAggCIgIDAlICHgAC/gICAkECBAIFAgYCBwIIAgkCCgILAgwCDQIIAggCCAIIAggCCAIIAggCCAIIAggCCAIIAggCCAIIAggCIgIDAg4CHgAC/gICAn8CBAIFAgYCBwIIAgkCCgILAgwCDQIIAggCCAIIAggCCAIIAggCCAIIAggCCAIIAggCCAIIAggCIgIDAg4CHgAC/gICAi0CBAIFAgYCBwIIAgkCHAILAgwCDQIIAggCCAIIAggCCAIIAggCCAIIAggCCAIIAggCCAIIAggCIgIDAi4CHgAC/gICAioCBAIFAgYCBwIIAgkCIAILAgwCDQIIAggCCAIIAggCCAIIAggCCAIIAggCCAIIAggCCAIIAggCIgIDAnYCHgACegAABAD+AgICcAIEAgUCBgIHAggCCQIgAgsCDAINAggCCAIIAggCCAIIAggCCAIIAggCCAIIAggCCAIIAggCCAIiAgMChAIeAAL+AgICXwIEAgUCBgIHAggCCQIcAgsCDAINAggCCAIIAggCCAIIAggCCAIIAggCCAIIAggCCAIIAggCCAIiAgMCawIeAAL+AgICMQIEAgUCBgIHAggCCQIgAgsCDAINAggCCAIIAggCCAIIAggCCAIIAggCCAIIAggCCAIIAggCCAIiAgMCMgIeAAL+AgICJgIEAgUCBgIHAggCCQIKAgsCDAINAggCCAIIAggCCAIIAggCCAIIAggCCAIIAggCCAIIAggCCAIiAgMCJwIeAAL+AgICGwIEAgUCBgIHAggCCQIcAgsCDAINAggCCAIIAggCCAIIAggCCAIIAggCCAIIAggCCAIIAggCCAIiAgMCHQIeAAL+AgICNQIEAgUCBgIHAggCCQIKAgsCDAINAggCCAIIAggCCAIIAggCCAIIAggCCAIIAggCCAIIAggCCAIiAgMCZQIeAAL+AgICbQIEAgUCBgIHAggCCQIKAgsCDAINAggCCAIIAggCCAIIAggCCAIIAggCCAIIAggCCAIIAggCCAIiAgMChgIeAAL+AgICMwIEAgUCBgIHAggCCQIKAgsCDAINAggCCAIIAggCCAIIAggCCAIIAggCCAIIAggCCAIIAggCCAIiAgMCNAIeAAL+AgICIgIEAgUCBgIHAggCCQIKAgsCDAINAggCCAIIAggCCAIIAggCCAIIAggCCAIIAggCCAIIAggCCAIiAgMCUwIeAAL+AgICRgIEAgUCBgIHAggCCQIcAgsCDAINAggCCAIIAggCCAIIAggCCAIIAggCCAIIAggCCAIIAggCCAIiAgMCTwIeAAL+AgICVgIEAgUCBgIHAggCCQIcAgsCDAINAggCCAIIAggCCAIIAggCCAIIAggCCAIIAggCCAIIAggCCAIiAgMCfgIeAAL+AgICVQIEAgUCBgIHAggCCQIcAgsCDAINAggCCAIIAggCCAIIAggCCAIIAggCCAIIAggCCAIIAggCCAIiAgMCZgIeAAL+AgICXQIEAgUCBgIHAggCCQIgAgsCDAINAggCCAIIAggCCAIIAggCCAIIAggCCAIIAggCCAIIAggCCAIiAgMCaAIeAAL+AgICSgIEAgUCBgIHAggCCQIKAgsCDAINAggCCAIIAggCCAIIAggCCAIIAggCCAIIAggCCAIIAggCCAIiAgMCSwIeAAL+AgICWgIEAgUCBgIHAggCCQIcAgsCDAINAggCCAIIAggCCAIIAggCCAIIAggCCAIIAggCCAIIAggCegAABAAIAiICAwKFAh4AAv4CAgJfAgQCBQIGAgcCCAIJAgoCCwIMAg0CCAIIAggCCAIIAggCCAIIAggCCAIIAggCCAIIAggCCAIIAiICAwJgAh4AAv4CAgJIAgQCBQIGAgcCCAIJAiACCwIMAg0CCAIIAggCCAIIAggCCAIIAggCCAIIAggCCAIIAggCCAIIAiICAwKMAh4AAv4CAgJ/AgQCBQIGAgcCCAIJAhwCCwIMAg0CCAIIAggCCAIIAggCCAIIAggCCAIIAggCCAIIAggCCAIIAiICAwKAAh4AAv4CAgI8AgQCBQIGAgcCCAIJAiACCwIMAg0CCAIIAggCCAIIAggCCAIIAggCCAIIAggCCAIIAggCCAIIAiICAwKBAh4AAv4CAgJdAgQCBQIGAgcCCAIJAgoCCwIMAg0CCAIIAggCCAIIAggCCAIIAggCCAIIAggCCAIIAggCCAIIAiICAwKCAh4AAv4CAgIbAgQCBQIGAgcCCAIJAgoCCwIMAg0CCAIIAggCCAIIAggCCAIIAggCCAIIAggCCAIIAggCCAIIAiICAwKOAh4AAv4CAgJtAgQCBQIGAgcCCAIJAhwCCwIMAg0CCAIIAggCCAIIAggCCAIIAggCCAIIAggCCAIIAggCCAIIAiICAwJ0Ah4AAv4CAgI6AgQCBQIGAgcCCAIJAgoCCwIMAg0CCAIIAggCCAIIAggCCAIIAggCCAIIAggCCAIIAggCCAIIAiICAwI7Ah4AAv4CAgIiAgQCBQIGAgcCCAIJAhwCCwIMAg0CCAIIAggCCAIIAggCCAIIAggCCAIIAggCCAIIAggCCAIIAiICAwI3Ah4AAv4CAgJ/AgQCBQIGAgcCCAIJAiACCwIMAg0CCAIIAggCCAIIAggCCAIIAggCCAIIAggCCAIIAggCCAIIAiICAwKLAh4AAv4CAgIvAgQCBQIGAgcCCAIJAgoCCwIMAg0CCAIIAggCCAIIAggCCAIIAggCCAIIAggCCAIIAggCCAIIAiICAwJzAh4AAv4CAgJVAgQCBQIGAgcCCAIJAgoCCwIMAg0CCAIIAggCCAIIAggCCAIIAggCCAIIAggCCAIIAggCCAIIAiICAwIOAh4AAv4CAgIxAgQCBQIGAgcCCAIJAhwCCwIMAg0CCAIIAggCCAIIAggCCAIIAggCCAIIAggCCAIIAggCCAIIAiICAwKRAh4AAv4CAgJdAgQCBQIGAgcCCAIJAhwCCwIMAg0CCAIIAggCCAIIAggCCAIIAggCCAIIAggCCAIIAggCCAIIAiICAwJeAh4AAv4CAgJGAgQCBQIGAgcCCAIJAiACCwIMAg0CCAIIAggCCAIIAggCCAIIAggCCAIIegAABAACCAIIAggCCAIIAggCIgIDAkcCHgAC/gICAlYCBAIFAgYCBwIIAgkCIAILAgwCDQIIAggCCAIIAggCCAIIAggCCAIIAggCCAIIAggCCAIIAggCIgIDAnsCHgAC/gICAi0CBAIFAgYCBwIIAgkCCgILAgwCDQIIAggCCAIIAggCCAIIAggCCAIIAggCCAIIAggCCAIIAggCIgIDApICHgAC/gICAloCBAIFAgYCBwIIAgkCIAILAgwCDQIIAggCCAIIAggCCAIIAggCCAIIAggCCAIIAggCCAIIAggCIgIDAnoCHgAC/gICAkoCBAIFAgYCBwIIAgkCHAILAgwCDQIIAggCCAIIAggCCAIIAggCCAIIAggCCAIIAggCCAIIAggCIgIDAm8CHgAC/gICAnACBAIFAgYCBwIIAgkCCgILAgwCDQIIAggCCAIIAggCCAIIAggCCAIIAggCCAIIAggCCAIIAggCIgIDAnECHgAC/gICAkYCBAIFAgYCBwIIAgkCCgILAgwCDQIIAggCCAIIAggCCAIIAggCCAIIAggCCAIIAggCCAIIAggCIgIDAo8CHgAC/gICAioCBAIFAgYCBwIIAgkCCgILAgwCDQIIAggCCAIIAggCCAIIAggCCAIIAggCCAIIAggCCAIIAggCIgIDAisCHgAC/gICAiQCBAIFAgYCBwIIAgkCCgILAgwCDQIIAggCCAIIAggCCAIIAggCCAIIAggCCAIIAggCCAIIAggCIgIDAiUCHgAC/gICAloCBAIFAgYCBwIIAgkCCgILAgwCDQIIAggCCAIIAggCCAIIAggCCAIIAggCCAIIAggCCAIIAggCIgIDAlsCHgAC/gICAkECBAIFAgYCBwIIAgkCIAILAgwCDQIIAggCCAIIAggCCAIIAggCCAIIAggCCAIIAggCCAIIAggCIgIDAlgCHgAC/gICAiICBAIFAgYCBwIIAgkCIAILAgwCDQIIAggCCAIIAggCCAIIAggCCAIIAggCCAIIAggCCAIIAggCIgIDAiMCHgAC/gICAm0CBAIFAgYCBwIIAgkCIAILAgwCDQIIAggCCAIIAggCCAIIAggCCAIIAggCCAIIAggCCAIIAggCIgIDAm4CHgAC/gICAjMCBAIFAgYCBwIIAgkCIAILAgwCDQIIAggCCAIIAggCCAIIAggCCAIIAggCCAIIAggCCAIIAggCIgIDAooCHgAC/gICAjwCBAIFAgYCBwIIAgkCHAILAgwCDQIIAggCCAIIAggCCAIIAggCCAIIAggCCAIIAggCCAIIAggCIgIDAoMCHgAC/gICAkgCBAIFAgYCBwIIAgkCHAILAgwCDQIIAggCCAIIAggCegAABAAIAggCCAIIAggCCAIIAggCCAIIAggCCAIiAgMCfQIeAAL+AgICOgIEAgUCBgIHAggCCQIcAgsCDAINAggCCAIIAggCCAIIAggCCAIIAggCCAIIAggCCAIIAggCCAIiAgMCaQIeAAL+AgICMQIEAgUCBgIHAggCCQIKAgsCDAINAggCCAIIAggCCAIIAggCCAIIAggCCAIIAggCCAIIAggCCAIiAgMCTAIeAAL+AgICNQIEAgUCBgIHAggCCQIgAgsCDAINAggCCAIIAggCCAIIAggCCAIIAggCCAIIAggCCAIIAggCCAIiAgMChwIeAAL+AgICLwIEAgUCBgIHAggCCQIcAgsCDAINAggCCAIIAggCCAIIAggCCAIIAggCCAIIAggCCAIIAggCCAIiAgMCMAIeAAL+AgICJgIEAgUCBgIHAggCCQIgAgsCDAINAggCCAIIAggCCAIIAggCCAIIAggCCAIIAggCCAIIAggCCAIiAgMCUQIeAAL/AAkzMTI2MzU1ODQCAgJjAgQCBQIGAgcCCAIJAiACCwKXAg0CCAIIAggCCAIIAggCCAIIAggCCAIIAggCCAIIAggCCAIIAhUCAwLbAh4AAv8CAgJdAgQCBQIGAgcCCAIJAiACCwKXAg0CCAIIAggCCAIIAggCCAIIAggCCAIIAggCCAIIAggCCAIIAhUCAwLcAh4AAv8CAgJBAgQCBQIGAgcCCAIJApkCCwKXAg0CCAIIAggCCAIIAggCCAIIAggCCAIIAggCCAIIAggCCAIIAhUCAwIOAh4AAv8CAgI6AgQCBQIGAgcCCAIJAhwCCwKXAg0CCAIIAggCCAIIAggCCAIIAggCCAIIAggCCAIIAggCCAIIAhUCAwKwAh4AAv8CAgI+AgQCBQIGAgcCCAIJApkCCwKXAg0CCAIIAggCCAIIAggCCAIIAggCCAIIAggCCAIIAggCCAIIAhUCAwIOAh4AAv8CAgJKAgQCBQIGAgcCCAIJAiACCwKXAg0CCAIIAggCCAIIAggCCAIIAggCCAIIAggCCAIIAggCCAIIAhUCAwLYAh4AAv8CAgJfAgQCBQIGAgcCCAIJAhwCCwKXAg0CCAIIAggCCAIIAggCCAIIAggCCAIIAggCCAIIAggCCAIIAhUCAwK4Ah4AAv8CAgIqAgQCBQIGAgcCCAIJAhwCCwKXAg0CCAIIAggCCAIIAggCCAIIAggCCAIIAggCCAIIAggCCAIIAhUCAwLtAh4AAv8CAgJtAgQCBQIGAgcCCAIJAiACCwKXAg0CCAIIAggCCAIIAggCCAIIAggCCAIIAggCCAIIAggCCAIIAhUCAwK6Ah4AAv8CAgIzAgQCBQIGAgcCegAABAAIAgkCHAILApcCDQIIAggCCAIIAggCCAIIAggCCAIIAggCCAIIAggCCAIIAggCFQIDAtoCHgAC/wICAnACBAIFAgYCBwIIAgkCmQILApcCDQIIAggCCAIIAggCCAIIAggCCAIIAggCCAIIAggCCAIIAggCFQIDAtkCHgAC/wICAiQCBAIFAgYCBwIIAgkCHAILApcCDQIIAggCCAIIAggCCAIIAggCCAIIAggCCAIIAggCCAIIAggCFQIDAuACHgAC/wICAmMCBAIFAgYCBwIIAgkCHAILApcCDQIIAggCCAIIAggCCAIIAggCCAIIAggCCAIIAggCCAIIAggCFQIDAuYCHgAC/wICAl0CBAIFAgYCBwIIAgkCHAILApcCDQIIAggCCAIIAggCCAIIAggCCAIIAggCCAIIAggCCAIIAggCFQIDAucCHgAC/wICAjUCBAIFAgYCBwIIAgkCmQILApcCDQIIAggCCAIIAggCCAIIAggCCAIIAggCCAIIAggCCAIIAggCFQIDArcCHgAC/wICAloCBAIFAgYCBwIIAgkCIAILApcCDQIIAggCCAIIAggCCAIIAggCCAIIAggCCAIIAggCCAIIAggCFQIDAs4CHgAC/wICAlUCBAIFAgYCBwIIAgkCIAILApcCDQIIAggCCAIIAggCCAIIAggCCAIIAggCCAIIAggCCAIIAggCFQIDArYCHgAC/wICAjoCBAIFAgYCBwIIAgkCIAILApcCDQIIAggCCAIIAggCCAIIAggCCAIIAggCCAIIAggCCAIIAggCFQIDAr4CHgAC/wICAmoCBAIFAgYCBwIIAgkCmQILApcCDQIIAggCCAIIAggCCAIIAggCCAIIAggCCAIIAggCCAIIAggCFQIDAg4CHgAC/wICAgMCBAIFAgYCBwIIAgkCHAILApcCDQIIAggCCAIIAggCCAIIAggCCAIIAggCCAIIAggCCAIIAggCFQIDAqMCHgAC/wICAjECBAIFAgYCBwIIAgkCmQILApcCDQIIAggCCAIIAggCCAIIAggCCAIIAggCCAIIAggCCAIIAggCFQIDAugCHgAC/wICAn8CBAIFAgYCBwIIAgkCIAILApcCDQIIAggCCAIIAggCCAIIAggCCAIIAggCCAIIAggCCAIIAggCFQIDArwCHgAC/wICAm0CBAIFAgYCBwIIAgkCHAILApcCDQIIAggCCAIIAggCCAIIAggCCAIIAggCCAIIAggCCAIIAggCFQIDAtMCHgAC/wICAk0CBAIFAgYCBwIIAgkCmQILApcCDQIIAggCCAIIAggCCAIIAggCCAIIAggCCAIIAggCCAIIAggCFQIDAg4CHgAC/wICegAABAACMwIEAgUCBgIHAggCCQIgAgsClwINAggCCAIIAggCCAIIAggCCAIIAggCCAIIAggCCAIIAggCCAIVAgMCuQIeAAL/AgICPAIEAgUCBgIHAggCCQIcAgsClwINAggCCAIIAggCCAIIAggCCAIIAggCCAIIAggCCAIIAggCCAIVAgMCoAIeAAL/AgICHwIEAgUCBgIHAggCCQKZAgsClwINAggCCAIIAggCCAIIAggCCAIIAggCCAIIAggCCAIIAggCCAIVAgMCDgIeAAL/AgICXwIEAgUCBgIHAggCCQIgAgsClwINAggCCAIIAggCCAIIAggCCAIIAggCCAIIAggCCAIIAggCCAIVAgMCqwIeAAL/AgICSgIEAgUCBgIHAggCCQIcAgsClwINAggCCAIIAggCCAIIAggCCAIIAggCCAIIAggCCAIIAggCCAIVAgMC0QIeAAL/AgICAwIEAgUCBgIHAggCCQIgAgsClwINAggCCAIIAggCCAIIAggCCAIIAggCCAIIAggCCAIIAggCCAIVAgMCnQIeAAL/AgICJgIEAgUCBgIHAggCCQIgAgsClwINAggCCAIIAggCCAIIAggCCAIIAggCCAIIAggCCAIIAggCCAIVAgMCpgIeAAL/AgICLwIEAgUCBgIHAggCCQKZAgsClwINAggCCAIIAggCCAIIAggCCAIIAggCCAIIAggCCAIIAggCCAIVAgMC1AIeAAL/AgICOAIEAgUCBgIHAggCCQIcAgsClwINAggCCAIIAggCCAIIAggCCAIIAggCCAIIAggCCAIIAggCCAIVAgMCtQIeAAL/AgICfwIEAgUCBgIHAggCCQKZAgsClwINAggCCAIIAggCCAIIAggCCAIIAggCCAIIAggCCAIIAggCCAIVAgMCDgIeAAL/AgICHgIEAgUCBgIHAggCCQIgAgsClwINAggCCAIIAggCCAIIAggCCAIIAggCCAIIAggCCAIIAggCCAIVAgMCqgIeAAL/AgICRgIEAgUCBgIHAggCCQKZAgsClwINAggCCAIIAggCCAIIAggCCAIIAggCCAIIAggCCAIIAggCCAIVAgMCxgIeAAL/AgICSAIEAgUCBgIHAggCCQIcAgsClwINAggCCAIIAggCCAIIAggCCAIIAggCCAIIAggCCAIIAggCCAIVAgMCngIeAAL/AgICPAIEAgUCBgIHAggCCQIgAgsClwINAggCCAIIAggCCAIIAggCCAIIAggCCAIIAggCCAIIAggCCAIVAgMCmAIeAAL/AgICbQIEAgUCBgIHAggCCQKZAgsClwINAggCCAIIAggCCAIIAggCCAIIAggCCAIIAggCCAIIAggCCAIVegAABAACAwKsAh4AAv8CAgI+AgQCBQIGAgcCCAIJAiACCwKXAg0CCAIIAggCCAIIAggCCAIIAggCCAIIAggCCAIIAggCCAIIAhUCAwLQAh4AAv8CAgJWAgQCBQIGAgcCCAIJAiACCwKXAg0CCAIIAggCCAIIAggCCAIIAggCCAIIAggCCAIIAggCCAIIAhUCAwLJAh4AAv8CAgJjAgQCBQIGAgcCCAIJApkCCwKXAg0CCAIIAggCCAIIAggCCAIIAggCCAIIAggCCAIIAggCCAIIAhUCAwIOAh4AAv8CAgImAgQCBQIGAgcCCAIJAhwCCwKXAg0CCAIIAggCCAIIAggCCAIIAggCCAIIAggCCAIIAggCCAIIAhUCAwKkAh4AAv8CAgI4AgQCBQIGAgcCCAIJAiACCwKXAg0CCAIIAggCCAIIAggCCAIIAggCCAIIAggCCAIIAggCCAIIAhUCAwLAAh4AAv8CAgJIAgQCBQIGAgcCCAIJAiACCwKXAg0CCAIIAggCCAIIAggCCAIIAggCCAIIAggCCAIIAggCCAIIAhUCAwK/Ah4AAv8CAgJwAgQCBQIGAgcCCAIJAiACCwKXAg0CCAIIAggCCAIIAggCCAIIAggCCAIIAggCCAIIAggCCAIIAhUCAwLMAh4AAv8CAgIeAgQCBQIGAgcCCAIJAhwCCwKXAg0CCAIIAggCCAIIAggCCAIIAggCCAIIAggCCAIIAggCCAIIAhUCAwKtAh4AAv8CAgIoAgQCBQIGAgcCCAIJApkCCwKXAg0CCAIIAggCCAIIAggCCAIIAggCCAIIAggCCAIIAggCCAIIAhUCAwIOAh4AAv8CAgI+AgQCBQIGAgcCCAIJAhwCCwKXAg0CCAIIAggCCAIIAggCCAIIAggCCAIIAggCCAIIAggCCAIIAhUCAwLDAh4AAv8CAgJqAgQCBQIGAgcCCAIJAiACCwKXAg0CCAIIAggCCAIIAggCCAIIAggCCAIIAggCCAIIAggCCAIIAhUCAwKqAh4AAv8CAgIbAgQCBQIGAgcCCAIJApkCCwKXAg0CCAIIAggCCAIIAggCCAIIAggCCAIIAggCCAIIAggCCAIIAhUCAwLBAh4AAv8CAgJaAgQCBQIGAgcCCAIJAhwCCwKXAg0CCAIIAggCCAIIAggCCAIIAggCCAIIAggCCAIIAggCCAIIAhUCAwLHAh4AAv8CAgItAgQCBQIGAgcCCAIJApkCCwKXAg0CCAIIAggCCAIIAggCCAIIAggCCAIIAggCCAIIAggCCAIIAhUCAwK9Ah4AAv8CAgJVAgQCBQIGAgcCCAIJAhwCCwKXAg0CCAIIAggCCAIIAggCCAIIAggCCAIIAggCegAABAAIAggCCAIIAggCFQIDArQCHgAC/wICAlYCBAIFAgYCBwIIAgkCHAILApcCDQIIAggCCAIIAggCCAIIAggCCAIIAggCCAIIAggCCAIIAggCFQIDAsgCHgAC/wICAkQCBAIFAgYCBwIIAgkCmQILApcCDQIIAggCCAIIAggCCAIIAggCCAIIAggCCAIIAggCCAIIAggCFQIDAg4CHgAC/wICAjECBAIFAgYCBwIIAgkCIAILApcCDQIIAggCCAIIAggCCAIIAggCCAIIAggCCAIIAggCCAIIAggCFQIDArMCHgAC/wICAhsCBAIFAgYCBwIIAgkCHAILApcCDQIIAggCCAIIAggCCAIIAggCCAIIAggCCAIIAggCCAIIAggCFQIDAuwCHgAC/wICAjMCBAIFAgYCBwIIAgkCmQILApcCDQIIAggCCAIIAggCCAIIAggCCAIIAggCCAIIAggCCAIIAggCFQIDArECHgAC/wICAjoCBAIFAgYCBwIIAgkCmQILApcCDQIIAggCCAIIAggCCAIIAggCCAIIAggCCAIIAggCCAIIAggCFQIDAqcCHgAC/wICAkECBAIFAgYCBwIIAgkCHAILApcCDQIIAggCCAIIAggCCAIIAggCCAIIAggCCAIIAggCCAIIAggCFQIDAq8CHgAC/wICAioCBAIFAgYCBwIIAgkCmQILApcCDQIIAggCCAIIAggCCAIIAggCCAIIAggCCAIIAggCCAIIAggCFQIDAq4CHgAC/wICAigCBAIFAgYCBwIIAgkCHAILApcCDQIIAggCCAIIAggCCAIIAggCCAIIAggCCAIIAggCCAIIAggCFQIDAuUCHgAC/wICAiICBAIFAgYCBwIIAgkCIAILApcCDQIIAggCCAIIAggCCAIIAggCCAIIAggCCAIIAggCCAIIAggCFQIDAuQCHgAC/wICAiQCBAIFAgYCBwIIAgkCmQILApcCDQIIAggCCAIIAggCCAIIAggCCAIIAggCCAIIAggCCAIIAggCFQIDArICHgAC/wICAi0CBAIFAgYCBwIIAgkCIAILApcCDQIIAggCCAIIAggCCAIIAggCCAIIAggCCAIIAggCCAIIAggCFQIDAtYCHgAC/wICAnACBAIFAgYCBwIIAgkCHAILApcCDQIIAggCCAIIAggCCAIIAggCCAIIAggCCAIIAggCCAIIAggCFQIDAsICHgAC/wICAh8CBAIFAgYCBwIIAgkCIAILApcCDQIIAggCCAIIAggCCAIIAggCCAIIAggCCAIIAggCCAIIAggCFQIDAqoCHgAC/wICAiYCBAIFAgYCBwIIAgkCmQILApcCDQIIAggCCAIIAggCCAIIegAABAACCAIIAggCCAIIAggCCAIIAggCCAIVAgMC3gIeAAL/AgICMQIEAgUCBgIHAggCCQIcAgsClwINAggCCAIIAggCCAIIAggCCAIIAggCCAIIAggCCAIIAggCCAIVAgMCuwIeAAL/AgICagIEAgUCBgIHAggCCQIcAgsClwINAggCCAIIAggCCAIIAggCCAIIAggCCAIIAggCCAIIAggCCAIVAgMCrQIeAAL/AgICRgIEAgUCBgIHAggCCQIgAgsClwINAggCCAIIAggCCAIIAggCCAIIAggCCAIIAggCCAIIAggCCAIVAgMCpQIeAAL/AgICLwIEAgUCBgIHAggCCQIgAgsClwINAggCCAIIAggCCAIIAggCCAIIAggCCAIIAggCCAIIAggCCAIVAgMC6QIeAAL/AgICGwIEAgUCBgIHAggCCQIgAgsClwINAggCCAIIAggCCAIIAggCCAIIAggCCAIIAggCCAIIAggCCAIVAgMC3wIeAAL/AgICAwIEAgUCBgIHAggCCQKZAgsClwINAggCCAIIAggCCAIIAggCCAIIAggCCAIIAggCCAIIAggCCAIVAgMCDgIeAAL/AgICSgIEAgUCBgIHAggCCQKZAgsClwINAggCCAIIAggCCAIIAggCCAIIAggCCAIIAggCCAIIAggCCAIVAgMCogIeAAL/AgICXQIEAgUCBgIHAggCCQKZAgsClwINAggCCAIIAggCCAIIAggCCAIIAggCCAIIAggCCAIIAggCCAIVAgMCnwIeAAL/AgICHwIEAgUCBgIHAggCCQIcAgsClwINAggCCAIIAggCCAIIAggCCAIIAggCCAIIAggCCAIIAggCCAIVAgMCrQIeAAL/AgICIgIEAgUCBgIHAggCCQIcAgsClwINAggCCAIIAggCCAIIAggCCAIIAggCCAIIAggCCAIIAggCCAIVAgMCqQIeAAL/AgICPAIEAgUCBgIHAggCCQKZAgsClwINAggCCAIIAggCCAIIAggCCAIIAggCCAIIAggCCAIIAggCCAIVAgMCzwIeAAL/AgICTQIEAgUCBgIHAggCCQIcAgsClwINAggCCAIIAggCCAIIAggCCAIIAggCCAIIAggCCAIIAggCCAIVAgMCzQIeAAL/AgICQQIEAgUCBgIHAggCCQIgAgsClwINAggCCAIIAggCCAIIAggCCAIIAggCCAIIAggCCAIIAggCCAIVAgMC4wIeAAL/AgICKAIEAgUCBgIHAggCCQIgAgsClwINAggCCAIIAggCCAIIAggCCAIIAggCCAIIAggCCAIIAggCCAIVAgMC1wIeAAL/AgICSAIEAgUCBgIHAggCCQKZAgsClwINAggCegAABAAIAggCCAIIAggCCAIIAggCCAIIAggCCAIIAggCCAIIAhUCAwLLAh4AAv8CAgI1AgQCBQIGAgcCCAIJAiACCwKXAg0CCAIIAggCCAIIAggCCAIIAggCCAIIAggCCAIIAggCCAIIAhUCAwLKAh4AAv8CAgIvAgQCBQIGAgcCCAIJAhwCCwKXAg0CCAIIAggCCAIIAggCCAIIAggCCAIIAggCCAIIAggCCAIIAhUCAwLdAh4AAv8CAgI4AgQCBQIGAgcCCAIJApkCCwKXAg0CCAIIAggCCAIIAggCCAIIAggCCAIIAggCCAIIAggCCAIIAhUCAwIOAh4AAv8CAgJNAgQCBQIGAgcCCAIJAiACCwKXAg0CCAIIAggCCAIIAggCCAIIAggCCAIIAggCCAIIAggCCAIIAhUCAwLFAh4AAv8CAgJaAgQCBQIGAgcCCAIJApkCCwKXAg0CCAIIAggCCAIIAggCCAIIAggCCAIIAggCCAIIAggCCAIIAhUCAwKaAh4AAv8CAgJ/AgQCBQIGAgcCCAIJAhwCCwKXAg0CCAIIAggCCAIIAggCCAIIAggCCAIIAggCCAIIAggCCAIIAhUCAwLEAh4AAv8CAgJEAgQCBQIGAgcCCAIJAiACCwKXAg0CCAIIAggCCAIIAggCCAIIAggCCAIIAggCCAIIAggCCAIIAhUCAwKoAh4AAv8CAgIiAgQCBQIGAgcCCAIJApkCCwKXAg0CCAIIAggCCAIIAggCCAIIAggCCAIIAggCCAIIAggCCAIIAhUCAwLVAh4AAv8CAgI1AgQCBQIGAgcCCAIJAhwCCwKXAg0CCAIIAggCCAIIAggCCAIIAggCCAIIAggCCAIIAggCCAIIAhUCAwLSAh4AAv8CAgIqAgQCBQIGAgcCCAIJAiACCwKXAg0CCAIIAggCCAIIAggCCAIIAggCCAIIAggCCAIIAggCCAIIAhUCAwKhAh4AAv8CAgIeAgQCBQIGAgcCCAIJApkCCwKXAg0CCAIIAggCCAIIAggCCAIIAggCCAIIAggCCAIIAggCCAIIAhUCAwIOAh4AAv8CAgIkAgQCBQIGAgcCCAIJAiACCwKXAg0CCAIIAggCCAIIAggCCAIIAggCCAIIAggCCAIIAggCCAIIAhUCAwLqAh4AAv8CAgJWAgQCBQIGAgcCCAIJApkCCwKXAg0CCAIIAggCCAIIAggCCAIIAggCCAIIAggCCAIIAggCCAIIAhUCAwLrAh4AAv8CAgJfAgQCBQIGAgcCCAIJApkCCwKXAg0CCAIIAggCCAIIAggCCAIIAggCCAIIAggCCAIIAggCCAIIAhUCAwLiAh4AAv8CAgJVAgQCBQIGAgcCCAIJegAABAACmQILApcCDQIIAggCCAIIAggCCAIIAggCCAIIAggCCAIIAggCCAIIAggCFQIDAg4CHgAC/wICAi0CBAIFAgYCBwIIAgkCHAILApcCDQIIAggCCAIIAggCCAIIAggCCAIIAggCCAIIAggCCAIIAggCFQIDAuECHgAC/wICAkYCBAIFAgYCBwIIAgkCHAILApcCDQIIAggCCAIIAggCCAIIAggCCAIIAggCCAIIAggCCAIIAggCFQIDApsCHgAC/wICAkQCBAIFAgYCBwIIAgkCHAILApcCDQIIAggCCAIIAggCCAIIAggCCAIIAggCCAIIAggCCAIIAggCFQIDApwCHgAEAAEACTMxMDUzNDIxNgICAi8CBAIFAgYCBwIIAgkCIAILApcCDQIIAggCCAIIAggCCAIIAggCCAIIAggCCAIIAggCCAIIAggCBQIDAukCHgAEAAECAgIxAgQCBQIGAgcCCAIJAiACCwKXAg0CCAIIAggCCAIIAggCCAIIAggCCAIIAggCCAIIAggCCAIIAgUCAwKzAh4ABAABAgICVgIEAgUCBgIHAggCCQIgAgsClwINAggCCAIIAggCCAIIAggCCAIIAggCCAIIAggCCAIIAggCCAIFAgMCyQIeAAQAAQICAjUCBAIFAgYCBwIIAgkCIAILApcCDQIIAggCCAIIAggCCAIIAggCCAIIAggCCAIIAggCCAIIAggCBQIDAsoCHgAEAAECAgJGAgQCBQIGAgcCCAIJAiACCwKXAg0CCAIIAggCCAIIAggCCAIIAggCCAIIAggCCAIIAggCCAIIAgUCAwKlAh4ABAABAgICVQIEAgUCBgIHAggCCQIgAgsClwINAggCCAIIAggCCAIIAggCCAIIAggCCAIIAggCCAIIAggCCAIFAgMCtgIeAAQAAQICAjgCBAIFAgYCBwIIAgkCIAILApcCDQIIAggCCAIIAggCCAIIAggCCAIIAggCCAIIAggCCAIIAggCBQIDAsACHgAEAAECAgIDAgQCBQIGAgcCCAIJAiACCwKXAg0CCAIIAggCCAIIAggCCAIIAggCCAIIAggCCAIIAggCCAIIAgUCAwKdAh4ABAABAgICRAIEAgUCBgIHAggCCQIgAgsClwINAggCCAIIAggCCAIIAggCCAIIAggCCAIIAggCCAIIAggCCAIFAgMCqAIeAAQAAQICAiQCBAIFAgYCBwIIAgkCIAILApcCDQIIAggCCAIIAggCCAIIAggCCAIIAggCCAIIAggCCAIIAggCBQIDAuoCHgAEAAECAgJfAgQCBQIGAgcCCAIJAiACCwKXAg0CCAIIAggCCAIIAggCCAIIAggCCAIIAggCCAIIegAABAACCAIIAggCBQIDAqsCHgAEAAECAgJNAgQCBQIGAgcCCAIJAiACCwKXAg0CCAIIAggCCAIIAggCCAIIAggCCAIIAggCCAIIAggCCAIIAgUCAwLFAh4ABAABAgICPAIEAgUCBgIHAggCCQIgAgsClwINAggCCAIIAggCCAIIAggCCAIIAggCCAIIAggCCAIIAggCCAIFAgMCmAIeAAQAAQICAm0CBAIFAgYCBwIIAgkCIAILApcCDQIIAggCCAIIAggCCAIIAggCCAIIAggCCAIIAggCCAIIAggCBQIDAroCHgAEAAECAgJBAgQCBQIGAgcCCAIJAiACCwKXAg0CCAIIAggCCAIIAggCCAIIAggCCAIIAggCCAIIAggCCAIIAgUCAwLjAh4ABAABAgICPgIEAgUCBgIHAggCCQIgAgsClwINAggCCAIIAggCCAIIAggCCAIIAggCCAIIAggCCAIIAggCCAIFAgMC0AIeAAQAAQICAn8CBAIFAgYCBwIIAgkCIAILApcCDQIIAggCCAIIAggCCAIIAggCCAIIAggCCAIIAggCCAIIAggCBQIDArwCHgAEAAECAgIqAgQCBQIGAgcCCAIJAiACCwKXAg0CCAIIAggCCAIIAggCCAIIAggCCAIIAggCCAIIAggCCAIIAgUCAwKhAh4ABAEBAAkzMTI2Mzc5MDQCAgJGAgQCBQIGAgcCCAIJAhwCCwKXAg0CCAIIAggCCAIIAggCCAIIAggCCAIIAggCCAIIAggCCAIIAhcCAwKbAh4ABAEBAgICPAIEAgUCBgIHAggCCQIgAgsClwINAggCCAIIAggCCAIIAggCCAIIAggCCAIIAggCCAIIAggCCAIXAgMCmAIeAAQBAQICAm0CBAIFAgYCBwIIAgkCmQILApcCDQIIAggCCAIIAggCCAIIAggCCAIIAggCCAIIAggCCAIIAggCFwIDAqwCHgAEAQECAgIfAgQCBQIGAgcCCAIJAhwCCwKXAg0CCAIIAggCCAIIAggCCAIIAggCCAIIAggCCAIIAggCCAIIAhcCAwKtAh4ABAEBAgICSAIEAgUCBgIHAggCCQIgAgsClwINAggCCAIIAggCCAIIAggCCAIIAggCCAIIAggCCAIIAggCCAIXAgMCvwIeAAQBAQICAn8CBAIFAgYCBwIIAgkCmQILApcCDQIIAggCCAIIAggCCAIIAggCCAIIAggCCAIIAggCCAIIAggCFwIDAg4CHgAEAQECAgJEAgQCBQIGAgcCCAIJAhwCCwKXAg0CCAIIAggCCAIIAggCCAIIAggCCAIIAggCCAIIAggCCAIIAhcCAwKcAh4ABAEBAgICAwIEAgUCBgIHAggCegAABAAJAiACCwKXAg0CCAIIAggCCAIIAggCCAIIAggCCAIIAggCCAIIAggCCAIIAhcCAwKdAh4ABAEBAgICHgIEAgUCBgIHAggCCQIgAgsClwINAggCCAIIAggCCAIIAggCCAIIAggCCAIIAggCCAIIAggCCAIXAgMCqgIeAAQBAQICAkgCBAIFAgYCBwIIAgkCHAILApcCDQIIAggCCAIIAggCCAIIAggCCAIIAggCCAIIAggCCAIIAggCFwIDAp4CHgAEAQECAgJaAgQCBQIGAgcCCAIJApkCCwKXAg0CCAIIAggCCAIIAggCCAIIAggCCAIIAggCCAIIAggCCAIIAhcCAwKaAh4ABAEBAgICVgIEAgUCBgIHAggCCQKZAgsClwINAggCCAIIAggCCAIIAggCCAIIAggCCAIIAggCCAIIAggCCAIXAgMC6wIeAAQBAQICAiQCBAIFAgYCBwIIAgkCIAILApcCDQIIAggCCAIIAggCCAIIAggCCAIIAggCCAIIAggCCAIIAggCFwIDAuoCHgAEAQECAgImAgQCBQIGAgcCCAIJAiACCwKXAg0CCAIIAggCCAIIAggCCAIIAggCCAIIAggCCAIIAggCCAIIAhcCAwKmAh4ABAEBAgICPAIEAgUCBgIHAggCCQIcAgsClwINAggCCAIIAggCCAIIAggCCAIIAggCCAIIAggCCAIIAggCCAIXAgMCoAIeAAQBAQICAh8CBAIFAgYCBwIIAgkCIAILApcCDQIIAggCCAIIAggCCAIIAggCCAIIAggCCAIIAggCCAIIAggCFwIDAqoCHgAEAQECAgJKAgQCBQIGAgcCCAIJApkCCwKXAg0CCAIIAggCCAIIAggCCAIIAggCCAIIAggCCAIIAggCCAIIAhcCAwKiAh4ABAEBAgICMwIEAgUCBgIHAggCCQIgAgsClwINAggCCAIIAggCCAIIAggCCAIIAggCCAIIAggCCAIIAggCCAIXAgMCuQIeAAQBAQICAiICBAIFAgYCBwIIAgkCIAILApcCDQIIAggCCAIIAggCCAIIAggCCAIIAggCCAIIAggCCAIIAggCFwIDAuQCHgAEAQECAgJNAgQCBQIGAgcCCAIJApkCCwKXAg0CCAIIAggCCAIIAggCCAIIAggCCAIIAggCCAIIAggCCAIIAhcCAwIOAh4ABAEBAgICOAIEAgUCBgIHAggCCQIgAgsClwINAggCCAIIAggCCAIIAggCCAIIAggCCAIIAggCCAIIAggCCAIXAgMCwAIeAAQBAQICAjoCBAIFAgYCBwIIAgkCIAILApcCDQIIAggCCAIIAggCCAIIAggCCAIIAggCCAIIAggCCAIIAggCegAABAAXAgMCvgIeAAQBAQICAl0CBAIFAgYCBwIIAgkCmQILApcCDQIIAggCCAIIAggCCAIIAggCCAIIAggCCAIIAggCCAIIAggCFwIDAp8CHgAEAQECAgIkAgQCBQIGAgcCCAIJAhwCCwKXAg0CCAIIAggCCAIIAggCCAIIAggCCAIIAggCCAIIAggCCAIIAhcCAwLgAh4ABAEBAgICMQIEAgUCBgIHAggCCQIcAgsClwINAggCCAIIAggCCAIIAggCCAIIAggCCAIIAggCCAIIAggCCAIXAgMCuwIeAAQBAQICAmoCBAIFAgYCBwIIAgkCmQILApcCDQIIAggCCAIIAggCCAIIAggCCAIIAggCCAIIAggCCAIIAggCFwIDAg4CHgAEAQECAgJjAgQCBQIGAgcCCAIJApkCCwKXAg0CCAIIAggCCAIIAggCCAIIAggCCAIIAggCCAIIAggCCAIIAhcCAwIOAh4ABAEBAgICJAIEAgUCBgIHAggCCQKZAgsClwINAggCCAIIAggCCAIIAggCCAIIAggCCAIIAggCCAIIAggCCAIXAgMCsgIeAAQBAQICAigCBAIFAgYCBwIIAgkCIAILApcCDQIIAggCCAIIAggCCAIIAggCCAIIAggCCAIIAggCCAIIAggCFwIDAtcCHgAEAQECAgIzAgQCBQIGAgcCCAIJAhwCCwKXAg0CCAIIAggCCAIIAggCCAIIAggCCAIIAggCCAIIAggCCAIIAhcCAwLaAh4ABAEBAgICcAIEAgUCBgIHAggCCQKZAgsClwINAggCCAIIAggCCAIIAggCCAIIAggCCAIIAggCCAIIAggCCAIXAgMC2QIeAAQBAQICAkECBAIFAgYCBwIIAgkCmQILApcCDQIIAggCCAIIAggCCAIIAggCCAIIAggCCAIIAggCCAIIAggCFwIDAg4CHgAEAQECAgJKAgQCBQIGAgcCCAIJAiACCwKXAg0CCAIIAggCCAIIAggCCAIIAggCCAIIAggCCAIIAggCCAIIAhcCAwLYAh4ABAEBAgICLQIEAgUCBgIHAggCCQIgAgsClwINAggCCAIIAggCCAIIAggCCAIIAggCCAIIAggCCAIIAggCCAIXAgMC1gIeAAQBAQICAioCBAIFAgYCBwIIAgkCHAILApcCDQIIAggCCAIIAggCCAIIAggCCAIIAggCCAIIAggCCAIIAggCFwIDAu0CHgAEAQECAgI+AgQCBQIGAgcCCAIJApkCCwKXAg0CCAIIAggCCAIIAggCCAIIAggCCAIIAggCCAIIAggCCAIIAhcCAwIOAh4ABAEBAgICGwIEAgUCBgIHAggCCQIcAgsClwINAggCCAIIAggCegAABAAIAggCCAIIAggCCAIIAggCCAIIAggCCAIIAhcCAwLsAh4ABAEBAgICLwIEAgUCBgIHAggCCQKZAgsClwINAggCCAIIAggCCAIIAggCCAIIAggCCAIIAggCCAIIAggCCAIXAgMC1AIeAAQBAQICAmMCBAIFAgYCBwIIAgkCIAILApcCDQIIAggCCAIIAggCCAIIAggCCAIIAggCCAIIAggCCAIIAggCFwIDAtsCHgAEAQECAgItAgQCBQIGAgcCCAIJAhwCCwKXAg0CCAIIAggCCAIIAggCCAIIAggCCAIIAggCCAIIAggCCAIIAhcCAwLhAh4ABAEBAgICOgIEAgUCBgIHAggCCQIcAgsClwINAggCCAIIAggCCAIIAggCCAIIAggCCAIIAggCCAIIAggCCAIXAgMCsAIeAAQBAQICAlUCBAIFAgYCBwIIAgkCmQILApcCDQIIAggCCAIIAggCCAIIAggCCAIIAggCCAIIAggCCAIIAggCFwIDAg4CHgAEAQECAgI4AgQCBQIGAgcCCAIJAhwCCwKXAg0CCAIIAggCCAIIAggCCAIIAggCCAIIAggCCAIIAggCCAIIAhcCAwK1Ah4ABAEBAgICXQIEAgUCBgIHAggCCQIgAgsClwINAggCCAIIAggCCAIIAggCCAIIAggCCAIIAggCCAIIAggCCAIXAgMC3AIeAAQBAQICAioCBAIFAgYCBwIIAgkCIAILApcCDQIIAggCCAIIAggCCAIIAggCCAIIAggCCAIIAggCCAIIAggCFwIDAqECHgAEAQECAgJfAgQCBQIGAgcCCAIJApkCCwKXAg0CCAIIAggCCAIIAggCCAIIAggCCAIIAggCCAIIAggCCAIIAhcCAwLiAh4ABAEBAgICKAIEAgUCBgIHAggCCQIcAgsClwINAggCCAIIAggCCAIIAggCCAIIAggCCAIIAggCCAIIAggCCAIXAgMC5QIeAAQBAQICAh4CBAIFAgYCBwIIAgkCmQILApcCDQIIAggCCAIIAggCCAIIAggCCAIIAggCCAIIAggCCAIIAggCFwIDAg4CHgAEAQECAgImAgQCBQIGAgcCCAIJApkCCwKXAg0CCAIIAggCCAIIAggCCAIIAggCCAIIAggCCAIIAggCCAIIAhcCAwLeAh4ABAEBAgICRAIEAgUCBgIHAggCCQIgAgsClwINAggCCAIIAggCCAIIAggCCAIIAggCCAIIAggCCAIIAggCCAIXAgMCqAIeAAQBAQICAkYCBAIFAgYCBwIIAgkCIAILApcCDQIIAggCCAIIAggCCAIIAggCCAIIAggCCAIIAggCCAIIAggCFwIDAqUCHgAEAQECAgIbAgQCegAABAAFAgYCBwIIAgkCIAILApcCDQIIAggCCAIIAggCCAIIAggCCAIIAggCCAIIAggCCAIIAggCFwIDAt8CHgAEAQECAgI1AgQCBQIGAgcCCAIJAhwCCwKXAg0CCAIIAggCCAIIAggCCAIIAggCCAIIAggCCAIIAggCCAIIAhcCAwLSAh4ABAEBAgICAwIEAgUCBgIHAggCCQKZAgsClwINAggCCAIIAggCCAIIAggCCAIIAggCCAIIAggCCAIIAggCCAIXAgMCDgIeAAQBAQICAloCBAIFAgYCBwIIAgkCHAILApcCDQIIAggCCAIIAggCCAIIAggCCAIIAggCCAIIAggCCAIIAggCFwIDAscCHgAEAQECAgJNAgQCBQIGAgcCCAIJAiACCwKXAg0CCAIIAggCCAIIAggCCAIIAggCCAIIAggCCAIIAggCCAIIAhcCAwLFAh4ABAEBAgICIgIEAgUCBgIHAggCCQKZAgsClwINAggCCAIIAggCCAIIAggCCAIIAggCCAIIAggCCAIIAggCCAIXAgMC1QIeAAQBAQICAn8CBAIFAgYCBwIIAgkCHAILApcCDQIIAggCCAIIAggCCAIIAggCCAIIAggCCAIIAggCCAIIAggCFwIDAsQCHgAEAQECAgJtAgQCBQIGAgcCCAIJAhwCCwKXAg0CCAIIAggCCAIIAggCCAIIAggCCAIIAggCCAIIAggCCAIIAhcCAwLTAh4ABAEBAgICHwIEAgUCBgIHAggCCQKZAgsClwINAggCCAIIAggCCAIIAggCCAIIAggCCAIIAggCCAIIAggCCAIXAgMCDgIeAAQBAQICAlYCBAIFAgYCBwIIAgkCHAILApcCDQIIAggCCAIIAggCCAIIAggCCAIIAggCCAIIAggCCAIIAggCFwIDAsgCHgAEAQECAgJIAgQCBQIGAgcCCAIJApkCCwKXAg0CCAIIAggCCAIIAggCCAIIAggCCAIIAggCCAIIAggCCAIIAhcCAwLLAh4ABAEBAgICRgIEAgUCBgIHAggCCQKZAgsClwINAggCCAIIAggCCAIIAggCCAIIAggCCAIIAggCCAIIAggCCAIXAgMCxgIeAAQBAQICAjUCBAIFAgYCBwIIAgkCIAILApcCDQIIAggCCAIIAggCCAIIAggCCAIIAggCCAIIAggCCAIIAggCFwIDAsoCHgAEAQECAgJEAgQCBQIGAgcCCAIJApkCCwKXAg0CCAIIAggCCAIIAggCCAIIAggCCAIIAggCCAIIAggCCAIIAhcCAwIOAh4ABAEBAgICTQIEAgUCBgIHAggCCQIcAgsClwINAggCCAIIAggCCAIIAggCCAIIAggCCAIIAggCegAABAAIAggCCAIIAhcCAwLNAh4ABAEBAgICXQIEAgUCBgIHAggCCQIcAgsClwINAggCCAIIAggCCAIIAggCCAIIAggCCAIIAggCCAIIAggCCAIXAgMC5wIeAAQBAQICAkoCBAIFAgYCBwIIAgkCHAILApcCDQIIAggCCAIIAggCCAIIAggCCAIIAggCCAIIAggCCAIIAggCFwIDAtECHgAEAQECAgIbAgQCBQIGAgcCCAIJApkCCwKXAg0CCAIIAggCCAIIAggCCAIIAggCCAIIAggCCAIIAggCCAIIAhcCAwLBAh4ABAEBAgICbQIEAgUCBgIHAggCCQIgAgsClwINAggCCAIIAggCCAIIAggCCAIIAggCCAIIAggCCAIIAggCCAIXAgMCugIeAAQBAQICAkECBAIFAgYCBwIIAgkCIAILApcCDQIIAggCCAIIAggCCAIIAggCCAIIAggCCAIIAggCCAIIAggCFwIDAuMCHgAEAQECAgI8AgQCBQIGAgcCCAIJApkCCwKXAg0CCAIIAggCCAIIAggCCAIIAggCCAIIAggCCAIIAggCCAIIAhcCAwLPAh4ABAEBAgICLwIEAgUCBgIHAggCCQIgAgsClwINAggCCAIIAggCCAIIAggCCAIIAggCCAIIAggCCAIIAggCCAIXAgMC6QIeAAQBAQICAjECBAIFAgYCBwIIAgkCmQILApcCDQIIAggCCAIIAggCCAIIAggCCAIIAggCCAIIAggCCAIIAggCFwIDAugCHgAEAQECAgJ/AgQCBQIGAgcCCAIJAiACCwKXAg0CCAIIAggCCAIIAggCCAIIAggCCAIIAggCCAIIAggCCAIIAhcCAwK8Ah4ABAEBAgICagIEAgUCBgIHAggCCQIcAgsClwINAggCCAIIAggCCAIIAggCCAIIAggCCAIIAggCCAIIAggCCAIXAgMCrQIeAAQBAQICAmMCBAIFAgYCBwIIAgkCHAILApcCDQIIAggCCAIIAggCCAIIAggCCAIIAggCCAIIAggCCAIIAggCFwIDAuYCHgAEAQECAgJBAgQCBQIGAgcCCAIJAhwCCwKXAg0CCAIIAggCCAIIAggCCAIIAggCCAIIAggCCAIIAggCCAIIAhcCAwKvAh4ABAEBAgICKgIEAgUCBgIHAggCCQKZAgsClwINAggCCAIIAggCCAIIAggCCAIIAggCCAIIAggCCAIIAggCCAIXAgMCrgIeAAQBAQICAnACBAIFAgYCBwIIAgkCHAILApcCDQIIAggCCAIIAggCCAIIAggCCAIIAggCCAIIAggCCAIIAggCFwIDAsICHgAEAQECAgI+AgQCBQIGAgcCCAIJAhwCCwKXAg0CegAABAAIAggCCAIIAggCCAIIAggCCAIIAggCCAIIAggCCAIIAggCFwIDAsMCHgAEAQECAgJfAgQCBQIGAgcCCAIJAiACCwKXAg0CCAIIAggCCAIIAggCCAIIAggCCAIIAggCCAIIAggCCAIIAhcCAwKrAh4ABAEBAgICVQIEAgUCBgIHAggCCQIcAgsClwINAggCCAIIAggCCAIIAggCCAIIAggCCAIIAggCCAIIAggCCAIXAgMCtAIeAAQBAQICAjoCBAIFAgYCBwIIAgkCmQILApcCDQIIAggCCAIIAggCCAIIAggCCAIIAggCCAIIAggCCAIIAggCFwIDAqcCHgAEAQECAgIvAgQCBQIGAgcCCAIJAhwCCwKXAg0CCAIIAggCCAIIAggCCAIIAggCCAIIAggCCAIIAggCCAIIAhcCAwLdAh4ABAEBAgICMQIEAgUCBgIHAggCCQIgAgsClwINAggCCAIIAggCCAIIAggCCAIIAggCCAIIAggCCAIIAggCCAIXAgMCswIeAAQBAQICAjgCBAIFAgYCBwIIAgkCmQILApcCDQIIAggCCAIIAggCCAIIAggCCAIIAggCCAIIAggCCAIIAggCFwIDAg4CHgAEAQECAgJwAgQCBQIGAgcCCAIJAiACCwKXAg0CCAIIAggCCAIIAggCCAIIAggCCAIIAggCCAIIAggCCAIIAhcCAwLMAh4ABAEBAgICagIEAgUCBgIHAggCCQIgAgsClwINAggCCAIIAggCCAIIAggCCAIIAggCCAIIAggCCAIIAggCCAIXAgMCqgIeAAQBAQICAj4CBAIFAgYCBwIIAgkCIAILApcCDQIIAggCCAIIAggCCAIIAggCCAIIAggCCAIIAggCCAIIAggCFwIDAtACHgAEAQECAgItAgQCBQIGAgcCCAIJApkCCwKXAg0CCAIIAggCCAIIAggCCAIIAggCCAIIAggCCAIIAggCCAIIAhcCAwK9Ah4ABAEBAgICXwIEAgUCBgIHAggCCQIcAgsClwINAggCCAIIAggCCAIIAggCCAIIAggCCAIIAggCCAIIAggCCAIXAgMCuAIeAAQBAQICAh4CBAIFAgYCBwIIAgkCHAILApcCDQIIAggCCAIIAggCCAIIAggCCAIIAggCCAIIAggCCAIIAggCFwIDAq0CHgAEAQECAgIoAgQCBQIGAgcCCAIJApkCCwKXAg0CCAIIAggCCAIIAggCCAIIAggCCAIIAggCCAIIAggCCAIIAhcCAwIOAh4ABAEBAgICJgIEAgUCBgIHAggCCQIcAgsClwINAggCCAIIAggCCAIIAggCCAIIAggCCAIIAggCCAIIAggCCAIXAgMCpAIeAAQBegAABAABAgICIgIEAgUCBgIHAggCCQIcAgsClwINAggCCAIIAggCCAIIAggCCAIIAggCCAIIAggCCAIIAggCCAIXAgMCqQIeAAQBAQICAjMCBAIFAgYCBwIIAgkCmQILApcCDQIIAggCCAIIAggCCAIIAggCCAIIAggCCAIIAggCCAIIAggCFwIDArECHgAEAQECAgJWAgQCBQIGAgcCCAIJAiACCwKXAg0CCAIIAggCCAIIAggCCAIIAggCCAIIAggCCAIIAggCCAIIAhcCAwLJAh4ABAEBAgICWgIEAgUCBgIHAggCCQIgAgsClwINAggCCAIIAggCCAIIAggCCAIIAggCCAIIAggCCAIIAggCCAIXAgMCzgIeAAQBAQICAlUCBAIFAgYCBwIIAgkCIAILApcCDQIIAggCCAIIAggCCAIIAggCCAIIAggCCAIIAggCCAIIAggCFwIDArYCHgAEAQECAgI1AgQCBQIGAgcCCAIJApkCCwKXAg0CCAIIAggCCAIIAggCCAIIAggCCAIIAggCCAIIAggCCAIIAhcCAwK3Ah4ABAEBAgICAwIEAgUCBgIHAggCCQIcAgsClwINAggCCAIIAggCCAIIAggCCAIIAggCCAIIAggCCAIIAggCCAIXAgMCowIeAAQCAQAJMzEzNzI4ODI0AgICMQIEAgUCBgIHAggCCQIgAgsClwINAggCCAIIAggCCAIIAggCCAIIAggCCAIIAggCCAIIAggCCAITAgMCswIeAAQCAQICAjgCBAIFAgYCBwIIAgkCmQILApcCDQIIAggCCAIIAggCCAIIAggCCAIIAggCCAIIAggCCAIIAggCEwIDAg4CHgAEAgECAgIvAgQCBQIGAgcCCAIJAhwCCwKXAg0CCAIIAggCCAIIAggCCAIIAggCCAIIAggCCAIIAggCCAIIAhMCAwLdAh4ABAIBAgICKgIEAgUCBgIHAggCCQKZAgsClwINAggCCAIIAggCCAIIAggCCAIIAggCCAIIAggCCAIIAggCCAITAgMCrgIeAAQCAQICAi0CBAIFAgYCBwIIAgkCHAILApcCDQIIAggCCAIIAggCCAIIAggCCAIIAggCCAIIAggCCAIIAggCEwIDAuECHgAEAgECAgIzAgQCBQIGAgcCCAIJApkCCwKXAg0CCAIIAggCCAIIAggCCAIIAggCCAIIAggCCAIIAggCCAIIAhMCAwKxAh4ABAIBAgICJAIEAgUCBgIHAggCCQKZAgsClwINAggCCAIIAggCCAIIAggCCAIIAggCCAIIAggCCAIIAggCCAITAgMCsgIeAAQCAQICAl8CBAIFAgYCBwIIAgkCmQILApcCDQIIAggCCAIIegAABAACCAIIAggCCAIIAggCCAIIAggCCAIIAggCCAITAgMC4gIeAAQCAQICAhsCBAIFAgYCBwIIAgkCIAILApcCDQIIAggCCAIIAggCCAIIAggCCAIIAggCCAIIAggCCAIIAggCEwIDAt8CHgAEAgECAgIiAgQCBQIGAgcCCAIJAiACCwKXAg0CCAIIAggCCAIIAggCCAIIAggCCAIIAggCCAIIAggCCAIIAhMCAwLkAh4ABAIBAgICMQIEAgUCBgIHAggCCQIcAgsClwINAggCCAIIAggCCAIIAggCCAIIAggCCAIIAggCCAIIAggCCAITAgMCuwIeAAQCAQICAiYCBAIFAgYCBwIIAgkCmQILApcCDQIIAggCCAIIAggCCAIIAggCCAIIAggCCAIIAggCCAIIAggCEwIDAt4CHgAEAgECAgIoAgQCBQIGAgcCCAIJAhwCCwKXAg0CCAIIAggCCAIIAggCCAIIAggCCAIIAggCCAIIAggCCAIIAhMCAwLlAh4ABAIBAgICHwIEAgUCBgIHAggCCQIgAgsClwINAggCCAIIAggCCAIIAggCCAIIAggCCAIIAggCCAIIAggCCAITAgMCqgIeAAQCAQICAl0CBAIFAgYCBwIIAgkCmQILApcCDQIIAggCCAIIAggCCAIIAggCCAIIAggCCAIIAggCCAIIAggCEwIDAp8CHgAEAgECAgJjAgQCBQIGAgcCCAIJApkCCwKXAg0CCAIIAggCCAIIAggCCAIIAggCCAIIAggCCAIIAggCCAIIAhMCAwIOAh4ABAIBAgICLwIEAgUCBgIHAggCCQIgAgsClwINAggCCAIIAggCCAIIAggCCAIIAggCCAIIAggCCAIIAggCCAITAgMC6QIeAAQCAQICAh4CBAIFAgYCBwIIAgkCmQILApcCDQIIAggCCAIIAggCCAIIAggCCAIIAggCCAIIAggCCAIIAggCEwIDAg4CHgAEAgECAgJqAgQCBQIGAgcCCAIJAhwCCwKXAg0CCAIIAggCCAIIAggCCAIIAggCCAIIAggCCAIIAggCCAIIAhMCAwKtAh4ABAIBAgICcAIEAgUCBgIHAggCCQIcAgsClwINAggCCAIIAggCCAIIAggCCAIIAggCCAIIAggCCAIIAggCCAITAgMCwgIeAAQCAQICAj4CBAIFAgYCBwIIAgkCHAILApcCDQIIAggCCAIIAggCCAIIAggCCAIIAggCCAIIAggCCAIIAggCEwIDAsMCHgAEAgECAgJGAgQCBQIGAgcCCAIJAhwCCwKXAg0CCAIIAggCCAIIAggCCAIIAggCCAIIAggCCAIIAggCCAIIAhMCAwKbAh4ABAIBAgICVQIEegAABAACBQIGAgcCCAIJApkCCwKXAg0CCAIIAggCCAIIAggCCAIIAggCCAIIAggCCAIIAggCCAIIAhMCAwIOAh4ABAIBAgICRAIEAgUCBgIHAggCCQKZAgsClwINAggCCAIIAggCCAIIAggCCAIIAggCCAIIAggCCAIIAggCCAITAgMCDgIeAAQCAQICAkgCBAIFAgYCBwIIAgkCIAILApcCDQIIAggCCAIIAggCCAIIAggCCAIIAggCCAIIAggCCAIIAggCEwIDAr8CHgAEAgECAgI8AgQCBQIGAgcCCAIJAiACCwKXAg0CCAIIAggCCAIIAggCCAIIAggCCAIIAggCCAIIAggCCAIIAhMCAwKYAh4ABAIBAgICWgIEAgUCBgIHAggCCQKZAgsClwINAggCCAIIAggCCAIIAggCCAIIAggCCAIIAggCCAIIAggCCAITAgMCmgIeAAQCAQICAhsCBAIFAgYCBwIIAgkCHAILApcCDQIIAggCCAIIAggCCAIIAggCCAIIAggCCAIIAggCCAIIAggCEwIDAuwCHgAEAgECAgJIAgQCBQIGAgcCCAIJAhwCCwKXAg0CCAIIAggCCAIIAggCCAIIAggCCAIIAggCCAIIAggCCAIIAhMCAwKeAh4ABAIBAgICRAIEAgUCBgIHAggCCQIcAgsClwINAggCCAIIAggCCAIIAggCCAIIAggCCAIIAggCCAIIAggCCAITAgMCnAIeAAQCAQICAjUCBAIFAgYCBwIIAgkCIAILApcCDQIIAggCCAIIAggCCAIIAggCCAIIAggCCAIIAggCCAIIAggCEwIDAsoCHgAEAgECAgI8AgQCBQIGAgcCCAIJAhwCCwKXAg0CCAIIAggCCAIIAggCCAIIAggCCAIIAggCCAIIAggCCAIIAhMCAwKgAh4ABAIBAgICKgIEAgUCBgIHAggCCQIgAgsClwINAggCCAIIAggCCAIIAggCCAIIAggCCAIIAggCCAIIAggCCAITAgMCoQIeAAQCAQICAjMCBAIFAgYCBwIIAgkCIAILApcCDQIIAggCCAIIAggCCAIIAggCCAIIAggCCAIIAggCCAIIAggCEwIDArkCHgAEAgECAgJNAgQCBQIGAgcCCAIJApkCCwKXAg0CCAIIAggCCAIIAggCCAIIAggCCAIIAggCCAIIAggCCAIIAhMCAwIOAh4ABAIBAgICbQIEAgUCBgIHAggCCQIcAgsClwINAggCCAIIAggCCAIIAggCCAIIAggCCAIIAggCCAIIAggCCAITAgMC0wIeAAQCAQICAjUCBAIFAgYCBwIIAgkCHAILApcCDQIIAggCCAIIAggCCAIIAggCCAIIAggCCAIIegAABAACCAIIAggCCAITAgMC0gIeAAQCAQICAgMCBAIFAgYCBwIIAgkCmQILApcCDQIIAggCCAIIAggCCAIIAggCCAIIAggCCAIIAggCCAIIAggCEwIDAg4CHgAEAgECAgJGAgQCBQIGAgcCCAIJAiACCwKXAg0CCAIIAggCCAIIAggCCAIIAggCCAIIAggCCAIIAggCCAIIAhMCAwKlAh4ABAIBAgICRAIEAgUCBgIHAggCCQIgAgsClwINAggCCAIIAggCCAIIAggCCAIIAggCCAIIAggCCAIIAggCCAITAgMCqAIeAAQCAQICAiICBAIFAgYCBwIIAgkCmQILApcCDQIIAggCCAIIAggCCAIIAggCCAIIAggCCAIIAggCCAIIAggCEwIDAtUCHgAEAgECAgJKAgQCBQIGAgcCCAIJApkCCwKXAg0CCAIIAggCCAIIAggCCAIIAggCCAIIAggCCAIIAggCCAIIAhMCAwKiAh4ABAIBAgICHwIEAgUCBgIHAggCCQKZAgsClwINAggCCAIIAggCCAIIAggCCAIIAggCCAIIAggCCAIIAggCCAITAgMCDgIeAAQCAQICAi0CBAIFAgYCBwIIAgkCIAILApcCDQIIAggCCAIIAggCCAIIAggCCAIIAggCCAIIAggCCAIIAggCEwIDAtYCHgAEAgECAgJ/AgQCBQIGAgcCCAIJAhwCCwKXAg0CCAIIAggCCAIIAggCCAIIAggCCAIIAggCCAIIAggCCAIIAhMCAwLEAh4ABAIBAgICOgIEAgUCBgIHAggCCQIcAgsClwINAggCCAIIAggCCAIIAggCCAIIAggCCAIIAggCCAIIAggCCAITAgMCsAIeAAQCAQICAigCBAIFAgYCBwIIAgkCIAILApcCDQIIAggCCAIIAggCCAIIAggCCAIIAggCCAIIAggCCAIIAggCEwIDAtcCHgAEAgECAgJBAgQCBQIGAgcCCAIJApkCCwKXAg0CCAIIAggCCAIIAggCCAIIAggCCAIIAggCCAIIAggCCAIIAhMCAwIOAh4ABAIBAgICOAIEAgUCBgIHAggCCQIcAgsClwINAggCCAIIAggCCAIIAggCCAIIAggCCAIIAggCCAIIAggCCAITAgMCtQIeAAQCAQICAlUCBAIFAgYCBwIIAgkCHAILApcCDQIIAggCCAIIAggCCAIIAggCCAIIAggCCAIIAggCCAIIAggCEwIDArQCHgAEAgECAgIvAgQCBQIGAgcCCAIJApkCCwKXAg0CCAIIAggCCAIIAggCCAIIAggCCAIIAggCCAIIAggCCAIIAhMCAwLUAh4ABAIBAgICXQIEAgUCBgIHAggCCQIgAgsClwINegAABAACCAIIAggCCAIIAggCCAIIAggCCAIIAggCCAIIAggCCAIIAhMCAwLcAh4ABAIBAgICSgIEAgUCBgIHAggCCQIgAgsClwINAggCCAIIAggCCAIIAggCCAIIAggCCAIIAggCCAIIAggCCAITAgMC2AIeAAQCAQICAjMCBAIFAgYCBwIIAgkCHAILApcCDQIIAggCCAIIAggCCAIIAggCCAIIAggCCAIIAggCCAIIAggCEwIDAtoCHgAEAgECAgJwAgQCBQIGAgcCCAIJApkCCwKXAg0CCAIIAggCCAIIAggCCAIIAggCCAIIAggCCAIIAggCCAIIAhMCAwLZAh4ABAIBAgICYwIEAgUCBgIHAggCCQIgAgsClwINAggCCAIIAggCCAIIAggCCAIIAggCCAIIAggCCAIIAggCCAITAgMC2wIeAAQCAQICAmoCBAIFAgYCBwIIAgkCmQILApcCDQIIAggCCAIIAggCCAIIAggCCAIIAggCCAIIAggCCAIIAggCEwIDAg4CHgAEAgECAgJKAgQCBQIGAgcCCAIJAhwCCwKXAg0CCAIIAggCCAIIAggCCAIIAggCCAIIAggCCAIIAggCCAIIAhMCAwLRAh4ABAIBAgICbQIEAgUCBgIHAggCCQIgAgsClwINAggCCAIIAggCCAIIAggCCAIIAggCCAIIAggCCAIIAggCCAITAgMCugIeAAQCAQICAigCBAIFAgYCBwIIAgkCmQILApcCDQIIAggCCAIIAggCCAIIAggCCAIIAggCCAIIAggCCAIIAggCEwIDAg4CHgAEAgECAgJfAgQCBQIGAgcCCAIJAhwCCwKXAg0CCAIIAggCCAIIAggCCAIIAggCCAIIAggCCAIIAggCCAIIAhMCAwK4Ah4ABAIBAgICJAIEAgUCBgIHAggCCQIcAgsClwINAggCCAIIAggCCAIIAggCCAIIAggCCAIIAggCCAIIAggCCAITAgMC4AIeAAQCAQICAl0CBAIFAgYCBwIIAgkCHAILApcCDQIIAggCCAIIAggCCAIIAggCCAIIAggCCAIIAggCCAIIAggCEwIDAucCHgAEAgECAgI1AgQCBQIGAgcCCAIJApkCCwKXAg0CCAIIAggCCAIIAggCCAIIAggCCAIIAggCCAIIAggCCAIIAhMCAwK3Ah4ABAIBAgICfwIEAgUCBgIHAggCCQIgAgsClwINAggCCAIIAggCCAIIAggCCAIIAggCCAIIAggCCAIIAggCCAITAgMCvAIeAAQCAQICAjECBAIFAgYCBwIIAgkCmQILApcCDQIIAggCCAIIAggCCAIIAggCCAIIAggCCAIIAggCCAIIAggCEwIDAugCHgAEegAABAACAQICAjoCBAIFAgYCBwIIAgkCIAILApcCDQIIAggCCAIIAggCCAIIAggCCAIIAggCCAIIAggCCAIIAggCEwIDAr4CHgAEAgECAgJjAgQCBQIGAgcCCAIJAhwCCwKXAg0CCAIIAggCCAIIAggCCAIIAggCCAIIAggCCAIIAggCCAIIAhMCAwLmAh4ABAIBAgICOAIEAgUCBgIHAggCCQIgAgsClwINAggCCAIIAggCCAIIAggCCAIIAggCCAIIAggCCAIIAggCCAITAgMCwAIeAAQCAQICAi0CBAIFAgYCBwIIAgkCmQILApcCDQIIAggCCAIIAggCCAIIAggCCAIIAggCCAIIAggCCAIIAggCEwIDAr0CHgAEAgECAgIkAgQCBQIGAgcCCAIJAiACCwKXAg0CCAIIAggCCAIIAggCCAIIAggCCAIIAggCCAIIAggCCAIIAhMCAwLqAh4ABAIBAgICVgIEAgUCBgIHAggCCQKZAgsClwINAggCCAIIAggCCAIIAggCCAIIAggCCAIIAggCCAIIAggCCAITAgMC6wIeAAQCAQICAioCBAIFAgYCBwIIAgkCHAILApcCDQIIAggCCAIIAggCCAIIAggCCAIIAggCCAIIAggCCAIIAggCEwIDAu0CHgAEAgECAgI+AgQCBQIGAgcCCAIJApkCCwKXAg0CCAIIAggCCAIIAggCCAIIAggCCAIIAggCCAIIAggCCAIIAhMCAwIOAh4ABAIBAgICWgIEAgUCBgIHAggCCQIcAgsClwINAggCCAIIAggCCAIIAggCCAIIAggCCAIIAggCCAIIAggCCAITAgMCxwIeAAQCAQICAhsCBAIFAgYCBwIIAgkCmQILApcCDQIIAggCCAIIAggCCAIIAggCCAIIAggCCAIIAggCCAIIAggCEwIDAsECHgAEAgECAgJNAgQCBQIGAgcCCAIJAiACCwKXAg0CCAIIAggCCAIIAggCCAIIAggCCAIIAggCCAIIAggCCAIIAhMCAwLFAh4ABAIBAgICfwIEAgUCBgIHAggCCQKZAgsClwINAggCCAIIAggCCAIIAggCCAIIAggCCAIIAggCCAIIAggCCAITAgMCDgIeAAQCAQICAkYCBAIFAgYCBwIIAgkCmQILApcCDQIIAggCCAIIAggCCAIIAggCCAIIAggCCAIIAggCCAIIAggCEwIDAsYCHgAEAgECAgJWAgQCBQIGAgcCCAIJAhwCCwKXAg0CCAIIAggCCAIIAggCCAIIAggCCAIIAggCCAIIAggCCAIIAhMCAwLIAh4ABAIBAgICJgIEAgUCBgIHAggCCQIgAgsClwINAggCCAIIAggCCAIIAggCCAIIegAABAACCAIIAggCCAIIAggCCAIIAhMCAwKmAh4ABAIBAgICAwIEAgUCBgIHAggCCQIgAgsClwINAggCCAIIAggCCAIIAggCCAIIAggCCAIIAggCCAIIAggCCAITAgMCnQIeAAQCAQICAkgCBAIFAgYCBwIIAgkCmQILApcCDQIIAggCCAIIAggCCAIIAggCCAIIAggCCAIIAggCCAIIAggCEwIDAssCHgAEAgECAgJqAgQCBQIGAgcCCAIJAiACCwKXAg0CCAIIAggCCAIIAggCCAIIAggCCAIIAggCCAIIAggCCAIIAhMCAwKqAh4ABAIBAgICTQIEAgUCBgIHAggCCQIcAgsClwINAggCCAIIAggCCAIIAggCCAIIAggCCAIIAggCCAIIAggCCAITAgMCzQIeAAQCAQICAnACBAIFAgYCBwIIAgkCIAILApcCDQIIAggCCAIIAggCCAIIAggCCAIIAggCCAIIAggCCAIIAggCEwIDAswCHgAEAgECAgIeAgQCBQIGAgcCCAIJAhwCCwKXAg0CCAIIAggCCAIIAggCCAIIAggCCAIIAggCCAIIAggCCAIIAhMCAwKtAh4ABAIBAgICPgIEAgUCBgIHAggCCQIgAgsClwINAggCCAIIAggCCAIIAggCCAIIAggCCAIIAggCCAIIAggCCAITAgMC0AIeAAQCAQICAiYCBAIFAgYCBwIIAgkCHAILApcCDQIIAggCCAIIAggCCAIIAggCCAIIAggCCAIIAggCCAIIAggCEwIDAqQCHgAEAgECAgIDAgQCBQIGAgcCCAIJAhwCCwKXAg0CCAIIAggCCAIIAggCCAIIAggCCAIIAggCCAIIAggCCAIIAhMCAwKjAh4ABAIBAgICQQIEAgUCBgIHAggCCQIgAgsClwINAggCCAIIAggCCAIIAggCCAIIAggCCAIIAggCCAIIAggCCAITAgMC4wIeAAQCAQICAjwCBAIFAgYCBwIIAgkCmQILApcCDQIIAggCCAIIAggCCAIIAggCCAIIAggCCAIIAggCCAIIAggCEwIDAs8CHgAEAgECAgJaAgQCBQIGAgcCCAIJAiACCwKXAg0CCAIIAggCCAIIAggCCAIIAggCCAIIAggCCAIIAggCCAIIAhMCAwLOAh4ABAIBAgICIgIEAgUCBgIHAggCCQIcAgsClwINAggCCAIIAggCCAIIAggCCAIIAggCCAIIAggCCAIIAggCCAITAgMCqQIeAAQCAQICAlUCBAIFAgYCBwIIAgkCIAILApcCDQIIAggCCAIIAggCCAIIAggCCAIIAggCCAIIAggCCAIIAggCEwIDArYCHgAEAgECAgJWAgQCBQIGAgcCCAIJegAABAACIAILApcCDQIIAggCCAIIAggCCAIIAggCCAIIAggCCAIIAggCCAIIAggCEwIDAskCHgAEAgECAgJtAgQCBQIGAgcCCAIJApkCCwKXAg0CCAIIAggCCAIIAggCCAIIAggCCAIIAggCCAIIAggCCAIIAhMCAwKsAh4ABAIBAgICXwIEAgUCBgIHAggCCQIgAgsClwINAggCCAIIAggCCAIIAggCCAIIAggCCAIIAggCCAIIAggCCAITAgMCqwIeAAQCAQICAkECBAIFAgYCBwIIAgkCHAILApcCDQIIAggCCAIIAggCCAIIAggCCAIIAggCCAIIAggCCAIIAggCEwIDAq8CHgAEAgECAgIfAgQCBQIGAgcCCAIJAhwCCwKXAg0CCAIIAggCCAIIAggCCAIIAggCCAIIAggCCAIIAggCCAIIAhMCAwKtAh4ABAIBAgICOgIEAgUCBgIHAggCCQKZAgsClwINAggCCAIIAggCCAIIAggCCAIIAggCCAIIAggCCAIIAggCCAITAgMCpwIeAAQCAQICAh4CBAIFAgYCBwIIAgkCIAILApcCDQIIAggCCAIIAggCCAIIAggCCAIIAggCCAIIAggCCAIIAggCEwIDAqoCHgAEAwEACTMxMjY0MTM4NAICAj4CBAIFAgYCBwIIAgkCHAILAgwCDQIIAggCCAIIAggCCAIIAggCCAIIAggCCAIIAggCCAIIAggCGgIDAo0CHgAEAwECAgJwAgQCBQIGAgcCCAIJAhwCCwIMAg0CCAIIAggCCAIIAggCCAIIAggCCAIIAggCCAIIAggCCAIIAhoCAwKQAh4ABAMBAgICKgIEAgUCBgIHAggCCQIcAgsCDAINAggCCAIIAggCCAIIAggCCAIIAggCCAIIAggCCAIIAggCCAIaAgMCXAIeAAQDAQICAl8CBAIFAgYCBwIIAgkCIAILAgwCDQIIAggCCAIIAggCCAIIAggCCAIIAggCCAIIAggCCAIIAggCGgIDAncCHgAEAwECAgIbAgQCBQIGAgcCCAIJAiACCwIMAg0CCAIIAggCCAIIAggCCAIIAggCCAIIAggCCAIIAggCCAIIAhoCAwJDAh4ABAMBAgICVQIEAgUCBgIHAggCCQIgAgsCDAINAggCCAIIAggCCAIIAggCCAIIAggCCAIIAggCCAIIAggCCAIaAgMCeQIeAAQDAQICAi0CBAIFAgYCBwIIAgkCIAILAgwCDQIIAggCCAIIAggCCAIIAggCCAIIAggCCAIIAggCCAIIAggCGgIDAkACHgAEAwECAgJWAgQCBQIGAgcCCAIJAgoCCwIMAg0CCAIIAggCCAIIAggCCAIIAggCCAIIAggCegAABAAIAggCCAIIAggCGgIDAlcCHgAEAwECAgJEAgQCBQIGAgcCCAIJAgoCCwIMAg0CCAIIAggCCAIIAggCCAIIAggCCAIIAggCCAIIAggCCAIIAhoCAwIOAh4ABAMBAgICJAIEAgUCBgIHAggCCQIcAgsCDAINAggCCAIIAggCCAIIAggCCAIIAggCCAIIAggCCAIIAggCCAIaAgMCYQIeAAQDAQICAiYCBAIFAgYCBwIIAgkCHAILAgwCDQIIAggCCAIIAggCCAIIAggCCAIIAggCCAIIAggCCAIIAggCGgIDAnUCHgAEAwECAgIDAgQCBQIGAgcCCAIJAhwCCwIMAg0CCAIIAggCCAIIAggCCAIIAggCCAIIAggCCAIIAggCCAIIAhoCAwJ8Ah4ABAMBAgICJgIEAgUCBgIHAggCCQIKAgsCDAINAggCCAIIAggCCAIIAggCCAIIAggCCAIIAggCCAIIAggCCAIaAgMCJwIeAAQDAQICAjoCBAIFAgYCBwIIAgkCIAILAgwCDQIIAggCCAIIAggCCAIIAggCCAIIAggCCAIIAggCCAIIAggCGgIDAogCHgAEAwECAgJKAgQCBQIGAgcCCAIJAiACCwIMAg0CCAIIAggCCAIIAggCCAIIAggCCAIIAggCCAIIAggCCAIIAhoCAwJsAh4ABAMBAgICNQIEAgUCBgIHAggCCQIcAgsCDAINAggCCAIIAggCCAIIAggCCAIIAggCCAIIAggCCAIIAggCCAIaAgMCNgIeAAQDAQICAjMCBAIFAgYCBwIIAgkCHAILAgwCDQIIAggCCAIIAggCCAIIAggCCAIIAggCCAIIAggCCAIIAggCGgIDAngCHgAEAwECAgJBAgQCBQIGAgcCCAIJAhwCCwIMAg0CCAIIAggCCAIIAggCCAIIAggCCAIIAggCCAIIAggCCAIIAhoCAwJCAh4ABAMBAgICTQIEAgUCBgIHAggCCQIKAgsCDAINAggCCAIIAggCCAIIAggCCAIIAggCCAIIAggCCAIIAggCCAIaAgMCDgIeAAQDAQICAi8CBAIFAgYCBwIIAgkCIAILAgwCDQIIAggCCAIIAggCCAIIAggCCAIIAggCCAIIAggCCAIIAggCGgIDAmICHgAEAwECAgJIAgQCBQIGAgcCCAIJAgoCCwIMAg0CCAIIAggCCAIIAggCCAIIAggCCAIIAggCCAIIAggCCAIIAhoCAwJJAh4ABAMBAgICPAIEAgUCBgIHAggCCQIKAgsCDAINAggCCAIIAggCCAIIAggCCAIIAggCCAIIAggCCAIIAggCCAIaAgMCPQIeAAQDAQICAj4CBAIFAgYCBwIIAgkCCgILAgwCegAABAANAggCCAIIAggCCAIIAggCCAIIAggCCAIIAggCCAIIAggCCAIaAgMCDgIeAAQDAQICAnACBAIFAgYCBwIIAgkCCgILAgwCDQIIAggCCAIIAggCCAIIAggCCAIIAggCCAIIAggCCAIIAggCGgIDAnECHgAEAwECAgJtAgQCBQIGAgcCCAIJAiACCwIMAg0CCAIIAggCCAIIAggCCAIIAggCCAIIAggCCAIIAggCCAIIAhoCAwJuAh4ABAMBAgICTQIEAgUCBgIHAggCCQIcAgsCDAINAggCCAIIAggCCAIIAggCCAIIAggCCAIIAggCCAIIAggCCAIaAgMCWQIeAAQDAQICAjwCBAIFAgYCBwIIAgkCHAILAgwCDQIIAggCCAIIAggCCAIIAggCCAIIAggCCAIIAggCCAIIAggCGgIDAoMCHgAEAwECAgIiAgQCBQIGAgcCCAIJAiACCwIMAg0CCAIIAggCCAIIAggCCAIIAggCCAIIAggCCAIIAggCCAIIAhoCAwIjAh4ABAMBAgICJgIEAgUCBgIHAggCCQIgAgsCDAINAggCCAIIAggCCAIIAggCCAIIAggCCAIIAggCCAIIAggCCAIaAgMCUQIeAAQDAQICAl0CBAIFAgYCBwIIAgkCHAILAgwCDQIIAggCCAIIAggCCAIIAggCCAIIAggCCAIIAggCCAIIAggCGgIDAl4CHgAEAwECAgJaAgQCBQIGAgcCCAIJAgoCCwIMAg0CCAIIAggCCAIIAggCCAIIAggCCAIIAggCCAIIAggCCAIIAhoCAwJbAh4ABAMBAgICfwIEAgUCBgIHAggCCQIgAgsCDAINAggCCAIIAggCCAIIAggCCAIIAggCCAIIAggCCAIIAggCCAIaAgMCiwIeAAQDAQICAkYCBAIFAgYCBwIIAgkCCgILAgwCDQIIAggCCAIIAggCCAIIAggCCAIIAggCCAIIAggCCAIIAggCGgIDAo8CHgAEAwECAgIkAgQCBQIGAgcCCAIJAgoCCwIMAg0CCAIIAggCCAIIAggCCAIIAggCCAIIAggCCAIIAggCCAIIAhoCAwIlAh4ABAMBAgICQQIEAgUCBgIHAggCCQIgAgsCDAINAggCCAIIAggCCAIIAggCCAIIAggCCAIIAggCCAIIAggCCAIaAgMCWAIeAAQDAQICAjoCBAIFAgYCBwIIAgkCHAILAgwCDQIIAggCCAIIAggCCAIIAggCCAIIAggCCAIIAggCCAIIAggCGgIDAmkCHgAEAwECAgIvAgQCBQIGAgcCCAIJAhwCCwIMAg0CCAIIAggCCAIIAggCCAIIAggCCAIIAggCCAIIAggCCAIIAhoCAwIwAh4AegAABAAEAwECAgIzAgQCBQIGAgcCCAIJAiACCwIMAg0CCAIIAggCCAIIAggCCAIIAggCCAIIAggCCAIIAggCCAIIAhoCAwKKAh4ABAMBAgICNQIEAgUCBgIHAggCCQIgAgsCDAINAggCCAIIAggCCAIIAggCCAIIAggCCAIIAggCCAIIAggCCAIaAgMChwIeAAQDAQICAkgCBAIFAgYCBwIIAgkCHAILAgwCDQIIAggCCAIIAggCCAIIAggCCAIIAggCCAIIAggCCAIIAggCGgIDAn0CHgAEAwECAgJKAgQCBQIGAgcCCAIJAhwCCwIMAg0CCAIIAggCCAIIAggCCAIIAggCCAIIAggCCAIIAggCCAIIAhoCAwJvAh4ABAMBAgICKgIEAgUCBgIHAggCCQIKAgsCDAINAggCCAIIAggCCAIIAggCCAIIAggCCAIIAggCCAIIAggCCAIaAgMCKwIeAAQDAQICAgMCBAIFAgYCBwIIAgkCIAILAgwCDQIIAggCCAIIAggCCAIIAggCCAIIAggCCAIIAggCCAIIAggCGgIDAlACHgAEAwECAgJWAgQCBQIGAgcCCAIJAiACCwIMAg0CCAIIAggCCAIIAggCCAIIAggCCAIIAggCCAIIAggCCAIIAhoCAwJ7Ah4ABAMBAgICLQIEAgUCBgIHAggCCQIKAgsCDAINAggCCAIIAggCCAIIAggCCAIIAggCCAIIAggCCAIIAggCCAIaAgMCkgIeAAQDAQICAkoCBAIFAgYCBwIIAgkCCgILAgwCDQIIAggCCAIIAggCCAIIAggCCAIIAggCCAIIAggCCAIIAggCGgIDAksCHgAEAwECAgJGAgQCBQIGAgcCCAIJAhwCCwIMAg0CCAIIAggCCAIIAggCCAIIAggCCAIIAggCCAIIAggCCAIIAhoCAwJPAh4ABAMBAgICSAIEAgUCBgIHAggCCQIgAgsCDAINAggCCAIIAggCCAIIAggCCAIIAggCCAIIAggCCAIIAggCCAIaAgMCjAIeAAQDAQICAhsCBAIFAgYCBwIIAgkCCgILAgwCDQIIAggCCAIIAggCCAIIAggCCAIIAggCCAIIAggCCAIIAggCGgIDAo4CHgAEAwECAgJaAgQCBQIGAgcCCAIJAhwCCwIMAg0CCAIIAggCCAIIAggCCAIIAggCCAIIAggCCAIIAggCCAIIAhoCAwKFAh4ABAMBAgICfwIEAgUCBgIHAggCCQIcAgsCDAINAggCCAIIAggCCAIIAggCCAIIAggCCAIIAggCCAIIAggCCAIaAgMCgAIeAAQDAQICAjwCBAIFAgYCBwIIAgkCIAILAgwCDQIIAggCCAIIAggCCAIIAggCegAABAAIAggCCAIIAggCCAIIAggCCAIaAgMCgQIeAAQDAQICAl0CBAIFAgYCBwIIAgkCCgILAgwCDQIIAggCCAIIAggCCAIIAggCCAIIAggCCAIIAggCCAIIAggCGgIDAoICHgAEAwECAgJVAgQCBQIGAgcCCAIJAgoCCwIMAg0CCAIIAggCCAIIAggCCAIIAggCCAIIAggCCAIIAggCCAIIAhoCAwIOAh4ABAMBAgICTQIEAgUCBgIHAggCCQIgAgsCDAINAggCCAIIAggCCAIIAggCCAIIAggCCAIIAggCCAIIAggCCAIaAgMCTgIeAAQDAQICAjECBAIFAgYCBwIIAgkCCgILAgwCDQIIAggCCAIIAggCCAIIAggCCAIIAggCCAIIAggCCAIIAggCGgIDAkwCHgAEAwECAgIvAgQCBQIGAgcCCAIJAgoCCwIMAg0CCAIIAggCCAIIAggCCAIIAggCCAIIAggCCAIIAggCCAIIAhoCAwJzAh4ABAMBAgICRgIEAgUCBgIHAggCCQIgAgsCDAINAggCCAIIAggCCAIIAggCCAIIAggCCAIIAggCCAIIAggCCAIaAgMCRwIeAAQDAQICAloCBAIFAgYCBwIIAgkCIAILAgwCDQIIAggCCAIIAggCCAIIAggCCAIIAggCCAIIAggCCAIIAggCGgIDAnoCHgAEAwECAgIxAgQCBQIGAgcCCAIJAhwCCwIMAg0CCAIIAggCCAIIAggCCAIIAggCCAIIAggCCAIIAggCCAIIAhoCAwKRAh4ABAMBAgICIgIEAgUCBgIHAggCCQIcAgsCDAINAggCCAIIAggCCAIIAggCCAIIAggCCAIIAggCCAIIAggCCAIaAgMCNwIeAAQDAQICAm0CBAIFAgYCBwIIAgkCHAILAgwCDQIIAggCCAIIAggCCAIIAggCCAIIAggCCAIIAggCCAIIAggCGgIDAnQCHgAEAwECAgJfAgQCBQIGAgcCCAIJAgoCCwIMAg0CCAIIAggCCAIIAggCCAIIAggCCAIIAggCCAIIAggCCAIIAhoCAwJgAh4ABAMBAgICRAIEAgUCBgIHAggCCQIgAgsCDAINAggCCAIIAggCCAIIAggCCAIIAggCCAIIAggCCAIIAggCCAIaAgMCRQIeAAQDAQICAiQCBAIFAgYCBwIIAgkCIAILAgwCDQIIAggCCAIIAggCCAIIAggCCAIIAggCCAIIAggCCAIIAggCGgIDAlICHgAEAwECAgJfAgQCBQIGAgcCCAIJAhwCCwIMAg0CCAIIAggCCAIIAggCCAIIAggCCAIIAggCCAIIAggCCAIIAhoCAwJrAh4ABAMBAgICcAIEAgUCBgIHAggCegAABAAJAiACCwIMAg0CCAIIAggCCAIIAggCCAIIAggCCAIIAggCCAIIAggCCAIIAhoCAwKEAh4ABAMBAgICKgIEAgUCBgIHAggCCQIgAgsCDAINAggCCAIIAggCCAIIAggCCAIIAggCCAIIAggCCAIIAggCCAIaAgMCdgIeAAQDAQICAjUCBAIFAgYCBwIIAgkCCgILAgwCDQIIAggCCAIIAggCCAIIAggCCAIIAggCCAIIAggCCAIIAggCGgIDAmUCHgAEAwECAgIbAgQCBQIGAgcCCAIJAhwCCwIMAg0CCAIIAggCCAIIAggCCAIIAggCCAIIAggCCAIIAggCCAIIAhoCAwIdAh4ABAMBAgICPgIEAgUCBgIHAggCCQIgAgsCDAINAggCCAIIAggCCAIIAggCCAIIAggCCAIIAggCCAIIAggCCAIaAgMCPwIeAAQDAQICAl0CBAIFAgYCBwIIAgkCIAILAgwCDQIIAggCCAIIAggCCAIIAggCCAIIAggCCAIIAggCCAIIAggCGgIDAmgCHgAEAwECAgIxAgQCBQIGAgcCCAIJAiACCwIMAg0CCAIIAggCCAIIAggCCAIIAggCCAIIAggCCAIIAggCCAIIAhoCAwIyAh4ABAMBAgICOgIEAgUCBgIHAggCCQIKAgsCDAINAggCCAIIAggCCAIIAggCCAIIAggCCAIIAggCCAIIAggCCAIaAgMCOwIeAAQDAQICAgMCBAIFAgYCBwIIAgkCCgILAgwCDQIIAggCCAIIAggCCAIIAggCCAIIAggCCAIIAggCCAIIAggCGgIDAg4CHgAEAwECAgJVAgQCBQIGAgcCCAIJAhwCCwIMAg0CCAIIAggCCAIIAggCCAIIAggCCAIIAggCCAIIAggCCAIIAhoCAwJmAh4ABAMBAgICVgIEAgUCBgIHAggCCQIcAgsCDAINAggCCAIIAggCCAIIAggCCAIIAggCCAIIAggCCAIIAggCCAIaAgMCfgIeAAQDAQICAjMCBAIFAgYCBwIIAgkCCgILAgwCDQIIAggCCAIIAggCCAIIAggCCAIIAggCCAIIAggCCAIIAggCGgIDAjQCHgAEAwECAgJ/AgQCBQIGAgcCCAIJAgoCCwIMAg0CCAIIAggCCAIIAggCCAIIAggCCAIIAggCCAIIAggCCAIIAhoCAwIOAh4ABAMBAgICRAIEAgUCBgIHAggCCQIcAgsCDAINAggCCAIIAggCCAIIAggCCAIIAggCCAIIAggCCAIIAggCCAIaAgMCVAIeAAQDAQICAiICBAIFAgYCBwIIAgkCCgILAgwCDQIIAggCCAIIAggCCAIIAggCCAIIAggCCAIIAggCCAIIAggCd9caAgMCUwIeAAQDAQICAi0CBAIFAgYCBwIIAgkCHAILAgwCDQIIAggCCAIIAggCCAIIAggCCAIIAggCCAIIAggCCAIIAggCGgIDAi4CHgAEAwECAgJBAgQCBQIGAgcCCAIJAgoCCwIMAg0CCAIIAggCCAIIAggCCAIIAggCCAIIAggCCAIIAggCCAIIAhoCAwIOAh4ABAMBAgICbQIEAgUCBgIHAggCCQIKAgsCDAINAggCCAIIAggCCAIIAggCCAIIAggCCAIIAggCCAIIAggCCAIaAgMChg==]]></xxe4awand>
</file>

<file path=customXml/item55.xml><?xml version="1.0" encoding="utf-8"?>
<xxe4awand xmlns="http://www.excel4apps.com"><![CDATA[rO0ABXfZCMCtii8CJgJXAh4AAERjb20uZXhjZWw0YXBwcy53YW5kLm9yYWNsZS5n
bHdhbmQuY2FsY3VsYXRpb25zLmdldGJhbGFuY2UuR2V0QmFsYW5jZQIBAAk1MjE3
OTY3NjgCAgABMAIDAAYyMDE2MTE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ElQVqnh4d00CHgACAQICAhsABjIwMTYwNQIEAgUCBgIHAggCCQIKAgsCDAIN
AggCCAIIAggCCAIIAggCCAIIAggCCAIIAggCCAIIAggCCAISAgMCHHNxAH4AAAAA
AAJzcQB+AAT///////////////7////+/////3VxAH4ABwAAAARMKwuAeHh3TQIeAAIBAgICHQAGMjAxNzA2AgQCBQIGAgcCCAIJAgoCCwIMAg0CCAIIAggCCAIIAggCCAIIAggCCAIIAggCCAIIAggCCAIIAhICAwIec3EAfgAAAAAAAnNxAH4ABP///////////////v////7/////dXEAfgAHAAAABFgLByx4eHdNAh4AAgECAgIfAAYyMDE3MTICBAIFAgYCBwIIAgkCCgILAgwCDQIIAggCCAIIAggCCAIIAggCCAIIAggCCAIIAggCCAIIAggCEgIDAiBzcQB+AAAAAAACc3EAfgAE///////////////+/////v////91cQB+AAcAAAAEQjS8fHh4d1UCHgACAQICAiEABjIwMTgwNAIEAgUCBgIHAggCCQIiAAYxOTEwMjUCCwIMAg0CCAIIAggCCAIIAggCCAIIAggCCAIIAggCCAIIAggCCAIIAhICAwIjc3EAfgAAAAAAAnNxAH4ABP///////////////v////4AAAAAdXEAfgAHAAAAAHh4d1UCHgACAQICAiQABjIwMTcwOAIEAgUCBgIHAggCCQIlAAYxOTEwMDACCwIMAg0CCAIIAggCCAIIAggCCAIIAggCCAIIAggCCAIIAggCCAIIAhICAwImc3EAfgAAAAAAAnNxAH4ABP///////////////v////7/////dXEAfgAHAAAAAzKU1nh4d00CHgACAQICAicABjIwMTYwNAIEAgUCBgIHAggCCQIKAgsCDAINAggCCAIIAggCCAIIAggCCAIIAggCCAIIAggCCAIIAggCCAISAgMCKHNxAH4AAAAAAAJzcQB+AAT///////////////7////+/////3VxAH4ABwAAAARIcHiveHh3TQIeAAIBAgICKQAGMjAxNjA3AgQCBQIGAgcCCAIJAiUCCwIMAg0CCAIIAggCCAIIAggCCAIIAggCCAIIAggCCAIIAggCCAIIAhICAwIqc3EAfgAAAAAAAnNxAH4ABP///////////////v////7/////dXEAfgAHAAAABAM2kpl4eHdNAh4AAgECAgIrAAYyMDE2MDICBAIFAgYCBwIIAgkCIgILAgwCDQIIAggCCAIIAggCCAIIAggCCAIIAggCCAIIAggCCAIIAggCEgIDAixzcQB+AAAAAAACc3EAfgAE///////////////+/////v////91cQB+AAcAAAADEhXLeHh3TQIeAAIBAgICLQAGMjAxNzAzAgQCBQIGAgcCCAIJAiICCwIMAg0CCAIIAggCCAIIAggCCAIIAggCCAIIAggCCAIIAggCCAIIAhICAwIuc3EAfgAAAAAAAnNxAH4ABP///////////////v////7/////dXEAfgAHAAAAAwSrl3h4d00CHgACAQICAi8ABjIwMTcxMAIEAgUCBgIHAggCCQIiAgsCDAINAggCCAIIAggCCAIIAggCCAIIAggCCAIIAggCCAIIAggCCAISAgMCMHNxAH4AAAAAAAJzcQB+AAT///////////////7////+/////3VxAH4ABwAAAAMD3Kt4eHdNAh4AAgECAgIxAAYyMDE2MTACBAIFAgYCBwIIAgkCIgILAgwCDQIIAggCCAIIAggCCAIIAggCCAIIAggCCAIIAggCCAIIAggCEgIDAjJzcQB+AAAAAAACc3EAfgAE///////////////+/////v////91cQB+AAcAAAADBT+veHh3mgIeAAIBAgICMwAGMjAxNzExAgQCBQIGAgcCCAIJAiICCwIMAg0CCAIIAggCCAIIAggCCAIIAggCCAIIAggCCAIIAggCCAIIAhICAwIjAh4AAgECAgI0AAYyMDE2MTICBAIFAgYCBwIIAgkCCgILAgwCDQIIAggCCAIIAggCCAIIAggCCAIIAggCCAIIAggCCAIIAggCEgIDAjVzcQB+AAAAAAACc3EAfgAE///////////////+/////v////91cQB+AAcAAAAEKKPaWXh4d5oCHgACAQICAjYABjIwMTgwNQIEAgUCBgIHAggCCQIiAgsCDAINAggCCAIIAggCCAIIAggCCAIIAggCCAIIAggCCAIIAggCCAISAgMCIwIeAAIBAgICNwAGMjAxODA2AgQCBQIGAgcCCAIJAgoCCwIMAg0CCAIIAggCCAIIAggCCAIIAggCCAIIAggCCAIIAggCCAIIAhICAwI4c3EAfgAAAAAAAnNxAH4ABP///////////////v////7/////dXEAfgAHAAAABFzlwLB4eHdNAh4AAgECAgI5AAYyMDE2MDYCBAIFAgYCBwIIAgkCJQILAgwCDQIIAggCCAIIAggCCAIIAggCCAIIAggCCAIIAggCCAIIAggCEgIDAjpzcQB+AAAAAAACc3EAfgAE///////////////+/////v////91cQB+AAcAAAAEA6uLrXh4d00CHgACAQICAjsABjIwMTcwNQIEAgUCBgIHAggCCQIKAgsCDAINAggCCAIIAggCCAIIAggCCAIIAggCCAIIAggCCAIIAggCCAISAgMCPHNxAH4AAAAAAAJzcQB+AAT///////////////7////+/////3VxAH4ABwAAAARZ/eXyeHh3TQIeAAIBAgICPQAGMjAxNzA0AgQCBQIGAgcCCAIJAiICCwIMAg0CCAIIAggCCAIIAggCCAIIAggCCAIIAggCCAIIAggCCAIIAhICAwI+c3EAfgAAAAAAAnNxAH4ABP///////////////v////7/////dXEAfgAHAAAAAwR0jXh4d00CHgACAQICAj8ABjIwMTYwMwIEAgUCBgIHAggCCQIiAgsCDAINAggCCAIIAggCCAIIAggCCAIIAggCCAIIAggCCAIIAggCCAISAgMCQHNxAH4AAAAAAAJzcQB+AAT///////////////7////+/////3VxAH4ABwAAAAMOg914eHdNAh4AAgECAgJBAAYyMDE3MDcCBAIFAgYCBwIIAgkCJQILAgwCDQIIAggCCAIIAggCCAIIAggCCAIIAggCCAIIAggCCAIIAggCEgIDAkJzcQB+AAAAAAACc3EAfgAE///////////////+/////v////91cQB+AAcAAAAEAgr29Hh4d0UCHgACAQICAikCBAIFAgYCBwIIAgkCCgILAgwCDQIIAggCCAIIAggCCAIIAggCCAIIAggCCAIIAggCCAIIAggCEgIDAkNzcQB+AAAAAAACc3EAfgAE///////////////+/////v////91cQB+AAcAAAAEWi+1rXh4d0UCHgACAQICAiQCBAIFAgYCBwIIAgkCCgILAgwCDQIIAggCCAIIAggCCAIIAggCCAIIAggCCAIIAggCCAIIAggCEgIDAkRzcQB+AAAAAAACc3EAfgAE///////////////+/////v////91cQB+AAcAAAAEZTFBq3h4d0UCHgACAQICAisCBAIFAgYCBwIIAgkCCgILAgwCDQIIAggCCAIIAggCCAIIAggCCAIIAggCCAIIAggCCAIIAggCEgIDAkVzcQB+AAAAAAACc3EAfgAE///////////////+/////v////91cQB+AAcAAAAENzj1T3h4d0UCHgACAQICAgMCBAIFAgYCBwIIAgkCJQILAgwCDQIIAggCCAIIAggCCAIIAggCCAIIAggCCAIIAggCCAIIAggCEgIDAkZzcQB+AAAAAAACc3EAfgAE///////////////+/////v////91cQB+AAcAAAAETEMOFXh4d0UCHgACAQICAi0CBAIFAgYCBwIIAgkCCgILAgwCDQIIAggCCAIIAggCCAIIAggCCAIIAggCCAIIAggCCAIIAggCEgIDAkdzcQB+AAAAAAACc3EAfgAE///////////////+/////v////91cQB+AAcAAAAEU2ObJnh4d4oCHgACAQICAjcCBAIFAgYCBwIIAgkCIgILAgwCDQIIAggCCAIIAggCCAIIAggCCAIIAggCCAIIAggCCAIIAggCEgIDAiMCHgACAQICAicCBAIFAgYCBwIIAgkCIgILAgwCDQIIAggCCAIIAggCCAIIAggCCAIIAggCCAIIAggCCAIIAggCEgIDAkhzcQB+AAAAAAACc3EAfgAE///////////////+/////v////91cQB+AAcAAAADDMb+eHh3RQIeAAIBAgICOwIEAgUCBgIHAggCCQIiAgsCDAINAggCCAIIAggCCAIIAggCCAIIAggCCAIIAggCCAIIAggCCAISAgMCSXNxAH4AAAAAAAJzcQB+AAT///////////////7////+/////3VxAH4ABwAAAAMEVit4eHdFAh4AAgECAgIdAgQCBQIGAgcCCAIJAiUCCwIMAg0CCAIIAggCCAIIAggCCAIIAggCCAIIAggCCAIIAggCCAIIAhICAwJKc3EAfgAAAAAAAnNxAH4ABP///////////////v////7/////dXEAfgAHAAAABAPdTSB4eHdFAh4AAgECAgI2AgQCBQIGAgcCCAIJAiUCCwIMAg0CCAIIAggCCAIIAggCCAIIAggCCAIIAggCCAIIAggCCAIIAhICAwJLc3EAfgAAAAAAAnNxAH4ABP///////////////v////7/////dXEAfgAHAAAABARKQZV4eHdFAh4AAgECAgIxAgQCBQIGAgcCCAIJAgoCCwIMAg0CCAIIAggCCAIIAggCCAIIAggCCAIIAggCCAIIAggCCAIIAhICAwJMc3EAfgAAAAAAAnNxAH4ABP///////////////v////7/////dXEAfgAHAAAABGKNyxZ4eHdFAh4AAgECAgIzAgQCBQIGAgcCCAIJAgoCCwIMAg0CCAIIAggCCAIIAggCCAIIAggCCAIIAggCCAIIAggCCAIIAhICAwJNc3EAfgAAAAAAAnNxAH4ABP///////////////v////7/////dXEAfgAHAAAABDDQqrN4eHdNAh4AAgECAgJOAAYyMDE4MDECBAIFAgYCBwIIAgkCCgILAgwCDQIIAggCCAIIAggCCAIIAggCCAIIAggCCAIIAggCCAIIAggCEgIDAk9zcQB+AAAAAAACc3EAfgAE///////////////+/////v////91cQB+AAcAAAAETu7o2nh4d00CHgACAQICAlAABjIwMTcwMgIEAgUCBgIHAggCCQIiAgsCDAINAggCCAIIAggCCAIIAggCCAIIAggCCAIIAggCCAIIAggCCAISAgMCUXNxAH4AAAAAAAJzcQB+AAT///////////////7////+/////3VxAH4ABwAAAAME+2h4eHdFAh4AAgECAgIbAgQCBQIGAgcCCAIJAiUCCwIMAg0CCAIIAggCCAIIAggCCAIIAggCCAIIAggCCAIIAggCCAIIAhICAwJSc3EAfgAAAAAAAnNxAH4ABP///////////////v////7/////dXEAfgAHAAAABAQ2ieN4eHdNAh4AAgECAgJTAAYyMDE2MDgCBAIFAgYCBwIIAgkCJQILAgwCDQIIAggCCAIIAggCCAIIAggCCAIIAggCCAIIAggCCAIIAggCEgIDAlRzcQB+AAAAAAACc3EAfgAE///////////////+/////v////91cQB+AAcAAAAEAr0/pHh4d5oCHgACAQICAlUABjIwMTgwMwIEAgUCBgIHAggCCQIiAgsCDAINAggCCAIIAggCCAIIAggCCAIIAggCCAIIAggCCAIIAggCCAISAgMCIwIeAAIBAgICVgAGMjAxODAyAgQCBQIGAgcCCAIJAiUCCwIMAg0CCAIIAggCCAIIAggCCAIIAggCCAIIAggCCAIIAggCCAIIAhICAwJXc3EAfgAAAAAAAnNxAH4ABP///////////////v////7/////dXEAfgAHAAAABBli52V4eHdFAh4AAgECAgIhAgQCBQIGAgcCCAIJAgoCCwIMAg0CCAIIAggCCAIIAggCCAIIAggCCAIIAggCCAIIAggCCAIIAhICAwJYc3EAfgAAAAAAAnNxAH4ABP///////////////v////7/////dXEAfgAHAAAABFqpyF94eHdFAh4AAgECAgI0AgQCBQIGAgcCCAIJAiICCwIMAg0CCAIIAggCCAIIAggCCAIIAggCCAIIAggCCAIIAggCCAIIAhICAwJZc3EAfgAAAAAAAnNxAH4ABP///////////////v////7/////dXEAfgAHAAAAAwbck3h4d00CHgACAQICAloABjIwMTcwOQIEAgUCBgIHAggCCQIlAgsCDAINAggCCAIIAggCCAIIAggCCAIIAggCCAIIAggCCAIIAggCCAISAgMCW3NxAH4AAAAAAAJzcQB+AAT///////////////7////+AAAAAXVxAH4ABwAAAAQCjrCgeHh3RQIeAAIBAgICHwIEAgUCBgIHAggCCQIlAgsCDAINAggCCAIIAggCCAIIAggCCAIIAggCCAIIAggCCAIIAggCCAISAgMCXHNxAH4AAAAAAAJzcQB+AAT///////////////7////+/////3VxAH4ABwAAAAQ0Sb4jeHh3TQIeAAIBAgICXQAGMjAxNzAxAgQCBQIGAgcCCAIJAiUCCwIMAg0CCAIIAggCCAIIAggCCAIIAggCCAIIAggCCAIIAggCCAIIAhICAwJec3EAfgAAAAAAAnNxAH4ABP///////////////v////7/////dXEAfgAHAAAABCjphrZ4eHdNAh4AAgECAgJfAAYyMDE2MDkCBAIFAgYCBwIIAgkCIgILAgwCDQIIAggCCAIIAggCCAIIAggCCAIIAggCCAIIAggCCAIIAggCEgIDAmBzcQB+AAAAAAACc3EAfgAE///////////////+/////v////91cQB+AAcAAAADB43UeHh3RQIeAAIBAgICVgIEAgUCBgIHAggCCQIKAgsCDAINAggCCAIIAggCCAIIAggCCAIIAggCCAIIAggCCAIIAggCCAISAgMCYXNxAH4AAAAAAAJzcQB+AAT///////////////7////+/////3VxAH4ABwAAAARPKnH5eHh3RQIeAAIBAgICXQIEAgUCBgIHAggCCQIKAgsCDAINAggCCAIIAggCCAIIAggCCAIIAggCCAIIAggCCAIIAggCCAISAgMCYnNxAH4AAAAAAAJzcQB+AAT///////////////7////+/////3VxAH4ABwAAAAQ9FTt2eHh3RQIeAAIBAgICKwIEAgUCBgIHAggCCQIlAgsCDAINAggCCAIIAggCCAIIAggCCAIIAggCCAIIAggCCAIIAggCCAISAgMCY3NxAH4AAAAAAAJzcQB+AAT///////////////7////+/////3VxAH4ABwAAAAQIJf+xeHh3RQIeAAIBAgICIQIEAgUCBgIHAggCCQIlAgsCDAINAggCCAIIAggCCAIIAggCCAIIAggCCAIIAggCCAIIAggCCAISAgMCZHNxAH4AAAAAAAJzcQB+AAT///////////////7////+/////3VxAH4ABwAAAAQHGT+ZeHh3RQIeAAIBAgICJAIEAgUCBgIHAggCCQIiAgsCDAINAggCCAIIAggCCAIIAggCCAIIAggCCAIIAggCCAIIAggCCAISAgMCZXNxAH4AAAAAAAJzcQB+AAT///////////////7////+/////3VxAH4ABwAAAAMEJQl4eHdFAh4AAgECAgJfAgQCBQIGAgcCCAIJAgoCCwIMAg0CCAIIAggCCAIIAggCCAIIAggCCAIIAggCCAIIAggCCAIIAhICAwJmc3EAfgAAAAAAAnNxAH4ABP///////////////v////7/////dXEAfgAHAAAABGExCBR4eHdFAh4AAgECAgJVAgQCBQIGAgcCCAIJAiUCCwIMAg0CCAIIAggCCAIIAggCCAIIAggCCAIIAggCCAIIAggCCAIIAhICAwJnc3EAfgAAAAAAAnNxAH4ABP///////////////v////7/////dXEAfgAHAAAABA5TyYx4eHdFAh4AAgECAgI5AgQCBQIGAgcCCAIJAiICCwIMAg0CCAIIAggCCAIIAggCCAIIAggCCAIIAggCCAIIAggCCAIIAhICAwJoc3EAfgAAAAAAAnNxAH4ABP///////////////v////7/////dXEAfgAHAAAAAwqAVHh4d0UCHgACAQICAlACBAIFAgYCBwIIAgkCJQILAgwCDQIIAggCCAIIAggCCAIIAggCCAIIAggCCAIIAggCCAIIAggCEgIDAmlzcQB+AAAAAAACc3EAfgAE///////////////+/////v////91cQB+AAcAAAAEG0cx03h4d0UCHgACAQICAkECBAIFAgYCBwIIAgkCIgILAgwCDQIIAggCCAIIAggCCAIIAggCCAIIAggCCAIIAggCCAIIAggCEgIDAmpzcQB+AAAAAAACc3EAfgAE///////////////+/////v////91cQB+AAcAAAADBDQ4eHh3RQIeAAIBAgICVQIEAgUCBgIHAggCCQIKAgsCDAINAggCCAIIAggCCAIIAggCCAIIAggCCAIIAggCCAIIAggCCAISAgMCa3NxAH4AAAAAAAJzcQB+AAT///////////////7////+/////3VxAH4ABwAAAARSfqMaeHh3RQIeAAIBAgICUwIEAgUCBgIHAggCCQIiAgsCDAINAggCCAIIAggCCAIIAggCCAIIAggCCAIIAggCCAIIAggCCAISAgMCbHNxAH4AAAAAAAJzcQB+AAT///////////////7////+/////3VxAH4ABwAAAAMItpx4eHdFAh4AAgECAgI9AgQCBQIGAgcCCAIJAiUCCwIMAg0CCAIIAggCCAIIAggCCAIIAggCCAIIAggCCAIIAggCCAIIAhICAwJtc3EAfgAAAAAAAnNxAH4ABP///////////////v////7/////dXEAfgAHAAAABAnwakZ4eHdFAh4AAgECAgI/AgQCBQIGAgcCCAIJAiUCCwIMAg0CCAIIAggCCAIIAggCCAIIAggCCAIIAggCCAIIAggCCAIIAhICAwJuc3EAfgAAAAAAAnNxAH4ABP///////////////v////7/////dXEAfgAHAAAABAXojm54eHdFAh4AAgECAgJaAgQCBQIGAgcCCAIJAgoCCwIMAg0CCAIIAggCCAIIAggCCAIIAggCCAIIAggCCAIIAggCCAIIAhICAwJvc3EAfgAAAAAAAnNxAH4ABP///////////////v////7/////dXEAfgAHAAAABHEGWUl4eHdFAh4AAgECAgJTAgQCBQIGAgcCCAIJAgoCCwIMAg0CCAIIAggCCAIIAggCCAIIAggCCAIIAggCCAIIAggCCAIIAhICAwJwc3EAfgAAAAAAAnNxAH4ABP///////////////v////7/////dXEAfgAHAAAABF1XUMl4eHdFAh4AAgECAgJQAgQCBQIGAgcCCAIJAgoCCwIMAg0CCAIIAggCCAIIAggCCAIIAggCCAIIAggCCAIIAggCCAIIAhICAwJxc3EAfgAAAAAAAnNxAH4ABP///////////////v////7/////dXEAfgAHAAAABEmLU8l4eHeKAh4AAgECAgJOAgQCBQIGAgcCCAIJAiICCwIMAg0CCAIIAggCCAIIAggCCAIIAggCCAIIAggCCAIIAggCCAIIAhICAwIjAh4AAgECAgIvAgQCBQIGAgcCCAIJAiUCCwIMAg0CCAIIAggCCAIIAggCCAIIAggCCAIIAggCCAIIAggCCAIIAhICAwJyc3EAfgAAAAAAAnNxAH4ABP///////////////v////4AAAABdXEAfgAHAAAABAkNFf14eHdFAh4AAgECAgIpAgQCBQIGAgcCCAIJAiICCwIMAg0CCAIIAggCCAIIAggCCAIIAggCCAIIAggCCAIIAggCCAIIAhICAwJzc3EAfgAAAAAAAnNxAH4ABP///////////////v////7/////dXEAfgAHAAAAAwmef3h4d0UCHgACAQICAi0CBAIFAgYCBwIIAgkCJQILAgwCDQIIAggCCAIIAggCCAIIAggCCAIIAggCCAIIAggCCAIIAggCEgIDAnRzcQB+AAAAAAACc3EAfgAE///////////////+/////v////91cQB+AAcAAAAEEP3yI3h4d0UCHgACAQICAl0CBAIFAgYCBwIIAgkCIgILAgwCDQIIAggCCAIIAggCCAIIAggCCAIIAggCCAIIAggCCAIIAggCEgIDAnVzcQB+AAAAAAACc3EAfgAE///////////////+/////v////91cQB+AAcAAAADBWT/eHh3igIeAAIBAgICHwIEAgUCBgIHAggCCQIiAgsCDAINAggCCAIIAggCCAIIAggCCAIIAggCCAIIAggCCAIIAggCCAISAgMCIwIeAAIBAgICAwIEAgUCBgIHAggCCQIiAgsCDAINAggCCAIIAggCCAIIAggCCAIIAggCCAIIAggCCAIIAggCCAISAgMCdnNxAH4AAAAAAAJzcQB+AAT///////////////7////+/////3VxAH4ABwAAAAMGaCt4eHeKAh4AAgECAgI3AgQCBQIGAgcCCAIJAiUCCwIMAg0CCAIIAggCCAIIAggCCAIIAggCCAIIAggCCAIIAggCCAIIAhICAwJLAh4AAgECAgInAgQCBQIGAgcCCAIJAiUCCwIMAg0CCAIIAggCCAIIAggCCAIIAggCCAIIAggCCAIIAggCCAIIAhICAwJ3c3EAfgAAAAAAAnNxAH4ABP///////////////v////7/////dXEAfgAHAAAABATkMA94eHdFAh4AAgECAgJfAgQCBQIGAgcCCAIJAiUCCwIMAg0CCAIIAggCCAIIAggCCAIIAggCCAIIAggCCAIIAggCCAIIAhICAwJ4c3EAfgAAAAAAAnNxAH4ABP///////////////v////7/////dXEAfgAHAAAABAIbp254eHdFAh4AAgECAgIvAgQCBQIGAgcCCAIJAgoCCwIMAg0CCAIIAggCCAIIAggCCAIIAggCCAIIAggCCAIIAggCCAIIAhICAwJ5c3EAfgAAAAAAAnNxAH4ABP///////////////v////7/////dXEAfgAHAAAABILciPF4eHeKAh4AAgECAgJWAgQCBQIGAgcCCAIJAiICCwIMAg0CCAIIAggCCAIIAggCCAIIAggCCAIIAggCCAIIAggCCAIIAhICAwIjAh4AAgECAgJOAgQCBQIGAgcCCAIJAiUCCwIMAg0CCAIIAggCCAIIAggCCAIIAggCCAIIAggCCAIIAggCCAIIAhICAwJ6c3EAfgAAAAAAAnNxAH4ABP///////////////v////7/////dXEAfgAHAAAABCZxo1d4eHeKAh4AAgECAgI2AgQCBQIGAgcCCAIJAgoCCwIMAg0CCAIIAggCCAIIAggCCAIIAggCCAIIAggCCAIIAggCCAIIAhICAwI4Ah4AAgECAgIxAgQCBQIGAgcCCAIJAiUCCwIMAg0CCAIIAggCCAIIAggCCAIIAggCCAIIAggCCAIIAggCCAIIAhICAwJ7c3EAfgAAAAAAAnNxAH4ABP///////////////v////7/////dXEAfgAHAAAAA7xcsnh4d0UCHgACAQICAj0CBAIFAgYCBwIIAgkCCgILAgwCDQIIAggCCAIIAggCCAIIAggCCAIIAggCCAIIAggCCAIIAggCEgIDAnxzcQB+AAAAAAACc3EAfgAE///////////////+/////v////91cQB+AAcAAAAEWnDZd3h4d0UCHgACAQICAjMCBAIFAgYCBwIIAgkCJQILAgwCDQIIAggCCAIIAggCCAIIAggCCAIIAggCCAIIAggCCAIIAggCEgIDAn1zcQB+AAAAAAACc3EAfgAE///////////////+/////v////91cQB+AAcAAAAERLpXvHh4d0UCHgACAQICAloCBAIFAgYCBwIIAgkCIgILAgwCDQIIAggCCAIIAggCCAIIAggCCAIIAggCCAIIAggCCAIIAggCEgIDAn5zcQB+AAAAAAACc3EAfgAE///////////////+/////v////91cQB+AAcAAAADBA6ueHh3RQIeAAIBAgICOQIEAgUCBgIHAggCCQIKAgsCDAINAggCCAIIAggCCAIIAggCCAIIAggCCAIIAggCCAIIAggCCAISAgMCf3NxAH4AAAAAAAJzcQB+AAT///////////////7////+/////3VxAH4ABwAAAARUiEubeHh3RQIeAAIBAgICQQIEAgUCBgIHAggCCQIKAgsCDAINAggCCAIIAggCCAIIAggCCAIIAggCCAIIAggCCAIIAggCCAISAgMCgHNxAH4AAAAAAAJzcQB+AAT///////////////7////+/////3VxAH4ABwAAAARe1GL4eHh3RQIeAAIBAgICNAIEAgUCBgIHAggCCQIlAgsCDAINAggCCAIIAggCCAIIAggCCAIIAggCCAIIAggCCAIIAggCCAISAgMCgXNxAH4AAAAAAAJzcQB+AAT///////////////7////+/////3VxAH4ABwAAAAQ7i4i9eHh3RQIeAAIBAgICPwIEAgUCBgIHAggCCQIKAgsCDAINAggCCAIIAggCCAIIAggCCAIIAggCCAIIAggCCAIIAggCCAISAgMCgnNxAH4AAAAAAAJzcQB+AAT///////////////7////+/////3VxAH4ABwAAAAQ9+1bieHh3RQIeAAIBAgICHQIEAgUCBgIHAggCCQIiAgsCDAINAggCCAIIAggCCAIIAggCCAIIAggCCAIIAggCCAIIAggCCAISAgMCg3NxAH4AAAAAAAJzcQB+AAT///////////////7////+/////3VxAH4ABwAAAAMEQ3p4eHdFAh4AAgECAgIbAgQCBQIGAgcCCAIJAiICCwIMAg0CCAIIAggCCAIIAggCCAIIAggCCAIIAggCCAIIAggCCAIIAhICAwKEc3EAfgAAAAAAAnNxAH4ABP///////////////v////7/////dXEAfgAHAAAAAwuCrXh4d0UCHgACAQICAjsCBAIFAgYCBwIIAgkCJQILAgwCDQIIAggCCAIIAggCCAIIAggCCAIIAggCCAIIAggCCAIIAggCEgIDAoVzcQB+AAAAAAACc3EAfgAE///////////////+/////v////91cQB+AAcAAAAEBiEYhXh4]]></xxe4awand>
</file>

<file path=customXml/item56.xml><?xml version="1.0" encoding="utf-8"?>
<xxe4awand xmlns="http://www.excel4apps.com"><![CDATA[rO0ABXfaCMCtii8CAgSr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v////7/////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AAAAAAACc3EAfgAE///////////////+/////v////91cQB+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xxe4awand>
</file>

<file path=customXml/item57.xml><?xml version="1.0" encoding="utf-8"?>
<xxe4awand xmlns="http://www.excel4apps.com"><![CDATA[rO0ABXfaCMCtii8CAQROBAIeAABEY29tLmV4Y2VsNGFwcHMud2FuZC5vcmFjbGUu
Z2x3YW5kLmNhbGN1bGF0aW9ucy5nZXRiYWxhbmNlLkdldEJhbGFuY2UCAQAJNDE0
MTUxNTEyAgIAATACAwAGMjAxODAyAgQAA1lURAIFAANVU0QCBgAFVG90YWwCBwAB
QQIIAAACCQADMDAxAgoABjE5MTAxMAILAAJHRAIMAAJXQQINAAJETAIIAggCCAII
AggCCAIIAggCCAIIAggCCAIIAggCCAIIAggCA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8qcfl4eHdNAh4AAgECAgIbAAYyMDE3MDgCBAIFAgYCBwIIAgkCCgILAgwCDQIIAggCCAIIAggCCAIIAggCCAIIAggCCAIIAggCCAIIAggCAgIDAhxzcQB+AAAAAAACc3EAfgAE///////////////+/////v////91cQB+AAcAAAAEZTFBq3h4d00CHgACAQICAh0ABjIwMTcwMQIEAgUCBgIHAggCCQIKAgsCDAINAggCCAIIAggCCAIIAggCCAIIAggCCAIIAggCCAIIAggCCAICAgMCHnNxAH4AAAAAAAJzcQB+AAT///////////////7////+/////3VxAH4ABwAAAAQ9FTt2eHh3TQIeAAIBAgICHwAGMjAxNzEwAgQCBQIGAgcCCAIJAgoCCwIMAg0CCAIIAggCCAIIAggCCAIIAggCCAIIAggCCAIIAggCCAIIAgICAwIgc3EAfgAAAAAAAnNxAH4ABP///////////////v////7/////dXEAfgAHAAAABILciPF4eHdNAh4AAgECAgIhAAYyMDE3MTICBAIFAgYCBwIIAgkCCgILAgwCDQIIAggCCAIIAggCCAIIAggCCAIIAggCCAIIAggCCAIIAggCAgIDAiJzcQB+AAAAAAACc3EAfgAE///////////////+/////v////91cQB+AAcAAAAEQjS8fHh4d00CHgACAQICAiMABjIwMTcwNAIEAgUCBgIHAggCCQIKAgsCDAINAggCCAIIAggCCAIIAggCCAIIAggCCAIIAggCCAIIAggCCAICAgMCJHNxAH4AAAAAAAJzcQB+AAT///////////////7////+/////3VxAH4ABwAAAARacNl3eHh3TQIeAAIBAgICJQAGMjAxODAzAgQCBQIGAgcCCAIJAgoCCwIMAg0CCAIIAggCCAIIAggCCAIIAggCCAIIAggCCAIIAggCCAIIAgICAwImc3EAfgAAAAAAAnNxAH4ABP///////////////v////7/////dXEAfgAHAAAABFJ+oxp4eHdNAh4AAgECAgInAAYyMDE3MDYCBAIFAgYCBwIIAgkCCgILAgwCDQIIAggCCAIIAggCCAIIAggCCAIIAggCCAIIAggCCAIIAggCAgIDAihzcQB+AAAAAAACc3EAfgAE///////////////+/////v////91cQB+AAcAAAAEWAsHLHh4d00CHgACAQICAikABjIwMTcwMgIEAgUCBgIHAggCCQIKAgsCDAINAggCCAIIAggCCAIIAggCCAIIAggCCAIIAggCCAIIAggCCAICAgMCKnNxAH4AAAAAAAJzcQB+AAT///////////////7////+/////3VxAH4ABwAAAARJi1PJeHh3TQIeAAIBAgICKwAGMjAxNzExAgQCBQIGAgcCCAIJAgoCCwIMAg0CCAIIAggCCAIIAggCCAIIAggCCAIIAggCCAIIAggCCAIIAgICAwIsc3EAfgAAAAAAAnNxAH4ABP///////////////v////7/////dXEAfgAHAAAABDDQqrN4eHdNAh4AAgECAgItAAYyMDE3MDkCBAIFAgYCBwIIAgkCCgILAgwCDQIIAggCCAIIAggCCAIIAggCCAIIAggCCAIIAggCCAIIAggCAgIDAi5zcQB+AAAAAAACc3EAfgAE///////////////+/////v////91cQB+AAcAAAAEcQZZSXh4d00CHgACAQICAi8ABjIwMTgwMQIEAgUCBgIHAggCCQIKAgsCDAINAggCCAIIAggCCAIIAggCCAIIAggCCAIIAggCCAIIAggCCAICAgMCMHNxAH4AAAAAAAJzcQB+AAT///////////////7////+/////3VxAH4ABwAAAARO7ujaeHh3TQIeAAIBAgICMQAGMjAxNzA1AgQCBQIGAgcCCAIJAgoCCwIMAg0CCAIIAggCCAIIAggCCAIIAggCCAIIAggCCAIIAggCCAIIAgICAwIyc3EAfgAAAAAAAnNxAH4ABP///////////////v////7/////dXEAfgAHAAAABFn95fJ4eHdNAh4AAgECAgIzAAYyMDE3MDcCBAIFAgYCBwIIAgkCCgILAgwCDQIIAggCCAIIAggCCAIIAggCCAIIAggCCAIIAggCCAIIAggCAgIDAjRzcQB+AAAAAAACc3EAfgAE///////////////+/////v////91cQB+AAcAAAAEXtRi+Hh4d00CHgACAQICAjUABjIwMTcwMwIEAgUCBgIHAggCCQIKAgsCDAINAggCCAIIAggCCAIIAggCCAIIAggCCAIIAggCCAIIAggCCAICAgMCNnNxAH4AAAAAAAJzcQB+AAT///////////////7////+/////3VxAH4ABwAAAARTY5smeHh3XAIeAAI3AAk3NzIwNjY2MDgCAgInAgQCBQIGAgcCCAIJAjgABjE5MTAxNQILAjkAAklEAg0CCAIIAggCCAIIAggCCAIIAggCCAIIAggCCAIIAggCCAIIAhUCAwI6c3EAfgAAAAAAAnNxAH4ABP///////////////v////7/////dXEAfgAHAAAAAxKWwHh4d00CHgACNwICAjsABjIwMTYwNgIEAgUCBgIHAggCCQIKAgsCOQINAggCCAIIAggCCAIIAggCCAIIAggCCAIIAggCCAIIAggCCAIVAgMCPHNxAH4AAAAAAAJzcQB+AAT///////////////7////+/////3VxAH4ABwAAAAQrEAtReHh3TQIeAAI3AgICPQAGMjAxNjEyAgQCBQIGAgcCCAIJAjgCCwI5Ag0CCAIIAggCCAIIAggCCAIIAggCCAIIAggCCAIIAggCCAIIAhUCAwI+c3EAfgAAAAAAAnNxAH4ABP///////////////v////7/////dXEAfgAHAAAAAxJ/Bnh4d0UCHgACNwICAj0CBAIFAgYCBwIIAgkCCgILAjkCDQIIAggCCAIIAggCCAIIAggCCAIIAggCCAIIAggCCAIIAggCFQIDAj9zcQB+AAAAAAACc3EAfgAE///////////////+/////v////91cQB+AAcAAAAEFay1n3h4d00CHgACNwICAkAABjIwMTYwNQIEAgUCBgIHAggCCQI4AgsCOQINAggCCAIIAggCCAIIAggCCAIIAggCCAIIAggCCAIIAggCCAIVAgMCQXNxAH4AAAAAAAJzcQB+AAT///////////////7////+/////3VxAH4ABwAAAAMSY394eHdNAh4AAjcCAgItAgQCBQIGAgcCCAIJAkIABjE5MTAwMAILAjkCDQIIAggCCAIIAggCCAIIAggCCAIIAggCCAIIAggCCAIIAggCFQIDAkNzcQB+AAAAAAACc3EAfgAE///////////////+/////gAAAAF1cQB+AAcAAAAEAloS0nh4d0UCHgACNwICAiECBAIFAgYCBwIIAgkCOAILAjkCDQIIAggCCAIIAggCCAIIAggCCAIIAggCCAIIAggCCAIIAggCFQIDAkRzcQB+AAAAAAACc3EAfgAE///////////////+/////gAAAAB1cQB+AAcAAAAAeHh3TQIeAAI3AgICRQAGMjAxNjA4AgQCBQIGAgcCCAIJAkICCwI5Ag0CCAIIAggCCAIIAggCCAIIAggCCAIIAggCCAIIAggCCAIIAhUCAwJGc3EAfgAAAAAAAnNxAH4ABP///////////////v////7/////dXEAfgAHAAAAA56yqnh4d0UCHgACNwICAjMCBAIFAgYCBwIIAgkCCgILAjkCDQIIAggCCAIIAggCCAIIAggCCAIIAggCCAIIAggCCAIIAggCFQIDAkdzcQB+AAAAAAACc3EAfgAE///////////////+/////v////91cQB+AAcAAAAELpGFK3h4d0UCHgACNwICAjMCBAIFAgYCBwIIAgkCOAILAjkCDQIIAggCCAIIAggCCAIIAggCCAIIAggCCAIIAggCCAIIAggCFQIDAkhzcQB+AAAAAAACc3EAfgAE///////////////+/////v////91cQB+AAcAAAADEpq3eHh3RQIeAAI3AgICLwIEAgUCBgIHAggCCQJCAgsCOQINAggCCAIIAggCCAIIAggCCAIIAggCCAIIAggCCAIIAggCCAIVAgMCSXNxAH4AAAAAAAJzcQB+AAT///////////////7////+/////3VxAH4ABwAAAAQQposkeHh3RQIeAAI3AgICOwIEAgUCBgIHAggCCQI4AgsCOQINAggCCAIIAggCCAIIAggCCAIIAggCCAIIAggCCAIIAggCCAIVAgMCSnNxAH4AAAAAAAJzcQB+AAT///////////////7////+/////3VxAH4ABwAAAAMSZ2t4eHdNAh4AAjcCAgJLAAYyMDE2MDcCBAIFAgYCBwIIAgkCQgILAjkCDQIIAggCCAIIAggCCAIIAggCCAIIAggCCAIIAggCCAIIAggCFQIDAkxzcQB+AAAAAAACc3EAfgAE///////////////+/////v////91cQB+AAcAAAAEAQaUYHh4d0UCHgACNwICAicCBAIFAgYCBwIIAgkCCgILAjkCDQIIAggCCAIIAggCCAIIAggCCAIIAggCCAIIAggCCAIIAggCFQIDAk1zcQB+AAAAAAACc3EAfgAE///////////////+/////v////91cQB+AAcAAAAEKgtGIXh4d0UCHgACNwICAkACBAIFAgYCBwIIAgkCCgILAjkCDQIIAggCCAIIAggCCAIIAggCCAIIAggCCAIIAggCCAIIAggCFQIDAk5zcQB+AAAAAAACc3EAfgAE///////////////+/////v////91cQB+AAcAAAAEJi8ywnh4d0UCHgACNwICAhsCBAIFAgYCBwIIAgkCQgILAjkCDQIIAggCCAIIAggCCAIIAggCCAIIAggCCAIIAggCCAIIAggCFQIDAk9zcQB+AAAAAAACc3EAfgAE///////////////+/////gAAAAF1cQB+AAcAAAAD/4leeHh3RQIeAAI3AgICKwIEAgUCBgIHAggCCQIKAgsCOQINAggCCAIIAggCCAIIAggCCAIIAggCCAIIAggCCAIIAggCCAIVAgMCUHNxAH4AAAAAAAJzcQB+AAT///////////////7////+/////3VxAH4ABwAAAAQcI3yQeHh3RQIeAAI3AgICJwIEAgUCBgIHAggCCQJCAgsCOQINAggCCAIIAggCCAIIAggCCAIIAggCCAIIAggCCAIIAggCCAIVAgMCUXNxAH4AAAAAAAJzcQB+AAT///////////////7////+/////3VxAH4ABwAAAAQBbUrSeHh3TQIeAAI3AgICUgAGMjAxNjEwAgQCBQIGAgcCCAIJAgoCCwI5Ag0CCAIIAggCCAIIAggCCAIIAggCCAIIAggCCAIIAggCCAIIAhUCAwJTc3EAfgAAAAAAAnNxAH4ABP///////////////v////7/////dXEAfgAHAAAABDSYRyN4eHdFAh4AAjcCAgJLAgQCBQIGAgcCCAIJAjgCCwI5Ag0CCAIIAggCCAIIAggCCAIIAggCCAIIAggCCAIIAggCCAIIAhUCAwJUc3EAfgAAAAAAAnNxAH4ABP///////////////v////7/////dXEAfgAHAAAAAxJrWHh4d0UCHgACNwICAgMCBAIFAgYCBwIIAgkCQgILAjkCDQIIAggCCAIIAggCCAIIAggCCAIIAggCCAIIAggCCAIIAggCFQIDAlVzcQB+AAAAAAACc3EAfgAE///////////////+/////v////91cQB+AAcAAAAECivT53h4d0UCHgACNwICAh0CBAIFAgYCBwIIAgkCQgILAjkCDQIIAggCCAIIAggCCAIIAggCCAIIAggCCAIIAggCCAIIAggCFQIDAlZzcQB+AAAAAAACc3EAfgAE///////////////+/////v////91cQB+AAcAAAAEFDr3g3h4d00CHgACNwICAlcABjIwMTYxMQIEAgUCBgIHAggCCQJCAgsCOQINAggCCAIIAggCCAIIAggCCAIIAggCCAIIAggCCAIIAggCCAIVAgMCWHNxAH4AAAAAAAJzcQB+AAT///////////////7////+/////3VxAH4ABwAAAAQlkNH7eHh3TQIeAAI3AgICWQAGMjAxNjA0AgQCBQIGAgcCCAIJAgoCCwI5Ag0CCAIIAggCCAIIAggCCAIIAggCCAIIAggCCAIIAggCCAIIAhUCAwJac3EAfgAAAAAAAnNxAH4ABP///////////////v////7/////dXEAfgAHAAAABCPGeP14eHdFAh4AAjcCAgIxAgQCBQIGAgcCCAIJAgoCCwI5Ag0CCAIIAggCCAIIAggCCAIIAggCCAIIAggCCAIIAggCCAIIAhUCAwJbc3EAfgAAAAAAAnNxAH4ABP///////////////v////7/////dXEAfgAHAAAABComTwt4eHdFAh4AAjcCAgIhAgQCBQIGAgcCCAIJAkICCwI5Ag0CCAIIAggCCAIIAggCCAIIAggCCAIIAggCCAIIAggCCAIIAhUCAwJcc3EAfgAAAAAAAnNxAH4ABP///////////////v////7/////dXEAfgAHAAAABBa3qKJ4eHdFAh4AAjcCAgI1AgQCBQIGAgcCCAIJAjgCCwI5Ag0CCAIIAggCCAIIAggCCAIIAggCCAIIAggCCAIIAggCCAIIAhUCAwJdc3EAfgAAAAAAAnNxAH4ABP///////////////v////7/////dXEAfgAHAAAAAxKK33h4d5ICHgACNwICAl4ABjIwMTgwNAIEAgUCBgIHAggCCQI4AgsCOQINAggCCAIIAggCCAIIAggCCAIIAggCCAIIAggCCAIIAggCCAIVAgMCRAIeAAI3AgICMQIEAgUCBgIHAggCCQI4AgsCOQINAggCCAIIAggCCAIIAggCCAIIAggCCAIIAggCCAIIAggCCAIVAgMCX3NxAH4AAAAAAAJzcQB+AAT///////////////7////+/////3VxAH4ABwAAAAMSksp4eHdFAh4AAjcCAgJLAgQCBQIGAgcCCAIJAgoCCwI5Ag0CCAIIAggCCAIIAggCCAIIAggCCAIIAggCCAIIAggCCAIIAhUCAwJgc3EAfgAAAAAAAnNxAH4ABP///////////////v////7/////dXEAfgAHAAAABC794JJ4eHdFAh4AAjcCAgJSAgQCBQIGAgcCCAIJAjgCCwI5Ag0CCAIIAggCCAIIAggCCAIIAggCCAIIAggCCAIIAggCCAIIAhUCAwJhc3EAfgAAAAAAAnNxAH4ABP///////////////v////7/////dXEAfgAHAAAAAxJ3JXh4d0UCHgACNwICAlkCBAIFAgYCBwIIAgkCOAILAjkCDQIIAggCCAIIAggCCAIIAggCCAIIAggCCAIIAggCCAIIAggCFQIDAmJzcQB+AAAAAAACc3EAfgAE///////////////+/////v////91cQB+AAcAAAADEl+UeHh3igIeAAI3AgICKwIEAgUCBgIHAggCCQI4AgsCOQINAggCCAIIAggCCAIIAggCCAIIAggCCAIIAggCCAIIAggCCAIVAgMCRAIeAAI3AgICGwIEAgUCBgIHAggCCQI4AgsCOQINAggCCAIIAggCCAIIAggCCAIIAggCCAIIAggCCAIIAggCCAIVAgMCY3NxAH4AAAAAAAJzcQB+AAT///////////////7////+/////3VxAH4ABwAAAAMSnq94eHeKAh4AAjcCAgIvAgQCBQIGAgcCCAIJAjgCCwI5Ag0CCAIIAggCCAIIAggCCAIIAggCCAIIAggCCAIIAggCCAIIAhUCAwJEAh4AAjcCAgJAAgQCBQIGAgcCCAIJAkICCwI5Ag0CCAIIAggCCAIIAggCCAIIAggCCAIIAggCCAIIAggCCAIIAhUCAwJkc3EAfgAAAAAAAnNxAH4ABP///////////////v////7/////dXEAfgAHAAAABAHNSnd4eHdFAh4AAjcCAgIbAgQCBQIGAgcCCAIJAgoCCwI5Ag0CCAIIAggCCAIIAggCCAIIAggCCAIIAggCCAIIAggCCAIIAhUCAwJlc3EAfgAAAAAAAnNxAH4ABP///////////////v////7/////dXEAfgAHAAAABDQ5VOh4eHdFAh4AAjcCAgIvAgQCBQIGAgcCCAIJAgoCCwI5Ag0CCAIIAggCCAIIAggCCAIIAggCCAIIAggCCAIIAggCCAIIAhUCAwJmc3EAfgAAAAAAAnNxAH4ABP///////////////v////7/////dXEAfgAHAAAABCkgj4V4eHdFAh4AAjcCAgIlAgQCBQIGAgcCCAIJAgoCCwI5Ag0CCAIIAggCCAIIAggCCAIIAggCCAIIAggCCAIIAggCCAIIAhUCAwJnc3EAfgAAAAAAAnNxAH4ABP///////////////v////7/////dXEAfgAHAAAABCrCsfh4eHdNAh4AAjcCAgJoAAYyMDE2MDMCBAIFAgYCBwIIAgkCQgILAjkCDQIIAggCCAIIAggCCAIIAggCCAIIAggCCAIIAggCCAIIAggCFQIDAmlzcQB+AAAAAAACc3EAfgAE///////////////+/////v////91cQB+AAcAAAAEAvtLi3h4d0UCHgACNwICAikCBAIFAgYCBwIIAgkCCgILAjkCDQIIAggCCAIIAggCCAIIAggCCAIIAggCCAIIAggCCAIIAggCFQIDAmpzcQB+AAAAAAACc3EAfgAE///////////////+/////v////91cQB+AAcAAAAEIgqsMXh4d0UCHgACNwICAiMCBAIFAgYCBwIIAgkCQgILAjkCDQIIAggCCAIIAggCCAIIAggCCAIIAggCCAIIAggCCAIIAggCFQIDAmtzcQB+AAAAAAACc3EAfgAE///////////////+/////v////91cQB+AAcAAAAEBQSjQXh4d00CHgACNwICAmwABjIwMTgwNQIEAgUCBgIHAggCCQJCAgsCOQINAggCCAIIAggCCAIIAggCCAIIAggCCAIIAggCCAIIAggCCAIVAgMCbXNxAH4AAAAAAAJzcQB+AAT///////////////7////+AAAAAXVxAH4ABwAAAAM2pbZ4eHdFAh4AAjcCAgIdAgQCBQIGAgcCCAIJAjgCCwI5Ag0CCAIIAggCCAIIAggCCAIIAggCCAIIAggCCAIIAggCCAIIAhUCAwJuc3EAfgAAAAAAAnNxAH4ABP///////////////v////7/////dXEAfgAHAAAAAxKC+Hh4d0UCHgACNwICAjUCBAIFAgYCBwIIAgkCQgILAjkCDQIIAggCCAIIAggCCAIIAggCCAIIAggCCAIIAggCCAIIAggCFQIDAm9zcQB+AAAAAAACc3EAfgAE///////////////+/////v////91cQB+AAcAAAAECL1IIXh4d0UCHgACNwICAjUCBAIFAgYCBwIIAgkCCgILAjkCDQIIAggCCAIIAggCCAIIAggCCAIIAggCCAIIAggCCAIIAggCFQIDAnBzcQB+AAAAAAACc3EAfgAE///////////////+/////v////91cQB+AAcAAAAEJngfcXh4d0UCHgACNwICAh8CBAIFAgYCBwIIAgkCQgILAjkCDQIIAggCCAIIAggCCAIIAggCCAIIAggCCAIIAggCCAIIAggCFQIDAnFzcQB+AAAAAAACc3EAfgAE///////////////+/////gAAAAF1cQB+AAcAAAAEBhtaanh4d00CHgACNwICAnIABjIwMTYwMgIEAgUCBgIHAggCCQJCAgsCOQINAggCCAIIAggCCAIIAggCCAIIAggCCAIIAggCCAIIAggCCAIVAgMCc3NxAH4AAAAAAAJzcQB+AAT///////////////7////+/////3VxAH4ABwAAAAQEW5IQeHh3RQIeAAI3AgICXgIEAgUCBgIHAggCCQIKAgsCOQINAggCCAIIAggCCAIIAggCCAIIAggCCAIIAggCCAIIAggCCAIVAgMCdHNxAH4AAAAAAAJzcQB+AAT///////////////7////+/////3VxAH4ABwAAAAQu9BT/eHh3igIeAAI3AgICAwIEAgUCBgIHAggCCQI4AgsCOQINAggCCAIIAggCCAIIAggCCAIIAggCCAIIAggCCAIIAggCCAIVAgMCRAIeAAI3AgICAwIEAgUCBgIHAggCCQIKAgsCOQINAggCCAIIAggCCAIIAggCCAIIAggCCAIIAggCCAIIAggCCAIVAgMCdXNxAH4AAAAAAAJzcQB+AAT///////////////7////+/////3VxAH4ABwAAAAQpRoS2eHh3TQIeAAI3AgICdgAGMjAxNjA5AgQCBQIGAgcCCAIJAgoCCwI5Ag0CCAIIAggCCAIIAggCCAIIAggCCAIIAggCCAIIAggCCAIIAhUCAwJ3c3EAfgAAAAAAAnNxAH4ABP///////////////v////7/////dXEAfgAHAAAABDO8lpJ4eHdFAh4AAjcCAgJZAgQCBQIGAgcCCAIJAkICCwI5Ag0CCAIIAggCCAIIAggCCAIIAggCCAIIAggCCAIIAggCCAIIAhUCAwJ4c3EAfgAAAAAAAnNxAH4ABP///////////////v////7/////dXEAfgAHAAAABAJQHul4eHdFAh4AAjcCAgJeAgQCBQIGAgcCCAIJAkICCwI5Ag0CCAIIAggCCAIIAggCCAIIAggCCAIIAggCCAIIAggCCAIIAhUCAwJ5c3EAfgAAAAAAAnNxAH4ABP///////////////v////7/////dXEAfgAHAAAABAEya894eHdFAh4AAjcCAgJyAgQCBQIGAgcCCAIJAgoCCwI5Ag0CCAIIAggCCAIIAggCCAIIAggCCAIIAggCCAIIAggCCAIIAhUCAwJ6c3EAfgAAAAAAAnNxAH4ABP///////////////v////7/////dXEAfgAHAAAABBuzHlx4eHdFAh4AAjcCAgJyAgQCBQIGAgcCCAIJAjgCCwI5Ag0CCAIIAggCCAIIAggCCAIIAggCCAIIAggCCAIIAggCCAIIAhUCAwJ7c3EAfgAAAAAAAnNxAH4ABP///////////////v////7/////dXEAfgAHAAAAAxJXv3h4d0UCHgACNwICAnYCBAIFAgYCBwIIAgkCOAILAjkCDQIIAggCCAIIAggCCAIIAggCCAIIAggCCAIIAggCCAIIAggCFQIDAnxzcQB+AAAAAAACc3EAfgAE///////////////+/////v////91cQB+AAcAAAADEnM1eHh3igIeAAI3AgICJQIEAgUCBgIHAggCCQI4AgsCOQINAggCCAIIAggCCAIIAggCCAIIAggCCAIIAggCCAIIAggCCAIVAgMCRAIeAAI3AgICKwIEAgUCBgIHAggCCQJCAgsCOQINAggCCAIIAggCCAIIAggCCAIIAggCCAIIAggCCAIIAggCCAIVAgMCfXNxAH4AAAAAAAJzcQB+AAT///////////////7////+/////3VxAH4ABwAAAAQewHRseHh3RQIeAAI3AgICUgIEAgUCBgIHAggCCQJCAgsCOQINAggCCAIIAggCCAIIAggCCAIIAggCCAIIAggCCAIIAggCCAIVAgMCfnNxAH4AAAAAAAJzcQB+AAT///////////////7////+AAAAAXVxAH4ABwAAAAO5cnx4eHdFAh4AAjcCAgIpAgQCBQIGAgcCCAIJAjgCCwI5Ag0CCAIIAggCCAIIAggCCAIIAggCCAIIAggCCAIIAggCCAIIAhUCAwJ/c3EAfgAAAAAAAnNxAH4ABP///////////////v////7/////dXEAfgAHAAAAAxKG63h4d0UCHgACNwICAi0CBAIFAgYCBwIIAgkCCgILAjkCDQIIAggCCAIIAggCCAIIAggCCAIIAggCCAIIAggCCAIIAggCFQIDAoBzcQB+AAAAAAACc3EAfgAE///////////////+/////v////91cQB+AAcAAAAEOUUu/nh4d0UCHgACNwICAkUCBAIFAgYCBwIIAgkCCgILAjkCDQIIAggCCAIIAggCCAIIAggCCAIIAggCCAIIAggCCAIIAggCFQIDAoFzcQB+AAAAAAACc3EAfgAE///////////////+/////v////91cQB+AAcAAAAEMe+1GXh4d0UCHgACNwICAiMCBAIFAgYCBwIIAgkCOAILAjkCDQIIAggCCAIIAggCCAIIAggCCAIIAggCCAIIAggCCAIIAggCFQIDAoJzcQB+AAAAAAACc3EAfgAE///////////////+/////v////91cQB+AAcAAAADEo7UeHh3RQIeAAI3AgICHwIEAgUCBgIHAggCCQI4AgsCOQINAggCCAIIAggCCAIIAggCCAIIAggCCAIIAggCCAIIAggCCAIVAgMCg3NxAH4AAAAAAAJzcQB+AAT///////////////7////+/////3VxAH4ABwAAAAMSpqJ4eHdFAh4AAjcCAgJoAgQCBQIGAgcCCAIJAgoCCwI5Ag0CCAIIAggCCAIIAggCCAIIAggCCAIIAggCCAIIAggCCAIIAhUCAwKEc3EAfgAAAAAAAnNxAH4ABP///////////////v////7/////dXEAfgAHAAAABB6uCU94eHdFAh4AAjcCAgIlAgQCBQIGAgcCCAIJAkICCwI5Ag0CCAIIAggCCAIIAggCCAIIAggCCAIIAggCCAIIAggCCAIIAhUCAwKFc3EAfgAAAAAAAnNxAH4ABP///////////////v////7/////dXEAfgAHAAAABATh3pl4eHdFAh4AAjcCAgJoAgQCBQIGAgcCCAIJAjgCCwI5Ag0CCAIIAggCCAIIAggCCAIIAggCCAIIAggCCAIIAggCCAIIAhUCAwKGc3EAfgAAAAAAAnNxAH4ABP///////////////v////7/////dXEAfgAHAAAAAxJbqXh4d0UCHgACNwICAi0CBAIFAgYCBwIIAgkCOAILAjkCDQIIAggCCAIIAggCCAIIAggCCAIIAggCCAIIAggCCAIIAggCFQIDAodzcQB+AAAAAAACc3EAfgAE///////////////+/////v////91cQB+AAcAAAADEqKoeHh3RQIeAAI3AgICMwIEAgUCBgIHAggCCQJCAgsCOQINAggCCAIIAggCCAIIAggCCAIIAggCCAIIAggCCAIIAggCCAIVAgMCiHNxAH4AAAAAAAJzcQB+AAT///////////////7////+/////3VxAH4ABwAAAANOuAp4eHdFAh4AAjcCAgIfAgQCBQIGAgcCCAIJAgoCCwI5Ag0CCAIIAggCCAIIAggCCAIIAggCCAIIAggCCAIIAggCCAIIAhUCAwKJc3EAfgAAAAAAAnNxAH4ABP///////////////v////7/////dXEAfgAHAAAABENETeB4eHdFAh4AAjcCAgI7AgQCBQIGAgcCCAIJAkICCwI5Ag0CCAIIAggCCAIIAggCCAIIAggCCAIIAggCCAIIAggCCAIIAhUCAwKKc3EAfgAAAAAAAnNxAH4ABP///////////////v////7/////dXEAfgAHAAAABAFkyvJ4eHdFAh4AAjcCAgJXAgQCBQIGAgcCCAIJAgoCCwI5Ag0CCAIIAggCCAIIAggCCAIIAggCCAIIAggCCAIIAggCCAIIAhUCAwKLc3EAfgAAAAAAAnNxAH4ABP///////////////v////7/////dXEAfgAHAAAABAvREnR4eHdFAh4AAjcCAgIxAgQCBQIGAgcCCAIJAkICCwI5Ag0CCAIIAggCCAIIAggCCAIIAggCCAIIAggCCAIIAggCCAIIAhUCAwKMc3EAfgAAAAAAAnNxAH4ABP///////////////v////7/////dXEAfgAHAAAABALXZ1R4eHdFAh4AAjcCAgIhAgQCBQIGAgcCCAIJAgoCCwI5Ag0CCAIIAggCCAIIAggCCAIIAggCCAIIAggCCAIIAggCCAIIAhUCAwKNc3EAfgAAAAAAAnNxAH4ABP///////////////v////7/////dXEAfgAHAAAABCQ0bfR4eHdFAh4AAjcCAgIdAgQCBQIGAgcCCAIJAgoCCwI5Ag0CCAIIAggCCAIIAggCCAIIAggCCAIIAggCCAIIAggCCAIIAhUCAwKOc3EAfgAAAAAAAnNxAH4ABP///////////////v////7/////dXEAfgAHAAAABB2x+kx4eHdFAh4AAjcCAgJFAgQCBQIGAgcCCAIJAjgCCwI5Ag0CCAIIAggCCAIIAggCCAIIAggCCAIIAggCCAIIAggCCAIIAhUCAwKPc3EAfgAAAAAAAnNxAH4ABP///////////////v////7/////dXEAfgAHAAAAAxJvRnh4d0UCHgACNwICAlcCBAIFAgYCBwIIAgkCOAILAjkCDQIIAggCCAIIAggCCAIIAggCCAIIAggCCAIIAggCCAIIAggCFQIDApBzcQB+AAAAAAACc3EAfgAE///////////////+/////v////91cQB+AAcAAAADEnsVeHh3RQIeAAI3AgICKQIEAgUCBgIHAggCCQJCAgsCOQINAggCCAIIAggCCAIIAggCCAIIAggCCAIIAggCCAIIAggCCAIVAgMCkXNxAH4AAAAAAAJzcQB+AAT///////////////7////+/////3VxAH4ABwAAAAQOCxxKeHh3igIeAAI3AgICbAIEAgUCBgIHAggCCQI4AgsCOQINAggCCAIIAggCCAIIAggCCAIIAggCCAIIAggCCAIIAggCCAIVAgMCRAIeAAI3AgICbAIEAgUCBgIHAggCCQIKAgsCOQINAggCCAIIAggCCAIIAggCCAIIAggCCAIIAggCCAIIAggCCAIVAgMCknNxAH4AAAAAAAJzcQB+AAT///////////////7////+/////3VxAH4ABwAAAAQv/sZceHh3RQIeAAI3AgICIwIEAgUCBgIHAggCCQIKAgsCOQINAggCCAIIAggCCAIIAggCCAIIAggCCAIIAggCCAIIAggCCAIVAgMCk3NxAH4AAAAAAAJzcQB+AAT///////////////7////+/////3VxAH4ABwAAAAQp4OUTeHh3RQIeAAI3AgICdgIEAgUCBgIHAggCCQJCAgsCOQINAggCCAIIAggCCAIIAggCCAIIAggCCAIIAggCCAIIAggCCAIVAgMClHNxAH4AAAAAAAJzcQB+AAT///////////////7////+/////3VxAH4ABwAAAAMy9xF4eHdFAh4AAjcCAgI9AgQCBQIGAgcCCAIJAkICCwI5Ag0CCAIIAggCCAIIAggCCAIIAggCCAIIAggCCAIIAggCCAIIAhUCAwKVc3EAfgAAAAAAAnNxAH4ABP///////////////v////7/////dXEAfgAHAAAABB0QqXR4eHdQAh4AApYACTY1NjA5Nzk2OAICAiUCBAIFAgYCBwIIAgkCQgILAgwCDQIIAggCCAIIAggCCAIIAggCCAIIAggCCAIIAggCCAIIAggCBAIDApdzcQB+AAAAAAACc3EAfgAE///////////////+/////v////91cQB+AAcAAAAEDlPJjHh4d0UCHgAClgICAikCBAIFAgYCBwIIAgkCQgILAgwCDQIIAggCCAIIAggCCAIIAggCCAIIAggCCAIIAggCCAIIAggCBAIDAphzcQB+AAAAAAACc3EAfgAE///////////////+/////v////91cQB+AAcAAAAEG0cx03h4d0UCHgAClgICAi0CBAIFAgYCBwIIAgkCQgILAgwCDQIIAggCCAIIAggCCAIIAggCCAIIAggCCAIIAggCCAIIAggCBAIDAplzcQB+AAAAAAACc3EAfgAE///////////////+/////gAAAAF1cQB+AAcAAAAEAo6woHh4d0UCHgAClgICAisCBAIFAgYCBwIIAgkCQgILAgwCDQIIAggCCAIIAggCCAIIAggCCAIIAggCCAIIAggCCAIIAggCBAIDAppzcQB+AAAAAAACc3EAfgAE///////////////+/////v////91cQB+AAcAAAAERLpXvHh4d0UCHgAClgICAi8CBAIFAgYCBwIIAgkCQgILAgwCDQIIAggCCAIIAggCCAIIAggCCAIIAggCCAIIAggCCAIIAggCBAIDAptzcQB+AAAAAAACc3EAfgAE///////////////+/////v////91cQB+AAcAAAAEJnGjV3h4d0UCHgAClgICAjMCBAIFAgYCBwIIAgkCQgILAgwCDQIIAggCCAIIAggCCAIIAggCCAIIAggCCAIIAggCCAIIAggCBAIDApxzcQB+AAAAAAACc3EAfgAE///////////////+/////v////91cQB+AAcAAAAEAgr29Hh4d0UCHgAClgICAiMCBAIFAgYCBwIIAgkCQgILAgwCDQIIAggCCAIIAggCCAIIAggCCAIIAggCCAIIAggCCAIIAggCBAIDAp1zcQB+AAAAAAACc3EAfgAE///////////////+/////v////91cQB+AAcAAAAECfBqRnh4d0UCHgAClgICAjECBAIFAgYCBwIIAgkCQgILAgwCDQIIAggCCAIIAggCCAIIAggCCAIIAggCCAIIAggCCAIIAggCBAIDAp5zcQB+AAAAAAACc3EAfgAE///////////////+/////v////91cQB+AAcAAAAEBiEYhXh4d0UCHgAClgICAiECBAIFAgYCBwIIAgkCQgILAgwCDQIIAggCCAIIAggCCAIIAggCCAIIAggCCAIIAggCCAIIAggCBAIDAp9zcQB+AAAAAAACc3EAfgAE///////////////+/////v////91cQB+AAcAAAAENEm+I3h4d0UCHgAClgICAgMCBAIFAgYCBwIIAgkCQgILAgwCDQIIAggCCAIIAggCCAIIAggCCAIIAggCCAIIAggCCAIIAggCBAIDAqBzcQB+AAAAAAACc3EAfgAE///////////////+/////v////91cQB+AAcAAAAEGWLnZXh4d0UCHgAClgICAh0CBAIFAgYCBwIIAgkCQgILAgwCDQIIAggCCAIIAggCCAIIAggCCAIIAggCCAIIAggCCAIIAggCBAIDAqFzcQB+AAAAAAACc3EAfgAE///////////////+/////v////91cQB+AAcAAAAEKOmGtnh4d0UCHgAClgICAh8CBAIFAgYCBwIIAgkCQgILAgwCDQIIAggCCAIIAggCCAIIAggCCAIIAggCCAIIAggCCAIIAggCBAIDAqJzcQB+AAAAAAACc3EAfgAE///////////////+/////gAAAAF1cQB+AAcAAAAECQ0V/Xh4d0UCHgAClgICAjUCBAIFAgYCBwIIAgkCQgILAgwCDQIIAggCCAIIAggCCAIIAggCCAIIAggCCAIIAggCCAIIAggCBAIDAqNzcQB+AAAAAAACc3EAfgAE///////////////+/////v////91cQB+AAcAAAAEEP3yI3h4d0UCHgAClgICAhsCBAIFAgYCBwIIAgkCQgILAgwCDQIIAggCCAIIAggCCAIIAggCCAIIAggCCAIIAggCCAIIAggCBAIDAqRzcQB+AAAAAAACc3EAfgAE///////////////+/////v////91cQB+AAcAAAADMpTWeHh3RQIeAAKWAgICJwIEAgUCBgIHAggCCQJCAgsCDAINAggCCAIIAggCCAIIAggCCAIIAggCCAIIAggCCAIIAggCCAIEAgMCpXNxAH4AAAAAAAJzcQB+AAT///////////////7////+/////3VxAH4ABwAAAAQD3U0geHh3UAIeAAKmAAk3MTYyNzM4MjQCAgI7AgQCBQIGAgcCCAIJAkICCwIMAg0CCAIIAggCCAIIAggCCAIIAggCCAIIAggCCAIIAggCCAIIAhoCAwKnc3EAfgAAAAAAAnNxAH4ABP///////////////v////7/////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AAAAAAACc3EAfgAE///////////////+/////v////91cQB+AAcAAAADEhXLeHh3igIeAAKmAgICIQIEAgUCBgIHAggCCQIKAgsCDAINAggCCAIIAggCCAIIAggCCAIIAggCCAIIAggCCAIIAggCCAIaAgMCIgIeAAKmAgICNQIEAgUCBgIHAggCCQKoAgsCDAINAggCCAIIAggCCAIIAggCCAIIAggCCAIIAggCCAIIAggCCAIaAgMCqnNxAH4AAAAAAAJzcQB+AAT///////////////7////+/////3VxAH4ABwAAAAMEq5d4eHdFAh4AAqYCAgIfAgQCBQIGAgcCCAIJAqgCCwIMAg0CCAIIAggCCAIIAggCCAIIAggCCAIIAggCCAIIAggCCAIIAhoCAwKrc3EAfgAAAAAAAnNxAH4ABP///////////////v////7/////dXEAfgAHAAAAAwPcq3h4d0UCHgACpgICAlkCBAIFAgYCBwIIAgkCCgILAgwCDQIIAggCCAIIAggCCAIIAggCCAIIAggCCAIIAggCCAIIAggCGgIDAqxzcQB+AAAAAAACc3EAfgAE///////////////+/////v////91cQB+AAcAAAAESHB4r3h4d0UCHgACpgICAlcCBAIFAgYCBwIIAgkCCgILAgwCDQIIAggCCAIIAggCCAIIAggCCAIIAggCCAIIAggCCAIIAggCGgIDAq1zcQB+AAAAAAACc3EAfgAE///////////////+/////v////91cQB+AAcAAAAEElQVqnh4d0UCHgACpgICAmgCBAIFAgYCBwIIAgkCqAILAgwCDQIIAggCCAIIAggCCAIIAggCCAIIAggCCAIIAggCCAIIAggCGgIDAq5zcQB+AAAAAAACc3EAfgAE///////////////+/////v////91cQB+AAcAAAADDoPdeHh3igIeAAKmAgICGwIEAgUCBgIHAggCCQJCAgsCDAINAggCCAIIAggCCAIIAggCCAIIAggCCAIIAggCCAIIAggCCAIaAgMCpAIeAAKmAgICSwIEAgUCBgIHAggCCQJCAgsCDAINAggCCAIIAggCCAIIAggCCAIIAggCCAIIAggCCAIIAggCCAIaAgMCr3NxAH4AAAAAAAJzcQB+AAT///////////////7////+/////3VxAH4ABwAAAAQDNpKZeHh3igIeAAKmAgICJwIEAgUCBgIHAggCCQIKAgsCDAINAggCCAIIAggCCAIIAggCCAIIAggCCAIIAggCCAIIAggCCAIaAgMCKAIeAAKmAgICUgIEAgUCBgIHAggCCQKoAgsCDAINAggCCAIIAggCCAIIAggCCAIIAggCCAIIAggCCAIIAggCCAIaAgMCsHNxAH4AAAAAAAJzcQB+AAT///////////////7////+/////3VxAH4ABwAAAAMFP694eHeKAh4AAqYCAgIrAgQCBQIGAgcCCAIJAqgCCwIMAg0CCAIIAggCCAIIAggCCAIIAggCCAIIAggCCAIIAggCCAIIAhoCAwJEAh4AAqYCAgJAAgQCBQIGAgcCCAIJAgoCCwIMAg0CCAIIAggCCAIIAggCCAIIAggCCAIIAggCCAIIAggCCAIIAhoCAwKxc3EAfgAAAAAAAnNxAH4ABP///////////////v////7/////dXEAfgAHAAAABEwrC4B4eHdFAh4AAqYCAgIjAgQCBQIGAgcCCAIJAqgCCwIMAg0CCAIIAggCCAIIAggCCAIIAggCCAIIAggCCAIIAggCCAIIAhoCAwKyc3EAfgAAAAAAAnNxAH4ABP///////////////v////7/////dXEAfgAHAAAAAwR0jXh4d0UCHgACpgICAj0CBAIFAgYCBwIIAgkCCgILAgwCDQIIAggCCAIIAggCCAIIAggCCAIIAggCCAIIAggCCAIIAggCGgIDArNzcQB+AAAAAAACc3EAfgAE///////////////+/////v////91cQB+AAcAAAAEKKPaWXh4d0UCHgACpgICAjECBAIFAgYCBwIIAgkCqAILAgwCDQIIAggCCAIIAggCCAIIAggCCAIIAggCCAIIAggCCAIIAggCGgIDArRzcQB+AAAAAAACc3EAfgAE///////////////+/////v////91cQB+AAcAAAADBFYreHh3RQIeAAKmAgICWQIEAgUCBgIHAggCCQKoAgsCDAINAggCCAIIAggCCAIIAggCCAIIAggCCAIIAggCCAIIAggCCAIaAgMCtXNxAH4AAAAAAAJzcQB+AAT///////////////7////+/////3VxAH4ABwAAAAMMxv54eHeKAh4AAqYCAgI1AgQCBQIGAgcCCAIJAgoCCwIMAg0CCAIIAggCCAIIAggCCAIIAggCCAIIAggCCAIIAggCCAIIAhoCAwI2Ah4AAqYCAgJFAgQCBQIGAgcCCAIJAkICCwIMAg0CCAIIAggCCAIIAggCCAIIAggCCAIIAggCCAIIAggCCAIIAhoCAwK2c3EAfgAAAAAAAnNxAH4ABP///////////////v////7/////dXEAfgAHAAAABAK9P6R4eHeKAh4AAqYCAgItAgQCBQIGAgcCCAIJAkICCwIMAg0CCAIIAggCCAIIAggCCAIIAggCCAIIAggCCAIIAggCCAIIAhoCAwKZAh4AAqYCAgJ2AgQCBQIGAgcCCAIJAqgCCwIMAg0CCAIIAggCCAIIAggCCAIIAggCCAIIAggCCAIIAggCCAIIAhoCAwK3c3EAfgAAAAAAAnNxAH4ABP///////////////v////7/////dXEAfgAHAAAAAweN1Hh4d4oCHgACpgICAiMCBAIFAgYCBwIIAgkCQgILAgwCDQIIAggCCAIIAggCCAIIAggCCAIIAggCCAIIAggCCAIIAggCGgIDAp0CHgACpgICAnICBAIFAgYCBwIIAgkCCgILAgwCDQIIAggCCAIIAggCCAIIAggCCAIIAggCCAIIAggCCAIIAggCGgIDArhzcQB+AAAAAAACc3EAfgAE///////////////+/////v////91cQB+AAcAAAAENzj1T3h4d0UCHgACpgICAkACBAIFAgYCBwIIAgkCQgILAgwCDQIIAggCCAIIAggCCAIIAggCCAIIAggCCAIIAggCCAIIAggCGgIDArlzcQB+AAAAAAACc3EAfgAE///////////////+/////v////91cQB+AAcAAAAEBDaJ43h4d0UCHgACpgICAlcCBAIFAgYCBwIIAgkCQgILAgwCDQIIAggCCAIIAggCCAIIAggCCAIIAggCCAIIAggCCAIIAggCGgIDArpzcQB+AAAAAAACc3EAfgAE///////////////+/////v////91cQB+AAcAAAAETEMOFXh4d4oCHgACpgICAiECBAIFAgYCBwIIAgkCQgILAgwCDQIIAggCCAIIAggCCAIIAggCCAIIAggCCAIIAggCCAIIAggCGgIDAp8CHgACpgICAj0CBAIFAgYCBwIIAgkCqAILAgwCDQIIAggCCAIIAggCCAIIAggCCAIIAggCCAIIAggCCAIIAggCGgIDArtzcQB+AAAAAAACc3EAfgAE///////////////+/////v////91cQB+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AAT///////////////7////+/////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AAT///////////////7////+/////3VxAH4ABwAAAAME+2h4eHdFAh4AAqYCAgJSAgQCBQIGAgcCCAIJAgoCCwIMAg0CCAIIAggCCAIIAggCCAIIAggCCAIIAggCCAIIAggCCAIIAhoCAwK+c3EAfgAAAAAAAnNxAH4ABP///////////////v////7/////dXEAfgAHAAAABGKNyxZ4eHeKAh4AAqYCAgIpAgQCBQIGAgcCCAIJAkICCwIMAg0CCAIIAggCCAIIAggCCAIIAggCCAIIAggCCAIIAggCCAIIAhoCAwKYAh4AAqYCAgI7AgQCBQIGAgcCCAIJAqgCCwIMAg0CCAIIAggCCAIIAggCCAIIAggCCAIIAggCCAIIAggCCAIIAhoCAwK/c3EAfgAAAAAAAnNxAH4ABP///////////////v////7/////dXEAfgAHAAAAAwqAVHh4d4oCHgACpgICAgMCBAIFAgYCBwIIAgkCCgILAgwCDQIIAggCCAIIAggCCAIIAggCCAIIAggCCAIIAggCCAIIAggCGgIDAg4CHgACpgICAnICBAIFAgYCBwIIAgkCQgILAgwCDQIIAggCCAIIAggCCAIIAggCCAIIAggCCAIIAggCCAIIAggCGgIDAsBzcQB+AAAAAAACc3EAfgAE///////////////+/////v////91cQB+AAcAAAAECCX/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AAAAAAACc3EAfgAE///////////////+/////v////91cQB+AAcAAAADBDQ4eHh3RQIeAAKmAgICRQIEAgUCBgIHAggCCQIKAgsCDAINAggCCAIIAggCCAIIAggCCAIIAggCCAIIAggCCAIIAggCCAIaAgMCwnNxAH4AAAAAAAJzcQB+AAT///////////////7////+/////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AAT///////////////7////+/////3VxAH4ABwAAAAMJnn94eHdFAh4AAqYCAgJoAgQCBQIGAgcCCAIJAkICCwIMAg0CCAIIAggCCAIIAggCCAIIAggCCAIIAggCCAIIAggCCAIIAhoCAwLEc3EAfgAAAAAAAnNxAH4ABP///////////////v////7/////dXEAfgAHAAAABAXojm54eHdFAh4AAqYCAgIbAgQCBQIGAgcCCAIJAqgCCwIMAg0CCAIIAggCCAIIAggCCAIIAggCCAIIAggCCAIIAggCCAIIAhoCAwLFc3EAfgAAAAAAAnNxAH4ABP///////////////v////7/////dXEAfgAHAAAAAwQlCXh4d4oCHgACpgICAi8CBAIFAgYCBwIIAgkCqAILAgwCDQIIAggCCAIIAggCCAIIAggCCAIIAggCCAIIAggCCAIIAggCGgIDAkQCHgACpgICAnYCBAIFAgYCBwIIAgkCCgILAgwCDQIIAggCCAIIAggCCAIIAggCCAIIAggCCAIIAggCCAIIAggCGgIDAsZzcQB+AAAAAAACc3EAfgAE///////////////+/////v////91cQB+AAcAAAAEYTEIFHh4d4oCHgACpgICAi8CBAIFAgYCBwIIAgkCQgILAgwCDQIIAggCCAIIAggCCAIIAggCCAIIAggCCAIIAggCCAIIAggCGgIDApsCHgACpgICAlICBAIFAgYCBwIIAgkCQgILAgwCDQIIAggCCAIIAggCCAIIAggCCAIIAggCCAIIAggCCAIIAggCGgIDAsdzcQB+AAAAAAACc3EAfgAE///////////////+/////v////91cQB+AAcAAAADvFyyeHh3RQIeAAKmAgICWQIEAgUCBgIHAggCCQJCAgsCDAINAggCCAIIAggCCAIIAggCCAIIAggCCAIIAggCCAIIAggCCAIaAgMCyHNxAH4AAAAAAAJzcQB+AAT///////////////7////+/////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AAT///////////////7////+/////3VxAH4ABwAAAAMGaCt4eHeKAh4AAqYCAgIDAgQCBQIGAgcCCAIJAqgCCwIMAg0CCAIIAggCCAIIAggCCAIIAggCCAIIAggCCAIIAggCCAIIAhoCAwJEAh4AAqYCAgIdAgQCBQIGAgcCCAIJAqgCCwIMAg0CCAIIAggCCAIIAggCCAIIAggCCAIIAggCCAIIAggCCAIIAhoCAwLKc3EAfgAAAAAAAnNxAH4ABP///////////////v////7/////dXEAfgAHAAAAAwVk/3h4d0UCHgACpgICAi0CBAIFAgYCBwIIAgkCqAILAgwCDQIIAggCCAIIAggCCAIIAggCCAIIAggCCAIIAggCCAIIAggCGgIDAstzcQB+AAAAAAACc3EAfgAE///////////////+/////v////91cQB+AAcAAAADBA6ueHh3igIeAAKmAgICIQIEAgUCBgIHAggCCQKoAgsCDAINAggCCAIIAggCCAIIAggCCAIIAggCCAIIAggCCAIIAggCCAIaAgMCRAIeAAKmAgICRQIEAgUCBgIHAggCCQKoAgsCDAINAggCCAIIAggCCAIIAggCCAIIAggCCAIIAggCCAIIAggCCAIaAgMCzHNxAH4AAAAAAAJzcQB+AAT///////////////7////+/////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v////7/////dXEAfgAHAAAABFSIS5t4eHdFAh4AAqYCAgJoAgQCBQIGAgcCCAIJAgoCCwIMAg0CCAIIAggCCAIIAggCCAIIAggCCAIIAggCCAIIAggCCAIIAhoCAwLOc3EAfgAAAAAAAnNxAH4ABP///////////////v////7/////dXEAfgAHAAAABD37VuJ4eHeKAh4AAqYCAgIjAgQCBQIGAgcCCAIJAgoCCwIMAg0CCAIIAggCCAIIAggCCAIIAggCCAIIAggCCAIIAggCCAIIAhoCAwIkAh4AAqYCAgJAAgQCBQIGAgcCCAIJAqgCCwIMAg0CCAIIAggCCAIIAggCCAIIAggCCAIIAggCCAIIAggCCAIIAhoCAwLPc3EAfgAAAAAAAnNxAH4ABP///////////////v////7/////dXEAfgAHAAAAAwuCrXh4d0UCHgACpgICAnYCBAIFAgYCBwIIAgkCQgILAgwCDQIIAggCCAIIAggCCAIIAggCCAIIAggCCAIIAggCCAIIAggCGgIDAtBzcQB+AAAAAAACc3EAfgAE///////////////+/////v////91cQB+AAcAAAAEAhunbnh4d0UCHgACpgICAj0CBAIFAgYCBwIIAgkCQgILAgwCDQIIAggCCAIIAggCCAIIAggCCAIIAggCCAIIAggCCAIIAggCGgIDAtFzcQB+AAAAAAACc3EAfgAE///////////////+/////v////91cQB+AAcAAAAEO4uIvXh4d0UCHgACpgICAicCBAIFAgYCBwIIAgkCqAILAgwCDQIIAggCCAIIAggCCAIIAggCCAIIAggCCAIIAggCCAIIAggCGgIDAtJzcQB+AAAAAAACc3EAfgAE///////////////+/////v////91cQB+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AAAAAAACc3EAfgAE///////////////+/////gAAAAF1cQB+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AAT///////////////7////+/////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Ah4AAtcCAgIrAgQCBQIGAgcCCAIJAkICCwI5Ag0CCAIIAggCCAIIAggCCAIIAggCCAIIAggCCAIIAggCCAIIAhMCAwJ9Ah4AAtcCAgIpAgQCBQIGAgcCCAIJAgoCCwI5Ag0CCAIIAggCCAIIAggCCAIIAggCCAIIAggCCAIIAggCCAIIAhMCAwJqAh4AAtcCAgJSAgQCBQIGAgcCCAIJAkICCwI5Ag0CCAIIAggCCAIIAggCCAIIAggCCAIIAggCCAIIAggCCAIIAhMCAwJ+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AAT///////////////7////+/////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v////7/////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v////7/////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AAAAAAACc3EAfgAE///////////////+/////v////91cQB+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AAAAAAACc3EAfgAE///////////////+/////v////91cQB+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AAAAAAACc3EAfgAE///////////////+/////v////91cQB+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AAAAAAACc3EAfgAE///////////////+/////v////91cQB+AAcAAAAEBxk/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Ah4AAusCAgLYAgQCBQIGAgcCCAIJAkICCwI5Ag0CCAIIAggCCAIIAggCCAIIAggCCAIIAggCCAIIAggCCAIIAAIDAtkCHgAC6wICAjECBAIFAgYCBwIIAgkCQgILAjkCDQIIAggCCAIIAggCCAIIAggCCAIIAggCCAIIAggCCAIIAggAAgMCjAIeAALrAgICPQIEAgUCBgIHAggCCQIKAgsCOQINAggCCAIIAggCCAIIAggCCAIIAggCCAIIAggCCAIIAggCCAACAwI/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xxe4awand>
</file>

<file path=customXml/item58.xml><?xml version="1.0" encoding="utf-8"?>
<xxe4awand xmlns="http://www.excel4apps.com"><![CDATA[rO0ABXfZCMCtii8ABGcGAh4AAERjb20uZXhjZWw0YXBwcy53YW5kLm9yYWNsZS5n
bHdhbmQuY2FsY3VsYXRpb25zLmdldGJhbGFuY2UuR2V0QmFsYW5jZQIBAAk4NTI0
NzgyOTYCAgABMAIDAAYyMDE2MTICBAADWVREAgUAA1VTRAIGAAVUb3RhbAIHAAFB
AggAAAIJAAMwMDECCgAGMTkxMDAw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O4uIvXh4d1UCHgACAQICAhsABjIwMTYxMAIEAgUCBgIHAggCCQIcAAYxOTEw
MTACCwIMAg0CCAIIAggCCAIIAggCCAIIAggCCAIIAggCCAIIAggCCAIIAiACAwId
c3EAfgAAAAAAAnNxAH4ABP///////////////v////7/////dXEAfgAHAAAABGKN
yxZ4eHdNAh4AAgECAgIeAAYyMDE2MDQCBAIFAgYCBwIIAgkCHAILAgwCDQIIAggC
CAIIAggCCAIIAggCCAIIAggCCAIIAggCCAIIAggCIAIDAh9zcQB+AAAAAAACc3EA
fgAE///////////////+/////v////91cQB+AAcAAAAESHB4r3h4d00CHgACAQIC
AiAABjIwMTcwNQIEAgUCBgIHAggCCQIcAgsCDAINAggCCAIIAggCCAIIAggCCAII
AggCCAIIAggCCAIIAggCCAIgAgMCIXNxAH4AAAAAAAJzcQB+AAT/////////////
//7////+/////3VxAH4ABwAAAARZ/eXyeHh3TQIeAAIBAgICIgAGMjAxNzExAgQC
BQIGAgcCCAIJAhwCCwIMAg0CCAIIAggCCAIIAggCCAIIAggCCAIIAggCCAIIAggC
CAIIAiACAwIjc3EAfgAAAAAAAnNxAH4ABP///////////////v////7/////dXEA
fgAHAAAABDDQqrN4eHdNAh4AAgECAgIkAAYyMDE3MDcCBAIFAgYCBwIIAgkCCgIL
AgwCDQIIAggCCAIIAggCCAIIAggCCAIIAggCCAIIAggCCAIIAggCIAIDAiVzcQB+
AAAAAAACc3EAfgAE///////////////+/////v////91cQB+AAcAAAAEAgr29Hh4
d00CHgACAQICAiYABjIwMTYwNgIEAgUCBgIHAggCCQIKAgsCDAINAggCCAIIAggC
CAIIAggCCAIIAggCCAIIAggCCAIIAggCCAIgAgMCJ3NxAH4AAAAAAAJzcQB+AAT///////////////7////+/////3VxAH4ABwAAAAQDq4uteHh3TQIeAAIBAgICKAAGMjAxNjAzAgQCBQIGAgcCCAIJAhwCCwIMAg0CCAIIAggCCAIIAggCCAIIAggCCAIIAggCCAIIAggCCAIIAiACAwIpc3EAfgAAAAAAAnNxAH4ABP///////////////v////7/////dXEAfgAHAAAABD37VuJ4eHdVAh4AAgECAgIqAAYyMDE3MDICBAIFAgYCBwIIAgkCKwAGMTkxMDI1AgsCDAINAggCCAIIAggCCAIIAggCCAIIAggCCAIIAggCCAIIAggCCAIgAgMCLHNxAH4AAAAAAAJzcQB+AAT///////////////7////+/////3VxAH4ABwAAAAME+2h4eHdNAh4AAgECAgItAAYyMDE3MTACBAIFAgYCBwIIAgkCKwILAgwCDQIIAggCCAIIAggCCAIIAggCCAIIAggCCAIIAggCCAIIAggCIAIDAi5zcQB+AAAAAAACc3EAfgAE///////////////+/////v////91cQB+AAcAAAADA9yreHh3TQIeAAIBAgICLwAGMjAxNzEyAgQCBQIGAgcCCAIJAhwCCwIMAg0CCAIIAggCCAIIAggCCAIIAggCCAIIAggCCAIIAggCCAIIAiACAwIwc3EAfgAAAAAAAnNxAH4ABP///////////////v////7/////dXEAfgAHAAAABEI0vHx4eHdNAh4AAgECAgIxAAYyMDE2MDUCBAIFAgYCBwIIAgkCCgILAgwCDQIIAggCCAIIAggCCAIIAggCCAIIAggCCAIIAggCCAIIAggCIAIDAjJzcQB+AAAAAAACc3EAfgAE///////////////+/////v////91cQB+AAcAAAAEBDaJ43h4d00CHgACAQICAjMABjIwMTcwNgIEAgUCBgIHAggCCQIKAgsCDAINAggCCAIIAggCCAIIAggCCAIIAggCCAIIAggCCAIIAggCCAIgAgMCNHNxAH4AAAAAAAJzcQB+AAT///////////////7////+/////3VxAH4ABwAAAAQD3U0geHh3TQIeAAIBAgICNQAGMjAxNzA0AgQCBQIGAgcCCAIJAhwCCwIMAg0CCAIIAggCCAIIAggCCAIIAggCCAIIAggCCAIIAggCCAIIAiACAwI2c3EAfgAAAAAAAnNxAH4ABP///////////////v////7/////dXEAfgAHAAAABFpw2Xd4eHdNAh4AAgECAgI3AAYyMDE3MDMCBAIFAgYCBwIIAgkCKwILAgwCDQIIAggCCAIIAggCCAIIAggCCAIIAggCCAIIAggCCAIIAggCIAIDAjhzcQB+AAAAAAACc3EAfgAE///////////////+/////v////91cQB+AAcAAAADBKuXeHh3TQIeAAIBAgICOQAGMjAxNjExAgQCBQIGAgcCCAIJAhwCCwIMAg0CCAIIAggCCAIIAggCCAIIAggCCAIIAggCCAIIAggCCAIIAiACAwI6c3EAfgAAAAAAAnNxAH4ABP///////////////v////7/////dXEAfgAHAAAABBJUFap4eHdNAh4AAgECAgI7AAYyMDE2MDICBAIFAgYCBwIIAgkCKwILAgwCDQIIAggCCAIIAggCCAIIAggCCAIIAggCCAIIAggCCAIIAggCIAIDAjxzcQB+AAAAAAACc3EAfgAE///////////////+/////v////91cQB+AAcAAAADEhXLeHh3TQIeAAIBAgICPQAGMjAxODAxAgQCBQIGAgcCCAIJAisCCwIMAg0CCAIIAggCCAIIAggCCAIIAggCCAIIAggCCAIIAggCCAIIAiACAwI+c3EAfgAAAAAAAnNxAH4ABP///////////////v////4AAAAAdXEAfgAHAAAAAHh4d4oCHgACAQICAiICBAIFAgYCBwIIAgkCKwILAgwCDQIIAggCCAIIAggCCAIIAggCCAIIAggCCAIIAggCCAIIAggCIAIDAj4CHgACAQICAhsCBAIFAgYCBwIIAgkCKwILAgwCDQIIAggCCAIIAggCCAIIAggCCAIIAggCCAIIAggCCAIIAggCIAIDAj9zcQB+AAAAAAACc3EAfgAE///////////////+/////v////91cQB+AAcAAAADBT+veHh3RQIeAAIBAgICKAIEAgUCBgIHAggCCQIKAgsCDAINAggCCAIIAggCCAIIAggCCAIIAggCCAIIAggCCAIIAggCCAIgAgMCQHNxAH4AAAAAAAJzcQB+AAT///////////////7////+/////3VxAH4ABwAAAAQF6I5ueHh3TQIeAAIBAgICQQAGMjAxNjA4AgQCBQIGAgcCCAIJAgoCCwIMAg0CCAIIAggCCAIIAggCCAIIAggCCAIIAggCCAIIAggCCAIIAiACAwJCc3EAfgAAAAAAAnNxAH4ABP///////////////v////7/////dXEAfgAHAAAABAK9P6R4eHdFAh4AAgECAgI3AgQCBQIGAgcCCAIJAhwCCwIMAg0CCAIIAggCCAIIAggCCAIIAggCCAIIAggCCAIIAggCCAIIAiACAwJDc3EAfgAAAAAAAnNxAH4ABP///////////////v////7/////dXEAfgAHAAAABFNjmyZ4eHdFAh4AAgECAgItAgQCBQIGAgcCCAIJAgoCCwIMAg0CCAIIAggCCAIIAggCCAIIAggCCAIIAggCCAIIAggCCAIIAiACAwJEc3EAfgAAAAAAAnNxAH4ABP///////////////v////4AAAABdXEAfgAHAAAABAkNFf14eHdNAh4AAgECAgJFAAYyMDE2MDkCBAIFAgYCBwIIAgkCKwILAgwCDQIIAggCCAIIAggCCAIIAggCCAIIAggCCAIIAggCCAIIAggCIAIDAkZzcQB+AAAAAAACc3EAfgAE///////////////+/////v////91cQB+AAcAAAADB43UeHh3TQIeAAIBAgICRwAGMjAxNzA5AgQCBQIGAgcCCAIJAgoCCwIMAg0CCAIIAggCCAIIAggCCAIIAggCCAIIAggCCAIIAggCCAIIAiACAwJIc3EAfgAAAAAAAnNxAH4ABP///////////////v////4AAAABdXEAfgAHAAAABAKOsKB4eHdNAh4AAgECAgJJAAYyMDE3MDgCBAIFAgYCBwIIAgkCKwILAgwCDQIIAggCCAIIAggCCAIIAggCCAIIAggCCAIIAggCCAIIAggCIAIDAkpzcQB+AAAAAAACc3EAfgAE///////////////+/////v////91cQB+AAcAAAADBCUJeHh3RQIeAAIBAgICMQIEAgUCBgIHAggCCQIcAgsCDAINAggCCAIIAggCCAIIAggCCAIIAggCCAIIAggCCAIIAggCCAIgAgMCS3NxAH4AAAAAAAJzcQB+AAT///////////////7////+/////3VxAH4ABwAAAARMKwuAeHh3RQIeAAIBAgICLwIEAgUCBgIHAggCCQIKAgsCDAINAggCCAIIAggCCAIIAggCCAIIAggCCAIIAggCCAIIAggCCAIgAgMCTHNxAH4AAAAAAAJzcQB+AAT///////////////7////+/////3VxAH4ABwAAAAQ0Sb4jeHh3RQIeAAIBAgICMwIEAgUCBgIHAggCCQIcAgsCDAINAggCCAIIAggCCAIIAggCCAIIAggCCAIIAggCCAIIAggCCAIgAgMCTXNxAH4AAAAAAAJzcQB+AAT///////////////7////+/////3VxAH4ABwAAAARYCwcseHh3RQIeAAIBAgICOQIEAgUCBgIHAggCCQIKAgsCDAINAggCCAIIAggCCAIIAggCCAIIAggCCAIIAggCCAIIAggCCAIgAgMCTnNxAH4AAAAAAAJzcQB+AAT///////////////7////+/////3VxAH4ABwAAAARMQw4VeHh3RQIeAAIBAgICOwIEAgUCBgIHAggCCQIcAgsCDAINAggCCAIIAggCCAIIAggCCAIIAggCCAIIAggCCAIIAggCCAIgAgMCT3NxAH4AAAAAAAJzcQB+AAT///////////////7////+/////3VxAH4ABwAAAAQ3OPVPeHh3RQIeAAIBAgICIAIEAgUCBgIHAggCCQIrAgsCDAINAggCCAIIAggCCAIIAggCCAIIAggCCAIIAggCCAIIAggCCAIgAgMCUHNxAH4AAAAAAAJzcQB+AAT///////////////7////+/////3VxAH4ABwAAAAMEVit4eHdFAh4AAgECAgI1AgQCBQIGAgcCCAIJAgoCCwIMAg0CCAIIAggCCAIIAggCCAIIAggCCAIIAggCCAIIAggCCAIIAiACAwJRc3EAfgAAAAAAAnNxAH4ABP///////////////v////7/////dXEAfgAHAAAABAnwakZ4eHdFAh4AAgECAgIeAgQCBQIGAgcCCAIJAisCCwIMAg0CCAIIAggCCAIIAggCCAIIAggCCAIIAggCCAIIAggCCAIIAiACAwJSc3EAfgAAAAAAAnNxAH4ABP///////////////v////7/////dXEAfgAHAAAAAwzG/nh4d0UCHgACAQICAj0CBAIFAgYCBwIIAgkCHAILAgwCDQIIAggCCAIIAggCCAIIAggCCAIIAggCCAIIAggCCAIIAggCIAIDAlNzcQB+AAAAAAACc3EAfgAE///////////////+/////v////91cQB+AAcAAAAETu7o2nh4d0UCHgACAQICAioCBAIFAgYCBwIIAgkCCgILAgwCDQIIAggCCAIIAggCCAIIAggCCAIIAggCCAIIAggCCAIIAggCIAIDAlRzcQB+AAAAAAACc3EAfgAE///////////////+/////v////91cQB+AAcAAAAEG0cx03h4d0UCHgACAQICAiQCBAIFAgYCBwIIAgkCKwILAgwCDQIIAggCCAIIAggCCAIIAggCCAIIAggCCAIIAggCCAIIAggCIAIDAlVzcQB+AAAAAAACc3EAfgAE///////////////+/////v////91cQB+AAcAAAADBDQ4eHh3RQIeAAIBAgICRwIEAgUCBgIHAggCCQIcAgsCDAINAggCCAIIAggCCAIIAggCCAIIAggCCAIIAggCCAIIAggCCAIgAgMCVnNxAH4AAAAAAAJzcQB+AAT///////////////7////+/////3VxAH4ABwAAAARxBllJeHh3RQIeAAIBAgICQQIEAgUCBgIHAggCCQIcAgsCDAINAggCCAIIAggCCAIIAggCCAIIAggCCAIIAggCCAIIAggCCAIgAgMCV3NxAH4AAAAAAAJzcQB+AAT///////////////7////+/////3VxAH4ABwAAAARdV1DJeHh3RQIeAAIBAgICRQIEAgUCBgIHAggCCQIcAgsCDAINAggCCAIIAggCCAIIAggCCAIIAggCCAIIAggCCAIIAggCCAIgAgMCWHNxAH4AAAAAAAJzcQB+AAT///////////////7////+/////3VxAH4ABwAAAARhMQgUeHh3RQIeAAIBAgICMQIEAgUCBgIHAggCCQIrAgsCDAINAggCCAIIAggCCAIIAggCCAIIAggCCAIIAggCCAIIAggCCAIgAgMCWXNxAH4AAAAAAAJzcQB+AAT///////////////7////+/////3VxAH4ABwAAAAMLgq14eHdNAh4AAgECAgJaAAYyMDE4MDICBAIFAgYCBwIIAgkCCgILAgwCDQIIAggCCAIIAggCCAIIAggCCAIIAggCCAIIAggCCAIIAggCIAIDAltzcQB+AAAAAAACc3EAfgAE///////////////+/////v////91cQB+AAcAAAAEGWLnZXh4d0UCHgACAQICAjMCBAIFAgYCBwIIAgkCKwILAgwCDQIIAggCCAIIAggCCAIIAggCCAIIAggCCAIIAggCCAIIAggCIAIDAlxzcQB+AAAAAAACc3EAfgAE///////////////+/////v////91cQB+AAcAAAADBEN6eHh3TQIeAAIBAgICXQAGMjAxNzAxAgQCBQIGAgcCCAIJAgoCCwIMAg0CCAIIAggCCAIIAggCCAIIAggCCAIIAggCCAIIAggCCAIIAiACAwJec3EAfgAAAAAAAnNxAH4ABP///////////////v////7/////dXEAfgAHAAAABCjphrZ4eHdFAh4AAgECAgJaAgQCBQIGAgcCCAIJAhwCCwIMAg0CCAIIAggCCAIIAggCCAIIAggCCAIIAggCCAIIAggCCAIIAiACAwJfc3EAfgAAAAAAAnNxAH4ABP///////////////v////7/////dXEAfgAHAAAABE8qcfl4eHdFAh4AAgECAgIDAgQCBQIGAgcCCAIJAisCCwIMAg0CCAIIAggCCAIIAggCCAIIAggCCAIIAggCCAIIAggCCAIIAiACAwJgc3EAfgAAAAAAAnNxAH4ABP///////////////v////7/////dXEAfgAHAAAAAwbck3h4d00CHgACAQICAmEABjIwMTYwNwIEAgUCBgIHAggCCQIrAgsCDAINAggCCAIIAggCCAIIAggCCAIIAggCCAIIAggCCAIIAggCCAIgAgMCYnNxAH4AAAAAAAJzcQB+AAT///////////////7////+/////3VxAH4ABwAAAAMJnn94eHdFAh4AAgECAgI3AgQCBQIGAgcCCAIJAgoCCwIMAg0CCAIIAggCCAIIAggCCAIIAggCCAIIAggCCAIIAggCCAIIAiACAwJjc3EAfgAAAAAAAnNxAH4ABP///////////////v////7/////dXEAfgAHAAAABBD98iN4eHdFAh4AAgECAgJFAgQCBQIGAgcCCAIJAgoCCwIMAg0CCAIIAggCCAIIAggCCAIIAggCCAIIAggCCAIIAggCCAIIAiACAwJkc3EAfgAAAAAAAnNxAH4ABP///////////////v////7/////dXEAfgAHAAAABAIbp254eHdFAh4AAgECAgI7AgQCBQIGAgcCCAIJAgoCCwIMAg0CCAIIAggCCAIIAggCCAIIAggCCAIIAggCCAIIAggCCAIIAiACAwJlc3EAfgAAAAAAAnNxAH4ABP///////////////v////7/////dXEAfgAHAAAABAgl/7F4eHdFAh4AAgECAgJhAgQCBQIGAgcCCAIJAhwCCwIMAg0CCAIIAggCCAIIAggCCAIIAggCCAIIAggCCAIIAggCCAIIAiACAwJmc3EAfgAAAAAAAnNxAH4ABP///////////////v////7/////dXEAfgAHAAAABFovta14eHdFAh4AAgECAgJdAgQCBQIGAgcCCAIJAhwCCwIMAg0CCAIIAggCCAIIAggCCAIIAggCCAIIAggCCAIIAggCCAIIAiACAwJnc3EAfgAAAAAAAnNxAH4ABP///////////////v////7/////dXEAfgAHAAAABD0VO3Z4eHdFAh4AAgECAgJJAgQCBQIGAgcCCAIJAhwCCwIMAg0CCAIIAggCCAIIAggCCAIIAggCCAIIAggCCAIIAggCCAIIAiACAwJoc3EAfgAAAAAAAnNxAH4ABP///////////////v////7/////dXEAfgAHAAAABGUxQat4eHdFAh4AAgECAgImAgQCBQIGAgcCCAIJAisCCwIMAg0CCAIIAggCCAIIAggCCAIIAggCCAIIAggCCAIIAggCCAIIAiACAwJpc3EAfgAAAAAAAnNxAH4ABP///////////////v////7/////dXEAfgAHAAAAAwqAVHh4d0UCHgACAQICAiQCBAIFAgYCBwIIAgkCHAILAgwCDQIIAggCCAIIAggCCAIIAggCCAIIAggCCAIIAggCCAIIAggCIAIDAmpzcQB+AAAAAAACc3EAfgAE///////////////+/////v////91cQB+AAcAAAAEXtRi+Hh4d0UCHgACAQICAiYCBAIFAgYCBwIIAgkCHAILAgwCDQIIAggCCAIIAggCCAIIAggCCAIIAggCCAIIAggCCAIIAggCIAIDAmtzcQB+AAAAAAACc3EAfgAE///////////////+/////v////91cQB+AAcAAAAEVIhLm3h4d0UCHgACAQICAkcCBAIFAgYCBwIIAgkCKwILAgwCDQIIAggCCAIIAggCCAIIAggCCAIIAggCCAIIAggCCAIIAggCIAIDAmxzcQB+AAAAAAACc3EAfgAE///////////////+/////v////91cQB+AAcAAAADBA6ueHh3RQIeAAIBAgICGwIEAgUCBgIHAggCCQIKAgsCDAINAggCCAIIAggCCAIIAggCCAIIAggCCAIIAggCCAIIAggCCAIgAgMCbXNxAH4AAAAAAAJzcQB+AAT///////////////7////+/////3VxAH4ABwAAAAO8XLJ4eHdFAh4AAgECAgIqAgQCBQIGAgcCCAIJAhwCCwIMAg0CCAIIAggCCAIIAggCCAIIAggCCAIIAggCCAIIAggCCAIIAiACAwJuc3EAfgAAAAAAAnNxAH4ABP///////////////v////7/////dXEAfgAHAAAABEmLU8l4eHdFAh4AAgECAgIoAgQCBQIGAgcCCAIJAisCCwIMAg0CCAIIAggCCAIIAggCCAIIAggCCAIIAggCCAIIAggCCAIIAiACAwJvc3EAfgAAAAAAAnNxAH4ABP///////////////v////7/////dXEAfgAHAAAAAw6D3Xh4d0UCHgACAQICAjUCBAIFAgYCBwIIAgkCKwILAgwCDQIIAggCCAIIAggCCAIIAggCCAIIAggCCAIIAggCCAIIAggCIAIDAnBzcQB+AAAAAAACc3EAfgAE///////////////+/////v////91cQB+AAcAAAADBHSNeHh3RQIeAAIBAgICAwIEAgUCBgIHAggCCQIcAgsCDAINAggCCAIIAggCCAIIAggCCAIIAggCCAIIAggCCAIIAggCCAIgAgMCcXNxAH4AAAAAAAJzcQB+AAT///////////////7////+/////3VxAH4ABwAAAAQoo9pZeHh3RQIeAAIBAgICIAIEAgUCBgIHAggCCQIKAgsCDAINAggCCAIIAggCCAIIAggCCAIIAggCCAIIAggCCAIIAggCCAIgAgMCcnNxAH4AAAAAAAJzcQB+AAT///////////////7////+/////3VxAH4ABwAAAAQGIRiFeHh3RQIeAAIBAgICLQIEAgUCBgIHAggCCQIcAgsCDAINAggCCAIIAggCCAIIAggCCAIIAggCCAIIAggCCAIIAggCCAIgAgMCc3NxAH4AAAAAAAJzcQB+AAT///////////////7////+/////3VxAH4ABwAAAASC3IjxeHh3RQIeAAIBAgICXQIEAgUCBgIHAggCCQIrAgsCDAINAggCCAIIAggCCAIIAggCCAIIAggCCAIIAggCCAIIAggCCAIgAgMCdHNxAH4AAAAAAAJzcQB+AAT///////////////7////+/////3VxAH4ABwAAAAMFZP94eHdFAh4AAgECAgJhAgQCBQIGAgcCCAIJAgoCCwIMAg0CCAIIAggCCAIIAggCCAIIAggCCAIIAggCCAIIAggCCAIIAiACAwJ1c3EAfgAAAAAAAnNxAH4ABP///////////////v////7/////dXEAfgAHAAAABAM2kpl4eHdFAh4AAgECAgIeAgQCBQIGAgcCCAIJAgoCCwIMAg0CCAIIAggCCAIIAggCCAIIAggCCAIIAggCCAIIAggCCAIIAiACAwJ2c3EAfgAAAAAAAnNxAH4ABP///////////////v////7/////dXEAfgAHAAAABATkMA94eHeKAh4AAgECAgJaAgQCBQIGAgcCCAIJAisCCwIMAg0CCAIIAggCCAIIAggCCAIIAggCCAIIAggCCAIIAggCCAIIAiACAwI+Ah4AAgECAgI9AgQCBQIGAgcCCAIJAgoCCwIMAg0CCAIIAggCCAIIAggCCAIIAggCCAIIAggCCAIIAggCCAIIAiACAwJ3c3EAfgAAAAAAAnNxAH4ABP///////////////v////7/////dXEAfgAHAAAABCZxo1d4eHdFAh4AAgECAgIiAgQCBQIGAgcCCAIJAgoCCwIMAg0CCAIIAggCCAIIAggCCAIIAggCCAIIAggCCAIIAggCCAIIAiACAwJ4c3EAfgAAAAAAAnNxAH4ABP///////////////v////7/////dXEAfgAHAAAABES6V7x4eHdFAh4AAgECAgI5AgQCBQIGAgcCCAIJAisCCwIMAg0CCAIIAggCCAIIAggCCAIIAggCCAIIAggCCAIIAggCCAIIAiACAwJ5c3EAfgAAAAAAAnNxAH4ABP///////////////v////7/////dXEAfgAHAAAAAwZoK3h4d4oCHgACAQICAi8CBAIFAgYCBwIIAgkCKwILAgwCDQIIAggCCAIIAggCCAIIAggCCAIIAggCCAIIAggCCAIIAggCIAIDAj4CHgACAQICAkkCBAIFAgYCBwIIAgkCCgILAgwCDQIIAggCCAIIAggCCAIIAggCCAIIAggCCAIIAggCCAIIAggCIAIDAnpzcQB+AAAAAAACc3EAfgAE///////////////+/////v////91cQB+AAcAAAADMpTWeHh3RQIeAAIBAgICQQIEAgUCBgIHAggCCQIrAgsCDAINAggCCAIIAggCCAIIAggCCAIIAggCCAIIAggCCAIIAggCCAIgAgMCe3NxAH4AAAAAAAJzcQB+AAT///////////////7////+/////3VxAH4ABwAAAAMItpx4eHoAAAH+Ah4AAnwACTg1MjM2NTkyOAICAiQCBAIFAgYCBwIIAgkCHAILAgwCDQIIAggCCAIIAggCCAIIAggCCAIIAggCCAIIAggCCAIIAggCFAIDAmoCHgACfAICAkcCBAIFAgYCBwIIAgkCCgILAgwCDQIIAggCCAIIAggCCAIIAggCCAIIAggCCAIIAggCCAIIAggCFAIDAkgCHgACfAICAhsCBAIFAgYCBwIIAgkCKwILAgwCDQIIAggCCAIIAggCCAIIAggCCAIIAggCCAIIAggCCAIIAggCFAIDAj8CHgACfAICAn0ABjIwMTgwNgIEAgUCBgIHAggCCQIrAgsCDAINAggCCAIIAggCCAIIAggCCAIIAggCCAIIAggCCAIIAggCCAIUAgMCPgIeAAJ8AgICRQIEAgUCBgIHAggCCQIKAgsCDAINAggCCAIIAggCCAIIAggCCAIIAggCCAIIAggCCAIIAggCCAIUAgMCZAIeAAJ8AgICLQIEAgUCBgIHAggCCQIrAgsCDAINAggCCAIIAggCCAIIAggCCAIIAggCCAIIAggCCAIIAggCCAIUAgMCLgIeAAJ8AgICfgAGMjAxODA5AgQCBQIGAgcCCAIJAhwCCwIMAg0CCAIIAggCCAIIAggCCAIIAggCCAIIAggCCAIIAggCCAIIAhQCAwJ/c3EAfgAAAAAAAnNxAH4ABP///////////////v////7/////dXEAfgAHAAAABHHRmJR4eHoAAAQAAh4AAnwCAgI5AgQCBQIGAgcCCAIJAhwCCwIMAg0CCAIIAggCCAIIAggCCAIIAggCCAIIAggCCAIIAggCCAIIAhQCAwI6Ah4AAnwCAgJhAgQCBQIGAgcCCAIJAhwCCwIMAg0CCAIIAggCCAIIAggCCAIIAggCCAIIAggCCAIIAggCCAIIAhQCAwJmAh4AAnwCAgJaAgQCBQIGAgcCCAIJAgoCCwIMAg0CCAIIAggCCAIIAggCCAIIAggCCAIIAggCCAIIAggCCAIIAhQCAwJbAh4AAnwCAgIzAgQCBQIGAgcCCAIJAisCCwIMAg0CCAIIAggCCAIIAggCCAIIAggCCAIIAggCCAIIAggCCAIIAhQCAwJcAh4AAnwCAgI7AgQCBQIGAgcCCAIJAisCCwIMAg0CCAIIAggCCAIIAggCCAIIAggCCAIIAggCCAIIAggCCAIIAhQCAwI8Ah4AAnwCAgIqAgQCBQIGAgcCCAIJAgoCCwIMAg0CCAIIAggCCAIIAggCCAIIAggCCAIIAggCCAIIAggCCAIIAhQCAwJUAh4AAnwCAgIqAgQCBQIGAgcCCAIJAisCCwIMAg0CCAIIAggCCAIIAggCCAIIAggCCAIIAggCCAIIAggCCAIIAhQCAwIsAh4AAnwCAgIkAgQCBQIGAgcCCAIJAgoCCwIMAg0CCAIIAggCCAIIAggCCAIIAggCCAIIAggCCAIIAggCCAIIAhQCAwIlAh4AAnwCAgIDAgQCBQIGAgcCCAIJAisCCwIMAg0CCAIIAggCCAIIAggCCAIIAggCCAIIAggCCAIIAggCCAIIAhQCAwJgAh4AAnwCAgKAAAYyMDE4MDQCBAIFAgYCBwIIAgkCKwILAgwCDQIIAggCCAIIAggCCAIIAggCCAIIAggCCAIIAggCCAIIAggCFAIDAj4CHgACfAICAkcCBAIFAgYCBwIIAgkCHAILAgwCDQIIAggCCAIIAggCCAIIAggCCAIIAggCCAIIAggCCAIIAggCFAIDAlYCHgACfAICAloCBAIFAgYCBwIIAgkCHAILAgwCDQIIAggCCAIIAggCCAIIAggCCAIIAggCCAIIAggCCAIIAggCFAIDAl8CHgACfAICAjkCBAIFAgYCBwIIAgkCCgILAgwCDQIIAggCCAIIAggCCAIIAggCCAIIAggCCAIIAggCCAIIAggCFAIDAk4CHgACfAICAjECBAIFAgYCBwIIAgkCHAILAgwCDQIIAggCCAIIAggCCAIIAggCCAIIAggCCAIIAggCCAIIAggCFAIDAksCHgACfAICAoEABjIwMTgwNwIEAgUCBgIHAggCCQIcAgsCDAINAggCCAIIAggCCAIIAncbCAIIAggCCAIIAggCCAIIAggCCAIIAhQCAwKCc3EAfgAAAAAAAnNxAH4ABP///////////////v////7/////dXEAfgAHAAAABGPPmgl4eHoAAAK6Ah4AAnwCAgJJAgQCBQIGAgcCCAIJAisCCwIMAg0CCAIIAggCCAIIAggCCAIIAggCCAIIAggCCAIIAggCCAIIAhQCAwJKAh4AAnwCAgIeAgQCBQIGAgcCCAIJAisCCwIMAg0CCAIIAggCCAIIAggCCAIIAggCCAIIAggCCAIIAggCCAIIAhQCAwJSAh4AAnwCAgI1AgQCBQIGAgcCCAIJAgoCCwIMAg0CCAIIAggCCAIIAggCCAIIAggCCAIIAggCCAIIAggCCAIIAhQCAwJRAh4AAnwCAgI9AgQCBQIGAgcCCAIJAisCCwIMAg0CCAIIAggCCAIIAggCCAIIAggCCAIIAggCCAIIAggCCAIIAhQCAwI+Ah4AAnwCAgJHAgQCBQIGAgcCCAIJAisCCwIMAg0CCAIIAggCCAIIAggCCAIIAggCCAIIAggCCAIIAggCCAIIAhQCAwJsAh4AAnwCAgI3AgQCBQIGAgcCCAIJAhwCCwIMAg0CCAIIAggCCAIIAggCCAIIAggCCAIIAggCCAIIAggCCAIIAhQCAwJDAh4AAnwCAgIeAgQCBQIGAgcCCAIJAgoCCwIMAg0CCAIIAggCCAIIAggCCAIIAggCCAIIAggCCAIIAggCCAIIAhQCAwJ2Ah4AAnwCAgKDAAYyMDE4MTECBAIFAgYCBwIIAgkCHAILAgwCDQIIAggCCAIIAggCCAIIAggCCAIIAggCCAIIAggCCAIIAggCFAIDAn8CHgACfAICAigCBAIFAgYCBwIIAgkCHAILAgwCDQIIAggCCAIIAggCCAIIAggCCAIIAggCCAIIAggCCAIIAggCFAIDAikCHgACfAICAn0CBAIFAgYCBwIIAgkCCgILAgwCDQIIAggCCAIIAggCCAIIAggCCAIIAggCCAIIAggCCAIIAggCFAIDAoRzcQB+AAAAAAACc3EAfgAE///////////////+/////v////91cQB+AAcAAAAEAe561nh4d5ICHgACfAICAjECBAIFAgYCBwIIAgkCCgILAgwCDQIIAggCCAIIAggCCAIIAggCCAIIAggCCAIIAggCCAIIAggCFAIDAjICHgACfAICAoUABjIwMTgwNQIEAgUCBgIHAggCCQIcAgsCDAINAggCCAIIAggCCAIIAggCCAIIAggCCAIIAggCCAIIAggCCAIUAgMChnNxAH4AAAAAAAJzcQB+AAT///////////////7////+/////3VxAH4ABwAAAARc5cCweHh6AAABrgIeAAJ8AgIChwAGMjAxODAzAgQCBQIGAgcCCAIJAisCCwIMAg0CCAIIAggCCAIIAggCCAIIAggCCAIIAggCCAIIAggCCAIIAhQCAwI+Ah4AAnwCAgI9AgQCBQIGAgcCCAIJAhwCCwIMAg0CCAIIAggCCAIIAggCCAIIAggCCAIIAggCCAIIAggCCAIIAhQCAwJTAh4AAnwCAgImAgQCBQIGAgcCCAIJAisCCwIMAg0CCAIIAggCCAIIAggCCAIIAggCCAIIAggCCAIIAggCCAIIAhQCAwJpAh4AAnwCAgKIAAYyMDE4MDgCBAIFAgYCBwIIAgkCKwILAgwCDQIIAggCCAIIAggCCAIIAggCCAIIAggCCAIIAggCCAIIAggCFAIDAj4CHgACfAICAh4CBAIFAgYCBwIIAgkCHAILAgwCDQIIAggCCAIIAggCCAIIAggCCAIIAggCCAIIAggCCAIIAggCFAIDAh8CHgACfAICAoECBAIFAgYCBwIIAgkCCgILAgwCDQIIAggCCAIIAggCCAIIAggCCAIIAggCCAIIAggCCAIIAggCFAIDAolzcQB+AAAAAAACc3EAfgAE///////////////+/////gAAAAF1cQB+AAcAAAADCUlQeHh3RQIeAAJ8AgICfQIEAgUCBgIHAggCCQIcAgsCDAINAggCCAIIAggCCAIIAggCCAIIAggCCAIIAggCCAIIAggCCAIUAgMCinNxAH4AAAAAAAJzcQB+AAT///////////////7////+/////3VxAH4ABwAAAARdGgPTeHh6AAACbQIeAAJ8AgICNwIEAgUCBgIHAggCCQIKAgsCDAINAggCCAIIAggCCAIIAggCCAIIAggCCAIIAggCCAIIAggCCAIUAgMCYwIeAAJ8AgICWgIEAgUCBgIHAggCCQIrAgsCDAINAggCCAIIAggCCAIIAggCCAIIAggCCAIIAggCCAIIAggCCAIUAgMCPgIeAAJ8AgICNQIEAgUCBgIHAggCCQIrAgsCDAINAggCCAIIAggCCAIIAggCCAIIAggCCAIIAggCCAIIAggCCAIUAgMCcAIeAAJ8AgICRQIEAgUCBgIHAggCCQIcAgsCDAINAggCCAIIAggCCAIIAggCCAIIAggCCAIIAggCCAIIAggCCAIUAgMCWAIeAAJ8AgICOQIEAgUCBgIHAggCCQIrAgsCDAINAggCCAIIAggCCAIIAggCCAIIAggCCAIIAggCCAIIAggCCAIUAgMCeQIeAAJ8AgICSQIEAgUCBgIHAggCCQIKAgsCDAINAggCCAIIAggCCAIIAggCCAIIAggCCAIIAggCCAIIAggCCAIUAgMCegIeAAJ8AgICGwIEAgUCBgIHAggCCQIKAgsCDAINAggCCAIIAggCCAIIAggCCAIIAggCCAIIAggCCAIIAggCCAIUAgMCbQIeAAJ8AgICKgIEAgUCBgIHAggCCQIcAgsCDAINAggCCAIIAggCCAIIAggCCAIIAggCCAIIAggCCAIIAggCCAIUAgMCbgIeAAJ8AgICiAIEAgUCBgIHAggCCQIcAgsCDAINAggCCAIIAggCCAIIAggCCAIIAggCCAIIAggCCAIIAggCCAIUAgMCi3NxAH4AAAAAAAJzcQB+AAT///////////////7////+/////3VxAH4ABwAAAARvUxbyeHh6AAAEAAIeAAJ8AgICJgIEAgUCBgIHAggCCQIcAgsCDAINAggCCAIIAggCCAIIAggCCAIIAggCCAIIAggCCAIIAggCCAIUAgMCawIeAAJ8AgICIgIEAgUCBgIHAggCCQIrAgsCDAINAggCCAIIAggCCAIIAggCCAIIAggCCAIIAggCCAIIAggCCAIUAgMCPgIeAAJ8AgICPQIEAgUCBgIHAggCCQIKAgsCDAINAggCCAIIAggCCAIIAggCCAIIAggCCAIIAggCCAIIAggCCAIUAgMCdwIeAAJ8AgICIAIEAgUCBgIHAggCCQIrAgsCDAINAggCCAIIAggCCAIIAggCCAIIAggCCAIIAggCCAIIAggCCAIUAgMCUAIeAAJ8AgICKAIEAgUCBgIHAggCCQIrAgsCDAINAggCCAIIAggCCAIIAggCCAIIAggCCAIIAggCCAIIAggCCAIUAgMCbwIeAAJ8AgICQQIEAgUCBgIHAggCCQIKAgsCDAINAggCCAIIAggCCAIIAggCCAIIAggCCAIIAggCCAIIAggCCAIUAgMCQgIeAAJ8AgICXQIEAgUCBgIHAggCCQIKAgsCDAINAggCCAIIAggCCAIIAggCCAIIAggCCAIIAggCCAIIAggCCAIUAgMCXgIeAAJ8AgICgQIEAgUCBgIHAggCCQIrAgsCDAINAggCCAIIAggCCAIIAggCCAIIAggCCAIIAggCCAIIAggCCAIUAgMCPgIeAAJ8AgICMQIEAgUCBgIHAggCCQIrAgsCDAINAggCCAIIAggCCAIIAggCCAIIAggCCAIIAggCCAIIAggCCAIUAgMCWQIeAAJ8AgICgwIEAgUCBgIHAggCCQIrAgsCDAINAggCCAIIAggCCAIIAggCCAIIAggCCAIIAggCCAIIAggCCAIUAgMCPgIeAAJ8AgICNwIEAgUCBgIHAggCCQIrAgsCDAINAggCCAIIAggCCAIIAggCCAIIAggCCAIIAggCCAIIAggCCAIUAgMCOAIeAAJ8AgICSQIEAgUCBgIHAggCCQIcAgsCDAINAggCCAIIAggCCAIIAggCCAIIAggCCAIIAggCCAIIAggCCAIUAgMCaAIeAAJ8AgICGwIEAgUCBgIHAggCCQIcAgsCDAINAggCCAIIAggCCAIIAggCCAIIAggCCAIIAggCCAIIAggCCAIUAgMCHQIeAAJ8AgICQQIEAgUCBgIHAggCCQIcAgsCDAINAggCCAIIAggCCAIIAggCCAIIAggCCAIIAggCCAIIAggCCAIUAgMCVwIeAAJ8AgIChwIEAgUCBgIHAggCCQIKAgsCDAINAggCCAIIAggCCAIIAggCCAIIAggCCAIIAggCCAJ3CwgCCAIIAhQCAwKMc3EAfgAAAAAAAnNxAH4ABP///////////////v////7/////dXEAfgAHAAAABA5TyYx4eHdFAh4AAnwCAgKIAgQCBQIGAgcCCAIJAgoCCwIMAg0CCAIIAggCCAIIAggCCAIIAggCCAIIAggCCAIIAggCCAIIAhQCAwKNc3EAfgAAAAAAAnNxAH4ABP///////////////v////4AAAABdXEAfgAHAAAABAIIPL14eHoAAAGeAh4AAnwCAgJdAgQCBQIGAgcCCAIJAhwCCwIMAg0CCAIIAggCCAIIAggCCAIIAggCCAIIAggCCAIIAggCCAIIAhQCAwJnAh4AAnwCAgIvAgQCBQIGAgcCCAIJAhwCCwIMAg0CCAIIAggCCAIIAggCCAIIAggCCAIIAggCCAIIAggCCAIIAhQCAwIwAh4AAnwCAgImAgQCBQIGAgcCCAIJAgoCCwIMAg0CCAIIAggCCAIIAggCCAIIAggCCAIIAggCCAIIAggCCAIIAhQCAwInAh4AAnwCAgJhAgQCBQIGAgcCCAIJAisCCwIMAg0CCAIIAggCCAIIAggCCAIIAggCCAIIAggCCAIIAggCCAIIAhQCAwJiAh4AAnwCAgJ+AgQCBQIGAgcCCAIJAisCCwIMAg0CCAIIAggCCAIIAggCCAIIAggCCAIIAggCCAIIAggCCAIIAhQCAwI+Ah4AAnwCAgKDAgQCBQIGAgcCCAIJAgoCCwIMAg0CCAIIAggCCAIIAggCCAIIAggCCAIIAggCCAIIAggCCAIIAhQCAwKOc3EAfgAAAAAAAnNxAH4ABP///////////////v////4AAAABdXEAfgAHAAAABASp52R4eHoAAAFhAh4AAnwCAgIoAgQCBQIGAgcCCAIJAgoCCwIMAg0CCAIIAggCCAIIAggCCAIIAggCCAIIAggCCAIIAggCCAIIAhQCAwJAAh4AAnwCAgIzAgQCBQIGAgcCCAIJAhwCCwIMAg0CCAIIAggCCAIIAggCCAIIAggCCAIIAggCCAIIAggCCAIIAhQCAwJNAh4AAnwCAgKPAAYyMDE4MTACBAIFAgYCBwIIAgkCHAILAgwCDQIIAggCCAIIAggCCAIIAggCCAIIAggCCAIIAggCCAIIAggCFAIDAn8CHgACfAICAkECBAIFAgYCBwIIAgkCKwILAgwCDQIIAggCCAIIAggCCAIIAggCCAIIAggCCAIIAggCCAIIAggCFAIDAnsCHgACfAICAoUCBAIFAgYCBwIIAgkCCgILAgwCDQIIAggCCAIIAggCCAIIAggCCAIIAggCCAIIAggCCAIIAggCFAIDApBzcQB+AAAAAAACc3EAfgAE///////////////+/////v////91cQB+AAcAAAAEBEpBlXh4d0UCHgACfAICAoACBAIFAgYCBwIIAgkCHAILAgwCDQIIAggCCAIIAggCCAIIAggCCAIIAggCCAIIAggCCAIIAggCFAIDApFzcQB+AAAAAAACc3EAfgAE///////////////+/////v////91cQB+AAcAAAAEWqnIX3h4egAABAACHgACfAICAjsCBAIFAgYCBwIIAgkCHAILAgwCDQIIAggCCAIIAggCCAIIAggCCAIIAggCCAIIAggCCAIIAggCFAIDAk8CHgACfAICAiACBAIFAgYCBwIIAgkCCgILAgwCDQIIAggCCAIIAggCCAIIAggCCAIIAggCCAIIAggCCAIIAggCFAIDAnICHgACfAICAi0CBAIFAgYCBwIIAgkCCgILAgwCDQIIAggCCAIIAggCCAIIAggCCAIIAggCCAIIAggCCAIIAggCFAIDAkQCHgACfAICAkUCBAIFAgYCBwIIAgkCKwILAgwCDQIIAggCCAIIAggCCAIIAggCCAIIAggCCAIIAggCCAIIAggCFAIDAkYCHgACfAICAi8CBAIFAgYCBwIIAgkCCgILAgwCDQIIAggCCAIIAggCCAIIAggCCAIIAggCCAIIAggCCAIIAggCFAIDAkwCHgACfAICAjMCBAIFAgYCBwIIAgkCCgILAgwCDQIIAggCCAIIAggCCAIIAggCCAIIAggCCAIIAggCCAIIAggCFAIDAjQCHgACfAICAo8CBAIFAgYCBwIIAgkCCgILAgwCDQIIAggCCAIIAggCCAIIAggCCAIIAggCCAIIAggCCAIIAggCFAIDAo4CHgACfAICAiICBAIFAgYCBwIIAgkCHAILAgwCDQIIAggCCAIIAggCCAIIAggCCAIIAggCCAIIAggCCAIIAggCFAIDAiMCHgACfAICAjUCBAIFAgYCBwIIAgkCHAILAgwCDQIIAggCCAIIAggCCAIIAggCCAIIAggCCAIIAggCCAIIAggCFAIDAjYCHgACfAICAgMCBAIFAgYCBwIIAgkCCgILAgwCDQIIAggCCAIIAggCCAIIAggCCAIIAggCCAIIAggCCAIIAggCFAIDAg4CHgACfAICAo8CBAIFAgYCBwIIAgkCKwILAgwCDQIIAggCCAIIAggCCAIIAggCCAIIAggCCAIIAggCCAIIAggCFAIDAj4CHgACfAICAiQCBAIFAgYCBwIIAgkCKwILAgwCDQIIAggCCAIIAggCCAIIAggCCAIIAggCCAIIAggCCAIIAggCFAIDAlUCHgACfAICAiACBAIFAgYCBwIIAgkCHAILAgwCDQIIAggCCAIIAggCCAIIAggCCAIIAggCCAIIAggCCAIIAggCFAIDAiECHgACfAICAjsCBAIFAgYCBwIIAgkCCgILAgwCDQIIAggCCAIIAggCCAIIAggCCAIIAggCCAIIAggCCAIIAggCFAIDAmUCHgACfAICAi0CBAIFAgYCBwIIAgkCHAILAgwCDQIIAggCCAIIAggCCAIIAggCCAIIAggCCAIIAggCegAAAR8IAggCCAIUAgMCcwIeAAJ8AgICLwIEAgUCBgIHAggCCQIrAgsCDAINAggCCAIIAggCCAIIAggCCAIIAggCCAIIAggCCAIIAggCCAIUAgMCPgIeAAJ8AgICfgIEAgUCBgIHAggCCQIKAgsCDAINAggCCAIIAggCCAIIAggCCAIIAggCCAIIAggCCAIIAggCCAIUAgMCjgIeAAJ8AgICXQIEAgUCBgIHAggCCQIrAgsCDAINAggCCAIIAggCCAIIAggCCAIIAggCCAIIAggCCAIIAggCCAIUAgMCdAIeAAJ8AgICgAIEAgUCBgIHAggCCQIKAgsCDAINAggCCAIIAggCCAIIAggCCAIIAggCCAIIAggCCAIIAggCCAIUAgMCknNxAH4AAAAAAAJzcQB+AAT///////////////7////+/////3VxAH4ABwAAAAQHGT+ZeHh3igIeAAJ8AgICAwIEAgUCBgIHAggCCQIcAgsCDAINAggCCAIIAggCCAIIAggCCAIIAggCCAIIAggCCAIIAggCCAIUAgMCcQIeAAJ8AgIChwIEAgUCBgIHAggCCQIcAgsCDAINAggCCAIIAggCCAIIAggCCAIIAggCCAIIAggCCAIIAggCCAIUAgMCk3NxAH4AAAAAAAJzcQB+AAT///////////////7////+/////3VxAH4ABwAAAARSfqMaeHh6AAAEAAIeAAJ8AgIChQIEAgUCBgIHAggCCQIrAgsCDAINAggCCAIIAggCCAIIAggCCAIIAggCCAIIAggCCAIIAggCCAIUAgMCPgIeAAJ8AgICIgIEAgUCBgIHAggCCQIKAgsCDAINAggCCAIIAggCCAIIAggCCAIIAggCCAIIAggCCAIIAggCCAIUAgMCeAIeAAJ8AgICYQIEAgUCBgIHAggCCQIKAgsCDAINAggCCAIIAggCCAIIAggCCAIIAggCCAIIAggCCAIIAggCCAIUAgMCdQIeAAKUAAk4NTIzNjM2MDgCAgJ+AgQCBQIGAgcCCAIJAhwCCwIMAg0CCAIIAggCCAIIAggCCAIIAggCCAIIAggCCAIIAggCCAIIAhICAwJ/Ah4AApQCAgJFAgQCBQIGAgcCCAIJAgoCCwIMAg0CCAIIAggCCAIIAggCCAIIAggCCAIIAggCCAIIAggCCAIIAhICAwJkAh4AApQCAgJhAgQCBQIGAgcCCAIJAhwCCwIMAg0CCAIIAggCCAIIAggCCAIIAggCCAIIAggCCAIIAggCCAIIAhICAwJmAh4AApQCAgJaAgQCBQIGAgcCCAIJAgoCCwIMAg0CCAIIAggCCAIIAggCCAIIAggCCAIIAggCCAIIAggCCAIIAhICAwJbAh4AApQCAgIzAgQCBQIGAgcCCAIJAisCCwIMAg0CCAIIAggCCAIIAggCCAIIAggCCAIIAggCCAIIAggCCAIIAhICAwJcAh4AApQCAgIvAgQCBQIGAgcCCAIJAisCCwIMAg0CCAIIAggCCAIIAggCCAIIAggCCAIIAggCCAIIAggCCAIIAhICAwI+Ah4AApQCAgIqAgQCBQIGAgcCCAIJAgoCCwIMAg0CCAIIAggCCAIIAggCCAIIAggCCAIIAggCCAIIAggCCAIIAhICAwJUAh4AApQCAgIbAgQCBQIGAgcCCAIJAisCCwIMAg0CCAIIAggCCAIIAggCCAIIAggCCAIIAggCCAIIAggCCAIIAhICAwI/Ah4AApQCAgImAgQCBQIGAgcCCAIJAisCCwIMAg0CCAIIAggCCAIIAggCCAIIAggCCAIIAggCCAIIAggCCAIIAhICAwJpAh4AApQCAgKPAgQCBQIGAgcCCAIJAgoCCwIMAg0CCAIIAggCCAIIAggCCAIIAggCCAIIAggCCAIIAggCCAIIAhICAwKOAh4AApQCAgJHAgQCBQIGAgcCCAIJAhwCCwIMAg0CCAIIAggCCAIIAggCCAIIAggCCAIIAggCCAIIAggCCAIIAhICAwJWAh4AApQCAgKIAgQCBQIGAgcCCAIJAisCCwIMAg0CCAIIAggCCAIIAggCCAIIAgh6AAAEAAIIAggCCAIIAggCCAIIAggCEgIDAj4CHgAClAICAoACBAIFAgYCBwIIAgkCCgILAgwCDQIIAggCCAIIAggCCAIIAggCCAIIAggCCAIIAggCCAIIAggCEgIDApICHgAClAICAjsCBAIFAgYCBwIIAgkCCgILAgwCDQIIAggCCAIIAggCCAIIAggCCAIIAggCCAIIAggCCAIIAggCEgIDAmUCHgAClAICAn4CBAIFAgYCBwIIAgkCCgILAgwCDQIIAggCCAIIAggCCAIIAggCCAIIAggCCAIIAggCCAIIAggCEgIDAo4CHgAClAICAjsCBAIFAgYCBwIIAgkCKwILAgwCDQIIAggCCAIIAggCCAIIAggCCAIIAggCCAIIAggCCAIIAggCEgIDAjwCHgAClAICAjUCBAIFAgYCBwIIAgkCKwILAgwCDQIIAggCCAIIAggCCAIIAggCCAIIAggCCAIIAggCCAIIAggCEgIDAnACHgAClAICAkUCBAIFAgYCBwIIAgkCHAILAgwCDQIIAggCCAIIAggCCAIIAggCCAIIAggCCAIIAggCCAIIAggCEgIDAlgCHgAClAICAmECBAIFAgYCBwIIAgkCCgILAgwCDQIIAggCCAIIAggCCAIIAggCCAIIAggCCAIIAggCCAIIAggCEgIDAnUCHgAClAICAioCBAIFAgYCBwIIAgkCHAILAgwCDQIIAggCCAIIAggCCAIIAggCCAIIAggCCAIIAggCCAIIAggCEgIDAm4CHgAClAICAo8CBAIFAgYCBwIIAgkCKwILAgwCDQIIAggCCAIIAggCCAIIAggCCAIIAggCCAIIAggCCAIIAggCEgIDAj4CHgAClAICAiQCBAIFAgYCBwIIAgkCHAILAgwCDQIIAggCCAIIAggCCAIIAggCCAIIAggCCAIIAggCCAIIAggCEgIDAmoCHgAClAICAkECBAIFAgYCBwIIAgkCKwILAgwCDQIIAggCCAIIAggCCAIIAggCCAIIAggCCAIIAggCCAIIAggCEgIDAnsCHgAClAICAh4CBAIFAgYCBwIIAgkCCgILAgwCDQIIAggCCAIIAggCCAIIAggCCAIIAggCCAIIAggCCAIIAggCEgIDAnYCHgAClAICAi0CBAIFAgYCBwIIAgkCHAILAgwCDQIIAggCCAIIAggCCAIIAggCCAIIAggCCAIIAggCCAIIAggCEgIDAnMCHgAClAICAiACBAIFAgYCBwIIAgkCCgILAgwCDQIIAggCCAIIAggCCAIIAggCCAIIAggCCAIIAggCCAIIAggCEgIDAnICHgAClAICAjECBAIFAgYCBwIIAgkCCgILAgwCDQIIAggCCAJ6AAAEAAgCCAIIAggCCAIIAggCCAIIAggCCAIIAggCCAISAgMCMgIeAAKUAgIChwIEAgUCBgIHAggCCQIrAgsCDAINAggCCAIIAggCCAIIAggCCAIIAggCCAIIAggCCAIIAggCCAISAgMCPgIeAAKUAgICGwIEAgUCBgIHAggCCQIKAgsCDAINAggCCAIIAggCCAIIAggCCAIIAggCCAIIAggCCAIIAggCCAISAgMCbQIeAAKUAgICNQIEAgUCBgIHAggCCQIcAgsCDAINAggCCAIIAggCCAIIAggCCAIIAggCCAIIAggCCAIIAggCCAISAgMCNgIeAAKUAgICAwIEAgUCBgIHAggCCQIKAgsCDAINAggCCAIIAggCCAIIAggCCAIIAggCCAIIAggCCAIIAggCCAISAgMCDgIeAAKUAgICfQIEAgUCBgIHAggCCQIcAgsCDAINAggCCAIIAggCCAIIAggCCAIIAggCCAIIAggCCAIIAggCCAISAgMCigIeAAKUAgICgQIEAgUCBgIHAggCCQIKAgsCDAINAggCCAIIAggCCAIIAggCCAIIAggCCAIIAggCCAIIAggCCAISAgMCiQIeAAKUAgICJgIEAgUCBgIHAggCCQIKAgsCDAINAggCCAIIAggCCAIIAggCCAIIAggCCAIIAggCCAIIAggCCAISAgMCJwIeAAKUAgICLQIEAgUCBgIHAggCCQIKAgsCDAINAggCCAIIAggCCAIIAggCCAIIAggCCAIIAggCCAIIAggCCAISAgMCRAIeAAKUAgICOQIEAgUCBgIHAggCCQIcAgsCDAINAggCCAIIAggCCAIIAggCCAIIAggCCAIIAggCCAIIAggCCAISAgMCOgIeAAKUAgICHgIEAgUCBgIHAggCCQIcAgsCDAINAggCCAIIAggCCAIIAggCCAIIAggCCAIIAggCCAIIAggCCAISAgMCHwIeAAKUAgICgAIEAgUCBgIHAggCCQIrAgsCDAINAggCCAIIAggCCAIIAggCCAIIAggCCAIIAggCCAIIAggCCAISAgMCPgIeAAKUAgICYQIEAgUCBgIHAggCCQIrAgsCDAINAggCCAIIAggCCAIIAggCCAIIAggCCAIIAggCCAIIAggCCAISAgMCYgIeAAKUAgICfgIEAgUCBgIHAggCCQIrAgsCDAINAggCCAIIAggCCAIIAggCCAIIAggCCAIIAggCCAIIAggCCAISAgMCPgIeAAKUAgICLQIEAgUCBgIHAggCCQIrAgsCDAINAggCCAIIAggCCAIIAggCCAIIAggCCAIIAggCCAIIAggCCAISAgMCLgIeAAKUAgICMQIEAgUCBgIHAggCCQIcAgt6AAAEAAIMAg0CCAIIAggCCAIIAggCCAIIAggCCAIIAggCCAIIAggCCAIIAhICAwJLAh4AApQCAgKBAgQCBQIGAgcCCAIJAhwCCwIMAg0CCAIIAggCCAIIAggCCAIIAggCCAIIAggCCAIIAggCCAIIAhICAwKCAh4AApQCAgJaAgQCBQIGAgcCCAIJAhwCCwIMAg0CCAIIAggCCAIIAggCCAIIAggCCAIIAggCCAIIAggCCAIIAhICAwJfAh4AApQCAgKIAgQCBQIGAgcCCAIJAgoCCwIMAg0CCAIIAggCCAIIAggCCAIIAggCCAIIAggCCAIIAggCCAIIAhICAwKNAh4AApQCAgIbAgQCBQIGAgcCCAIJAhwCCwIMAg0CCAIIAggCCAIIAggCCAIIAggCCAIIAggCCAIIAggCCAIIAhICAwIdAh4AApQCAgJHAgQCBQIGAgcCCAIJAgoCCwIMAg0CCAIIAggCCAIIAggCCAIIAggCCAIIAggCCAIIAggCCAIIAhICAwJIAh4AApQCAgI1AgQCBQIGAgcCCAIJAgoCCwIMAg0CCAIIAggCCAIIAggCCAIIAggCCAIIAggCCAIIAggCCAIIAhICAwJRAh4AApQCAgIDAgQCBQIGAgcCCAIJAisCCwIMAg0CCAIIAggCCAIIAggCCAIIAggCCAIIAggCCAIIAggCCAIIAhICAwJgAh4AApQCAgI3AgQCBQIGAgcCCAIJAhwCCwIMAg0CCAIIAggCCAIIAggCCAIIAggCCAIIAggCCAIIAggCCAIIAhICAwJDAh4AApQCAgIgAgQCBQIGAgcCCAIJAisCCwIMAg0CCAIIAggCCAIIAggCCAIIAggCCAIIAggCCAIIAggCCAIIAhICAwJQAh4AApQCAgI5AgQCBQIGAgcCCAIJAgoCCwIMAg0CCAIIAggCCAIIAggCCAIIAggCCAIIAggCCAIIAggCCAIIAhICAwJOAh4AApQCAgIxAgQCBQIGAgcCCAIJAisCCwIMAg0CCAIIAggCCAIIAggCCAIIAggCCAIIAggCCAIIAggCCAIIAhICAwJZAh4AApQCAgI5AgQCBQIGAgcCCAIJAisCCwIMAg0CCAIIAggCCAIIAggCCAIIAggCCAIIAggCCAIIAggCCAIIAhICAwJ5Ah4AApQCAgJdAgQCBQIGAgcCCAIJAgoCCwIMAg0CCAIIAggCCAIIAggCCAIIAggCCAIIAggCCAIIAggCCAIIAhICAwJeAh4AApQCAgKBAgQCBQIGAgcCCAIJAisCCwIMAg0CCAIIAggCCAIIAggCCAIIAggCCAIIAggCCAIIAggCCAIIAhICAwI+Ah4AApQCAgJJAgQCBQJ6AAAEAAYCBwIIAgkCHAILAgwCDQIIAggCCAIIAggCCAIIAggCCAIIAggCCAIIAggCCAIIAggCEgIDAmgCHgAClAICAiICBAIFAgYCBwIIAgkCKwILAgwCDQIIAggCCAIIAggCCAIIAggCCAIIAggCCAIIAggCCAIIAggCEgIDAj4CHgAClAICAj0CBAIFAgYCBwIIAgkCHAILAgwCDQIIAggCCAIIAggCCAIIAggCCAIIAggCCAIIAggCCAIIAggCEgIDAlMCHgAClAICAocCBAIFAgYCBwIIAgkCCgILAgwCDQIIAggCCAIIAggCCAIIAggCCAIIAggCCAIIAggCCAIIAggCEgIDAowCHgAClAICAiQCBAIFAgYCBwIIAgkCKwILAgwCDQIIAggCCAIIAggCCAIIAggCCAIIAggCCAIIAggCCAIIAggCEgIDAlUCHgAClAICAigCBAIFAgYCBwIIAgkCKwILAgwCDQIIAggCCAIIAggCCAIIAggCCAIIAggCCAIIAggCCAIIAggCEgIDAm8CHgAClAICAkECBAIFAgYCBwIIAgkCHAILAgwCDQIIAggCCAIIAggCCAIIAggCCAIIAggCCAIIAggCCAIIAggCEgIDAlcCHgAClAICAl0CBAIFAgYCBwIIAgkCHAILAgwCDQIIAggCCAIIAggCCAIIAggCCAIIAggCCAIIAggCCAIIAggCEgIDAmcCHgAClAICAjcCBAIFAgYCBwIIAgkCCgILAgwCDQIIAggCCAIIAggCCAIIAggCCAIIAggCCAIIAggCCAIIAggCEgIDAmMCHgAClAICAkkCBAIFAgYCBwIIAgkCCgILAgwCDQIIAggCCAIIAggCCAIIAggCCAIIAggCCAIIAggCCAIIAggCEgIDAnoCHgAClAICAoUCBAIFAgYCBwIIAgkCKwILAgwCDQIIAggCCAIIAggCCAIIAggCCAIIAggCCAIIAggCCAIIAggCEgIDAj4CHgAClAICAgMCBAIFAgYCBwIIAgkCHAILAgwCDQIIAggCCAIIAggCCAIIAggCCAIIAggCCAIIAggCCAIIAggCEgIDAnECHgAClAICAiYCBAIFAgYCBwIIAgkCHAILAgwCDQIIAggCCAIIAggCCAIIAggCCAIIAggCCAIIAggCCAIIAggCEgIDAmsCHgAClAICAogCBAIFAgYCBwIIAgkCHAILAgwCDQIIAggCCAIIAggCCAIIAggCCAIIAggCCAIIAggCCAIIAggCEgIDAosCHgAClAICAkcCBAIFAgYCBwIIAgkCKwILAgwCDQIIAggCCAIIAggCCAIIAggCCAIIAggCCAIIAggCCAIIAggCEgIDAmwCHgB6AAAEAAKUAgICIgIEAgUCBgIHAggCCQIKAgsCDAINAggCCAIIAggCCAIIAggCCAIIAggCCAIIAggCCAIIAggCCAISAgMCeAIeAAKUAgIChwIEAgUCBgIHAggCCQIcAgsCDAINAggCCAIIAggCCAIIAggCCAIIAggCCAIIAggCCAIIAggCCAISAgMCkwIeAAKUAgICPQIEAgUCBgIHAggCCQIKAgsCDAINAggCCAIIAggCCAIIAggCCAIIAggCCAIIAggCCAIIAggCCAISAgMCdwIeAAKUAgICWgIEAgUCBgIHAggCCQIrAgsCDAINAggCCAIIAggCCAIIAggCCAIIAggCCAIIAggCCAIIAggCCAISAgMCPgIeAAKUAgICgwIEAgUCBgIHAggCCQIcAgsCDAINAggCCAIIAggCCAIIAggCCAIIAggCCAIIAggCCAIIAggCCAISAgMCfwIeAAKUAgICXQIEAgUCBgIHAggCCQIrAgsCDAINAggCCAIIAggCCAIIAggCCAIIAggCCAIIAggCCAIIAggCCAISAgMCdAIeAAKUAgICLwIEAgUCBgIHAggCCQIKAgsCDAINAggCCAIIAggCCAIIAggCCAIIAggCCAIIAggCCAIIAggCCAISAgMCTAIeAAKUAgICRQIEAgUCBgIHAggCCQIrAgsCDAINAggCCAIIAggCCAIIAggCCAIIAggCCAIIAggCCAIIAggCCAISAgMCRgIeAAKUAgICfQIEAgUCBgIHAggCCQIKAgsCDAINAggCCAIIAggCCAIIAggCCAIIAggCCAIIAggCCAIIAggCCAISAgMChAIeAAKUAgIChQIEAgUCBgIHAggCCQIcAgsCDAINAggCCAIIAggCCAIIAggCCAIIAggCCAIIAggCCAIIAggCCAISAgMChgIeAAKUAgICMwIEAgUCBgIHAggCCQIKAgsCDAINAggCCAIIAggCCAIIAggCCAIIAggCCAIIAggCCAIIAggCCAISAgMCNAIeAAKUAgICKAIEAgUCBgIHAggCCQIcAgsCDAINAggCCAIIAggCCAIIAggCCAIIAggCCAIIAggCCAIIAggCCAISAgMCKQIeAAKUAgICIgIEAgUCBgIHAggCCQIcAgsCDAINAggCCAIIAggCCAIIAggCCAIIAggCCAIIAggCCAIIAggCCAISAgMCIwIeAAKUAgICPQIEAgUCBgIHAggCCQIrAgsCDAINAggCCAIIAggCCAIIAggCCAIIAggCCAIIAggCCAIIAggCCAISAgMCPgIeAAKUAgICJAIEAgUCBgIHAggCCQIKAgsCDAINAggCCAIIAggCCAIIAggCCAIIAggCCAIIAggCCAIIAgh6AAAEAAIIAhICAwIlAh4AApQCAgI3AgQCBQIGAgcCCAIJAisCCwIMAg0CCAIIAggCCAIIAggCCAIIAggCCAIIAggCCAIIAggCCAIIAhICAwI4Ah4AApQCAgIgAgQCBQIGAgcCCAIJAhwCCwIMAg0CCAIIAggCCAIIAggCCAIIAggCCAIIAggCCAIIAggCCAIIAhICAwIhAh4AApQCAgIvAgQCBQIGAgcCCAIJAhwCCwIMAg0CCAIIAggCCAIIAggCCAIIAggCCAIIAggCCAIIAggCCAIIAhICAwIwAh4AApQCAgJJAgQCBQIGAgcCCAIJAisCCwIMAg0CCAIIAggCCAIIAggCCAIIAggCCAIIAggCCAIIAggCCAIIAhICAwJKAh4AApQCAgKDAgQCBQIGAgcCCAIJAisCCwIMAg0CCAIIAggCCAIIAggCCAIIAggCCAIIAggCCAIIAggCCAIIAhICAwI+Ah4AApQCAgKDAgQCBQIGAgcCCAIJAgoCCwIMAg0CCAIIAggCCAIIAggCCAIIAggCCAIIAggCCAIIAggCCAIIAhICAwKOAh4AApQCAgIoAgQCBQIGAgcCCAIJAgoCCwIMAg0CCAIIAggCCAIIAggCCAIIAggCCAIIAggCCAIIAggCCAIIAhICAwJAAh4AApQCAgIzAgQCBQIGAgcCCAIJAhwCCwIMAg0CCAIIAggCCAIIAggCCAIIAggCCAIIAggCCAIIAggCCAIIAhICAwJNAh4AApQCAgKPAgQCBQIGAgcCCAIJAhwCCwIMAg0CCAIIAggCCAIIAggCCAIIAggCCAIIAggCCAIIAggCCAIIAhICAwJ/Ah4AApQCAgIqAgQCBQIGAgcCCAIJAisCCwIMAg0CCAIIAggCCAIIAggCCAIIAggCCAIIAggCCAIIAggCCAIIAhICAwIsAh4AApQCAgKFAgQCBQIGAgcCCAIJAgoCCwIMAg0CCAIIAggCCAIIAggCCAIIAggCCAIIAggCCAIIAggCCAIIAhICAwKQAh4AApQCAgIeAgQCBQIGAgcCCAIJAisCCwIMAg0CCAIIAggCCAIIAggCCAIIAggCCAIIAggCCAIIAggCCAIIAhICAwJSAh4AApQCAgI7AgQCBQIGAgcCCAIJAhwCCwIMAg0CCAIIAggCCAIIAggCCAIIAggCCAIIAggCCAIIAggCCAIIAhICAwJPAh4AApQCAgKAAgQCBQIGAgcCCAIJAhwCCwIMAg0CCAIIAggCCAIIAggCCAIIAggCCAIIAggCCAIIAggCCAIIAhICAwKRAh4AApQCAgJBAgQCBQIGAgcCCAIJAgoCCwIMAg0CCAIIAggCCAIIAggCCAIIAggCCAJ6AAAEAAgCCAIIAggCCAIIAggCEgIDAkICHgAClAICAn0CBAIFAgYCBwIIAgkCKwILAgwCDQIIAggCCAIIAggCCAIIAggCCAIIAggCCAIIAggCCAIIAggCEgIDAj4CHgAClQAJODQ3MzQyOTIwAgICNwIEAgUCBgIHAggCCQIcAgsCDAINAggCCAIIAggCCAIIAggCCAIIAggCCAIIAggCCAIIAggCCAICAgMCQwIeAAKVAgICgAIEAgUCBgIHAggCCQIcAgsCDAINAggCCAIIAggCCAIIAggCCAIIAggCCAIIAggCCAIIAggCCAICAgMCkQIeAAKVAgICIAIEAgUCBgIHAggCCQIcAgsCDAINAggCCAIIAggCCAIIAggCCAIIAggCCAIIAggCCAIIAggCCAICAgMCIQIeAAKVAgICLwIEAgUCBgIHAggCCQIcAgsCDAINAggCCAIIAggCCAIIAggCCAIIAggCCAIIAggCCAIIAggCCAICAgMCMAIeAAKVAgICXQIEAgUCBgIHAggCCQIcAgsCDAINAggCCAIIAggCCAIIAggCCAIIAggCCAIIAggCCAIIAggCCAICAgMCZwIeAAKVAgICfQIEAgUCBgIHAggCCQIcAgsCDAINAggCCAIIAggCCAIIAggCCAIIAggCCAIIAggCCAIIAggCCAICAgMCigIeAAKVAgICWgIEAgUCBgIHAggCCQIcAgsCDAINAggCCAIIAggCCAIIAggCCAIIAggCCAIIAggCCAIIAggCCAICAgMCXwIeAAKVAgICIgIEAgUCBgIHAggCCQIcAgsCDAINAggCCAIIAggCCAIIAggCCAIIAggCCAIIAggCCAIIAggCCAICAgMCIwIeAAKVAgICMwIEAgUCBgIHAggCCQIcAgsCDAINAggCCAIIAggCCAIIAggCCAIIAggCCAIIAggCCAIIAggCCAICAgMCTQIeAAKVAgICSQIEAgUCBgIHAggCCQIcAgsCDAINAggCCAIIAggCCAIIAggCCAIIAggCCAIIAggCCAIIAggCCAICAgMCaAIeAAKVAgIChQIEAgUCBgIHAggCCQIcAgsCDAINAggCCAIIAggCCAIIAggCCAIIAggCCAIIAggCCAIIAggCCAICAgMChgIeAAKVAgICNQIEAgUCBgIHAggCCQIcAgsCDAINAggCCAIIAggCCAIIAggCCAIIAggCCAIIAggCCAIIAggCCAICAgMCNgIeAAKVAgICRwIEAgUCBgIHAggCCQIcAgsCDAINAggCCAIIAggCCAIIAggCCAIIAggCCAIIAggCCAIIAggCCAICAgMCVgIeAAKVAgIChwIEAgUCBgIHAggCCQIcAgsCDAJ6AAAB3g0CCAIIAggCCAIIAggCCAIIAggCCAIIAggCCAIIAggCCAIIAgICAwKTAh4AApUCAgIqAgQCBQIGAgcCCAIJAhwCCwIMAg0CCAIIAggCCAIIAggCCAIIAggCCAIIAggCCAIIAggCCAIIAgICAwJuAh4AApUCAgIkAgQCBQIGAgcCCAIJAhwCCwIMAg0CCAIIAggCCAIIAggCCAIIAggCCAIIAggCCAIIAggCCAIIAgICAwJqAh4AApUCAgItAgQCBQIGAgcCCAIJAhwCCwIMAg0CCAIIAggCCAIIAggCCAIIAggCCAIIAggCCAIIAggCCAIIAgICAwJzAh4AApUCAgI9AgQCBQIGAgcCCAIJAhwCCwIMAg0CCAIIAggCCAIIAggCCAIIAggCCAIIAggCCAIIAggCCAIIAgICAwJTAh4AApYACTg1MjQ3NDgxNgICAocCBAIFAgYCBwIIAgkClwAGMTkxMDE1AgsCmAACSUQCDQIIAggCCAIIAggCCAIIAggCCAIIAggCCAIIAggCCAIIAggCHQIDAj4CHgAClgICAioCBAIFAgYCBwIIAgkClwILApgCDQIIAggCCAIIAggCCAIIAggCCAIIAggCCAIIAggCCAIIAggCHQIDAplzcQB+AAAAAAACc3EAfgAE///////////////+/////v////91cQB+AAcAAAADEobreHh3RQIeAAKWAgICIgIEAgUCBgIHAggCCQIKAgsCmAINAggCCAIIAggCCAIIAggCCAIIAggCCAIIAggCCAIIAggCCAIdAgMCmnNxAH4AAAAAAAJzcQB+AAT///////////////7////+/////3VxAH4ABwAAAAQewHRseHh3RQIeAAKWAgICKAIEAgUCBgIHAggCCQIKAgsCmAINAggCCAIIAggCCAIIAggCCAIIAggCCAIIAggCCAIIAggCCAIdAgMCm3NxAH4AAAAAAAJzcQB+AAT///////////////7////+/////3VxAH4ABwAAAAQC+0uLeHh3RQIeAAKWAgICNwIEAgUCBgIHAggCCQIcAgsCmAINAggCCAIIAggCCAIIAggCCAIIAggCCAIIAggCCAIIAggCCAIdAgMCnHNxAH4AAAAAAAJzcQB+AAT///////////////7////+/////3VxAH4ABwAAAAQmeB9xeHh3RQIeAAKWAgICGwIEAgUCBgIHAggCCQIKAgsCmAINAggCCAIIAggCCAIIAggCCAIIAggCCAIIAggCCAIIAggCCAIdAgMCnXNxAH4AAAAAAAJzcQB+AAT///////////////7////+AAAAAXVxAH4ABwAAAAO5cnx4eHdFAh4AApYCAgIeAgQCBQIGAgcCCAIJAgoCCwKYAg0CCAIIAggCCAIIAggCCAIIAggCCAIIAggCCAIIAggCCAIIAh0CAwKec3EAfgAAAAAAAnNxAH4ABP///////////////v////7/////dXEAfgAHAAAABAJQHul4eHdFAh4AApYCAgIgAgQCBQIGAgcCCAIJAgoCCwKYAg0CCAIIAggCCAIIAggCCAIIAggCCAIIAggCCAIIAggCCAIIAh0CAwKfc3EAfgAAAAAAAnNxAH4ABP///////////////v////7/////dXEAfgAHAAAABALXZ1R4eHdFAh4AApYCAgKAAgQCBQIGAgcCCAIJAhwCCwKYAg0CCAIIAggCCAIIAggCCAIIAggCCAIIAggCCAIIAggCCAIIAh0CAwKgc3EAfgAAAAAAAnNxAH4ABP///////////////v////7/////dXEAfgAHAAAABC70FP94eHdFAh4AApYCAgItAgQCBQIGAgcCCAIJAgoCCwKYAg0CCAIIAggCCAIIAggCCAIIAggCCAIIAggCCAIIAggCCAIIAh0CAwKhc3EAfgAAAAAAAnNxAH4ABP///////////////v////4AAAABdXEAfgAHAAAABAYbWmp4eHdFAh4AApYCAgIvAgQCBQIGAgcCCAIJAgoCCwKYAg0CCAIIAggCCAIIAggCCAIIAggCCAIIAggCCAIIAggCCAIIAh0CAwKic3EAfgAAAAAAAnNxAH4ABP///////////////v////7/////dXEAfgAHAAAABBa3qKJ4eHdFAh4AApYCAgJFAgQCBQIGAgcCCAIJApcCCwKYAg0CCAIIAggCCAIIAggCCAIIAggCCAIIAggCCAIIAggCCAIIAh0CAwKjc3EAfgAAAAAAAnNxAH4ABP///////////////v////7/////dXEAfgAHAAAAAxJzNXh4d0UCHgAClgICAjsCBAIFAgYCBwIIAgkClwILApgCDQIIAggCCAIIAggCCAIIAggCCAIIAggCCAIIAggCCAIIAggCHQIDAqRzcQB+AAAAAAACc3EAfgAE///////////////+/////v////91cQB+AAcAAAADEle/eHh3igIeAAKWAgICgAIEAgUCBgIHAggCCQKXAgsCmAINAggCCAIIAggCCAIIAggCCAIIAggCCAIIAggCCAIIAggCCAIdAgMCPgIeAAKWAgICLQIEAgUCBgIHAggCCQKXAgsCmAINAggCCAIIAggCCAIIAggCCAIIAggCCAIIAggCCAIIAggCCAIdAgMCpXNxAH4AAAAAAAJzcQB+AAT///////////////7////+/////3VxAH4ABwAAAAMSpqJ4eHdFAh4AApYCAgI3AgQCBQIGAgcCCAIJApcCCwKYAg0CCAIIAggCCAIIAggCCAIIAggCCAIIAggCCAIIAggCCAIIAh0CAwKmc3EAfgAAAAAAAnNxAH4ABP///////////////v////7/////dXEAfgAHAAAAAxKK33h4d0UCHgAClgICAjkCBAIFAgYCBwIIAgkCCgILApgCDQIIAggCCAIIAggCCAIIAggCCAIIAggCCAIIAggCCAIIAggCHQIDAqdzcQB+AAAAAAACc3EAfgAE///////////////+/////v////91cQB+AAcAAAAEJZDR+3h4d0UCHgAClgICAi0CBAIFAgYCBwIIAgkCHAILApgCDQIIAggCCAIIAggCCAIIAggCCAIIAggCCAIIAggCCAIIAggCHQIDAqhzcQB+AAAAAAACc3EAfgAE///////////////+/////v////91cQB+AAcAAAAEQ0RN4Hh4d0UCHgAClgICAioCBAIFAgYCBwIIAgkCHAILApgCDQIIAggCCAIIAggCCAIIAggCCAIIAggCCAIIAggCCAIIAggCHQIDAqlzcQB+AAAAAAACc3EAfgAE///////////////+/////v////91cQB+AAcAAAAEIgqsMXh4d0UCHgAClgICAocCBAIFAgYCBwIIAgkCHAILApgCDQIIAggCCAIIAggCCAIIAggCCAIIAggCCAIIAggCCAIIAggCHQIDAqpzcQB+AAAAAAACc3EAfgAE///////////////+/////v////91cQB+AAcAAAAEKsKx+Hh4d0UCHgAClgICAjsCBAIFAgYCBwIIAgkCHAILApgCDQIIAggCCAIIAggCCAIIAggCCAIIAggCCAIIAggCCAIIAggCHQIDAqtzcQB+AAAAAAACc3EAfgAE///////////////+/////v////91cQB+AAcAAAAEG7MeXHh4d0UCHgAClgICAjUCBAIFAgYCBwIIAgkCCgILApgCDQIIAggCCAIIAggCCAIIAggCCAIIAggCCAIIAggCCAIIAggCHQIDAqxzcQB+AAAAAAACc3EAfgAE///////////////+/////v////91cQB+AAcAAAAEBQSjQXh4d0UCHgAClgICAocCBAIFAgYCBwIIAgkCCgILApgCDQIIAggCCAIIAggCCAIIAggCCAIIAggCCAIIAggCCAIIAggCHQIDAq1zcQB+AAAAAAACc3EAfgAE///////////////+/////v////91cQB+AAcAAAAEBOHemXh4d0UCHgAClgICAioCBAIFAgYCBwIIAgkCCgILApgCDQIIAggCCAIIAggCCAIIAggCCAIIAggCCAIIAggCCAIIAggCHQIDAq5zcQB+AAAAAAACc3EAfgAE///////////////+/////v////91cQB+AAcAAAAEDgscSnh4d0UCHgAClgICAkECBAIFAgYCBwIIAgkClwILApgCDQIIAggCCAIIAggCCAIIAggCCAIIAggCCAIIAggCCAIIAggCHQIDAq9zcQB+AAAAAAACc3EAfgAE///////////////+/////v////91cQB+AAcAAAADEm9GeHh3RQIeAAKWAgICJgIEAgUCBgIHAggCCQIKAgsCmAINAggCCAIIAggCCAIIAggCCAIIAggCCAIIAggCCAIIAggCCAIdAgMCsHNxAH4AAAAAAAJzcQB+AAT///////////////7////+/////3VxAH4ABwAAAAQBZMryeHh3RQIeAAKWAgICNQIEAgUCBgIHAggCCQKXAgsCmAINAggCCAIIAggCCAIIAggCCAIIAggCCAIIAggCCAIIAggCCAIdAgMCsXNxAH4AAAAAAAJzcQB+AAT///////////////7////+/////3VxAH4ABwAAAAMSjtR4eHdFAh4AApYCAgJHAgQCBQIGAgcCCAIJApcCCwKYAg0CCAIIAggCCAIIAggCCAIIAggCCAIIAggCCAIIAggCCAIIAh0CAwKyc3EAfgAAAAAAAnNxAH4ABP///////////////v////7/////dXEAfgAHAAAAAxKiqHh4d0UCHgAClgICAkcCBAIFAgYCBwIIAgkCHAILApgCDQIIAggCCAIIAggCCAIIAggCCAIIAggCCAIIAggCCAIIAggCHQIDArNzcQB+AAAAAAACc3EAfgAE///////////////+/////v////91cQB+AAcAAAAEOUUu/nh4d0UCHgAClgICAgMCBAIFAgYCBwIIAgkCCgILApgCDQIIAggCCAIIAggCCAIIAggCCAIIAggCCAIIAggCCAIIAggCHQIDArRzcQB+AAAAAAACc3EAfgAE///////////////+/////v////91cQB+AAcAAAAEHRCpdHh4d0UCHgAClgICAloCBAIFAgYCBwIIAgkCHAILApgCDQIIAggCCAIIAggCCAIIAggCCAIIAggCCAIIAggCCAIIAggCHQIDArVzcQB+AAAAAAACc3EAfgAE///////////////+/////v////91cQB+AAcAAAAEKUaEtnh4d0UCHgAClgICAigCBAIFAgYCBwIIAgkClwILApgCDQIIAggCCAIIAggCCAIIAggCCAIIAggCCAIIAggCCAIIAggCHQIDArZzcQB+AAAAAAACc3EAfgAE///////////////+/////v////91cQB+AAcAAAADElupeHh3RQIeAAKWAgICJAIEAgUCBgIHAggCCQIKAgsCmAINAggCCAIIAggCCAIIAggCCAIIAggCCAIIAggCCAIIAggCCAIdAgMCt3NxAH4AAAAAAAJzcQB+AAT///////////////7////+/////3VxAH4ABwAAAANOuAp4eHdFAh4AApYCAgI5AgQCBQIGAgcCCAIJApcCCwKYAg0CCAIIAggCCAIIAggCCAIIAggCCAIIAggCCAIIAggCCAIIAh0CAwK4c3EAfgAAAAAAAnNxAH4ABP///////////////v////7/////dXEAfgAHAAAAAxJ7FXh4d88CHgAClgICAi8CBAIFAgYCBwIIAgkClwILApgCDQIIAggCCAIIAggCCAIIAggCCAIIAggCCAIIAggCCAIIAggCHQIDAj4CHgAClgICAloCBAIFAgYCBwIIAgkClwILApgCDQIIAggCCAIIAggCCAIIAggCCAIIAggCCAIIAggCCAIIAggCHQIDAj4CHgAClgICAjUCBAIFAgYCBwIIAgkCHAILApgCDQIIAggCCAIIAggCCAIIAggCCAIIAggCCAIIAggCCAIIAggCHQIDArlzcQB+AAAAAAACc3EAfgAE///////////////+/////v////91cQB+AAcAAAAEKeDlE3h4d0UCHgAClgICAigCBAIFAgYCBwIIAgkCHAILApgCDQIIAggCCAIIAggCCAIIAggCCAIIAggCCAIIAggCCAIIAggCHQIDArpzcQB+AAAAAAACc3EAfgAE///////////////+/////v////91cQB+AAcAAAAEHq4JT3h4d0UCHgAClgICAkUCBAIFAgYCBwIIAgkCCgILApgCDQIIAggCCAIIAggCCAIIAggCCAIIAggCCAIIAggCCAIIAggCHQIDArtzcQB+AAAAAAACc3EAfgAE///////////////+/////v////91cQB+AAcAAAADMvcReHh3RQIeAAKWAgICXQIEAgUCBgIHAggCCQKXAgsCmAINAggCCAIIAggCCAIIAggCCAIIAggCCAIIAggCCAIIAggCCAIdAgMCvHNxAH4AAAAAAAJzcQB+AAT///////////////7////+/////3VxAH4ABwAAAAMSgvh4eHdFAh4AApYCAgJdAgQCBQIGAgcCCAIJAhwCCwKYAg0CCAIIAggCCAIIAggCCAIIAggCCAIIAggCCAIIAggCCAIIAh0CAwK9c3EAfgAAAAAAAnNxAH4ABP///////////////v////7/////dXEAfgAHAAAABB2x+kx4eHdFAh4AApYCAgIvAgQCBQIGAgcCCAIJAhwCCwKYAg0CCAIIAggCCAIIAggCCAIIAggCCAIIAggCCAIIAggCCAIIAh0CAwK+c3EAfgAAAAAAAnNxAH4ABP///////////////v////7/////dXEAfgAHAAAABCQ0bfR4eHdFAh4AApYCAgI5AgQCBQIGAgcCCAIJAhwCCwKYAg0CCAIIAggCCAIIAggCCAIIAggCCAIIAggCCAIIAggCCAIIAh0CAwK/c3EAfgAAAAAAAnNxAH4ABP///////////////v////7/////dXEAfgAHAAAABAvREnR4eHdFAh4AApYCAgJBAgQCBQIGAgcCCAIJAhwCCwKYAg0CCAIIAggCCAIIAggCCAIIAggCCAIIAggCCAIIAggCCAIIAh0CAwLAc3EAfgAAAAAAAnNxAH4ABP///////////////v////7/////dXEAfgAHAAAABDHvtRl4eHdFAh4AApYCAgJHAgQCBQIGAgcCCAIJAgoCCwKYAg0CCAIIAggCCAIIAggCCAIIAggCCAIIAggCCAIIAggCCAIIAh0CAwLBc3EAfgAAAAAAAnNxAH4ABP///////////////v////4AAAABdXEAfgAHAAAABAJaEtJ4eHdFAh4AApYCAgJBAgQCBQIGAgcCCAIJAgoCCwKYAg0CCAIIAggCCAIIAggCCAIIAggCCAIIAggCCAIIAggCCAIIAh0CAwLCc3EAfgAAAAAAAnNxAH4ABP///////////////v////7/////dXEAfgAHAAAAA56yqnh4d0UCHgAClgICAgMCBAIFAgYCBwIIAgkClwILApgCDQIIAggCCAIIAggCCAIIAggCCAIIAggCCAIIAggCCAIIAggCHQIDAsNzcQB+AAAAAAACc3EAfgAE///////////////+/////v////91cQB+AAcAAAADEn8GeHh3RQIeAAKWAgICJgIEAgUCBgIHAggCCQIcAgsCmAINAggCCAIIAggCCAIIAggCCAIIAggCCAIIAggCCAIIAggCCAIdAgMCxHNxAH4AAAAAAAJzcQB+AAT///////////////7////+/////3VxAH4ABwAAAAQrEAtReHh3RQIeAAKWAgICJAIEAgUCBgIHAggCCQKXAgsCmAINAggCCAIIAggCCAIIAggCCAIIAggCCAIIAggCCAIIAggCCAIdAgMCxXNxAH4AAAAAAAJzcQB+AAT///////////////7////+/////3VxAH4ABwAAAAMSmrd4eHdFAh4AApYCAgIkAgQCBQIGAgcCCAIJAhwCCwKYAg0CCAIIAggCCAIIAggCCAIIAggCCAIIAggCCAIIAggCCAIIAh0CAwLGc3EAfgAAAAAAAnNxAH4ABP///////////////v////7/////dXEAfgAHAAAABC6RhSt4eHdFAh4AApYCAgIxAgQCBQIGAgcCCAIJApcCCwKYAg0CCAIIAggCCAIIAggCCAIIAggCCAIIAggCCAIIAggCCAIIAh0CAwLHc3EAfgAAAAAAAnNxAH4ABP///////////////v////7/////dXEAfgAHAAAAAxJjf3h4d0UCHgAClgICAjMCBAIFAgYCBwIIAgkClwILApgCDQIIAggCCAIIAggCCAIIAggCCAIIAggCCAIIAggCCAIIAggCHQIDAshzcQB+AAAAAAACc3EAfgAE///////////////+/////v////91cQB+AAcAAAADEpbAeHh3RQIeAAKWAgICYQIEAgUCBgIHAggCCQIcAgsCmAINAggCCAIIAggCCAIIAggCCAIIAggCCAIIAggCCAIIAggCCAIdAgMCyXNxAH4AAAAAAAJzcQB+AAT///////////////7////+/////3VxAH4ABwAAAAQu/eCSeHh3RQIeAAKWAgICAwIEAgUCBgIHAggCCQIcAgsCmAINAggCCAIIAggCCAIIAggCCAIIAggCCAIIAggCCAIIAggCCAIdAgMCynNxAH4AAAAAAAJzcQB+AAT///////////////7////+/////3VxAH4ABwAAAAQVrLWfeHh3RQIeAAKWAgICMwIEAgUCBgIHAggCCQIcAgsCmAINAggCCAIIAggCCAIIAggCCAIIAggCCAIIAggCCAIIAggCCAIdAgMCy3NxAH4AAAAAAAJzcQB+AAT///////////////7////+/////3VxAH4ABwAAAAQqC0YheHh3RQIeAAKWAgICXQIEAgUCBgIHAggCCQIKAgsCmAINAggCCAIIAggCCAIIAggCCAIIAggCCAIIAggCCAIIAggCCAIdAgMCzHNxAH4AAAAAAAJzcQB+AAT///////////////7////+/////3VxAH4ABwAAAAQUOveDeHh3RQIeAAKWAgICSQIEAgUCBgIHAggCCQIKAgsCmAINAggCCAIIAggCCAIIAggCCAIIAggCCAIIAggCCAIIAggCCAIdAgMCzXNxAH4AAAAAAAJzcQB+AAT///////////////7////+AAAAAXVxAH4ABwAAAAP/iV54eHdFAh4AApYCAgIxAgQCBQIGAgcCCAIJAhwCCwKYAg0CCAIIAggCCAIIAggCCAIIAggCCAIIAggCCAIIAggCCAIIAh0CAwLOc3EAfgAAAAAAAnNxAH4ABP///////////////v////7/////dXEAfgAHAAAABCYvMsJ4eHdFAh4AApYCAgJhAgQCBQIGAgcCCAIJAgoCCwKYAg0CCAIIAggCCAIIAggCCAIIAggCCAIIAggCCAIIAggCCAIIAh0CAwLPc3EAfgAAAAAAAnNxAH4ABP///////////////v////7/////dXEAfgAHAAAABAEGlGB4eHdFAh4AApYCAgImAgQCBQIGAgcCCAIJApcCCwKYAg0CCAIIAggCCAIIAggCCAIIAggCCAIIAggCCAIIAggCCAIIAh0CAwLQc3EAfgAAAAAAAnNxAH4ABP///////////////v////7/////dXEAfgAHAAAAAxJna3h4d0UCHgAClgICAj0CBAIFAgYCBwIIAgkCCgILApgCDQIIAggCCAIIAggCCAIIAggCCAIIAggCCAIIAggCCAIIAggCHQIDAtFzcQB+AAAAAAACc3EAfgAE///////////////+/////v////91cQB+AAcAAAAEEKaLJHh4d0UCHgAClgICAh4CBAIFAgYCBwIIAgkCHAILApgCDQIIAggCCAIIAggCCAIIAggCCAIIAggCCAIIAggCCAIIAggCHQIDAtJzcQB+AAAAAAACc3EAfgAE///////////////+/////v////91cQB+AAcAAAAEI8Z4/Xh4d88CHgAClgICAj0CBAIFAgYCBwIIAgkClwILApgCDQIIAggCCAIIAggCCAIIAggCCAIIAggCCAIIAggCCAIIAggCHQIDAj4CHgAClgICAiICBAIFAgYCBwIIAgkClwILApgCDQIIAggCCAIIAggCCAIIAggCCAIIAggCCAIIAggCCAIIAggCHQIDAj4CHgAClgICAiACBAIFAgYCBwIIAgkCHAILApgCDQIIAggCCAIIAggCCAIIAggCCAIIAggCCAIIAggCCAIIAggCHQIDAtNzcQB+AAAAAAACc3EAfgAE///////////////+/////v////91cQB+AAcAAAAEKiZPC3h4d0UCHgAClgICAiICBAIFAgYCBwIIAgkCHAILApgCDQIIAggCCAIIAggCCAIIAggCCAIIAggCCAIIAggCCAIIAggCHQIDAtRzcQB+AAAAAAACc3EAfgAE///////////////+/////v////91cQB+AAcAAAAEHCN8kHh4d0UCHgAClgICAkUCBAIFAgYCBwIIAgkCHAILApgCDQIIAggCCAIIAggCCAIIAggCCAIIAggCCAIIAggCCAIIAggCHQIDAtVzcQB+AAAAAAACc3EAfgAE///////////////+/////v////91cQB+AAcAAAAEM7yWknh4d0UCHgAClgICAhsCBAIFAgYCBwIIAgkCHAILApgCDQIIAggCCAIIAggCCAIIAggCCAIIAggCCAIIAggCCAIIAggCHQIDAtZzcQB+AAAAAAACc3EAfgAE///////////////+/////v////91cQB+AAcAAAAENJhHI3h4d0UCHgAClgICAmECBAIFAgYCBwIIAgkClwILApgCDQIIAggCCAIIAggCCAIIAggCCAIIAggCCAIIAggCCAIIAggCHQIDAtdzcQB+AAAAAAACc3EAfgAE///////////////+/////v////91cQB+AAcAAAADEmtYeHh3RQIeAAKWAgICNwIEAgUCBgIHAggCCQIKAgsCmAINAggCCAIIAggCCAIIAggCCAIIAggCCAIIAggCCAIIAggCCAIdAgMC2HNxAH4AAAAAAAJzcQB+AAT///////////////7////+/////3VxAH4ABwAAAAQIvUgheHh3RQIeAAKWAgICGwIEAgUCBgIHAggCCQKXAgsCmAINAggCCAIIAggCCAIIAggCCAIIAggCCAIIAggCCAIIAggCCAIdAgMC2XNxAH4AAAAAAAJzcQB+AAT///////////////7////+/////3VxAH4ABwAAAAMSdyV4eHdFAh4AApYCAgKAAgQCBQIGAgcCCAIJAgoCCwKYAg0CCAIIAggCCAIIAggCCAIIAggCCAIIAggCCAIIAggCCAIIAh0CAwLac3EAfgAAAAAAAnNxAH4ABP///////////////v////7/////dXEAfgAHAAAABAEya894eHdFAh4AApYCAgJaAgQCBQIGAgcCCAIJAgoCCwKYAg0CCAIIAggCCAIIAggCCAIIAggCCAIIAggCCAIIAggCCAIIAh0CAwLbc3EAfgAAAAAAAnNxAH4ABP///////////////v////7/////dXEAfgAHAAAABAor0+d4eHdFAh4AApYCAgI7AgQCBQIGAgcCCAIJAgoCCwKYAg0CCAIIAggCCAIIAggCCAIIAggCCAIIAggCCAIIAggCCAIIAh0CAwLcc3EAfgAAAAAAAnNxAH4ABP///////////////v////7/////dXEAfgAHAAAABARbkhB4eHdFAh4AApYCAgJJAgQCBQIGAgcCCAIJApcCCwKYAg0CCAIIAggCCAIIAggCCAIIAggCCAIIAggCCAIIAggCCAIIAh0CAwLdc3EAfgAAAAAAAnNxAH4ABP///////////////v////7/////dXEAfgAHAAAAAxKer3h4d0UCHgAClgICAkkCBAIFAgYCBwIIAgkCHAILApgCDQIIAggCCAIIAggCCAIIAggCCAIIAggCCAIIAggCCAIIAggCHQIDAt5zcQB+AAAAAAACc3EAfgAE///////////////+/////v////91cQB+AAcAAAAENDlU6Hh4d0UCHgAClgICAjECBAIFAgYCBwIIAgkCCgILApgCDQIIAggCCAIIAggCCAIIAggCCAIIAggCCAIIAggCCAIIAggCHQIDAt9zcQB+AAAAAAACc3EAfgAE///////////////+/////v////91cQB+AAcAAAAEAc1Kd3h4d0UCHgAClgICAiACBAIFAgYCBwIIAgkClwILApgCDQIIAggCCAIIAggCCAIIAggCCAIIAggCCAIIAggCCAIIAggCHQIDAuBzcQB+AAAAAAACc3EAfgAE///////////////+/////v////91cQB+AAcAAAADEpLKeHh3RQIeAAKWAgICMwIEAgUCBgIHAggCCQIKAgsCmAINAggCCAIIAggCCAIIAggCCAIIAggCCAIIAggCCAIIAggCCAIdAgMC4XNxAH4AAAAAAAJzcQB+AAT///////////////7////+/////3VxAH4ABwAAAAQBbUrSeHh3RQIeAAKWAgICHgIEAgUCBgIHAggCCQKXAgsCmAINAggCCAIIAggCCAIIAggCCAIIAggCCAIIAggCCAIIAggCCAIdAgMC4nNxAH4AAAAAAAJzcQB+AAT///////////////7////+/////3VxAH4ABwAAAAMSX5R4eHdFAh4AApYCAgI9AgQCBQIGAgcCCAIJAhwCCwKYAg0CCAIIAggCCAIIAggCCAIIAggCCAIIAggCCAIIAggCCAIIAh0CAwLjc3EAfgAAAAAAAnNxAH4ABP///////////////v////7/////dXEAfgAHAAAABCkgj4V4eHoAAAQAAh4AAuQACTg1MjQ4MTc3NgICAigCBAIFAgYCBwIIAgkClwILApgCDQIIAggCCAIIAggCCAIIAggCCAIIAggCCAIIAggCCAIIAggCIwIDArYCHgAC5AICAhsCBAIFAgYCBwIIAgkCHAILApgCDQIIAggCCAIIAggCCAIIAggCCAIIAggCCAIIAggCCAIIAggCIwIDAtYCHgAC5AICAjECBAIFAgYCBwIIAgkCCgILApgCDQIIAggCCAIIAggCCAIIAggCCAIIAggCCAIIAggCCAIIAggCIwIDAt8CHgAC5AICAi0CBAIFAgYCBwIIAgkClwILApgCDQIIAggCCAIIAggCCAIIAggCCAIIAggCCAIIAggCCAIIAggCIwIDAqUCHgAC5AICAjUCBAIFAgYCBwIIAgkClwILApgCDQIIAggCCAIIAggCCAIIAggCCAIIAggCCAIIAggCCAIIAggCIwIDArECHgAC5AICAjUCBAIFAgYCBwIIAgkCHAILApgCDQIIAggCCAIIAggCCAIIAggCCAIIAggCCAIIAggCCAIIAggCIwIDArkCHgAC5AICAiICBAIFAgYCBwIIAgkCHAILApgCDQIIAggCCAIIAggCCAIIAggCCAIIAggCCAIIAggCCAIIAggCIwIDAtQCHgAC5AICAgMCBAIFAgYCBwIIAgkCCgILApgCDQIIAggCCAIIAggCCAIIAggCCAIIAggCCAIIAggCCAIIAggCIwIDArQCHgAC5AICAiACBAIFAgYCBwIIAgkCHAILApgCDQIIAggCCAIIAggCCAIIAggCCAIIAggCCAIIAggCCAIIAggCIwIDAtMCHgAC5AICAiICBAIFAgYCBwIIAgkClwILApgCDQIIAggCCAIIAggCCAIIAggCCAIIAggCCAIIAggCCAIIAggCIwIDAj4CHgAC5AICAhsCBAIFAgYCBwIIAgkClwILApgCDQIIAggCCAIIAggCCAIIAggCCAIIAggCCAIIAggCCAIIAggCIwIDAtkCHgAC5AICAi8CBAIFAgYCBwIIAgkCCgILApgCDQIIAggCCAIIAggCCAIIAggCCAIIAggCCAIIAggCCAIIAggCIwIDAqICHgAC5AICAiQCBAIFAgYCBwIIAgkCCgILApgCDQIIAggCCAIIAggCCAIIAggCCAIIAggCCAIIAggCCAIIAggCIwIDArcCHgAC5AICAigCBAIFAgYCBwIIAgkCHAILApgCDQIIAggCCAIIAggCCAIIAggCCAIIAggCCAIIAggCCAIIAggCIwIDAroCHgAC5AICAiACBAIFAgYCBwIIAgkClwILApgCDQIIAggCCAIIAggCCAIIAggCCHoAAAQAAggCCAIIAggCCAIIAggCCAIjAgMC4AIeAALkAgICHgIEAgUCBgIHAggCCQKXAgsCmAINAggCCAIIAggCCAIIAggCCAIIAggCCAIIAggCCAIIAggCCAIjAgMC4gIeAALkAgICOQIEAgUCBgIHAggCCQIcAgsCmAINAggCCAIIAggCCAIIAggCCAIIAggCCAIIAggCCAIIAggCCAIjAgMCvwIeAALkAgICJgIEAgUCBgIHAggCCQIKAgsCmAINAggCCAIIAggCCAIIAggCCAIIAggCCAIIAggCCAIIAggCCAIjAgMCsAIeAALkAgICLwIEAgUCBgIHAggCCQIcAgsCmAINAggCCAIIAggCCAIIAggCCAIIAggCCAIIAggCCAIIAggCCAIjAgMCvgIeAALkAgICHgIEAgUCBgIHAggCCQIcAgsCmAINAggCCAIIAggCCAIIAggCCAIIAggCCAIIAggCCAIIAggCCAIjAgMC0gIeAALkAgICOQIEAgUCBgIHAggCCQKXAgsCmAINAggCCAIIAggCCAIIAggCCAIIAggCCAIIAggCCAIIAggCCAIjAgMCuAIeAALkAgICLwIEAgUCBgIHAggCCQKXAgsCmAINAggCCAIIAggCCAIIAggCCAIIAggCCAIIAggCCAIIAggCCAIjAgMCPgIeAALkAgICMwIEAgUCBgIHAggCCQIKAgsCmAINAggCCAIIAggCCAIIAggCCAIIAggCCAIIAggCCAIIAggCCAIjAgMC4QIeAALkAgICKAIEAgUCBgIHAggCCQIKAgsCmAINAggCCAIIAggCCAIIAggCCAIIAggCCAIIAggCCAIIAggCCAIjAgMCmwIeAALkAgICNQIEAgUCBgIHAggCCQIKAgsCmAINAggCCAIIAggCCAIIAggCCAIIAggCCAIIAggCCAIIAggCCAIjAgMCrAIeAALkAgICMQIEAgUCBgIHAggCCQKXAgsCmAINAggCCAIIAggCCAIIAggCCAIIAggCCAIIAggCCAIIAggCCAIjAgMCxwIeAALkAgICMwIEAgUCBgIHAggCCQKXAgsCmAINAggCCAIIAggCCAIIAggCCAIIAggCCAIIAggCCAIIAggCCAIjAgMCyAIeAALkAgICQQIEAgUCBgIHAggCCQIKAgsCmAINAggCCAIIAggCCAIIAggCCAIIAggCCAIIAggCCAIIAggCCAIjAgMCwgIeAALkAgICRwIEAgUCBgIHAggCCQIKAgsCmAINAggCCAIIAggCCAIIAggCCAIIAggCCAIIAggCCAIIAggCCAIjAgMCwQIeAALkAgICLQIEAgUCBgIHAggCCQIKAgsCmAINAggCCAIIAnoAAAQACAIIAggCCAIIAggCCAIIAggCCAIIAggCCAIIAiMCAwKhAh4AAuQCAgIxAgQCBQIGAgcCCAIJAhwCCwKYAg0CCAIIAggCCAIIAggCCAIIAggCCAIIAggCCAIIAggCCAIIAiMCAwLOAh4AAuQCAgI3AgQCBQIGAgcCCAIJApcCCwKYAg0CCAIIAggCCAIIAggCCAIIAggCCAIIAggCCAIIAggCCAIIAiMCAwKmAh4AAuQCAgI7AgQCBQIGAgcCCAIJAhwCCwKYAg0CCAIIAggCCAIIAggCCAIIAggCCAIIAggCCAIIAggCCAIIAiMCAwKrAh4AAuQCAgI3AgQCBQIGAgcCCAIJAhwCCwKYAg0CCAIIAggCCAIIAggCCAIIAggCCAIIAggCCAIIAggCCAIIAiMCAwKcAh4AAuQCAgIzAgQCBQIGAgcCCAIJAhwCCwKYAg0CCAIIAggCCAIIAggCCAIIAggCCAIIAggCCAIIAggCCAIIAiMCAwLLAh4AAuQCAgI5AgQCBQIGAgcCCAIJAgoCCwKYAg0CCAIIAggCCAIIAggCCAIIAggCCAIIAggCCAIIAggCCAIIAiMCAwKnAh4AAuQCAgI7AgQCBQIGAgcCCAIJApcCCwKYAg0CCAIIAggCCAIIAggCCAIIAggCCAIIAggCCAIIAggCCAIIAiMCAwKkAh4AAuQCAgJHAgQCBQIGAgcCCAIJAhwCCwKYAg0CCAIIAggCCAIIAggCCAIIAggCCAIIAggCCAIIAggCCAIIAiMCAwKzAh4AAuQCAgI9AgQCBQIGAgcCCAIJAhwCCwKYAg0CCAIIAggCCAIIAggCCAIIAggCCAIIAggCCAIIAggCCAIIAiMCAwLjAh4AAuQCAgJBAgQCBQIGAgcCCAIJAhwCCwKYAg0CCAIIAggCCAIIAggCCAIIAggCCAIIAggCCAIIAggCCAIIAiMCAwLAAh4AAuQCAgJJAgQCBQIGAgcCCAIJApcCCwKYAg0CCAIIAggCCAIIAggCCAIIAggCCAIIAggCCAIIAggCCAIIAiMCAwLdAh4AAuQCAgJdAgQCBQIGAgcCCAIJAgoCCwKYAg0CCAIIAggCCAIIAggCCAIIAggCCAIIAggCCAIIAggCCAIIAiMCAwLMAh4AAuQCAgJhAgQCBQIGAgcCCAIJApcCCwKYAg0CCAIIAggCCAIIAggCCAIIAggCCAIIAggCCAIIAggCCAIIAiMCAwLXAh4AAuQCAgJdAgQCBQIGAgcCCAIJAhwCCwKYAg0CCAIIAggCCAIIAggCCAIIAggCCAIIAggCCAIIAggCCAIIAiMCAwK9Ah4AAuQCAgJhAgQCBQIGAgcCCAIJAhwCC3oAAAQAApgCDQIIAggCCAIIAggCCAIIAggCCAIIAggCCAIIAggCCAIIAggCIwIDAskCHgAC5AICAkUCBAIFAgYCBwIIAgkCCgILApgCDQIIAggCCAIIAggCCAIIAggCCAIIAggCCAIIAggCCAIIAggCIwIDArsCHgAC5AICAjsCBAIFAgYCBwIIAgkCCgILApgCDQIIAggCCAIIAggCCAIIAggCCAIIAggCCAIIAggCCAIIAggCIwIDAtwCHgAC5AICAkkCBAIFAgYCBwIIAgkCHAILApgCDQIIAggCCAIIAggCCAIIAggCCAIIAggCCAIIAggCCAIIAggCIwIDAt4CHgAC5AICAkcCBAIFAgYCBwIIAgkClwILApgCDQIIAggCCAIIAggCCAIIAggCCAIIAggCCAIIAggCCAIIAggCIwIDArICHgAC5AICAl0CBAIFAgYCBwIIAgkClwILApgCDQIIAggCCAIIAggCCAIIAggCCAIIAggCCAIIAggCCAIIAggCIwIDArwCHgAC5AICAkECBAIFAgYCBwIIAgkClwILApgCDQIIAggCCAIIAggCCAIIAggCCAIIAggCCAIIAggCCAIIAggCIwIDAq8CHgAC5AICAj0CBAIFAgYCBwIIAgkClwILApgCDQIIAggCCAIIAggCCAIIAggCCAIIAggCCAIIAggCCAIIAggCIwIDAj4CHgAC5AICAioCBAIFAgYCBwIIAgkCCgILApgCDQIIAggCCAIIAggCCAIIAggCCAIIAggCCAIIAggCCAIIAggCIwIDAq4CHgAC5AICAiYCBAIFAgYCBwIIAgkCHAILApgCDQIIAggCCAIIAggCCAIIAggCCAIIAggCCAIIAggCCAIIAggCIwIDAsQCHgAC5AICAgMCBAIFAgYCBwIIAgkCHAILApgCDQIIAggCCAIIAggCCAIIAggCCAIIAggCCAIIAggCCAIIAggCIwIDAsoCHgAC5AICAiQCBAIFAgYCBwIIAgkCHAILApgCDQIIAggCCAIIAggCCAIIAggCCAIIAggCCAIIAggCCAIIAggCIwIDAsYCHgAC5AICAioCBAIFAgYCBwIIAgkClwILApgCDQIIAggCCAIIAggCCAIIAggCCAIIAggCCAIIAggCCAIIAggCIwIDApkCHgAC5AICAioCBAIFAgYCBwIIAgkCHAILApgCDQIIAggCCAIIAggCCAIIAggCCAIIAggCCAIIAggCCAIIAggCIwIDAqkCHgAC5AICAhsCBAIFAgYCBwIIAgkCCgILApgCDQIIAggCCAIIAggCCAIIAggCCAIIAggCCAIIAggCCAIIAggCIwIDAp0CHgAC5AICAkUCBAIFAnoAAAQABgIHAggCCQKXAgsCmAINAggCCAIIAggCCAIIAggCCAIIAggCCAIIAggCCAIIAggCCAIjAgMCowIeAALkAgICNwIEAgUCBgIHAggCCQIKAgsCmAINAggCCAIIAggCCAIIAggCCAIIAggCCAIIAggCCAIIAggCCAIjAgMC2AIeAALkAgICAwIEAgUCBgIHAggCCQKXAgsCmAINAggCCAIIAggCCAIIAggCCAIIAggCCAIIAggCCAIIAggCCAIjAgMCwwIeAALkAgICIAIEAgUCBgIHAggCCQIKAgsCmAINAggCCAIIAggCCAIIAggCCAIIAggCCAIIAggCCAIIAggCCAIjAgMCnwIeAALkAgICRQIEAgUCBgIHAggCCQIcAgsCmAINAggCCAIIAggCCAIIAggCCAIIAggCCAIIAggCCAIIAggCCAIjAgMC1QIeAALkAgICJAIEAgUCBgIHAggCCQKXAgsCmAINAggCCAIIAggCCAIIAggCCAIIAggCCAIIAggCCAIIAggCCAIjAgMCxQIeAALkAgICHgIEAgUCBgIHAggCCQIKAgsCmAINAggCCAIIAggCCAIIAggCCAIIAggCCAIIAggCCAIIAggCCAIjAgMCngIeAALkAgICLQIEAgUCBgIHAggCCQIcAgsCmAINAggCCAIIAggCCAIIAggCCAIIAggCCAIIAggCCAIIAggCCAIjAgMCqAIeAALkAgICIgIEAgUCBgIHAggCCQIKAgsCmAINAggCCAIIAggCCAIIAggCCAIIAggCCAIIAggCCAIIAggCCAIjAgMCmgIeAALkAgICYQIEAgUCBgIHAggCCQIKAgsCmAINAggCCAIIAggCCAIIAggCCAIIAggCCAIIAggCCAIIAggCCAIjAgMCzwIeAALkAgICSQIEAgUCBgIHAggCCQIKAgsCmAINAggCCAIIAggCCAIIAggCCAIIAggCCAIIAggCCAIIAggCCAIjAgMCzQIeAALkAgICPQIEAgUCBgIHAggCCQIKAgsCmAINAggCCAIIAggCCAIIAggCCAIIAggCCAIIAggCCAIIAggCCAIjAgMC0QIeAALkAgICJgIEAgUCBgIHAggCCQKXAgsCmAINAggCCAIIAggCCAIIAggCCAIIAggCCAIIAggCCAIIAggCCAIjAgMC0AIeAALlAAk4NTMzMDI4MjQCAgIiAgQCBQIGAgcCCAIJAgoCCwKYAg0CCAIIAggCCAIIAggCCAIIAggCCAIIAggCCAIIAggCCAIIAgUCAwKaAh4AAuUCAgI9AgQCBQIGAgcCCAIJAgoCCwKYAg0CCAIIAggCCAIIAggCCAIIAggCCAIIAggCCAIIAggCCHfXAggCBQIDAtECHgAC5QICAocCBAIFAgYCBwIIAgkCCgILApgCDQIIAggCCAIIAggCCAIIAggCCAIIAggCCAIIAggCCAIIAggCBQIDAq0CHgAC5QICAjUCBAIFAgYCBwIIAgkCCgILApgCDQIIAggCCAIIAggCCAIIAggCCAIIAggCCAIIAggCCAIIAggCBQIDAqwCHgAC5QICAoUCBAIFAgYCBwIIAgkCCgILApgCDQIIAggCCAIIAggCCAIIAggCCAIIAggCCAIIAggCCAIIAggCBQIDAuZzcQB+AAAAAAACc3EAfgAE///////////////+/////gAAAAF1cQB+AAcAAAADNqW2eHh6AAABWQIeAALlAgICMwIEAgUCBgIHAggCCQIKAgsCmAINAggCCAIIAggCCAIIAggCCAIIAggCCAIIAggCCAIIAggCCAIFAgMC4QIeAALlAgICKgIEAgUCBgIHAggCCQIKAgsCmAINAggCCAIIAggCCAIIAggCCAIIAggCCAIIAggCCAIIAggCCAIFAgMCrgIeAALlAgICSQIEAgUCBgIHAggCCQIKAgsCmAINAggCCAIIAggCCAIIAggCCAIIAggCCAIIAggCCAIIAggCCAIFAgMCzQIeAALlAgICWgIEAgUCBgIHAggCCQIKAgsCmAINAggCCAIIAggCCAIIAggCCAIIAggCCAIIAggCCAIIAggCCAIFAgMC2wIeAALlAgICfQIEAgUCBgIHAggCCQIKAgsCmAINAggCCAIIAggCCAIIAggCCAIIAggCCAIIAggCCAIIAggCCAIFAgMC53NxAH4AAAAAAAJzcQB+AAT///////////////7////+AAAAAXVxAH4ABwAAAAQBo3C7eHh6AAAEAAIeAALlAgICgAIEAgUCBgIHAggCCQIKAgsCmAINAggCCAIIAggCCAIIAggCCAIIAggCCAIIAggCCAIIAggCCAIFAgMC2gIeAALlAgICRwIEAgUCBgIHAggCCQIKAgsCmAINAggCCAIIAggCCAIIAggCCAIIAggCCAIIAggCCAIIAggCCAIFAgMCwQIeAALlAgICIAIEAgUCBgIHAggCCQIKAgsCmAINAggCCAIIAggCCAIIAggCCAIIAggCCAIIAggCCAIIAggCCAIFAgMCnwIeAALlAgICLwIEAgUCBgIHAggCCQIKAgsCmAINAggCCAIIAggCCAIIAggCCAIIAggCCAIIAggCCAIIAggCCAIFAgMCogIeAALlAgICJAIEAgUCBgIHAggCCQIKAgsCmAINAggCCAIIAggCCAIIAggCCAIIAggCCAIIAggCCAIIAggCCAIFAgMCtwIeAALlAgICLQIEAgUCBgIHAggCCQIKAgsCmAINAggCCAIIAggCCAIIAggCCAIIAggCCAIIAggCCAIIAggCCAIFAgMCoQIeAALlAgICXQIEAgUCBgIHAggCCQIKAgsCmAINAggCCAIIAggCCAIIAggCCAIIAggCCAIIAggCCAIIAggCCAIFAgMCzAIeAALlAgICNwIEAgUCBgIHAggCCQIKAgsCmAINAggCCAIIAggCCAIIAggCCAIIAggCCAIIAggCCAIIAggCCAIFAgMC2AIeAALoAAk4NTI0NzU5NzYCAgIiAgQCBQIGAgcCCAIJAgoCCwIMAg0CCAIIAggCCAIIAggCCAIIAggCCAIIAggCCAIIAggCCAIIAh4CAwJ4Ah4AAugCAgIbAgQCBQIGAgcCCAIJAgoCCwIMAg0CCAIIAggCCAIIAggCCAIIAggCCAIIAggCCAIIAggCCAIIAh4CAwJtAh4AAugCAgI9AgQCBQIGAgcCCAIJAisCCwIMAg0CCAIIAggCCAIIAggCCAIIAggCCAIIAggCCAIIAggCCAIIAh4CAwI+Ah4AAugCAgI7AgQCBQIGAgcCCAIJAhwCCwIMAg0CCAIIAggCCAIIAggCCAIIAggCCAIIAggCCAIIAggCCAIIAh4CAwJPAh4AAugCAgIoAgQCBQIGAgcCCAIJAgoCCwIMAg0CCAIIAggCCAIIAggCCAIIAggCCAIIAggCCAIIAggCCAIIAh4CAwJAAh4AAugCAgI1AgQCBQIGAgcCCAIJAgoCCwIMAg0CCAIIAggCCAIIAggCCAIIAggCCAIIAggCCAIIAggCCAIIAh4CAwJRAh4AAugCAgJdAgQCBQIGAgcCCAIJAisCCwIMAg0CCAIIAggCCAIIAggCCAIIAgh6AAAEAAIIAggCCAIIAggCCAIIAggCHgIDAnQCHgAC6AICAkECBAIFAgYCBwIIAgkCKwILAgwCDQIIAggCCAIIAggCCAIIAggCCAIIAggCCAIIAggCCAIIAggCHgIDAnsCHgAC6AICAkcCBAIFAgYCBwIIAgkCKwILAgwCDQIIAggCCAIIAggCCAIIAggCCAIIAggCCAIIAggCCAIIAggCHgIDAmwCHgAC6AICAioCBAIFAgYCBwIIAgkCHAILAgwCDQIIAggCCAIIAggCCAIIAggCCAIIAggCCAIIAggCCAIIAggCHgIDAm4CHgAC6AICAocCBAIFAgYCBwIIAgkCHAILAgwCDQIIAggCCAIIAggCCAIIAggCCAIIAggCCAIIAggCCAIIAggCHgIDApMCHgAC6AICAkkCBAIFAgYCBwIIAgkCKwILAgwCDQIIAggCCAIIAggCCAIIAggCCAIIAggCCAIIAggCCAIIAggCHgIDAkoCHgAC6AICAl0CBAIFAgYCBwIIAgkCHAILAgwCDQIIAggCCAIIAggCCAIIAggCCAIIAggCCAIIAggCCAIIAggCHgIDAmcCHgAC6AICAloCBAIFAgYCBwIIAgkCHAILAgwCDQIIAggCCAIIAggCCAIIAggCCAIIAggCCAIIAggCCAIIAggCHgIDAl8CHgAC6AICAjsCBAIFAgYCBwIIAgkCCgILAgwCDQIIAggCCAIIAggCCAIIAggCCAIIAggCCAIIAggCCAIIAggCHgIDAmUCHgAC6AICAmECBAIFAgYCBwIIAgkCKwILAgwCDQIIAggCCAIIAggCCAIIAggCCAIIAggCCAIIAggCCAIIAggCHgIDAmICHgAC6AICAjcCBAIFAgYCBwIIAgkCCgILAgwCDQIIAggCCAIIAggCCAIIAggCCAIIAggCCAIIAggCCAIIAggCHgIDAmMCHgAC6AICAi0CBAIFAgYCBwIIAgkCCgILAgwCDQIIAggCCAIIAggCCAIIAggCCAIIAggCCAIIAggCCAIIAggCHgIDAkQCHgAC6AICAiACBAIFAgYCBwIIAgkCHAILAgwCDQIIAggCCAIIAggCCAIIAggCCAIIAggCCAIIAggCCAIIAggCHgIDAiECHgAC6AICAiQCBAIFAgYCBwIIAgkCKwILAgwCDQIIAggCCAIIAggCCAIIAggCCAIIAggCCAIIAggCCAIIAggCHgIDAlUCHgAC6AICAh4CBAIFAgYCBwIIAgkCHAILAgwCDQIIAggCCAIIAggCCAIIAggCCAIIAggCCAIIAggCCAIIAggCHgIDAh8CHgAC6AICAocCBAIFAgYCBwIIAgkCKwILAgwCDQIIAggCCAJ6AAAEAAgCCAIIAggCCAIIAggCCAIIAggCCAIIAggCCAIeAgMCPgIeAALoAgICIgIEAgUCBgIHAggCCQIcAgsCDAINAggCCAIIAggCCAIIAggCCAIIAggCCAIIAggCCAIIAggCCAIeAgMCIwIeAALoAgICMQIEAgUCBgIHAggCCQIKAgsCDAINAggCCAIIAggCCAIIAggCCAIIAggCCAIIAggCCAIIAggCCAIeAgMCMgIeAALoAgICMwIEAgUCBgIHAggCCQIKAgsCDAINAggCCAIIAggCCAIIAggCCAIIAggCCAIIAggCCAIIAggCCAIeAgMCNAIeAALoAgICJgIEAgUCBgIHAggCCQIrAgsCDAINAggCCAIIAggCCAIIAggCCAIIAggCCAIIAggCCAIIAggCCAIeAgMCaQIeAALoAgICPQIEAgUCBgIHAggCCQIcAgsCDAINAggCCAIIAggCCAIIAggCCAIIAggCCAIIAggCCAIIAggCCAIeAgMCUwIeAALoAgICWgIEAgUCBgIHAggCCQIKAgsCDAINAggCCAIIAggCCAIIAggCCAIIAggCCAIIAggCCAIIAggCCAIeAgMCWwIeAALoAgICOQIEAgUCBgIHAggCCQIKAgsCDAINAggCCAIIAggCCAIIAggCCAIIAggCCAIIAggCCAIIAggCCAIeAgMCTgIeAALoAgICYQIEAgUCBgIHAggCCQIcAgsCDAINAggCCAIIAggCCAIIAggCCAIIAggCCAIIAggCCAIIAggCCAIeAgMCZgIeAALoAgICGwIEAgUCBgIHAggCCQIcAgsCDAINAggCCAIIAggCCAIIAggCCAIIAggCCAIIAggCCAIIAggCCAIeAgMCHQIeAALoAgICRQIEAgUCBgIHAggCCQIrAgsCDAINAggCCAIIAggCCAIIAggCCAIIAggCCAIIAggCCAIIAggCCAIeAgMCRgIeAALoAgICKgIEAgUCBgIHAggCCQIrAgsCDAINAggCCAIIAggCCAIIAggCCAIIAggCCAIIAggCCAIIAggCCAIeAgMCLAIeAALoAgICNwIEAgUCBgIHAggCCQIcAgsCDAINAggCCAIIAggCCAIIAggCCAIIAggCCAIIAggCCAIIAggCCAIeAgMCQwIeAALoAgICRwIEAgUCBgIHAggCCQIKAgsCDAINAggCCAIIAggCCAIIAggCCAIIAggCCAIIAggCCAIIAggCCAIeAgMCSAIeAALoAgICXQIEAgUCBgIHAggCCQIKAgsCDAINAggCCAIIAggCCAIIAggCCAIIAggCCAIIAggCCAIIAggCCAIeAgMCXgIeAALoAgICAwIEAgUCBgIHAggCCQIrAgt6AAAEAAIMAg0CCAIIAggCCAIIAggCCAIIAggCCAIIAggCCAIIAggCCAIIAh4CAwJgAh4AAugCAgIvAgQCBQIGAgcCCAIJAgoCCwIMAg0CCAIIAggCCAIIAggCCAIIAggCCAIIAggCCAIIAggCCAIIAh4CAwJMAh4AAugCAgI9AgQCBQIGAgcCCAIJAgoCCwIMAg0CCAIIAggCCAIIAggCCAIIAggCCAIIAggCCAIIAggCCAIIAh4CAwJ3Ah4AAugCAgIgAgQCBQIGAgcCCAIJAisCCwIMAg0CCAIIAggCCAIIAggCCAIIAggCCAIIAggCCAIIAggCCAIIAh4CAwJQAh4AAugCAgIeAgQCBQIGAgcCCAIJAisCCwIMAg0CCAIIAggCCAIIAggCCAIIAggCCAIIAggCCAIIAggCCAIIAh4CAwJSAh4AAugCAgJBAgQCBQIGAgcCCAIJAgoCCwIMAg0CCAIIAggCCAIIAggCCAIIAggCCAIIAggCCAIIAggCCAIIAh4CAwJCAh4AAugCAgImAgQCBQIGAgcCCAIJAhwCCwIMAg0CCAIIAggCCAIIAggCCAIIAggCCAIIAggCCAIIAggCCAIIAh4CAwJrAh4AAugCAgI5AgQCBQIGAgcCCAIJAisCCwIMAg0CCAIIAggCCAIIAggCCAIIAggCCAIIAggCCAIIAggCCAIIAh4CAwJ5Ah4AAugCAgIvAgQCBQIGAgcCCAIJAisCCwIMAg0CCAIIAggCCAIIAggCCAIIAggCCAIIAggCCAIIAggCCAIIAh4CAwI+Ah4AAugCAgJJAgQCBQIGAgcCCAIJAhwCCwIMAg0CCAIIAggCCAIIAggCCAIIAggCCAIIAggCCAIIAggCCAIIAh4CAwJoAh4AAugCAgJFAgQCBQIGAgcCCAIJAgoCCwIMAg0CCAIIAggCCAIIAggCCAIIAggCCAIIAggCCAIIAggCCAIIAh4CAwJkAh4AAugCAgJhAgQCBQIGAgcCCAIJAgoCCwIMAg0CCAIIAggCCAIIAggCCAIIAggCCAIIAggCCAIIAggCCAIIAh4CAwJ1Ah4AAugCAgIzAgQCBQIGAgcCCAIJAhwCCwIMAg0CCAIIAggCCAIIAggCCAIIAggCCAIIAggCCAIIAggCCAIIAh4CAwJNAh4AAugCAgItAgQCBQIGAgcCCAIJAisCCwIMAg0CCAIIAggCCAIIAggCCAIIAggCCAIIAggCCAIIAggCCAIIAh4CAwIuAh4AAugCAgIDAgQCBQIGAgcCCAIJAhwCCwIMAg0CCAIIAggCCAIIAggCCAIIAggCCAIIAggCCAIIAggCCAIIAh4CAwJxAh4AAugCAgI1AgQCBQJ6AAAEAAYCBwIIAgkCKwILAgwCDQIIAggCCAIIAggCCAIIAggCCAIIAggCCAIIAggCCAIIAggCHgIDAnACHgAC6AICAjECBAIFAgYCBwIIAgkCHAILAgwCDQIIAggCCAIIAggCCAIIAggCCAIIAggCCAIIAggCCAIIAggCHgIDAksCHgAC6AICAkECBAIFAgYCBwIIAgkCHAILAgwCDQIIAggCCAIIAggCCAIIAggCCAIIAggCCAIIAggCCAIIAggCHgIDAlcCHgAC6AICAiICBAIFAgYCBwIIAgkCKwILAgwCDQIIAggCCAIIAggCCAIIAggCCAIIAggCCAIIAggCCAIIAggCHgIDAj4CHgAC6AICAkcCBAIFAgYCBwIIAgkCHAILAgwCDQIIAggCCAIIAggCCAIIAggCCAIIAggCCAIIAggCCAIIAggCHgIDAlYCHgAC6AICAi8CBAIFAgYCBwIIAgkCHAILAgwCDQIIAggCCAIIAggCCAIIAggCCAIIAggCCAIIAggCCAIIAggCHgIDAjACHgAC6AICAigCBAIFAgYCBwIIAgkCKwILAgwCDQIIAggCCAIIAggCCAIIAggCCAIIAggCCAIIAggCCAIIAggCHgIDAm8CHgAC6AICAiQCBAIFAgYCBwIIAgkCCgILAgwCDQIIAggCCAIIAggCCAIIAggCCAIIAggCCAIIAggCCAIIAggCHgIDAiUCHgAC6AICAhsCBAIFAgYCBwIIAgkCKwILAgwCDQIIAggCCAIIAggCCAIIAggCCAIIAggCCAIIAggCCAIIAggCHgIDAj8CHgAC6AICAiYCBAIFAgYCBwIIAgkCCgILAgwCDQIIAggCCAIIAggCCAIIAggCCAIIAggCCAIIAggCCAIIAggCHgIDAicCHgAC6AICAocCBAIFAgYCBwIIAgkCCgILAgwCDQIIAggCCAIIAggCCAIIAggCCAIIAggCCAIIAggCCAIIAggCHgIDAowCHgAC6AICAjcCBAIFAgYCBwIIAgkCKwILAgwCDQIIAggCCAIIAggCCAIIAggCCAIIAggCCAIIAggCCAIIAggCHgIDAjgCHgAC6AICAjkCBAIFAgYCBwIIAgkCHAILAgwCDQIIAggCCAIIAggCCAIIAggCCAIIAggCCAIIAggCCAIIAggCHgIDAjoCHgAC6AICAkUCBAIFAgYCBwIIAgkCHAILAgwCDQIIAggCCAIIAggCCAIIAggCCAIIAggCCAIIAggCCAIIAggCHgIDAlgCHgAC6AICAgMCBAIFAgYCBwIIAgkCCgILAgwCDQIIAggCCAIIAggCCAIIAggCCAIIAggCCAIIAggCCAIIAggCHgIDAg4CHgB6AAAEAALoAgICKgIEAgUCBgIHAggCCQIKAgsCDAINAggCCAIIAggCCAIIAggCCAIIAggCCAIIAggCCAIIAggCCAIeAgMCVAIeAALoAgICOwIEAgUCBgIHAggCCQIrAgsCDAINAggCCAIIAggCCAIIAggCCAIIAggCCAIIAggCCAIIAggCCAIeAgMCPAIeAALoAgICSQIEAgUCBgIHAggCCQIKAgsCDAINAggCCAIIAggCCAIIAggCCAIIAggCCAIIAggCCAIIAggCCAIeAgMCegIeAALoAgICMQIEAgUCBgIHAggCCQIrAgsCDAINAggCCAIIAggCCAIIAggCCAIIAggCCAIIAggCCAIIAggCCAIeAgMCWQIeAALoAgICMwIEAgUCBgIHAggCCQIrAgsCDAINAggCCAIIAggCCAIIAggCCAIIAggCCAIIAggCCAIIAggCCAIeAgMCXAIeAALoAgICNQIEAgUCBgIHAggCCQIcAgsCDAINAggCCAIIAggCCAIIAggCCAIIAggCCAIIAggCCAIIAggCCAIeAgMCNgIeAALoAgICKAIEAgUCBgIHAggCCQIcAgsCDAINAggCCAIIAggCCAIIAggCCAIIAggCCAIIAggCCAIIAggCCAIeAgMCKQIeAALoAgICWgIEAgUCBgIHAggCCQIrAgsCDAINAggCCAIIAggCCAIIAggCCAIIAggCCAIIAggCCAIIAggCCAIeAgMCPgIeAALoAgICHgIEAgUCBgIHAggCCQIKAgsCDAINAggCCAIIAggCCAIIAggCCAIIAggCCAIIAggCCAIIAggCCAIeAgMCdgIeAALoAgICJAIEAgUCBgIHAggCCQIcAgsCDAINAggCCAIIAggCCAIIAggCCAIIAggCCAIIAggCCAIIAggCCAIeAgMCagIeAALoAgICLQIEAgUCBgIHAggCCQIcAgsCDAINAggCCAIIAggCCAIIAggCCAIIAggCCAIIAggCCAIIAggCCAIeAgMCcwIeAALoAgICIAIEAgUCBgIHAggCCQIKAgsCDAINAggCCAIIAggCCAIIAggCCAIIAggCCAIIAggCCAIIAggCCAIeAgMCcgIeAALpAAk4NTI0ODA2MTYCAgJJAgQCBQIGAgcCCAIJAisCCwIMAg0CCAIIAggCCAIIAggCCAIIAggCCAIIAggCCAIIAggCCAIIAiICAwJKAh4AAukCAgItAgQCBQIGAgcCCAIJAgoCCwIMAg0CCAIIAggCCAIIAggCCAIIAggCCAIIAggCCAIIAggCCAIIAiICAwJEAh4AAukCAgI3AgQCBQIGAgcCCAIJAgoCCwIMAg0CCAIIAggCCAIIAggCCAIIAggCCAJ6AAAEAAgCCAIIAggCCAIIAggCIgIDAmMCHgAC6QICAmECBAIFAgYCBwIIAgkCKwILAgwCDQIIAggCCAIIAggCCAIIAggCCAIIAggCCAIIAggCCAIIAggCIgIDAmICHgAC6QICAkUCBAIFAgYCBwIIAgkCHAILAgwCDQIIAggCCAIIAggCCAIIAggCCAIIAggCCAIIAggCCAIIAggCIgIDAlgCHgAC6QICAioCBAIFAgYCBwIIAgkCHAILAgwCDQIIAggCCAIIAggCCAIIAggCCAIIAggCCAIIAggCCAIIAggCIgIDAm4CHgAC6QICAigCBAIFAgYCBwIIAgkCCgILAgwCDQIIAggCCAIIAggCCAIIAggCCAIIAggCCAIIAggCCAIIAggCIgIDAkACHgAC6QICAj0CBAIFAgYCBwIIAgkCKwILAgwCDQIIAggCCAIIAggCCAIIAggCCAIIAggCCAIIAggCCAIIAggCIgIDAj4CHgAC6QICAkECBAIFAgYCBwIIAgkCKwILAgwCDQIIAggCCAIIAggCCAIIAggCCAIIAggCCAIIAggCCAIIAggCIgIDAnsCHgAC6QICAjUCBAIFAgYCBwIIAgkCCgILAgwCDQIIAggCCAIIAggCCAIIAggCCAIIAggCCAIIAggCCAIIAggCIgIDAlECHgAC6QICAkcCBAIFAgYCBwIIAgkCKwILAgwCDQIIAggCCAIIAggCCAIIAggCCAIIAggCCAIIAggCCAIIAggCIgIDAmwCHgAC6QICAiICBAIFAgYCBwIIAgkCCgILAgwCDQIIAggCCAIIAggCCAIIAggCCAIIAggCCAIIAggCCAIIAggCIgIDAngCHgAC6QICAjcCBAIFAgYCBwIIAgkCHAILAgwCDQIIAggCCAIIAggCCAIIAggCCAIIAggCCAIIAggCCAIIAggCIgIDAkMCHgAC6QICAjsCBAIFAgYCBwIIAgkCHAILAgwCDQIIAggCCAIIAggCCAIIAggCCAIIAggCCAIIAggCCAIIAggCIgIDAk8CHgAC6QICAh4CBAIFAgYCBwIIAgkCCgILAgwCDQIIAggCCAIIAggCCAIIAggCCAIIAggCCAIIAggCCAIIAggCIgIDAnYCHgAC6QICAgMCBAIFAgYCBwIIAgkCKwILAgwCDQIIAggCCAIIAggCCAIIAggCCAIIAggCCAIIAggCCAIIAggCIgIDAmACHgAC6QICAi0CBAIFAgYCBwIIAgkCHAILAgwCDQIIAggCCAIIAggCCAIIAggCCAIIAggCCAIIAggCCAIIAggCIgIDAnMCHgAC6QICAkUCBAIFAgYCBwIIAgkCCgILAgwCDQIIAggCCAIIAgh6AAAEAAIIAggCCAIIAggCCAIIAggCCAIIAggCCAIiAgMCZAIeAALpAgICMwIEAgUCBgIHAggCCQIrAgsCDAINAggCCAIIAggCCAIIAggCCAIIAggCCAIIAggCCAIIAggCCAIiAgMCXAIeAALpAgICIAIEAgUCBgIHAggCCQIKAgsCDAINAggCCAIIAggCCAIIAggCCAIIAggCCAIIAggCCAIIAggCCAIiAgMCcgIeAALpAgICMQIEAgUCBgIHAggCCQIrAgsCDAINAggCCAIIAggCCAIIAggCCAIIAggCCAIIAggCCAIIAggCCAIiAgMCWQIeAALpAgICKAIEAgUCBgIHAggCCQIcAgsCDAINAggCCAIIAggCCAIIAggCCAIIAggCCAIIAggCCAIIAggCCAIiAgMCKQIeAALpAgICNQIEAgUCBgIHAggCCQIcAgsCDAINAggCCAIIAggCCAIIAggCCAIIAggCCAIIAggCCAIIAggCCAIiAgMCNgIeAALpAgICAwIEAgUCBgIHAggCCQIKAgsCDAINAggCCAIIAggCCAIIAggCCAIIAggCCAIIAggCCAIIAggCCAIiAgMCDgIeAALpAgICKgIEAgUCBgIHAggCCQIKAgsCDAINAggCCAIIAggCCAIIAggCCAIIAggCCAIIAggCCAIIAggCCAIiAgMCVAIeAALpAgICIgIEAgUCBgIHAggCCQIrAgsCDAINAggCCAIIAggCCAIIAggCCAIIAggCCAIIAggCCAIIAggCCAIiAgMCPgIeAALpAgICGwIEAgUCBgIHAggCCQIrAgsCDAINAggCCAIIAggCCAIIAggCCAIIAggCCAIIAggCCAIIAggCCAIiAgMCPwIeAALpAgICJAIEAgUCBgIHAggCCQIKAgsCDAINAggCCAIIAggCCAIIAggCCAIIAggCCAIIAggCCAIIAggCCAIiAgMCJQIeAALpAgICNwIEAgUCBgIHAggCCQIrAgsCDAINAggCCAIIAggCCAIIAggCCAIIAggCCAIIAggCCAIIAggCCAIiAgMCOAIeAALpAgICOQIEAgUCBgIHAggCCQIcAgsCDAINAggCCAIIAggCCAIIAggCCAIIAggCCAIIAggCCAIIAggCCAIiAgMCOgIeAALpAgICQQIEAgUCBgIHAggCCQIcAgsCDAINAggCCAIIAggCCAIIAggCCAIIAggCCAIIAggCCAIIAggCCAIiAgMCVwIeAALpAgICRwIEAgUCBgIHAggCCQIcAgsCDAINAggCCAIIAggCCAIIAggCCAIIAggCCAIIAggCCAIIAggCCAIiAgMCVgIeAALpAgICXQIEAgUCBgIHAggCCQIcAgsCDAJ6AAAEAA0CCAIIAggCCAIIAggCCAIIAggCCAIIAggCCAIIAggCCAIIAiICAwJnAh4AAukCAgImAgQCBQIGAgcCCAIJAgoCCwIMAg0CCAIIAggCCAIIAggCCAIIAggCCAIIAggCCAIIAggCCAIIAiICAwInAh4AAukCAgIvAgQCBQIGAgcCCAIJAhwCCwIMAg0CCAIIAggCCAIIAggCCAIIAggCCAIIAggCCAIIAggCCAIIAiICAwIwAh4AAukCAgItAgQCBQIGAgcCCAIJAisCCwIMAg0CCAIIAggCCAIIAggCCAIIAggCCAIIAggCCAIIAggCCAIIAiICAwIuAh4AAukCAgIxAgQCBQIGAgcCCAIJAhwCCwIMAg0CCAIIAggCCAIIAggCCAIIAggCCAIIAggCCAIIAggCCAIIAiICAwJLAh4AAukCAgIzAgQCBQIGAgcCCAIJAhwCCwIMAg0CCAIIAggCCAIIAggCCAIIAggCCAIIAggCCAIIAggCCAIIAiICAwJNAh4AAukCAgJJAgQCBQIGAgcCCAIJAgoCCwIMAg0CCAIIAggCCAIIAggCCAIIAggCCAIIAggCCAIIAggCCAIIAiICAwJ6Ah4AAukCAgIoAgQCBQIGAgcCCAIJAisCCwIMAg0CCAIIAggCCAIIAggCCAIIAggCCAIIAggCCAIIAggCCAIIAiICAwJvAh4AAukCAgI7AgQCBQIGAgcCCAIJAisCCwIMAg0CCAIIAggCCAIIAggCCAIIAggCCAIIAggCCAIIAggCCAIIAiICAwI8Ah4AAukCAgIDAgQCBQIGAgcCCAIJAhwCCwIMAg0CCAIIAggCCAIIAggCCAIIAggCCAIIAggCCAIIAggCCAIIAiICAwJxAh4AAukCAgI1AgQCBQIGAgcCCAIJAisCCwIMAg0CCAIIAggCCAIIAggCCAIIAggCCAIIAggCCAIIAggCCAIIAiICAwJwAh4AAukCAgJhAgQCBQIGAgcCCAIJAgoCCwIMAg0CCAIIAggCCAIIAggCCAIIAggCCAIIAggCCAIIAggCCAIIAiICAwJ1Ah4AAukCAgIkAgQCBQIGAgcCCAIJAhwCCwIMAg0CCAIIAggCCAIIAggCCAIIAggCCAIIAggCCAIIAggCCAIIAiICAwJqAh4AAukCAgImAgQCBQIGAgcCCAIJAhwCCwIMAg0CCAIIAggCCAIIAggCCAIIAggCCAIIAggCCAIIAggCCAIIAiICAwJrAh4AAukCAgJBAgQCBQIGAgcCCAIJAgoCCwIMAg0CCAIIAggCCAIIAggCCAIIAggCCAIIAggCCAIIAggCCAIIAiICAwJCAh4AAukCAgI9AgQCBQIGAgd6AAAEAAIIAgkCCgILAgwCDQIIAggCCAIIAggCCAIIAggCCAIIAggCCAIIAggCCAIIAggCIgIDAncCHgAC6QICAiACBAIFAgYCBwIIAgkCKwILAgwCDQIIAggCCAIIAggCCAIIAggCCAIIAggCCAIIAggCCAIIAggCIgIDAlACHgAC6QICAh4CBAIFAgYCBwIIAgkCKwILAgwCDQIIAggCCAIIAggCCAIIAggCCAIIAggCCAIIAggCCAIIAggCIgIDAlICHgAC6QICAkcCBAIFAgYCBwIIAgkCCgILAgwCDQIIAggCCAIIAggCCAIIAggCCAIIAggCCAIIAggCCAIIAggCIgIDAkgCHgAC6QICAjkCBAIFAgYCBwIIAgkCCgILAgwCDQIIAggCCAIIAggCCAIIAggCCAIIAggCCAIIAggCCAIIAggCIgIDAk4CHgAC6QICAi8CBAIFAgYCBwIIAgkCCgILAgwCDQIIAggCCAIIAggCCAIIAggCCAIIAggCCAIIAggCCAIIAggCIgIDAkwCHgAC6QICAl0CBAIFAgYCBwIIAgkCKwILAgwCDQIIAggCCAIIAggCCAIIAggCCAIIAggCCAIIAggCCAIIAggCIgIDAnQCHgAC6QICAi8CBAIFAgYCBwIIAgkCKwILAgwCDQIIAggCCAIIAggCCAIIAggCCAIIAggCCAIIAggCCAIIAggCIgIDAj4CHgAC6QICAjkCBAIFAgYCBwIIAgkCKwILAgwCDQIIAggCCAIIAggCCAIIAggCCAIIAggCCAIIAggCCAIIAggCIgIDAnkCHgAC6QICAl0CBAIFAgYCBwIIAgkCCgILAgwCDQIIAggCCAIIAggCCAIIAggCCAIIAggCCAIIAggCCAIIAggCIgIDAl4CHgAC6QICAkUCBAIFAgYCBwIIAgkCKwILAgwCDQIIAggCCAIIAggCCAIIAggCCAIIAggCCAIIAggCCAIIAggCIgIDAkYCHgAC6QICAjMCBAIFAgYCBwIIAgkCCgILAgwCDQIIAggCCAIIAggCCAIIAggCCAIIAggCCAIIAggCCAIIAggCIgIDAjQCHgAC6QICAjECBAIFAgYCBwIIAgkCCgILAgwCDQIIAggCCAIIAggCCAIIAggCCAIIAggCCAIIAggCCAIIAggCIgIDAjICHgAC6QICAioCBAIFAgYCBwIIAgkCKwILAgwCDQIIAggCCAIIAggCCAIIAggCCAIIAggCCAIIAggCCAIIAggCIgIDAiwCHgAC6QICAiICBAIFAgYCBwIIAgkCHAILAgwCDQIIAggCCAIIAggCCAIIAggCCAIIAggCCAIIAggCCAIIAggCIgIDAiMCHgAC6QJ6AAAEAAICGwIEAgUCBgIHAggCCQIcAgsCDAINAggCCAIIAggCCAIIAggCCAIIAggCCAIIAggCCAIIAggCCAIiAgMCHQIeAALpAgICYQIEAgUCBgIHAggCCQIcAgsCDAINAggCCAIIAggCCAIIAggCCAIIAggCCAIIAggCCAIIAggCCAIiAgMCZgIeAALpAgICGwIEAgUCBgIHAggCCQIKAgsCDAINAggCCAIIAggCCAIIAggCCAIIAggCCAIIAggCCAIIAggCCAIiAgMCbQIeAALpAgICSQIEAgUCBgIHAggCCQIcAgsCDAINAggCCAIIAggCCAIIAggCCAIIAggCCAIIAggCCAIIAggCCAIiAgMCaAIeAALpAgICJAIEAgUCBgIHAggCCQIrAgsCDAINAggCCAIIAggCCAIIAggCCAIIAggCCAIIAggCCAIIAggCCAIiAgMCVQIeAALpAgICJgIEAgUCBgIHAggCCQIrAgsCDAINAggCCAIIAggCCAIIAggCCAIIAggCCAIIAggCCAIIAggCCAIiAgMCaQIeAALpAgICPQIEAgUCBgIHAggCCQIcAgsCDAINAggCCAIIAggCCAIIAggCCAIIAggCCAIIAggCCAIIAggCCAIiAgMCUwIeAALpAgICIAIEAgUCBgIHAggCCQIcAgsCDAINAggCCAIIAggCCAIIAggCCAIIAggCCAIIAggCCAIIAggCCAIiAgMCIQIeAALpAgICOwIEAgUCBgIHAggCCQIKAgsCDAINAggCCAIIAggCCAIIAggCCAIIAggCCAIIAggCCAIIAggCCAIiAgMCZQIeAALpAgICHgIEAgUCBgIHAggCCQIcAgsCDAINAggCCAIIAggCCAIIAggCCAIIAggCCAIIAggCCAIIAggCCAIiAgMCHwIeAALqAAk4NTIzNzA1NjgCAgJFAgQCBQIGAgcCCAIJAhwCCwIMAg0CCAIIAggCCAIIAggCCAIIAggCCAIIAggCCAIIAggCCAIIAhgCAwJYAh4AAuoCAgI3AgQCBQIGAgcCCAIJAgoCCwIMAg0CCAIIAggCCAIIAggCCAIIAggCCAIIAggCCAIIAggCCAIIAhgCAwJjAh4AAuoCAgJaAgQCBQIGAgcCCAIJAhwCCwIMAg0CCAIIAggCCAIIAggCCAIIAggCCAIIAggCCAIIAggCCAIIAhgCAwJfAh4AAuoCAgJhAgQCBQIGAgcCCAIJAisCCwIMAg0CCAIIAggCCAIIAggCCAIIAggCCAIIAggCCAIIAggCCAIIAhgCAwJiAh4AAuoCAgImAgQCBQIGAgcCCAIJAisCCwIMAg0CCAIIAggCCAIIAggCCAIIAggCCAIIAgh6AAAEAAIIAggCCAIIAggCGAIDAmkCHgAC6gICAioCBAIFAgYCBwIIAgkCCgILAgwCDQIIAggCCAIIAggCCAIIAggCCAIIAggCCAIIAggCCAIIAggCGAIDAlQCHgAC6gICAkkCBAIFAgYCBwIIAgkCKwILAgwCDQIIAggCCAIIAggCCAIIAggCCAIIAggCCAIIAggCCAIIAggCGAIDAkoCHgAC6gICAoACBAIFAgYCBwIIAgkCCgILAgwCDQIIAggCCAIIAggCCAIIAggCCAIIAggCCAIIAggCCAIIAggCGAIDApICHgAC6gICAocCBAIFAgYCBwIIAgkCHAILAgwCDQIIAggCCAIIAggCCAIIAggCCAIIAggCCAIIAggCCAIIAggCGAIDApMCHgAC6gICAioCBAIFAgYCBwIIAgkCHAILAgwCDQIIAggCCAIIAggCCAIIAggCCAIIAggCCAIIAggCCAIIAggCGAIDAm4CHgAC6gICAgMCBAIFAgYCBwIIAgkCKwILAgwCDQIIAggCCAIIAggCCAIIAggCCAIIAggCCAIIAggCCAIIAggCGAIDAmACHgAC6gICAkcCBAIFAgYCBwIIAgkCKwILAgwCDQIIAggCCAIIAggCCAIIAggCCAIIAggCCAIIAggCCAIIAggCGAIDAmwCHgAC6gICAoUCBAIFAgYCBwIIAgkCCgILAgwCDQIIAggCCAIIAggCCAIIAggCCAIIAggCCAIIAggCCAIIAggCGAIDApACHgAC6gICAkECBAIFAgYCBwIIAgkCKwILAgwCDQIIAggCCAIIAggCCAIIAggCCAIIAggCCAIIAggCCAIIAggCGAIDAnsCHgAC6gICAjUCBAIFAgYCBwIIAgkCCgILAgwCDQIIAggCCAIIAggCCAIIAggCCAIIAggCCAIIAggCCAIIAggCGAIDAlECHgAC6gICAjECBAIFAgYCBwIIAgkCKwILAgwCDQIIAggCCAIIAggCCAIIAggCCAIIAggCCAIIAggCCAIIAggCGAIDAlkCHgAC6gICAl0CBAIFAgYCBwIIAgkCCgILAgwCDQIIAggCCAIIAggCCAIIAggCCAIIAggCCAIIAggCCAIIAggCGAIDAl4CHgAC6gICAjcCBAIFAgYCBwIIAgkCHAILAgwCDQIIAggCCAIIAggCCAIIAggCCAIIAggCCAIIAggCCAIIAggCGAIDAkMCHgAC6gICAiACBAIFAgYCBwIIAgkCCgILAgwCDQIIAggCCAIIAggCCAIIAggCCAIIAggCCAIIAggCCAIIAggCGAIDAnICHgAC6gICAn0CBAIFAgYCBwIIAgkCCgILAgwCDQIIAggCCAIIAggCCAJ6AAAEAAgCCAIIAggCCAIIAggCCAIIAggCCAIYAgMChAIeAALqAgICHgIEAgUCBgIHAggCCQIKAgsCDAINAggCCAIIAggCCAIIAggCCAIIAggCCAIIAggCCAIIAggCCAIYAgMCdgIeAALqAgICOwIEAgUCBgIHAggCCQIcAgsCDAINAggCCAIIAggCCAIIAggCCAIIAggCCAIIAggCCAIIAggCCAIYAgMCTwIeAALqAgICIAIEAgUCBgIHAggCCQIrAgsCDAINAggCCAIIAggCCAIIAggCCAIIAggCCAIIAggCCAIIAggCCAIYAgMCUAIeAALqAgICHgIEAgUCBgIHAggCCQIrAgsCDAINAggCCAIIAggCCAIIAggCCAIIAggCCAIIAggCCAIIAggCCAIYAgMCUgIeAALqAgICRQIEAgUCBgIHAggCCQIKAgsCDAINAggCCAIIAggCCAIIAggCCAIIAggCCAIIAggCCAIIAggCCAIYAgMCZAIeAALqAgICMwIEAgUCBgIHAggCCQIrAgsCDAINAggCCAIIAggCCAIIAggCCAIIAggCCAIIAggCCAIIAggCCAIYAgMCXAIeAALqAgICKAIEAgUCBgIHAggCCQIcAgsCDAINAggCCAIIAggCCAIIAggCCAIIAggCCAIIAggCCAIIAggCCAIYAgMCKQIeAALqAgICNQIEAgUCBgIHAggCCQIcAgsCDAINAggCCAIIAggCCAIIAggCCAIIAggCCAIIAggCCAIIAggCCAIYAgMCNgIeAALqAgICKAIEAgUCBgIHAggCCQIKAgsCDAINAggCCAIIAggCCAIIAggCCAIIAggCCAIIAggCCAIIAggCCAIYAgMCQAIeAALqAgICPQIEAgUCBgIHAggCCQIrAgsCDAINAggCCAIIAggCCAIIAggCCAIIAggCCAIIAggCCAIIAggCCAIYAgMCPgIeAALqAgICQQIEAgUCBgIHAggCCQIcAgsCDAINAggCCAIIAggCCAIIAggCCAIIAggCCAIIAggCCAIIAggCCAIYAgMCVwIeAALqAgICLQIEAgUCBgIHAggCCQIKAgsCDAINAggCCAIIAggCCAIIAggCCAIIAggCCAIIAggCCAIIAggCCAIYAgMCRAIeAALqAgICIgIEAgUCBgIHAggCCQIrAgsCDAINAggCCAIIAggCCAIIAggCCAIIAggCCAIIAggCCAIIAggCCAIYAgMCPgIeAALqAgIChQIEAgUCBgIHAggCCQIcAgsCDAINAggCCAIIAggCCAIIAggCCAIIAggCCAIIAggCCAIIAggCCAIYAgMChgIeAALqAgICGwIEAgUCBgIHAggCCQIrAgsCDAINAgh6AAAEAAIIAggCCAIIAggCCAIIAggCCAIIAggCCAIIAggCCAIIAhgCAwI/Ah4AAuoCAgKHAgQCBQIGAgcCCAIJAgoCCwIMAg0CCAIIAggCCAIIAggCCAIIAggCCAIIAggCCAIIAggCCAIIAhgCAwKMAh4AAuoCAgJdAgQCBQIGAgcCCAIJAhwCCwIMAg0CCAIIAggCCAIIAggCCAIIAggCCAIIAggCCAIIAggCCAIIAhgCAwJnAh4AAuoCAgImAgQCBQIGAgcCCAIJAgoCCwIMAg0CCAIIAggCCAIIAggCCAIIAggCCAIIAggCCAIIAggCCAIIAhgCAwInAh4AAuoCAgJHAgQCBQIGAgcCCAIJAhwCCwIMAg0CCAIIAggCCAIIAggCCAIIAggCCAIIAggCCAIIAggCCAIIAhgCAwJWAh4AAuoCAgIvAgQCBQIGAgcCCAIJAhwCCwIMAg0CCAIIAggCCAIIAggCCAIIAggCCAIIAggCCAIIAggCCAIIAhgCAwIwAh4AAuoCAgI3AgQCBQIGAgcCCAIJAisCCwIMAg0CCAIIAggCCAIIAggCCAIIAggCCAIIAggCCAIIAggCCAIIAhgCAwI4Ah4AAuoCAgI7AgQCBQIGAgcCCAIJAisCCwIMAg0CCAIIAggCCAIIAggCCAIIAggCCAIIAggCCAIIAggCCAIIAhgCAwI8Ah4AAuoCAgKAAgQCBQIGAgcCCAIJAisCCwIMAg0CCAIIAggCCAIIAggCCAIIAggCCAIIAggCCAIIAggCCAIIAhgCAwI+Ah4AAuoCAgI5AgQCBQIGAgcCCAIJAhwCCwIMAg0CCAIIAggCCAIIAggCCAIIAggCCAIIAggCCAIIAggCCAIIAhgCAwI6Ah4AAuoCAgIkAgQCBQIGAgcCCAIJAgoCCwIMAg0CCAIIAggCCAIIAggCCAIIAggCCAIIAggCCAIIAggCCAIIAhgCAwIlAh4AAuoCAgJ9AgQCBQIGAgcCCAIJAhwCCwIMAg0CCAIIAggCCAIIAggCCAIIAggCCAIIAggCCAIIAggCCAIIAhgCAwKKAh4AAuoCAgIxAgQCBQIGAgcCCAIJAhwCCwIMAg0CCAIIAggCCAIIAggCCAIIAggCCAIIAggCCAIIAggCCAIIAhgCAwJLAh4AAuoCAgIzAgQCBQIGAgcCCAIJAhwCCwIMAg0CCAIIAggCCAIIAggCCAIIAggCCAIIAggCCAIIAggCCAIIAhgCAwJNAh4AAuoCAgIiAgQCBQIGAgcCCAIJAhwCCwIMAg0CCAIIAggCCAIIAggCCAIIAggCCAIIAggCCAIIAggCCAIIAhgCAwIjAh4AAuoCAgJhAgQCBQIGAgcCCAJ6AAAEAAkCCgILAgwCDQIIAggCCAIIAggCCAIIAggCCAIIAggCCAIIAggCCAIIAggCGAIDAnUCHgAC6gICAocCBAIFAgYCBwIIAgkCKwILAgwCDQIIAggCCAIIAggCCAIIAggCCAIIAggCCAIIAggCCAIIAggCGAIDAj4CHgAC6gICAgMCBAIFAgYCBwIIAgkCCgILAgwCDQIIAggCCAIIAggCCAIIAggCCAIIAggCCAIIAggCCAIIAggCGAIDAg4CHgAC6gICAoUCBAIFAgYCBwIIAgkCKwILAgwCDQIIAggCCAIIAggCCAIIAggCCAIIAggCCAIIAggCCAIIAggCGAIDAj4CHgAC6gICAioCBAIFAgYCBwIIAgkCKwILAgwCDQIIAggCCAIIAggCCAIIAggCCAIIAggCCAIIAggCCAIIAggCGAIDAiwCHgAC6gICAhsCBAIFAgYCBwIIAgkCHAILAgwCDQIIAggCCAIIAggCCAIIAggCCAIIAggCCAIIAggCCAIIAggCGAIDAh0CHgAC6gICAkkCBAIFAgYCBwIIAgkCCgILAgwCDQIIAggCCAIIAggCCAIIAggCCAIIAggCCAIIAggCCAIIAggCGAIDAnoCHgAC6gICAjkCBAIFAgYCBwIIAgkCCgILAgwCDQIIAggCCAIIAggCCAIIAggCCAIIAggCCAIIAggCCAIIAggCGAIDAk4CHgAC6gICAi8CBAIFAgYCBwIIAgkCCgILAgwCDQIIAggCCAIIAggCCAIIAggCCAIIAggCCAIIAggCCAIIAggCGAIDAkwCHgAC6gICAkcCBAIFAgYCBwIIAgkCCgILAgwCDQIIAggCCAIIAggCCAIIAggCCAIIAggCCAIIAggCCAIIAggCGAIDAkgCHgAC6gICAkECBAIFAgYCBwIIAgkCCgILAgwCDQIIAggCCAIIAggCCAIIAggCCAIIAggCCAIIAggCCAIIAggCGAIDAkICHgAC6gICAiYCBAIFAgYCBwIIAgkCHAILAgwCDQIIAggCCAIIAggCCAIIAggCCAIIAggCCAIIAggCCAIIAggCGAIDAmsCHgAC6gICAn0CBAIFAgYCBwIIAgkCKwILAgwCDQIIAggCCAIIAggCCAIIAggCCAIIAggCCAIIAggCCAIIAggCGAIDAj4CHgAC6gICAloCBAIFAgYCBwIIAgkCKwILAgwCDQIIAggCCAIIAggCCAIIAggCCAIIAggCCAIIAggCCAIIAggCGAIDAj4CHgAC6gICAiQCBAIFAgYCBwIIAgkCHAILAgwCDQIIAggCCAIIAggCCAIIAggCCAIIAggCCAIIAggCCAIIAggCGAIDAmoCHgAC6gICAi16AAAEAAIEAgUCBgIHAggCCQIcAgsCDAINAggCCAIIAggCCAIIAggCCAIIAggCCAIIAggCCAIIAggCCAIYAgMCcwIeAALqAgICRQIEAgUCBgIHAggCCQIrAgsCDAINAggCCAIIAggCCAIIAggCCAIIAggCCAIIAggCCAIIAggCCAIYAgMCRgIeAALqAgICgAIEAgUCBgIHAggCCQIcAgsCDAINAggCCAIIAggCCAIIAggCCAIIAggCCAIIAggCCAIIAggCCAIYAgMCkQIeAALqAgICPQIEAgUCBgIHAggCCQIKAgsCDAINAggCCAIIAggCCAIIAggCCAIIAggCCAIIAggCCAIIAggCCAIYAgMCdwIeAALqAgICXQIEAgUCBgIHAggCCQIrAgsCDAINAggCCAIIAggCCAIIAggCCAIIAggCCAIIAggCCAIIAggCCAIYAgMCdAIeAALqAgICOQIEAgUCBgIHAggCCQIrAgsCDAINAggCCAIIAggCCAIIAggCCAIIAggCCAIIAggCCAIIAggCCAIYAgMCeQIeAALqAgICLwIEAgUCBgIHAggCCQIrAgsCDAINAggCCAIIAggCCAIIAggCCAIIAggCCAIIAggCCAIIAggCCAIYAgMCPgIeAALqAgICIgIEAgUCBgIHAggCCQIKAgsCDAINAggCCAIIAggCCAIIAggCCAIIAggCCAIIAggCCAIIAggCCAIYAgMCeAIeAALqAgICWgIEAgUCBgIHAggCCQIKAgsCDAINAggCCAIIAggCCAIIAggCCAIIAggCCAIIAggCCAIIAggCCAIYAgMCWwIeAALqAgICYQIEAgUCBgIHAggCCQIcAgsCDAINAggCCAIIAggCCAIIAggCCAIIAggCCAIIAggCCAIIAggCCAIYAgMCZgIeAALqAgICSQIEAgUCBgIHAggCCQIcAgsCDAINAggCCAIIAggCCAIIAggCCAIIAggCCAIIAggCCAIIAggCCAIYAgMCaAIeAALqAgICGwIEAgUCBgIHAggCCQIKAgsCDAINAggCCAIIAggCCAIIAggCCAIIAggCCAIIAggCCAIIAggCCAIYAgMCbQIeAALqAgICMQIEAgUCBgIHAggCCQIKAgsCDAINAggCCAIIAggCCAIIAggCCAIIAggCCAIIAggCCAIIAggCCAIYAgMCMgIeAALqAgICMwIEAgUCBgIHAggCCQIKAgsCDAINAggCCAIIAggCCAIIAggCCAIIAggCCAIIAggCCAIIAggCCAIYAgMCNAIeAALqAgICNQIEAgUCBgIHAggCCQIrAgsCDAINAggCCAIIAggCCAIIAggCCAIIAggCCAIIAggCCAIIAggCCAIYAgN6AAAEAAJwAh4AAuoCAgIDAgQCBQIGAgcCCAIJAhwCCwIMAg0CCAIIAggCCAIIAggCCAIIAggCCAIIAggCCAIIAggCCAIIAhgCAwJxAh4AAuoCAgI9AgQCBQIGAgcCCAIJAhwCCwIMAg0CCAIIAggCCAIIAggCCAIIAggCCAIIAggCCAIIAggCCAIIAhgCAwJTAh4AAuoCAgIoAgQCBQIGAgcCCAIJAisCCwIMAg0CCAIIAggCCAIIAggCCAIIAggCCAIIAggCCAIIAggCCAIIAhgCAwJvAh4AAuoCAgIkAgQCBQIGAgcCCAIJAisCCwIMAg0CCAIIAggCCAIIAggCCAIIAggCCAIIAggCCAIIAggCCAIIAhgCAwJVAh4AAuoCAgItAgQCBQIGAgcCCAIJAisCCwIMAg0CCAIIAggCCAIIAggCCAIIAggCCAIIAggCCAIIAggCCAIIAhgCAwIuAh4AAuoCAgIeAgQCBQIGAgcCCAIJAhwCCwIMAg0CCAIIAggCCAIIAggCCAIIAggCCAIIAggCCAIIAggCCAIIAhgCAwIfAh4AAuoCAgI7AgQCBQIGAgcCCAIJAgoCCwIMAg0CCAIIAggCCAIIAggCCAIIAggCCAIIAggCCAIIAggCCAIIAhgCAwJlAh4AAuoCAgIgAgQCBQIGAgcCCAIJAhwCCwIMAg0CCAIIAggCCAIIAggCCAIIAggCCAIIAggCCAIIAggCCAIIAhgCAwIhAh4AAusACTg1MjM2OTQwOAICAiQCBAIFAgYCBwIIAgkClwILApgCDQIIAggCCAIIAggCCAIIAggCCAIIAggCCAIIAggCCAIIAggCFwIDAsUCHgAC6wICAkkCBAIFAgYCBwIIAgkCHAILApgCDQIIAggCCAIIAggCCAIIAggCCAIIAggCCAIIAggCCAIIAggCFwIDAt4CHgAC6wICAkECBAIFAgYCBwIIAgkCCgILApgCDQIIAggCCAIIAggCCAIIAggCCAIIAggCCAIIAggCCAIIAggCFwIDAsICHgAC6wICAj0CBAIFAgYCBwIIAgkCCgILApgCDQIIAggCCAIIAggCCAIIAggCCAIIAggCCAIIAggCCAIIAggCFwIDAtECHgAC6wICAiYCBAIFAgYCBwIIAgkCHAILApgCDQIIAggCCAIIAggCCAIIAggCCAIIAggCCAIIAggCCAIIAggCFwIDAsQCHgAC6wICAj0CBAIFAgYCBwIIAgkCHAILApgCDQIIAggCCAIIAggCCAIIAggCCAIIAggCCAIIAggCCAIIAggCFwIDAuMCHgAC6wICAogCBAIFAgYCBwIIAgkCHAILApgCDQIIAggCCAIIAggCCAIIAgh3GAIIAggCCAIIAggCCAIIAggCCAIXAgMC7HNxAH4AAAAAAAJzcQB+AAT///////////////7////+/////3VxAH4ABwAAAAQ789EkeHh6AAAEAAIeAALrAgICfgIEAgUCBgIHAggCCQKXAgsCmAINAggCCAIIAggCCAIIAggCCAIIAggCCAIIAggCCAIIAggCCAIXAgMCPgIeAALrAgICXQIEAgUCBgIHAggCCQIKAgsCmAINAggCCAIIAggCCAIIAggCCAIIAggCCAIIAggCCAIIAggCCAIXAgMCzAIeAALrAgICYQIEAgUCBgIHAggCCQKXAgsCmAINAggCCAIIAggCCAIIAggCCAIIAggCCAIIAggCCAIIAggCCAIXAgMC1wIeAALrAgICXQIEAgUCBgIHAggCCQIcAgsCmAINAggCCAIIAggCCAIIAggCCAIIAggCCAIIAggCCAIIAggCCAIXAgMCvQIeAALrAgICLwIEAgUCBgIHAggCCQIcAgsCmAINAggCCAIIAggCCAIIAggCCAIIAggCCAIIAggCCAIIAggCCAIXAgMCvgIeAALrAgICJgIEAgUCBgIHAggCCQIKAgsCmAINAggCCAIIAggCCAIIAggCCAIIAggCCAIIAggCCAIIAggCCAIXAgMCsAIeAALrAgICOQIEAgUCBgIHAggCCQKXAgsCmAINAggCCAIIAggCCAIIAggCCAIIAggCCAIIAggCCAIIAggCCAIXAgMCuAIeAALrAgIChwIEAgUCBgIHAggCCQIKAgsCmAINAggCCAIIAggCCAIIAggCCAIIAggCCAIIAggCCAIIAggCCAIXAgMCrQIeAALrAgICRwIEAgUCBgIHAggCCQKXAgsCmAINAggCCAIIAggCCAIIAggCCAIIAggCCAIIAggCCAIIAggCCAIXAgMCsgIeAALrAgICQQIEAgUCBgIHAggCCQIcAgsCmAINAggCCAIIAggCCAIIAggCCAIIAggCCAIIAggCCAIIAggCCAIXAgMCwAIeAALrAgICMQIEAgUCBgIHAggCCQKXAgsCmAINAggCCAIIAggCCAIIAggCCAIIAggCCAIIAggCCAIIAggCCAIXAgMCxwIeAALrAgICKAIEAgUCBgIHAggCCQIKAgsCmAINAggCCAIIAggCCAIIAggCCAIIAggCCAIIAggCCAIIAggCCAIXAgMCmwIeAALrAgICgQIEAgUCBgIHAggCCQKXAgsCmAINAggCCAIIAggCCAIIAggCCAIIAggCCAIIAggCCAIIAggCCAIXAgMCPgIeAALrAgICWgIEAgUCBgIHAggCCQKXAgsCmAINAggCCAIIAggCCAIIAggCCAIIAggCCAIIAggCCAIIAggCCAIXAgMCPgIeAALrAgICMwIEAgUCBgIHAggCCQIcAgsCmAINAggCCAIIAggCCAIIAggCCAIIAggCCAIIAggCCAJ3UAgCCAIIAhcCAwLLAh4AAusCAgKDAgQCBQIGAgcCCAIJAgoCCwKYAg0CCAIIAggCCAIIAggCCAIIAggCCAIIAggCCAIIAggCCAIIAhcCAwLtc3EAfgAAAAAAAnNxAH4ABP///////////////v////4AAAABdXEAfgAHAAAABAV5RUJ4eHdFAh4AAusCAgKIAgQCBQIGAgcCCAIJAgoCCwKYAg0CCAIIAggCCAIIAggCCAIIAggCCAIIAggCCAIIAggCCAIIAhcCAwLuc3EAfgAAAAAAAnNxAH4ABP///////////////v////4AAAABdXEAfgAHAAAABAPuMwZ4eHoAAAFZAh4AAusCAgKPAgQCBQIGAgcCCAIJApcCCwKYAg0CCAIIAggCCAIIAggCCAIIAggCCAIIAggCCAIIAggCCAIIAhcCAwI+Ah4AAusCAgJ9AgQCBQIGAgcCCAIJAgoCCwKYAg0CCAIIAggCCAIIAggCCAIIAggCCAIIAggCCAIIAggCCAIIAhcCAwLnAh4AAusCAgIeAgQCBQIGAgcCCAIJAgoCCwKYAg0CCAIIAggCCAIIAggCCAIIAggCCAIIAggCCAIIAggCCAIIAhcCAwKeAh4AAusCAgI3AgQCBQIGAgcCCAIJAhwCCwKYAg0CCAIIAggCCAIIAggCCAIIAggCCAIIAggCCAIIAggCCAIIAhcCAwKcAh4AAusCAgKDAgQCBQIGAgcCCAIJAhwCCwKYAg0CCAIIAggCCAIIAggCCAIIAggCCAIIAggCCAIIAggCCAIIAhcCAwLvc3EAfgAAAAAAAnNxAH4ABP///////////////v////7/////dXEAfgAHAAAABD4jPrh4eHoAAAFZAh4AAusCAgKHAgQCBQIGAgcCCAIJApcCCwKYAg0CCAIIAggCCAIIAggCCAIIAggCCAIIAggCCAIIAggCCAIIAhcCAwI+Ah4AAusCAgKAAgQCBQIGAgcCCAIJApcCCwKYAg0CCAIIAggCCAIIAggCCAIIAggCCAIIAggCCAIIAggCCAIIAhcCAwI+Ah4AAusCAgI5AgQCBQIGAgcCCAIJAgoCCwKYAg0CCAIIAggCCAIIAggCCAIIAggCCAIIAggCCAIIAggCCAIIAhcCAwKnAh4AAusCAgI7AgQCBQIGAgcCCAIJApcCCwKYAg0CCAIIAggCCAIIAggCCAIIAggCCAIIAggCCAIIAggCCAIIAhcCAwKkAh4AAusCAgKBAgQCBQIGAgcCCAIJAgoCCwKYAg0CCAIIAggCCAIIAggCCAIIAggCCAIIAggCCAIIAggCCAIIAhcCAwLwc3EAfgAAAAAAAnNxAH4ABP///////////////v////4AAAABdXEAfgAHAAAABALUOOx4eHfPAh4AAusCAgIxAgQCBQIGAgcCCAIJAgoCCwKYAg0CCAIIAggCCAIIAggCCAIIAggCCAIIAggCCAIIAggCCAIIAhcCAwLfAh4AAusCAgItAgQCBQIGAgcCCAIJApcCCwKYAg0CCAIIAggCCAIIAggCCAIIAggCCAIIAggCCAIIAggCCAIIAhcCAwKlAh4AAusCAgKFAgQCBQIGAgcCCAIJAhwCCwKYAg0CCAIIAggCCAIIAggCCAIIAggCCAIIAggCCAIIAggCCAIIAhcCAwLxc3EAfgAAAAAAAnNxAH4ABP///////////////v////7/////dXEAfgAHAAAABC/+xlx4eHoAAAIoAh4AAusCAgIiAgQCBQIGAgcCCAIJApcCCwKYAg0CCAIIAggCCAIIAggCCAIIAggCCAIIAggCCAIIAggCCAIIAhcCAwI+Ah4AAusCAgI1AgQCBQIGAgcCCAIJApcCCwKYAg0CCAIIAggCCAIIAggCCAIIAggCCAIIAggCCAIIAggCCAIIAhcCAwKxAh4AAusCAgIoAgQCBQIGAgcCCAIJAhwCCwKYAg0CCAIIAggCCAIIAggCCAIIAggCCAIIAggCCAIIAggCCAIIAhcCAwK6Ah4AAusCAgIbAgQCBQIGAgcCCAIJAhwCCwKYAg0CCAIIAggCCAIIAggCCAIIAggCCAIIAggCCAIIAggCCAIIAhcCAwLWAh4AAusCAgJFAgQCBQIGAgcCCAIJAhwCCwKYAg0CCAIIAggCCAIIAggCCAIIAggCCAIIAggCCAIIAggCCAIIAhcCAwLVAh4AAusCAgIgAgQCBQIGAgcCCAIJApcCCwKYAg0CCAIIAggCCAIIAggCCAIIAggCCAIIAggCCAIIAggCCAIIAhcCAwLgAh4AAusCAgI3AgQCBQIGAgcCCAIJAgoCCwKYAg0CCAIIAggCCAIIAggCCAIIAggCCAIIAggCCAIIAggCCAIIAhcCAwLYAh4AAusCAgJ9AgQCBQIGAgcCCAIJAhwCCwKYAg0CCAIIAggCCAIIAggCCAIIAggCCAIIAggCCAIIAggCCAIIAhcCAwLyc3EAfgAAAAAAAnNxAH4ABP///////////////v////7/////dXEAfgAHAAAABDDwgSh4eHoAAAQAAh4AAusCAgIeAgQCBQIGAgcCCAIJAhwCCwKYAg0CCAIIAggCCAIIAggCCAIIAggCCAIIAggCCAIIAggCCAIIAhcCAwLSAh4AAusCAgIqAgQCBQIGAgcCCAIJAhwCCwKYAg0CCAIIAggCCAIIAggCCAIIAggCCAIIAggCCAIIAggCCAIIAhcCAwKpAh4AAusCAgJJAgQCBQIGAgcCCAIJAgoCCwKYAg0CCAIIAggCCAIIAggCCAIIAggCCAIIAggCCAIIAggCCAIIAhcCAwLNAh4AAusCAgIDAgQCBQIGAgcCCAIJApcCCwKYAg0CCAIIAggCCAIIAggCCAIIAggCCAIIAggCCAIIAggCCAIIAhcCAwLDAh4AAusCAgIbAgQCBQIGAgcCCAIJAgoCCwKYAg0CCAIIAggCCAIIAggCCAIIAggCCAIIAggCCAIIAggCCAIIAhcCAwKdAh4AAusCAgJ+AgQCBQIGAgcCCAIJAhwCCwKYAg0CCAIIAggCCAIIAggCCAIIAggCCAIIAggCCAIIAggCCAIIAhcCAwLvAh4AAusCAgKIAgQCBQIGAgcCCAIJApcCCwKYAg0CCAIIAggCCAIIAggCCAIIAggCCAIIAggCCAIIAggCCAIIAhcCAwI+Ah4AAusCAgIkAgQCBQIGAgcCCAIJAhwCCwKYAg0CCAIIAggCCAIIAggCCAIIAggCCAIIAggCCAIIAggCCAIIAhcCAwLGAh4AAusCAgImAgQCBQIGAgcCCAIJApcCCwKYAg0CCAIIAggCCAIIAggCCAIIAggCCAIIAggCCAIIAggCCAIIAhcCAwLQAh4AAusCAgJHAgQCBQIGAgcCCAIJAgoCCwKYAg0CCAIIAggCCAIIAggCCAIIAggCCAIIAggCCAIIAggCCAIIAhcCAwLBAh4AAusCAgJaAgQCBQIGAgcCCAIJAgoCCwKYAg0CCAIIAggCCAIIAggCCAIIAggCCAIIAggCCAIIAggCCAIIAhcCAwLbAh4AAusCAgJFAgQCBQIGAgcCCAIJAgoCCwKYAg0CCAIIAggCCAIIAggCCAIIAggCCAIIAggCCAIIAggCCAIIAhcCAwK7Ah4AAusCAgJJAgQCBQIGAgcCCAIJApcCCwKYAg0CCAIIAggCCAIIAggCCAIIAggCCAIIAggCCAIIAggCCAIIAhcCAwLdAh4AAusCAgJhAgQCBQIGAgcCCAIJAhwCCwKYAg0CCAIIAggCCAIIAggCCAIIAggCCAIIAggCCAIIAggCCAIIAhcCAwLJAh4AAusCAgIkAgQCBQIGAgcCCAIJAgoCCwKYAg0CCAIIAggCCAIIAggCCAIIAggCCAIIAggCCAIIAneVCAIIAggCFwIDArcCHgAC6wICAloCBAIFAgYCBwIIAgkCHAILApgCDQIIAggCCAIIAggCCAIIAggCCAIIAggCCAIIAggCCAIIAggCFwIDArUCHgAC6wICAoECBAIFAgYCBwIIAgkCHAILApgCDQIIAggCCAIIAggCCAIIAggCCAIIAggCCAIIAggCCAIIAggCFwIDAvNzcQB+AAAAAAACc3EAfgAE///////////////+/////v////91cQB+AAcAAAAENab75Xh4egAABAACHgAC6wICAi8CBAIFAgYCBwIIAgkClwILApgCDQIIAggCCAIIAggCCAIIAggCCAIIAggCCAIIAggCCAIIAggCFwIDAj4CHgAC6wICAioCBAIFAgYCBwIIAgkCCgILApgCDQIIAggCCAIIAggCCAIIAggCCAIIAggCCAIIAggCCAIIAggCFwIDAq4CHgAC6wICAl0CBAIFAgYCBwIIAgkClwILApgCDQIIAggCCAIIAggCCAIIAggCCAIIAggCCAIIAggCCAIIAggCFwIDArwCHgAC6wICAkECBAIFAgYCBwIIAgkClwILApgCDQIIAggCCAIIAggCCAIIAggCCAIIAggCCAIIAggCCAIIAggCFwIDAq8CHgAC6wICAjkCBAIFAgYCBwIIAgkCHAILApgCDQIIAggCCAIIAggCCAIIAggCCAIIAggCCAIIAggCCAIIAggCFwIDAr8CHgAC6wICAjMCBAIFAgYCBwIIAgkClwILApgCDQIIAggCCAIIAggCCAIIAggCCAIIAggCCAIIAggCCAIIAggCFwIDAsgCHgAC6wICAkcCBAIFAgYCBwIIAgkCHAILApgCDQIIAggCCAIIAggCCAIIAggCCAIIAggCCAIIAggCCAIIAggCFwIDArMCHgAC6wICAi0CBAIFAgYCBwIIAgkCCgILApgCDQIIAggCCAIIAggCCAIIAggCCAIIAggCCAIIAggCCAIIAggCFwIDAqECHgAC6wICAjUCBAIFAgYCBwIIAgkCCgILApgCDQIIAggCCAIIAggCCAIIAggCCAIIAggCCAIIAggCCAIIAggCFwIDAqwCHgAC6wICAjECBAIFAgYCBwIIAgkCHAILApgCDQIIAggCCAIIAggCCAIIAggCCAIIAggCCAIIAggCCAIIAggCFwIDAs4CHgAC6wICAiACBAIFAgYCBwIIAgkCCgILApgCDQIIAggCCAIIAggCCAIIAggCCAIIAggCCAIIAggCCAIIAggCFwIDAp8CHgAC6wICAiICBAIFAgYCBwIIAgkCCgILApgCDQIIAggCCAIIAggCCAIIAggCCAIIAggCCAIIAggCCAIIAggCFwIDApoCHgAC6wICAoACBAIFAgYCBwIIAgkCHAILApgCDQIIAggCCAIIAggCCAIIAggCCAIIAggCCAIIAggCCAIIAggCFwIDAqACHgAC6wICAo8CBAIFAgYCBwIIAgkCHAILApgCDQIIAggCCAIIAggCCAIIAggCCAIIAggCCAIIAggCCAIIAggCFwIDAu8CHgAC6wICAjcCBAIFAgYCBwIIAgkClwILApgCDQIIAggCCAIIAggCCAIIAggCCAIIAggCCAIIAggCegAABAAIAggCCAIXAgMCpgIeAALrAgICLQIEAgUCBgIHAggCCQIcAgsCmAINAggCCAIIAggCCAIIAggCCAIIAggCCAIIAggCCAIIAggCCAIXAgMCqAIeAALrAgIChQIEAgUCBgIHAggCCQIKAgsCmAINAggCCAIIAggCCAIIAggCCAIIAggCCAIIAggCCAIIAggCCAIXAgMC5gIeAALrAgICOwIEAgUCBgIHAggCCQIcAgsCmAINAggCCAIIAggCCAIIAggCCAIIAggCCAIIAggCCAIIAggCCAIXAgMCqwIeAALrAgICMwIEAgUCBgIHAggCCQIKAgsCmAINAggCCAIIAggCCAIIAggCCAIIAggCCAIIAggCCAIIAggCCAIXAgMC4QIeAALrAgICIgIEAgUCBgIHAggCCQIcAgsCmAINAggCCAIIAggCCAIIAggCCAIIAggCCAIIAggCCAIIAggCCAIXAgMC1AIeAALrAgICNQIEAgUCBgIHAggCCQIcAgsCmAINAggCCAIIAggCCAIIAggCCAIIAggCCAIIAggCCAIIAggCCAIXAgMCuQIeAALrAgICgwIEAgUCBgIHAggCCQKXAgsCmAINAggCCAIIAggCCAIIAggCCAIIAggCCAIIAggCCAIIAggCCAIXAgMCPgIeAALrAgIChQIEAgUCBgIHAggCCQKXAgsCmAINAggCCAIIAggCCAIIAggCCAIIAggCCAIIAggCCAIIAggCCAIXAgMCPgIeAALrAgICLwIEAgUCBgIHAggCCQIKAgsCmAINAggCCAIIAggCCAIIAggCCAIIAggCCAIIAggCCAIIAggCCAIXAgMCogIeAALrAgICAwIEAgUCBgIHAggCCQIKAgsCmAINAggCCAIIAggCCAIIAggCCAIIAggCCAIIAggCCAIIAggCCAIXAgMCtAIeAALrAgICKAIEAgUCBgIHAggCCQKXAgsCmAINAggCCAIIAggCCAIIAggCCAIIAggCCAIIAggCCAIIAggCCAIXAgMCtgIeAALrAgICGwIEAgUCBgIHAggCCQKXAgsCmAINAggCCAIIAggCCAIIAggCCAIIAggCCAIIAggCCAIIAggCCAIXAgMC2QIeAALrAgICjwIEAgUCBgIHAggCCQIKAgsCmAINAggCCAIIAggCCAIIAggCCAIIAggCCAIIAggCCAIIAggCCAIXAgMC7QIeAALrAgICOwIEAgUCBgIHAggCCQIKAgsCmAINAggCCAIIAggCCAIIAggCCAIIAggCCAIIAggCCAIIAggCCAIXAgMC3AIeAALrAgICPQIEAgUCBgIHAggCCQKXAgsCmAINAggCCAIIAggCCAIIAggCCAIIegAABAACCAIIAggCCAIIAggCCAIIAhcCAwI+Ah4AAusCAgJ9AgQCBQIGAgcCCAIJApcCCwKYAg0CCAIIAggCCAIIAggCCAIIAggCCAIIAggCCAIIAggCCAIIAhcCAwI+Ah4AAusCAgIgAgQCBQIGAgcCCAIJAhwCCwKYAg0CCAIIAggCCAIIAggCCAIIAggCCAIIAggCCAIIAggCCAIIAhcCAwLTAh4AAusCAgJ+AgQCBQIGAgcCCAIJAgoCCwKYAg0CCAIIAggCCAIIAggCCAIIAggCCAIIAggCCAIIAggCCAIIAhcCAwLtAh4AAusCAgIeAgQCBQIGAgcCCAIJApcCCwKYAg0CCAIIAggCCAIIAggCCAIIAggCCAIIAggCCAIIAggCCAIIAhcCAwLiAh4AAusCAgKHAgQCBQIGAgcCCAIJAhwCCwKYAg0CCAIIAggCCAIIAggCCAIIAggCCAIIAggCCAIIAggCCAIIAhcCAwKqAh4AAusCAgJFAgQCBQIGAgcCCAIJApcCCwKYAg0CCAIIAggCCAIIAggCCAIIAggCCAIIAggCCAIIAggCCAIIAhcCAwKjAh4AAusCAgIqAgQCBQIGAgcCCAIJApcCCwKYAg0CCAIIAggCCAIIAggCCAIIAggCCAIIAggCCAIIAggCCAIIAhcCAwKZAh4AAusCAgJhAgQCBQIGAgcCCAIJAgoCCwKYAg0CCAIIAggCCAIIAggCCAIIAggCCAIIAggCCAIIAggCCAIIAhcCAwLPAh4AAusCAgKAAgQCBQIGAgcCCAIJAgoCCwKYAg0CCAIIAggCCAIIAggCCAIIAggCCAIIAggCCAIIAggCCAIIAhcCAwLaAh4AAusCAgIDAgQCBQIGAgcCCAIJAhwCCwKYAg0CCAIIAggCCAIIAggCCAIIAggCCAIIAggCCAIIAggCCAIIAhcCAwLKAh4AAvQACTg1MjQ3MTMzNgICAiACBAIFAgYCBwIIAgkCHAILAgwCDQIIAggCCAIIAggCCAIIAggCCAIIAggCCAIIAggCCAIIAggCGgIDAiECHgAC9AICAh4CBAIFAgYCBwIIAgkCHAILAgwCDQIIAggCCAIIAggCCAIIAggCCAIIAggCCAIIAggCCAIIAggCGgIDAh8CHgAC9AICAiQCBAIFAgYCBwIIAgkCCgILAgwCDQIIAggCCAIIAggCCAIIAggCCAIIAggCCAIIAggCCAIIAggCGgIDAiUCHgAC9AICAjsCBAIFAgYCBwIIAgkCKwILAgwCDQIIAggCCAIIAggCCAIIAggCCAIIAggCCAIIAggCCAIIAggCGgIDAjwCHgAC9AICAjECBAIFAgYCBwIIAgkCCgILegAABAACDAINAggCCAIIAggCCAIIAggCCAIIAggCCAIIAggCCAIIAggCCAIaAgMCMgIeAAL0AgICGwIEAgUCBgIHAggCCQIcAgsCDAINAggCCAIIAggCCAIIAggCCAIIAggCCAIIAggCCAIIAggCCAIaAgMCHQIeAAL0AgICKgIEAgUCBgIHAggCCQIrAgsCDAINAggCCAIIAggCCAIIAggCCAIIAggCCAIIAggCCAIIAggCCAIaAgMCLAIeAAL0AgICKAIEAgUCBgIHAggCCQIcAgsCDAINAggCCAIIAggCCAIIAggCCAIIAggCCAIIAggCCAIIAggCCAIaAgMCKQIeAAL0AgICNQIEAgUCBgIHAggCCQIcAgsCDAINAggCCAIIAggCCAIIAggCCAIIAggCCAIIAggCCAIIAggCCAIaAgMCNgIeAAL0AgICAwIEAgUCBgIHAggCCQIKAgsCDAINAggCCAIIAggCCAIIAggCCAIIAggCCAIIAggCCAIIAggCCAIaAgMCDgIeAAL0AgICIgIEAgUCBgIHAggCCQIcAgsCDAINAggCCAIIAggCCAIIAggCCAIIAggCCAIIAggCCAIIAggCCAIaAgMCIwIeAAL0AgIChwIEAgUCBgIHAggCCQIrAgsCDAINAggCCAIIAggCCAIIAggCCAIIAggCCAIIAggCCAIIAggCCAIaAgMCPgIeAAL0AgICOQIEAgUCBgIHAggCCQIKAgsCDAINAggCCAIIAggCCAIIAggCCAIIAggCCAIIAggCCAIIAggCCAIaAgMCTgIeAAL0AgICYQIEAgUCBgIHAggCCQIKAgsCDAINAggCCAIIAggCCAIIAggCCAIIAggCCAIIAggCCAIIAggCCAIaAgMCdQIeAAL0AgICLwIEAgUCBgIHAggCCQIKAgsCDAINAggCCAIIAggCCAIIAggCCAIIAggCCAIIAggCCAIIAggCCAIaAgMCTAIeAAL0AgICMwIEAgUCBgIHAggCCQIcAgsCDAINAggCCAIIAggCCAIIAggCCAIIAggCCAIIAggCCAIIAggCCAIaAgMCTQIeAAL0AgICSQIEAgUCBgIHAggCCQIKAgsCDAINAggCCAIIAggCCAIIAggCCAIIAggCCAIIAggCCAIIAggCCAIaAgMCegIeAAL0AgICIAIEAgUCBgIHAggCCQIKAgsCDAINAggCCAIIAggCCAIIAggCCAIIAggCCAIIAggCCAIIAggCCAIaAgMCcgIeAAL0AgICRQIEAgUCBgIHAggCCQIrAgsCDAINAggCCAIIAggCCAIIAggCCAIIAggCCAIIAggCCAIIAggCCAIaAgMCRgIeAAL0AgICHgIEAgUCegAABAAGAgcCCAIJAgoCCwIMAg0CCAIIAggCCAIIAggCCAIIAggCCAIIAggCCAIIAggCCAIIAhoCAwJ2Ah4AAvQCAgJdAgQCBQIGAgcCCAIJAisCCwIMAg0CCAIIAggCCAIIAggCCAIIAggCCAIIAggCCAIIAggCCAIIAhoCAwJ0Ah4AAvQCAgItAgQCBQIGAgcCCAIJAhwCCwIMAg0CCAIIAggCCAIIAggCCAIIAggCCAIIAggCCAIIAggCCAIIAhoCAwJzAh4AAvQCAgIkAgQCBQIGAgcCCAIJAhwCCwIMAg0CCAIIAggCCAIIAggCCAIIAggCCAIIAggCCAIIAggCCAIIAhoCAwJqAh4AAvQCAgI3AgQCBQIGAgcCCAIJAhwCCwIMAg0CCAIIAggCCAIIAggCCAIIAggCCAIIAggCCAIIAggCCAIIAhoCAwJDAh4AAvQCAgImAgQCBQIGAgcCCAIJAhwCCwIMAg0CCAIIAggCCAIIAggCCAIIAggCCAIIAggCCAIIAggCCAIIAhoCAwJrAh4AAvQCAgI7AgQCBQIGAgcCCAIJAhwCCwIMAg0CCAIIAggCCAIIAggCCAIIAggCCAIIAggCCAIIAggCCAIIAhoCAwJPAh4AAvQCAgJaAgQCBQIGAgcCCAIJAisCCwIMAg0CCAIIAggCCAIIAggCCAIIAggCCAIIAggCCAIIAggCCAIIAhoCAwI+Ah4AAvQCAgJHAgQCBQIGAgcCCAIJAgoCCwIMAg0CCAIIAggCCAIIAggCCAIIAggCCAIIAggCCAIIAggCCAIIAhoCAwJIAh4AAvQCAgIiAgQCBQIGAgcCCAIJAgoCCwIMAg0CCAIIAggCCAIIAggCCAIIAggCCAIIAggCCAIIAggCCAIIAhoCAwJ4Ah4AAvQCAgIbAgQCBQIGAgcCCAIJAgoCCwIMAg0CCAIIAggCCAIIAggCCAIIAggCCAIIAggCCAIIAggCCAIIAhoCAwJtAh4AAvQCAgJBAgQCBQIGAgcCCAIJAgoCCwIMAg0CCAIIAggCCAIIAggCCAIIAggCCAIIAggCCAIIAggCCAIIAhoCAwJCAh4AAvQCAgI9AgQCBQIGAgcCCAIJAgoCCwIMAg0CCAIIAggCCAIIAggCCAIIAggCCAIIAggCCAIIAggCCAIIAhoCAwJ3Ah4AAvQCAgKAAgQCBQIGAgcCCAIJAhwCCwIMAg0CCAIIAggCCAIIAggCCAIIAggCCAIIAggCCAIIAggCCAIIAhoCAwKRAh4AAvQCAgJBAgQCBQIGAgcCCAIJAisCCwIMAg0CCAIIAggCCAIIAggCCAIIAggCCAIIAggCCAIIAggCCAIIAhoCAwJ7Ah4AegAABAAC9AICAocCBAIFAgYCBwIIAgkCHAILAgwCDQIIAggCCAIIAggCCAIIAggCCAIIAggCCAIIAggCCAIIAggCGgIDApMCHgAC9AICAjkCBAIFAgYCBwIIAgkCKwILAgwCDQIIAggCCAIIAggCCAIIAggCCAIIAggCCAIIAggCCAIIAggCGgIDAnkCHgAC9AICAioCBAIFAgYCBwIIAgkCHAILAgwCDQIIAggCCAIIAggCCAIIAggCCAIIAggCCAIIAggCCAIIAggCGgIDAm4CHgAC9AICAgMCBAIFAgYCBwIIAgkCHAILAgwCDQIIAggCCAIIAggCCAIIAggCCAIIAggCCAIIAggCCAIIAggCGgIDAnECHgAC9AICAjUCBAIFAgYCBwIIAgkCKwILAgwCDQIIAggCCAIIAggCCAIIAggCCAIIAggCCAIIAggCCAIIAggCGgIDAnACHgAC9AICAmECBAIFAgYCBwIIAgkCHAILAgwCDQIIAggCCAIIAggCCAIIAggCCAIIAggCCAIIAggCCAIIAggCGgIDAmYCHgAC9AICAkkCBAIFAgYCBwIIAgkCHAILAgwCDQIIAggCCAIIAggCCAIIAggCCAIIAggCCAIIAggCCAIIAggCGgIDAmgCHgAC9AICAoUCBAIFAgYCBwIIAgkCKwILAgwCDQIIAggCCAIIAggCCAIIAggCCAIIAggCCAIIAggCCAIIAggCGgIDAj4CHgAC9AICAi0CBAIFAgYCBwIIAgkCKwILAgwCDQIIAggCCAIIAggCCAIIAggCCAIIAggCCAIIAggCCAIIAggCGgIDAi4CHgAC9AICAjcCBAIFAgYCBwIIAgkCCgILAgwCDQIIAggCCAIIAggCCAIIAggCCAIIAggCCAIIAggCCAIIAggCGgIDAmMCHgAC9AICAigCBAIFAgYCBwIIAgkCKwILAgwCDQIIAggCCAIIAggCCAIIAggCCAIIAggCCAIIAggCCAIIAggCGgIDAm8CHgAC9AICAoACBAIFAgYCBwIIAgkCCgILAgwCDQIIAggCCAIIAggCCAIIAggCCAIIAggCCAIIAggCCAIIAggCGgIDApICHgAC9AICAjMCBAIFAgYCBwIIAgkCCgILAgwCDQIIAggCCAIIAggCCAIIAggCCAIIAggCCAIIAggCCAIIAggCGgIDAjQCHgAC9AICAjsCBAIFAgYCBwIIAgkCCgILAgwCDQIIAggCCAIIAggCCAIIAggCCAIIAggCCAIIAggCCAIIAggCGgIDAmUCHgAC9AICAocCBAIFAgYCBwIIAgkCCgILAgwCDQIIAggCCAIIAggCCAIIAggCCAIIAggCCAIIAggCCAIIegAABAACCAIaAgMCjAIeAAL0AgICJAIEAgUCBgIHAggCCQIrAgsCDAINAggCCAIIAggCCAIIAggCCAIIAggCCAIIAggCCAIIAggCCAIaAgMCVQIeAAL0AgICPQIEAgUCBgIHAggCCQIcAgsCDAINAggCCAIIAggCCAIIAggCCAIIAggCCAIIAggCCAIIAggCCAIaAgMCUwIeAAL0AgICKgIEAgUCBgIHAggCCQIKAgsCDAINAggCCAIIAggCCAIIAggCCAIIAggCCAIIAggCCAIIAggCCAIaAgMCVAIeAAL0AgICJgIEAgUCBgIHAggCCQIrAgsCDAINAggCCAIIAggCCAIIAggCCAIIAggCCAIIAggCCAIIAggCCAIaAgMCaQIeAAL0AgICRQIEAgUCBgIHAggCCQIcAgsCDAINAggCCAIIAggCCAIIAggCCAIIAggCCAIIAggCCAIIAggCCAIaAgMCWAIeAAL0AgICXQIEAgUCBgIHAggCCQIKAgsCDAINAggCCAIIAggCCAIIAggCCAIIAggCCAIIAggCCAIIAggCCAIaAgMCXgIeAAL0AgICMQIEAgUCBgIHAggCCQIrAgsCDAINAggCCAIIAggCCAIIAggCCAIIAggCCAIIAggCCAIIAggCCAIaAgMCWQIeAAL0AgICWgIEAgUCBgIHAggCCQIKAgsCDAINAggCCAIIAggCCAIIAggCCAIIAggCCAIIAggCCAIIAggCCAIaAgMCWwIeAAL0AgICMwIEAgUCBgIHAggCCQIrAgsCDAINAggCCAIIAggCCAIIAggCCAIIAggCCAIIAggCCAIIAggCCAIaAgMCXAIeAAL0AgICAwIEAgUCBgIHAggCCQIrAgsCDAINAggCCAIIAggCCAIIAggCCAIIAggCCAIIAggCCAIIAggCCAIaAgMCYAIeAAL0AgIChQIEAgUCBgIHAggCCQIKAgsCDAINAggCCAIIAggCCAIIAggCCAIIAggCCAIIAggCCAIIAggCCAIaAgMCkAIeAAL0AgICLwIEAgUCBgIHAggCCQIrAgsCDAINAggCCAIIAggCCAIIAggCCAIIAggCCAIIAggCCAIIAggCCAIaAgMCPgIeAAL0AgICRwIEAgUCBgIHAggCCQIrAgsCDAINAggCCAIIAggCCAIIAggCCAIIAggCCAIIAggCCAIIAggCCAIaAgMCbAIeAAL0AgICIAIEAgUCBgIHAggCCQIrAgsCDAINAggCCAIIAggCCAIIAggCCAIIAggCCAIIAggCCAIIAggCCAIaAgMCUAIeAAL0AgICIgIEAgUCBgIHAggCCQIrAgsCDAINAggCCAIIAggCCAIIAggCCAIIAggCegAABAAIAggCCAIIAggCCAIIAhoCAwI+Ah4AAvQCAgIbAgQCBQIGAgcCCAIJAisCCwIMAg0CCAIIAggCCAIIAggCCAIIAggCCAIIAggCCAIIAggCCAIIAhoCAwI/Ah4AAvQCAgIeAgQCBQIGAgcCCAIJAisCCwIMAg0CCAIIAggCCAIIAggCCAIIAggCCAIIAggCCAIIAggCCAIIAhoCAwJSAh4AAvQCAgI1AgQCBQIGAgcCCAIJAgoCCwIMAg0CCAIIAggCCAIIAggCCAIIAggCCAIIAggCCAIIAggCCAIIAhoCAwJRAh4AAvQCAgIoAgQCBQIGAgcCCAIJAgoCCwIMAg0CCAIIAggCCAIIAggCCAIIAggCCAIIAggCCAIIAggCCAIIAhoCAwJAAh4AAvQCAgJFAgQCBQIGAgcCCAIJAgoCCwIMAg0CCAIIAggCCAIIAggCCAIIAggCCAIIAggCCAIIAggCCAIIAhoCAwJkAh4AAvQCAgI9AgQCBQIGAgcCCAIJAisCCwIMAg0CCAIIAggCCAIIAggCCAIIAggCCAIIAggCCAIIAggCCAIIAhoCAwI+Ah4AAvQCAgIxAgQCBQIGAgcCCAIJAhwCCwIMAg0CCAIIAggCCAIIAggCCAIIAggCCAIIAggCCAIIAggCCAIIAhoCAwJLAh4AAvQCAgJJAgQCBQIGAgcCCAIJAisCCwIMAg0CCAIIAggCCAIIAggCCAIIAggCCAIIAggCCAIIAggCCAIIAhoCAwJKAh4AAvQCAgJhAgQCBQIGAgcCCAIJAisCCwIMAg0CCAIIAggCCAIIAggCCAIIAggCCAIIAggCCAIIAggCCAIIAhoCAwJiAh4AAvQCAgKFAgQCBQIGAgcCCAIJAhwCCwIMAg0CCAIIAggCCAIIAggCCAIIAggCCAIIAggCCAIIAggCCAIIAhoCAwKGAh4AAvQCAgItAgQCBQIGAgcCCAIJAgoCCwIMAg0CCAIIAggCCAIIAggCCAIIAggCCAIIAggCCAIIAggCCAIIAhoCAwJEAh4AAvQCAgJaAgQCBQIGAgcCCAIJAhwCCwIMAg0CCAIIAggCCAIIAggCCAIIAggCCAIIAggCCAIIAggCCAIIAhoCAwJfAh4AAvQCAgI5AgQCBQIGAgcCCAIJAhwCCwIMAg0CCAIIAggCCAIIAggCCAIIAggCCAIIAggCCAIIAggCCAIIAhoCAwI6Ah4AAvQCAgIvAgQCBQIGAgcCCAIJAhwCCwIMAg0CCAIIAggCCAIIAggCCAIIAggCCAIIAggCCAIIAggCCAIIAhoCAwIwAh4AAvQCAgJHAgQCBQIGAgcCCAIJAhwCCwIMAg0CCAIIAggCCAIIegAABAACCAIIAggCCAIIAggCCAIIAggCCAIIAggCGgIDAlYCHgAC9AICAl0CBAIFAgYCBwIIAgkCHAILAgwCDQIIAggCCAIIAggCCAIIAggCCAIIAggCCAIIAggCCAIIAggCGgIDAmcCHgAC9AICAkECBAIFAgYCBwIIAgkCHAILAgwCDQIIAggCCAIIAggCCAIIAggCCAIIAggCCAIIAggCCAIIAggCGgIDAlcCHgAC9AICAjcCBAIFAgYCBwIIAgkCKwILAgwCDQIIAggCCAIIAggCCAIIAggCCAIIAggCCAIIAggCCAIIAggCGgIDAjgCHgAC9AICAiYCBAIFAgYCBwIIAgkCCgILAgwCDQIIAggCCAIIAggCCAIIAggCCAIIAggCCAIIAggCCAIIAggCGgIDAicCHgAC9AICAoACBAIFAgYCBwIIAgkCKwILAgwCDQIIAggCCAIIAggCCAIIAggCCAIIAggCCAIIAggCCAIIAggCGgIDAj4CHgAC9QAJODUyNDczNjU2AgICKAIEAgUCBgIHAggCCQIcAgsCDAINAggCCAIIAggCCAIIAggCCAIIAggCCAIIAggCCAIIAggCCAIcAgMCKQIeAAL1AgICLwIEAgUCBgIHAggCCQIKAgsCDAINAggCCAIIAggCCAIIAggCCAIIAggCCAIIAggCCAIIAggCCAIcAgMCTAIeAAL1AgICXQIEAgUCBgIHAggCCQIrAgsCDAINAggCCAIIAggCCAIIAggCCAIIAggCCAIIAggCCAIIAggCCAIcAgMCdAIeAAL1AgICWgIEAgUCBgIHAggCCQIrAgsCDAINAggCCAIIAggCCAIIAggCCAIIAggCCAIIAggCCAIIAggCCAIcAgMCPgIeAAL1AgICIAIEAgUCBgIHAggCCQIKAgsCDAINAggCCAIIAggCCAIIAggCCAIIAggCCAIIAggCCAIIAggCCAIcAgMCcgIeAAL1AgICRQIEAgUCBgIHAggCCQIrAgsCDAINAggCCAIIAggCCAIIAggCCAIIAggCCAIIAggCCAIIAggCCAIcAgMCRgIeAAL1AgICgAIEAgUCBgIHAggCCQIcAgsCDAINAggCCAIIAggCCAIIAggCCAIIAggCCAIIAggCCAIIAggCCAIcAgMCkQIeAAL1AgICNwIEAgUCBgIHAggCCQIcAgsCDAINAggCCAIIAggCCAIIAggCCAIIAggCCAIIAggCCAIIAggCCAIcAgMCQwIeAAL1AgICLQIEAgUCBgIHAggCCQIcAgsCDAINAggCCAIIAggCCAIIAggCCAIIAggCCAIIAggCCAIIAggCCAIcAgMCcwIeAAL1AgICOQIEAgUCBgIHegAABAACCAIJAgoCCwIMAg0CCAIIAggCCAIIAggCCAIIAggCCAIIAggCCAIIAggCCAIIAhwCAwJOAh4AAvUCAgIeAgQCBQIGAgcCCAIJAgoCCwIMAg0CCAIIAggCCAIIAggCCAIIAggCCAIIAggCCAIIAggCCAIIAhwCAwJ2Ah4AAvUCAgIiAgQCBQIGAgcCCAIJAgoCCwIMAg0CCAIIAggCCAIIAggCCAIIAggCCAIIAggCCAIIAggCCAIIAhwCAwJ4Ah4AAvUCAgIbAgQCBQIGAgcCCAIJAgoCCwIMAg0CCAIIAggCCAIIAggCCAIIAggCCAIIAggCCAIIAggCCAIIAhwCAwJtAh4AAvUCAgIkAgQCBQIGAgcCCAIJAgoCCwIMAg0CCAIIAggCCAIIAggCCAIIAggCCAIIAggCCAIIAggCCAIIAhwCAwIlAh4AAvUCAgI7AgQCBQIGAgcCCAIJAhwCCwIMAg0CCAIIAggCCAIIAggCCAIIAggCCAIIAggCCAIIAggCCAIIAhwCAwJPAh4AAvUCAgJHAgQCBQIGAgcCCAIJAisCCwIMAg0CCAIIAggCCAIIAggCCAIIAggCCAIIAggCCAIIAggCCAIIAhwCAwJsAh4AAvUCAgKHAgQCBQIGAgcCCAIJAhwCCwIMAg0CCAIIAggCCAIIAggCCAIIAggCCAIIAggCCAIIAggCCAIIAhwCAwKTAh4AAvUCAgJBAgQCBQIGAgcCCAIJAisCCwIMAg0CCAIIAggCCAIIAggCCAIIAggCCAIIAggCCAIIAggCCAIIAhwCAwJ7Ah4AAvUCAgI1AgQCBQIGAgcCCAIJAgoCCwIMAg0CCAIIAggCCAIIAggCCAIIAggCCAIIAggCCAIIAggCCAIIAhwCAwJRAh4AAvUCAgI9AgQCBQIGAgcCCAIJAisCCwIMAg0CCAIIAggCCAIIAggCCAIIAggCCAIIAggCCAIIAggCCAIIAhwCAwI+Ah4AAvUCAgIqAgQCBQIGAgcCCAIJAhwCCwIMAg0CCAIIAggCCAIIAggCCAIIAggCCAIIAggCCAIIAggCCAIIAhwCAwJuAh4AAvUCAgIzAgQCBQIGAgcCCAIJAhwCCwIMAg0CCAIIAggCCAIIAggCCAIIAggCCAIIAggCCAIIAggCCAIIAhwCAwJNAh4AAvUCAgIoAgQCBQIGAgcCCAIJAgoCCwIMAg0CCAIIAggCCAIIAggCCAIIAggCCAIIAggCCAIIAggCCAIIAhwCAwJAAh4AAvUCAgIxAgQCBQIGAgcCCAIJAhwCCwIMAg0CCAIIAggCCAIIAggCCAIIAggCCAIIAggCCAIIAggCCAIIAhwCAwJLAh4AAvUCegAABAACAi0CBAIFAgYCBwIIAgkCCgILAgwCDQIIAggCCAIIAggCCAIIAggCCAIIAggCCAIIAggCCAIIAggCHAIDAkQCHgAC9QICAkkCBAIFAgYCBwIIAgkCCgILAgwCDQIIAggCCAIIAggCCAIIAggCCAIIAggCCAIIAggCCAIIAggCHAIDAnoCHgAC9QICAkkCBAIFAgYCBwIIAgkCKwILAgwCDQIIAggCCAIIAggCCAIIAggCCAIIAggCCAIIAggCCAIIAggCHAIDAkoCHgAC9QICAl0CBAIFAgYCBwIIAgkCHAILAgwCDQIIAggCCAIIAggCCAIIAggCCAIIAggCCAIIAggCCAIIAggCHAIDAmcCHgAC9QICAi8CBAIFAgYCBwIIAgkCHAILAgwCDQIIAggCCAIIAggCCAIIAggCCAIIAggCCAIIAggCCAIIAggCHAIDAjACHgAC9QICAjkCBAIFAgYCBwIIAgkCHAILAgwCDQIIAggCCAIIAggCCAIIAggCCAIIAggCCAIIAggCCAIIAggCHAIDAjoCHgAC9QICAoACBAIFAgYCBwIIAgkCKwILAgwCDQIIAggCCAIIAggCCAIIAggCCAIIAggCCAIIAggCCAIIAggCHAIDAj4CHgAC9QICAmECBAIFAgYCBwIIAgkCKwILAgwCDQIIAggCCAIIAggCCAIIAggCCAIIAggCCAIIAggCCAIIAggCHAIDAmICHgAC9QICAloCBAIFAgYCBwIIAgkCHAILAgwCDQIIAggCCAIIAggCCAIIAggCCAIIAggCCAIIAggCCAIIAggCHAIDAl8CHgAC9QICAhsCBAIFAgYCBwIIAgkCKwILAgwCDQIIAggCCAIIAggCCAIIAggCCAIIAggCCAIIAggCCAIIAggCHAIDAj8CHgAC9QICAiQCBAIFAgYCBwIIAgkCHAILAgwCDQIIAggCCAIIAggCCAIIAggCCAIIAggCCAIIAggCCAIIAggCHAIDAmoCHgAC9QICAiYCBAIFAgYCBwIIAgkCCgILAgwCDQIIAggCCAIIAggCCAIIAggCCAIIAggCCAIIAggCCAIIAggCHAIDAicCHgAC9QICAioCBAIFAgYCBwIIAgkCCgILAgwCDQIIAggCCAIIAggCCAIIAggCCAIIAggCCAIIAggCCAIIAggCHAIDAlQCHgAC9QICAjcCBAIFAgYCBwIIAgkCKwILAgwCDQIIAggCCAIIAggCCAIIAggCCAIIAggCCAIIAggCCAIIAggCHAIDAjgCHgAC9QICAocCBAIFAgYCBwIIAgkCCgILAgwCDQIIAggCCAIIAggCCAIIAggCCAIIAggCCAIIAggCCAIIAggCegAABAAcAgMCjAIeAAL1AgICOwIEAgUCBgIHAggCCQIrAgsCDAINAggCCAIIAggCCAIIAggCCAIIAggCCAIIAggCCAIIAggCCAIcAgMCPAIeAAL1AgICAwIEAgUCBgIHAggCCQIKAgsCDAINAggCCAIIAggCCAIIAggCCAIIAggCCAIIAggCCAIIAggCCAIcAgMCDgIeAAL1AgICNQIEAgUCBgIHAggCCQIcAgsCDAINAggCCAIIAggCCAIIAggCCAIIAggCCAIIAggCCAIIAggCCAIcAgMCNgIeAAL1AgICRQIEAgUCBgIHAggCCQIKAgsCDAINAggCCAIIAggCCAIIAggCCAIIAggCCAIIAggCCAIIAggCCAIcAgMCZAIeAAL1AgICMwIEAgUCBgIHAggCCQIrAgsCDAINAggCCAIIAggCCAIIAggCCAIIAggCCAIIAggCCAIIAggCCAIcAgMCXAIeAAL1AgICXQIEAgUCBgIHAggCCQIKAgsCDAINAggCCAIIAggCCAIIAggCCAIIAggCCAIIAggCCAIIAggCCAIcAgMCXgIeAAL1AgICMQIEAgUCBgIHAggCCQIrAgsCDAINAggCCAIIAggCCAIIAggCCAIIAggCCAIIAggCCAIIAggCCAIcAgMCWQIeAAL1AgICLwIEAgUCBgIHAggCCQIrAgsCDAINAggCCAIIAggCCAIIAggCCAIIAggCCAIIAggCCAIIAggCCAIcAgMCPgIeAAL1AgICWgIEAgUCBgIHAggCCQIKAgsCDAINAggCCAIIAggCCAIIAggCCAIIAggCCAIIAggCCAIIAggCCAIcAgMCWwIeAAL1AgICRwIEAgUCBgIHAggCCQIcAgsCDAINAggCCAIIAggCCAIIAggCCAIIAggCCAIIAggCCAIIAggCCAIcAgMCVgIeAAL1AgICQQIEAgUCBgIHAggCCQIcAgsCDAINAggCCAIIAggCCAIIAggCCAIIAggCCAIIAggCCAIIAggCCAIcAgMCVwIeAAL1AgICAwIEAgUCBgIHAggCCQIrAgsCDAINAggCCAIIAggCCAIIAggCCAIIAggCCAIIAggCCAIIAggCCAIcAgMCYAIeAAL1AgICHgIEAgUCBgIHAggCCQIrAgsCDAINAggCCAIIAggCCAIIAggCCAIIAggCCAIIAggCCAIIAggCCAIcAgMCUgIeAAL1AgICJgIEAgUCBgIHAggCCQIcAgsCDAINAggCCAIIAggCCAIIAggCCAIIAggCCAIIAggCCAIIAggCCAIcAgMCawIeAAL1AgICPQIEAgUCBgIHAggCCQIKAgsCDAINAggCCAIIAggCCAIIAggCCAIIAggCCAIIegAABAACCAIIAggCCAIIAhwCAwJ3Ah4AAvUCAgIgAgQCBQIGAgcCCAIJAisCCwIMAg0CCAIIAggCCAIIAggCCAIIAggCCAIIAggCCAIIAggCCAIIAhwCAwJQAh4AAvUCAgIiAgQCBQIGAgcCCAIJAisCCwIMAg0CCAIIAggCCAIIAggCCAIIAggCCAIIAggCCAIIAggCCAIIAhwCAwI+Ah4AAvUCAgJFAgQCBQIGAgcCCAIJAhwCCwIMAg0CCAIIAggCCAIIAggCCAIIAggCCAIIAggCCAIIAggCCAIIAhwCAwJYAh4AAvUCAgI5AgQCBQIGAgcCCAIJAisCCwIMAg0CCAIIAggCCAIIAggCCAIIAggCCAIIAggCCAIIAggCCAIIAhwCAwJ5Ah4AAvUCAgJhAgQCBQIGAgcCCAIJAgoCCwIMAg0CCAIIAggCCAIIAggCCAIIAggCCAIIAggCCAIIAggCCAIIAhwCAwJ1Ah4AAvUCAgIoAgQCBQIGAgcCCAIJAisCCwIMAg0CCAIIAggCCAIIAggCCAIIAggCCAIIAggCCAIIAggCCAIIAhwCAwJvAh4AAvUCAgI1AgQCBQIGAgcCCAIJAisCCwIMAg0CCAIIAggCCAIIAggCCAIIAggCCAIIAggCCAIIAggCCAIIAhwCAwJwAh4AAvUCAgIDAgQCBQIGAgcCCAIJAhwCCwIMAg0CCAIIAggCCAIIAggCCAIIAggCCAIIAggCCAIIAggCCAIIAhwCAwJxAh4AAvUCAgItAgQCBQIGAgcCCAIJAisCCwIMAg0CCAIIAggCCAIIAggCCAIIAggCCAIIAggCCAIIAggCCAIIAhwCAwIuAh4AAvUCAgKAAgQCBQIGAgcCCAIJAgoCCwIMAg0CCAIIAggCCAIIAggCCAIIAggCCAIIAggCCAIIAggCCAIIAhwCAwKSAh4AAvUCAgI3AgQCBQIGAgcCCAIJAgoCCwIMAg0CCAIIAggCCAIIAggCCAIIAggCCAIIAggCCAIIAggCCAIIAhwCAwJjAh4AAvUCAgI7AgQCBQIGAgcCCAIJAgoCCwIMAg0CCAIIAggCCAIIAggCCAIIAggCCAIIAggCCAIIAggCCAIIAhwCAwJlAh4AAvUCAgJBAgQCBQIGAgcCCAIJAgoCCwIMAg0CCAIIAggCCAIIAggCCAIIAggCCAIIAggCCAIIAggCCAIIAhwCAwJCAh4AAvUCAgIgAgQCBQIGAgcCCAIJAhwCCwIMAg0CCAIIAggCCAIIAggCCAIIAggCCAIIAggCCAIIAggCCAIIAhwCAwIhAh4AAvUCAgIeAgQCBQIGAgcCCAIJAhwCCwIMAg0CCAIIAggCCAIIAggCegAABAAIAggCCAIIAggCCAIIAggCCAIIAggCHAIDAh8CHgAC9QICAkcCBAIFAgYCBwIIAgkCCgILAgwCDQIIAggCCAIIAggCCAIIAggCCAIIAggCCAIIAggCCAIIAggCHAIDAkgCHgAC9QICAiYCBAIFAgYCBwIIAgkCKwILAgwCDQIIAggCCAIIAggCCAIIAggCCAIIAggCCAIIAggCCAIIAggCHAIDAmkCHgAC9QICAiQCBAIFAgYCBwIIAgkCKwILAgwCDQIIAggCCAIIAggCCAIIAggCCAIIAggCCAIIAggCCAIIAggCHAIDAlUCHgAC9QICAocCBAIFAgYCBwIIAgkCKwILAgwCDQIIAggCCAIIAggCCAIIAggCCAIIAggCCAIIAggCCAIIAggCHAIDAj4CHgAC9QICAioCBAIFAgYCBwIIAgkCKwILAgwCDQIIAggCCAIIAggCCAIIAggCCAIIAggCCAIIAggCCAIIAggCHAIDAiwCHgAC9QICAhsCBAIFAgYCBwIIAgkCHAILAgwCDQIIAggCCAIIAggCCAIIAggCCAIIAggCCAIIAggCCAIIAggCHAIDAh0CHgAC9QICAmECBAIFAgYCBwIIAgkCHAILAgwCDQIIAggCCAIIAggCCAIIAggCCAIIAggCCAIIAggCCAIIAggCHAIDAmYCHgAC9QICAj0CBAIFAgYCBwIIAgkCHAILAgwCDQIIAggCCAIIAggCCAIIAggCCAIIAggCCAIIAggCCAIIAggCHAIDAlMCHgAC9QICAjMCBAIFAgYCBwIIAgkCCgILAgwCDQIIAggCCAIIAggCCAIIAggCCAIIAggCCAIIAggCCAIIAggCHAIDAjQCHgAC9QICAiICBAIFAgYCBwIIAgkCHAILAgwCDQIIAggCCAIIAggCCAIIAggCCAIIAggCCAIIAggCCAIIAggCHAIDAiMCHgAC9QICAkkCBAIFAgYCBwIIAgkCHAILAgwCDQIIAggCCAIIAggCCAIIAggCCAIIAggCCAIIAggCCAIIAggCHAIDAmgCHgAC9QICAjECBAIFAgYCBwIIAgkCCgILAgwCDQIIAggCCAIIAggCCAIIAggCCAIIAggCCAIIAggCCAIIAggCHAIDAjICHgAC9gAJODUyMzY3MDg4AgICKAIEAgUCBgIHAggCCQIcAgsCmAINAggCCAIIAggCCAIIAggCCAIIAggCCAIIAggCCAIIAggCCAIVAgMCugIeAAL2AgIChQIEAgUCBgIHAggCCQIcAgsCmAINAggCCAIIAggCCAIIAggCCAIIAggCCAIIAggCCAIIAggCCAIVAgMC8QIeAAL2AgICLQIEAgUCBgIHAggCegAABAAJApcCCwKYAg0CCAIIAggCCAIIAggCCAIIAggCCAIIAggCCAIIAggCCAIIAhUCAwKlAh4AAvYCAgI5AgQCBQIGAgcCCAIJAgoCCwKYAg0CCAIIAggCCAIIAggCCAIIAggCCAIIAggCCAIIAggCCAIIAhUCAwKnAh4AAvYCAgIxAgQCBQIGAgcCCAIJAgoCCwKYAg0CCAIIAggCCAIIAggCCAIIAggCCAIIAggCCAIIAggCCAIIAhUCAwLfAh4AAvYCAgKDAgQCBQIGAgcCCAIJAhwCCwKYAg0CCAIIAggCCAIIAggCCAIIAggCCAIIAggCCAIIAggCCAIIAhUCAwLvAh4AAvYCAgKAAgQCBQIGAgcCCAIJApcCCwKYAg0CCAIIAggCCAIIAggCCAIIAggCCAIIAggCCAIIAggCCAIIAhUCAwI+Ah4AAvYCAgKBAgQCBQIGAgcCCAIJAgoCCwKYAg0CCAIIAggCCAIIAggCCAIIAggCCAIIAggCCAIIAggCCAIIAhUCAwLwAh4AAvYCAgI7AgQCBQIGAgcCCAIJApcCCwKYAg0CCAIIAggCCAIIAggCCAIIAggCCAIIAggCCAIIAggCCAIIAhUCAwKkAh4AAvYCAgIkAgQCBQIGAgcCCAIJAgoCCwKYAg0CCAIIAggCCAIIAggCCAIIAggCCAIIAggCCAIIAggCCAIIAhUCAwK3Ah4AAvYCAgIgAgQCBQIGAgcCCAIJAhwCCwKYAg0CCAIIAggCCAIIAggCCAIIAggCCAIIAggCCAIIAggCCAIIAhUCAwLTAh4AAvYCAgIqAgQCBQIGAgcCCAIJApcCCwKYAg0CCAIIAggCCAIIAggCCAIIAggCCAIIAggCCAIIAggCCAIIAhUCAwKZAh4AAvYCAgKPAgQCBQIGAgcCCAIJApcCCwKYAg0CCAIIAggCCAIIAggCCAIIAggCCAIIAggCCAIIAggCCAIIAhUCAwI+Ah4AAvYCAgIiAgQCBQIGAgcCCAIJAgoCCwKYAg0CCAIIAggCCAIIAggCCAIIAggCCAIIAggCCAIIAggCCAIIAhUCAwKaAh4AAvYCAgJ9AgQCBQIGAgcCCAIJApcCCwKYAg0CCAIIAggCCAIIAggCCAIIAggCCAIIAggCCAIIAggCCAIIAhUCAwI+Ah4AAvYCAgIoAgQCBQIGAgcCCAIJAgoCCwKYAg0CCAIIAggCCAIIAggCCAIIAggCCAIIAggCCAIIAggCCAIIAhUCAwKbAh4AAvYCAgIxAgQCBQIGAgcCCAIJAhwCCwKYAg0CCAIIAggCCAIIAggCCAIIAggCCAIIAggCCAIIAggCCAIIAhUCAwLOAh4AAvYCAgJ+egAABAACBAIFAgYCBwIIAgkCCgILApgCDQIIAggCCAIIAggCCAIIAggCCAIIAggCCAIIAggCCAIIAggCFQIDAu0CHgAC9gICAoMCBAIFAgYCBwIIAgkCCgILApgCDQIIAggCCAIIAggCCAIIAggCCAIIAggCCAIIAggCCAIIAggCFQIDAu0CHgAC9gICAmECBAIFAgYCBwIIAgkCCgILApgCDQIIAggCCAIIAggCCAIIAggCCAIIAggCCAIIAggCCAIIAggCFQIDAs8CHgAC9gICAi8CBAIFAgYCBwIIAgkClwILApgCDQIIAggCCAIIAggCCAIIAggCCAIIAggCCAIIAggCCAIIAggCFQIDAj4CHgAC9gICAocCBAIFAgYCBwIIAgkCHAILApgCDQIIAggCCAIIAggCCAIIAggCCAIIAggCCAIIAggCCAIIAggCFQIDAqoCHgAC9gICAloCBAIFAgYCBwIIAgkClwILApgCDQIIAggCCAIIAggCCAIIAggCCAIIAggCCAIIAggCCAIIAggCFQIDAj4CHgAC9gICAiQCBAIFAgYCBwIIAgkCHAILApgCDQIIAggCCAIIAggCCAIIAggCCAIIAggCCAIIAggCCAIIAggCFQIDAsYCHgAC9gICAl0CBAIFAgYCBwIIAgkCHAILApgCDQIIAggCCAIIAggCCAIIAggCCAIIAggCCAIIAggCCAIIAggCFQIDAr0CHgAC9gICAjkCBAIFAgYCBwIIAgkCHAILApgCDQIIAggCCAIIAggCCAIIAggCCAIIAggCCAIIAggCCAIIAggCFQIDAr8CHgAC9gICAiACBAIFAgYCBwIIAgkCCgILApgCDQIIAggCCAIIAggCCAIIAggCCAIIAggCCAIIAggCCAIIAggCFQIDAp8CHgAC9gICAogCBAIFAgYCBwIIAgkClwILApgCDQIIAggCCAIIAggCCAIIAggCCAIIAggCCAIIAggCCAIIAggCFQIDAj4CHgAC9gICAjUCBAIFAgYCBwIIAgkClwILApgCDQIIAggCCAIIAggCCAIIAggCCAIIAggCCAIIAggCCAIIAggCFQIDArECHgAC9gICAkkCBAIFAgYCBwIIAgkClwILApgCDQIIAggCCAIIAggCCAIIAggCCAIIAggCCAIIAggCCAIIAggCFQIDAt0CHgAC9gICAl0CBAIFAgYCBwIIAgkCCgILApgCDQIIAggCCAIIAggCCAIIAggCCAIIAggCCAIIAggCCAIIAggCFQIDAswCHgAC9gICAkUCBAIFAgYCBwIIAgkCCgILApgCDQIIAggCCAIIAggCCAIIAggCCAIIAggCCAIIAggCCAIIAggCFQIDegAABAACuwIeAAL2AgICfgIEAgUCBgIHAggCCQIcAgsCmAINAggCCAIIAggCCAIIAggCCAIIAggCCAIIAggCCAIIAggCCAIVAgMC7wIeAAL2AgICQQIEAgUCBgIHAggCCQIcAgsCmAINAggCCAIIAggCCAIIAggCCAIIAggCCAIIAggCCAIIAggCCAIVAgMCwAIeAAL2AgICRwIEAgUCBgIHAggCCQKXAgsCmAINAggCCAIIAggCCAIIAggCCAIIAggCCAIIAggCCAIIAggCCAIVAgMCsgIeAAL2AgICgAIEAgUCBgIHAggCCQIKAgsCmAINAggCCAIIAggCCAIIAggCCAIIAggCCAIIAggCCAIIAggCCAIVAgMC2gIeAAL2AgICRQIEAgUCBgIHAggCCQKXAgsCmAINAggCCAIIAggCCAIIAggCCAIIAggCCAIIAggCCAIIAggCCAIVAgMCowIeAAL2AgICMQIEAgUCBgIHAggCCQKXAgsCmAINAggCCAIIAggCCAIIAggCCAIIAggCCAIIAggCCAIIAggCCAIVAgMCxwIeAAL2AgICAwIEAgUCBgIHAggCCQIcAgsCmAINAggCCAIIAggCCAIIAggCCAIIAggCCAIIAggCCAIIAggCCAIVAgMCygIeAAL2AgICMwIEAgUCBgIHAggCCQIcAgsCmAINAggCCAIIAggCCAIIAggCCAIIAggCCAIIAggCCAIIAggCCAIVAgMCywIeAAL2AgICgQIEAgUCBgIHAggCCQKXAgsCmAINAggCCAIIAggCCAIIAggCCAIIAggCCAIIAggCCAIIAggCCAIVAgMCPgIeAAL2AgIChQIEAgUCBgIHAggCCQIKAgsCmAINAggCCAIIAggCCAIIAggCCAIIAggCCAIIAggCCAIIAggCCAIVAgMC5gIeAAL2AgICOwIEAgUCBgIHAggCCQIKAgsCmAINAggCCAIIAggCCAIIAggCCAIIAggCCAIIAggCCAIIAggCCAIVAgMC3AIeAAL2AgICjwIEAgUCBgIHAggCCQIKAgsCmAINAggCCAIIAggCCAIIAggCCAIIAggCCAIIAggCCAIIAggCCAIVAgMC7QIeAAL2AgICHgIEAgUCBgIHAggCCQKXAgsCmAINAggCCAIIAggCCAIIAggCCAIIAggCCAIIAggCCAIIAggCCAIVAgMC4gIeAAL2AgICGwIEAgUCBgIHAggCCQKXAgsCmAINAggCCAIIAggCCAIIAggCCAIIAggCCAIIAggCCAIIAggCCAIVAgMC2QIeAAL2AgICQQIEAgUCBgIHAggCCQIKAgsCmAINAggCCAIIAggCCAIIAggCCAIIAggCCAIIAggCegAABAAIAggCCAIIAhUCAwLCAh4AAvYCAgKAAgQCBQIGAgcCCAIJAhwCCwKYAg0CCAIIAggCCAIIAggCCAIIAggCCAIIAggCCAIIAggCCAIIAhUCAwKgAh4AAvYCAgI9AgQCBQIGAgcCCAIJApcCCwKYAg0CCAIIAggCCAIIAggCCAIIAggCCAIIAggCCAIIAggCCAIIAhUCAwI+Ah4AAvYCAgIiAgQCBQIGAgcCCAIJAhwCCwKYAg0CCAIIAggCCAIIAggCCAIIAggCCAIIAggCCAIIAggCCAIIAhUCAwLUAh4AAvYCAgJhAgQCBQIGAgcCCAIJAhwCCwKYAg0CCAIIAggCCAIIAggCCAIIAggCCAIIAggCCAIIAggCCAIIAhUCAwLJAh4AAvYCAgI1AgQCBQIGAgcCCAIJAhwCCwKYAg0CCAIIAggCCAIIAggCCAIIAggCCAIIAggCCAIIAggCCAIIAhUCAwK5Ah4AAvYCAgIvAgQCBQIGAgcCCAIJAgoCCwKYAg0CCAIIAggCCAIIAggCCAIIAggCCAIIAggCCAIIAggCCAIIAhUCAwKiAh4AAvYCAgIzAgQCBQIGAgcCCAIJAgoCCwKYAg0CCAIIAggCCAIIAggCCAIIAggCCAIIAggCCAIIAggCCAIIAhUCAwLhAh4AAvYCAgKDAgQCBQIGAgcCCAIJApcCCwKYAg0CCAIIAggCCAIIAggCCAIIAggCCAIIAggCCAIIAggCCAIIAhUCAwI+Ah4AAvYCAgItAgQCBQIGAgcCCAIJAhwCCwKYAg0CCAIIAggCCAIIAggCCAIIAggCCAIIAggCCAIIAggCCAIIAhUCAwKoAh4AAvYCAgI3AgQCBQIGAgcCCAIJApcCCwKYAg0CCAIIAggCCAIIAggCCAIIAggCCAIIAggCCAIIAggCCAIIAhUCAwKmAh4AAvYCAgI7AgQCBQIGAgcCCAIJAhwCCwKYAg0CCAIIAggCCAIIAggCCAIIAggCCAIIAggCCAIIAggCCAIIAhUCAwKrAh4AAvYCAgIeAgQCBQIGAgcCCAIJAhwCCwKYAg0CCAIIAggCCAIIAggCCAIIAggCCAIIAggCCAIIAggCCAIIAhUCAwLSAh4AAvYCAgJ9AgQCBQIGAgcCCAIJAhwCCwKYAg0CCAIIAggCCAIIAggCCAIIAggCCAIIAggCCAIIAggCCAIIAhUCAwLyAh4AAvYCAgImAgQCBQIGAgcCCAIJAgoCCwKYAg0CCAIIAggCCAIIAggCCAIIAggCCAIIAggCCAIIAggCCAIIAhUCAwKwAh4AAvYCAgKIAgQCBQIGAgcCCAIJAgoCCwKYAg0CCAIIAggCCAIIAggCCAIIegAABAACCAIIAggCCAIIAggCCAIIAggCFQIDAu4CHgAC9gICAhsCBAIFAgYCBwIIAgkCCgILApgCDQIIAggCCAIIAggCCAIIAggCCAIIAggCCAIIAggCCAIIAggCFQIDAp0CHgAC9gICAo8CBAIFAgYCBwIIAgkCHAILApgCDQIIAggCCAIIAggCCAIIAggCCAIIAggCCAIIAggCCAIIAggCFQIDAu8CHgAC9gICAocCBAIFAgYCBwIIAgkClwILApgCDQIIAggCCAIIAggCCAIIAggCCAIIAggCCAIIAggCCAIIAggCFQIDAj4CHgAC9gICAi0CBAIFAgYCBwIIAgkCCgILApgCDQIIAggCCAIIAggCCAIIAggCCAIIAggCCAIIAggCCAIIAggCFQIDAqECHgAC9gICAkkCBAIFAgYCBwIIAgkCCgILApgCDQIIAggCCAIIAggCCAIIAggCCAIIAggCCAIIAggCCAIIAggCFQIDAs0CHgAC9gICAl0CBAIFAgYCBwIIAgkClwILApgCDQIIAggCCAIIAggCCAIIAggCCAIIAggCCAIIAggCCAIIAggCFQIDArwCHgAC9gICAioCBAIFAgYCBwIIAgkCHAILApgCDQIIAggCCAIIAggCCAIIAggCCAIIAggCCAIIAggCCAIIAggCFQIDAqkCHgAC9gICAi8CBAIFAgYCBwIIAgkCHAILApgCDQIIAggCCAIIAggCCAIIAggCCAIIAggCCAIIAggCCAIIAggCFQIDAr4CHgAC9gICAjkCBAIFAgYCBwIIAgkClwILApgCDQIIAggCCAIIAggCCAIIAggCCAIIAggCCAIIAggCCAIIAggCFQIDArgCHgAC9gICAiYCBAIFAgYCBwIIAgkCHAILApgCDQIIAggCCAIIAggCCAIIAggCCAIIAggCCAIIAggCCAIIAggCFQIDAsQCHgAC9gICAiQCBAIFAgYCBwIIAgkClwILApgCDQIIAggCCAIIAggCCAIIAggCCAIIAggCCAIIAggCCAIIAggCFQIDAsUCHgAC9gICAioCBAIFAgYCBwIIAgkCCgILApgCDQIIAggCCAIIAggCCAIIAggCCAIIAggCCAIIAggCCAIIAggCFQIDAq4CHgAC9gICAh4CBAIFAgYCBwIIAgkCCgILApgCDQIIAggCCAIIAggCCAIIAggCCAIIAggCCAIIAggCCAIIAggCFQIDAp4CHgAC9gICAogCBAIFAgYCBwIIAgkCHAILApgCDQIIAggCCAIIAggCCAIIAggCCAIIAggCCAIIAggCCAIIAggCFQIDAuwCHgAC9gICAoUCBAIFAgYCBwIIAgkClwILApgCDQIIAggCegAABAAIAggCCAIIAggCCAIIAggCCAIIAggCCAIIAggCCAIVAgMCPgIeAAL2AgICKAIEAgUCBgIHAggCCQKXAgsCmAINAggCCAIIAggCCAIIAggCCAIIAggCCAIIAggCCAIIAggCCAIVAgMCtgIeAAL2AgICAwIEAgUCBgIHAggCCQIKAgsCmAINAggCCAIIAggCCAIIAggCCAIIAggCCAIIAggCCAIIAggCCAIVAgMCtAIeAAL2AgICfQIEAgUCBgIHAggCCQIKAgsCmAINAggCCAIIAggCCAIIAggCCAIIAggCCAIIAggCCAIIAggCCAIVAgMC5wIeAAL2AgICYQIEAgUCBgIHAggCCQKXAgsCmAINAggCCAIIAggCCAIIAggCCAIIAggCCAIIAggCCAIIAggCCAIVAgMC1wIeAAL2AgICfgIEAgUCBgIHAggCCQKXAgsCmAINAggCCAIIAggCCAIIAggCCAIIAggCCAIIAggCCAIIAggCCAIVAgMCPgIeAAL2AgICPQIEAgUCBgIHAggCCQIcAgsCmAINAggCCAIIAggCCAIIAggCCAIIAggCCAIIAggCCAIIAggCCAIVAgMC4wIeAAL2AgICRwIEAgUCBgIHAggCCQIcAgsCmAINAggCCAIIAggCCAIIAggCCAIIAggCCAIIAggCCAIIAggCCAIVAgMCswIeAAL2AgIChwIEAgUCBgIHAggCCQIKAgsCmAINAggCCAIIAggCCAIIAggCCAIIAggCCAIIAggCCAIIAggCCAIVAgMCrQIeAAL2AgICJgIEAgUCBgIHAggCCQKXAgsCmAINAggCCAIIAggCCAIIAggCCAIIAggCCAIIAggCCAIIAggCCAIVAgMC0AIeAAL2AgICQQIEAgUCBgIHAggCCQKXAgsCmAINAggCCAIIAggCCAIIAggCCAIIAggCCAIIAggCCAIIAggCCAIVAgMCrwIeAAL2AgICPQIEAgUCBgIHAggCCQIKAgsCmAINAggCCAIIAggCCAIIAggCCAIIAggCCAIIAggCCAIIAggCCAIVAgMC0QIeAAL2AgICNwIEAgUCBgIHAggCCQIKAgsCmAINAggCCAIIAggCCAIIAggCCAIIAggCCAIIAggCCAIIAggCCAIVAgMC2AIeAAL2AgICWgIEAgUCBgIHAggCCQIcAgsCmAINAggCCAIIAggCCAIIAggCCAIIAggCCAIIAggCCAIIAggCCAIVAgMCtQIeAAL2AgICRQIEAgUCBgIHAggCCQIcAgsCmAINAggCCAIIAggCCAIIAggCCAIIAggCCAIIAggCCAIIAggCCAIVAgMC1QIeAAL2AgICMwIEAgUCBgIHAggCCQKXegAABAACCwKYAg0CCAIIAggCCAIIAggCCAIIAggCCAIIAggCCAIIAggCCAIIAhUCAwLIAh4AAvYCAgIDAgQCBQIGAgcCCAIJApcCCwKYAg0CCAIIAggCCAIIAggCCAIIAggCCAIIAggCCAIIAggCCAIIAhUCAwLDAh4AAvYCAgKBAgQCBQIGAgcCCAIJAhwCCwKYAg0CCAIIAggCCAIIAggCCAIIAggCCAIIAggCCAIIAggCCAIIAhUCAwLzAh4AAvYCAgI1AgQCBQIGAgcCCAIJAgoCCwKYAg0CCAIIAggCCAIIAggCCAIIAggCCAIIAggCCAIIAggCCAIIAhUCAwKsAh4AAvYCAgIgAgQCBQIGAgcCCAIJApcCCwKYAg0CCAIIAggCCAIIAggCCAIIAggCCAIIAggCCAIIAggCCAIIAhUCAwLgAh4AAvYCAgIiAgQCBQIGAgcCCAIJApcCCwKYAg0CCAIIAggCCAIIAggCCAIIAggCCAIIAggCCAIIAggCCAIIAhUCAwI+Ah4AAvYCAgI3AgQCBQIGAgcCCAIJAhwCCwKYAg0CCAIIAggCCAIIAggCCAIIAggCCAIIAggCCAIIAggCCAIIAhUCAwKcAh4AAvYCAgJHAgQCBQIGAgcCCAIJAgoCCwKYAg0CCAIIAggCCAIIAggCCAIIAggCCAIIAggCCAIIAggCCAIIAhUCAwLBAh4AAvYCAgJJAgQCBQIGAgcCCAIJAhwCCwKYAg0CCAIIAggCCAIIAggCCAIIAggCCAIIAggCCAIIAggCCAIIAhUCAwLeAh4AAvYCAgJaAgQCBQIGAgcCCAIJAgoCCwKYAg0CCAIIAggCCAIIAggCCAIIAggCCAIIAggCCAIIAggCCAIIAhUCAwLbAh4AAvYCAgIbAgQCBQIGAgcCCAIJAhwCCwKYAg0CCAIIAggCCAIIAggCCAIIAggCCAIIAggCCAIIAggCCAIIAhUCAwLWAh4AAvcACTg1MjM3MTcyOAICAmECBAIFAgYCBwIIAgkClwILApgCDQIIAggCCAIIAggCCAIIAggCCAIIAggCCAIIAggCCAIIAggCGQIDAtcCHgAC9wICAkcCBAIFAgYCBwIIAgkCHAILApgCDQIIAggCCAIIAggCCAIIAggCCAIIAggCCAIIAggCCAIIAggCGQIDArMCHgAC9wICAkECBAIFAgYCBwIIAgkCHAILApgCDQIIAggCCAIIAggCCAIIAggCCAIIAggCCAIIAggCCAIIAggCGQIDAsACHgAC9wICAkkCBAIFAgYCBwIIAgkClwILApgCDQIIAggCCAIIAggCCAIIAggCCAIIAggCCAIIAggCCAIIAggCGQIDAt0CegAABAAeAAL3AgICRQIEAgUCBgIHAggCCQIKAgsCmAINAggCCAIIAggCCAIIAggCCAIIAggCCAIIAggCCAIIAggCCAIZAgMCuwIeAAL3AgICSQIEAgUCBgIHAggCCQIcAgsCmAINAggCCAIIAggCCAIIAggCCAIIAggCCAIIAggCCAIIAggCCAIZAgMC3gIeAAL3AgIChwIEAgUCBgIHAggCCQIKAgsCmAINAggCCAIIAggCCAIIAggCCAIIAggCCAIIAggCCAIIAggCCAIZAgMCrQIeAAL3AgICPQIEAgUCBgIHAggCCQIcAgsCmAINAggCCAIIAggCCAIIAggCCAIIAggCCAIIAggCCAIIAggCCAIZAgMC4wIeAAL3AgICKgIEAgUCBgIHAggCCQIKAgsCmAINAggCCAIIAggCCAIIAggCCAIIAggCCAIIAggCCAIIAggCCAIZAgMCrgIeAAL3AgICJAIEAgUCBgIHAggCCQKXAgsCmAINAggCCAIIAggCCAIIAggCCAIIAggCCAIIAggCCAIIAggCCAIZAgMCxQIeAAL3AgICJgIEAgUCBgIHAggCCQKXAgsCmAINAggCCAIIAggCCAIIAggCCAIIAggCCAIIAggCCAIIAggCCAIZAgMC0AIeAAL3AgICPQIEAgUCBgIHAggCCQKXAgsCmAINAggCCAIIAggCCAIIAggCCAIIAggCCAIIAggCCAIIAggCCAIZAgMCPgIeAAL3AgICPQIEAgUCBgIHAggCCQIKAgsCmAINAggCCAIIAggCCAIIAggCCAIIAggCCAIIAggCCAIIAggCCAIZAgMC0QIeAAL3AgICYQIEAgUCBgIHAggCCQIcAgsCmAINAggCCAIIAggCCAIIAggCCAIIAggCCAIIAggCCAIIAggCCAIZAgMCyQIeAAL3AgICJAIEAgUCBgIHAggCCQIcAgsCmAINAggCCAIIAggCCAIIAggCCAIIAggCCAIIAggCCAIIAggCCAIZAgMCxgIeAAL3AgICQQIEAgUCBgIHAggCCQIKAgsCmAINAggCCAIIAggCCAIIAggCCAIIAggCCAIIAggCCAIIAggCCAIZAgMCwgIeAAL3AgICWgIEAgUCBgIHAggCCQIKAgsCmAINAggCCAIIAggCCAIIAggCCAIIAggCCAIIAggCCAIIAggCCAIZAgMC2wIeAAL3AgICRwIEAgUCBgIHAggCCQIKAgsCmAINAggCCAIIAggCCAIIAggCCAIIAggCCAIIAggCCAIIAggCCAIZAgMCwQIeAAL3AgICXQIEAgUCBgIHAggCCQIKAgsCmAINAggCCAIIAggCCAIIAggCCAIIAggCCAIIAggCCAIIegAABAACCAIIAhkCAwLMAh4AAvcCAgIxAgQCBQIGAgcCCAIJApcCCwKYAg0CCAIIAggCCAIIAggCCAIIAggCCAIIAggCCAIIAggCCAIIAhkCAwLHAh4AAvcCAgJdAgQCBQIGAgcCCAIJApcCCwKYAg0CCAIIAggCCAIIAggCCAIIAggCCAIIAggCCAIIAggCCAIIAhkCAwK8Ah4AAvcCAgIoAgQCBQIGAgcCCAIJAgoCCwKYAg0CCAIIAggCCAIIAggCCAIIAggCCAIIAggCCAIIAggCCAIIAhkCAwKbAh4AAvcCAgIzAgQCBQIGAgcCCAIJApcCCwKYAg0CCAIIAggCCAIIAggCCAIIAggCCAIIAggCCAIIAggCCAIIAhkCAwLIAh4AAvcCAgIxAgQCBQIGAgcCCAIJAhwCCwKYAg0CCAIIAggCCAIIAggCCAIIAggCCAIIAggCCAIIAggCCAIIAhkCAwLOAh4AAvcCAgIvAgQCBQIGAgcCCAIJApcCCwKYAg0CCAIIAggCCAIIAggCCAIIAggCCAIIAggCCAIIAggCCAIIAhkCAwI+Ah4AAvcCAgIzAgQCBQIGAgcCCAIJAhwCCwKYAg0CCAIIAggCCAIIAggCCAIIAggCCAIIAggCCAIIAggCCAIIAhkCAwLLAh4AAvcCAgI5AgQCBQIGAgcCCAIJApcCCwKYAg0CCAIIAggCCAIIAggCCAIIAggCCAIIAggCCAIIAggCCAIIAhkCAwK4Ah4AAvcCAgKFAgQCBQIGAgcCCAIJAgoCCwKYAg0CCAIIAggCCAIIAggCCAIIAggCCAIIAggCCAIIAggCCAIIAhkCAwLmAh4AAvcCAgI1AgQCBQIGAgcCCAIJAgoCCwKYAg0CCAIIAggCCAIIAggCCAIIAggCCAIIAggCCAIIAggCCAIIAhkCAwKsAh4AAvcCAgImAgQCBQIGAgcCCAIJAgoCCwKYAg0CCAIIAggCCAIIAggCCAIIAggCCAIIAggCCAIIAggCCAIIAhkCAwKwAh4AAvcCAgJHAgQCBQIGAgcCCAIJApcCCwKYAg0CCAIIAggCCAIIAggCCAIIAggCCAIIAggCCAIIAggCCAIIAhkCAwKyAh4AAvcCAgJBAgQCBQIGAgcCCAIJApcCCwKYAg0CCAIIAggCCAIIAggCCAIIAggCCAIIAggCCAIIAggCCAIIAhkCAwKvAh4AAvcCAgJdAgQCBQIGAgcCCAIJAhwCCwKYAg0CCAIIAggCCAIIAggCCAIIAggCCAIIAggCCAIIAggCCAIIAhkCAwK9Ah4AAvcCAgI5AgQCBQIGAgcCCAIJAhwCCwKYAg0CCAIIAggCCAIIAggCCAIIAggCegAABAAIAggCCAIIAggCCAIIAggCGQIDAr8CHgAC9wICAi8CBAIFAgYCBwIIAgkCHAILApgCDQIIAggCCAIIAggCCAIIAggCCAIIAggCCAIIAggCCAIIAggCGQIDAr4CHgAC9wICAloCBAIFAgYCBwIIAgkCHAILApgCDQIIAggCCAIIAggCCAIIAggCCAIIAggCCAIIAggCCAIIAggCGQIDArUCHgAC9wICAloCBAIFAgYCBwIIAgkClwILApgCDQIIAggCCAIIAggCCAIIAggCCAIIAggCCAIIAggCCAIIAggCGQIDAj4CHgAC9wICAi0CBAIFAgYCBwIIAgkCCgILApgCDQIIAggCCAIIAggCCAIIAggCCAIIAggCCAIIAggCCAIIAggCGQIDAqECHgAC9wICAiQCBAIFAgYCBwIIAgkCCgILApgCDQIIAggCCAIIAggCCAIIAggCCAIIAggCCAIIAggCCAIIAggCGQIDArcCHgAC9wICAjECBAIFAgYCBwIIAgkCCgILApgCDQIIAggCCAIIAggCCAIIAggCCAIIAggCCAIIAggCCAIIAggCGQIDAt8CHgAC9wICAjUCBAIFAgYCBwIIAgkCHAILApgCDQIIAggCCAIIAggCCAIIAggCCAIIAggCCAIIAggCCAIIAggCGQIDArkCHgAC9wICAhsCBAIFAgYCBwIIAgkCHAILApgCDQIIAggCCAIIAggCCAIIAggCCAIIAggCCAIIAggCCAIIAggCGQIDAtYCHgAC9wICAiICBAIFAgYCBwIIAgkCHAILApgCDQIIAggCCAIIAggCCAIIAggCCAIIAggCCAIIAggCCAIIAggCGQIDAtQCHgAC9wICAjUCBAIFAgYCBwIIAgkClwILApgCDQIIAggCCAIIAggCCAIIAggCCAIIAggCCAIIAggCCAIIAggCGQIDArECHgAC9wICAigCBAIFAgYCBwIIAgkCHAILApgCDQIIAggCCAIIAggCCAIIAggCCAIIAggCCAIIAggCCAIIAggCGQIDAroCHgAC9wICAi0CBAIFAgYCBwIIAgkClwILApgCDQIIAggCCAIIAggCCAIIAggCCAIIAggCCAIIAggCCAIIAggCGQIDAqUCHgAC9wICAjsCBAIFAgYCBwIIAgkClwILApgCDQIIAggCCAIIAggCCAIIAggCCAIIAggCCAIIAggCCAIIAggCGQIDAqQCHgAC9wICAgMCBAIFAgYCBwIIAgkCCgILApgCDQIIAggCCAIIAggCCAIIAggCCAIIAggCCAIIAggCCAIIAggCGQIDArQCHgAC9wICAoUCBAIFAgYCBwIIAgkClwILApgCDQIIAggCCAIIegAABAACCAIIAggCCAIIAggCCAIIAggCCAIIAggCCAIZAgMCPgIeAAL3AgIChQIEAgUCBgIHAggCCQIcAgsCmAINAggCCAIIAggCCAIIAggCCAIIAggCCAIIAggCCAIIAggCCAIZAgMC8QIeAAL3AgICMwIEAgUCBgIHAggCCQIKAgsCmAINAggCCAIIAggCCAIIAggCCAIIAggCCAIIAggCCAIIAggCCAIZAgMC4QIeAAL3AgICOwIEAgUCBgIHAggCCQIcAgsCmAINAggCCAIIAggCCAIIAggCCAIIAggCCAIIAggCCAIIAggCCAIZAgMCqwIeAAL3AgICgAIEAgUCBgIHAggCCQIcAgsCmAINAggCCAIIAggCCAIIAggCCAIIAggCCAIIAggCCAIIAggCCAIZAgMCoAIeAAL3AgICNwIEAgUCBgIHAggCCQIcAgsCmAINAggCCAIIAggCCAIIAggCCAIIAggCCAIIAggCCAIIAggCCAIZAgMCnAIeAAL3AgICHgIEAgUCBgIHAggCCQIKAgsCmAINAggCCAIIAggCCAIIAggCCAIIAggCCAIIAggCCAIIAggCCAIZAgMCngIeAAL3AgICGwIEAgUCBgIHAggCCQKXAgsCmAINAggCCAIIAggCCAIIAggCCAIIAggCCAIIAggCCAIIAggCCAIZAgMC2QIeAAL3AgICfQIEAgUCBgIHAggCCQIKAgsCmAINAggCCAIIAggCCAIIAggCCAIIAggCCAIIAggCCAIIAggCCAIZAgMC5wIeAAL3AgICIgIEAgUCBgIHAggCCQKXAgsCmAINAggCCAIIAggCCAIIAggCCAIIAggCCAIIAggCCAIIAggCCAIZAgMCPgIeAAL3AgICNwIEAgUCBgIHAggCCQKXAgsCmAINAggCCAIIAggCCAIIAggCCAIIAggCCAIIAggCCAIIAggCCAIZAgMCpgIeAAL3AgICgAIEAgUCBgIHAggCCQKXAgsCmAINAggCCAIIAggCCAIIAggCCAIIAggCCAIIAggCCAIIAggCCAIZAgMCPgIeAAL3AgICLQIEAgUCBgIHAggCCQIcAgsCmAINAggCCAIIAggCCAIIAggCCAIIAggCCAIIAggCCAIIAggCCAIZAgMCqAIeAAL3AgICKAIEAgUCBgIHAggCCQKXAgsCmAINAggCCAIIAggCCAIIAggCCAIIAggCCAIIAggCCAIIAggCCAIZAgMCtgIeAAL3AgICOQIEAgUCBgIHAggCCQIKAgsCmAINAggCCAIIAggCCAIIAggCCAIIAggCCAIIAggCCAIIAggCCAIZAgMCpwIeAAL3AgICLwIEAgUCBgIHAggCCQIKAgsCegAABACYAg0CCAIIAggCCAIIAggCCAIIAggCCAIIAggCCAIIAggCCAIIAhkCAwKiAh4AAvcCAgIgAgQCBQIGAgcCCAIJAgoCCwKYAg0CCAIIAggCCAIIAggCCAIIAggCCAIIAggCCAIIAggCCAIIAhkCAwKfAh4AAvcCAgIDAgQCBQIGAgcCCAIJAhwCCwKYAg0CCAIIAggCCAIIAggCCAIIAggCCAIIAggCCAIIAggCCAIIAhkCAwLKAh4AAvcCAgIqAgQCBQIGAgcCCAIJAhwCCwKYAg0CCAIIAggCCAIIAggCCAIIAggCCAIIAggCCAIIAggCCAIIAhkCAwKpAh4AAvcCAgJhAgQCBQIGAgcCCAIJAgoCCwKYAg0CCAIIAggCCAIIAggCCAIIAggCCAIIAggCCAIIAggCCAIIAhkCAwLPAh4AAvcCAgImAgQCBQIGAgcCCAIJAhwCCwKYAg0CCAIIAggCCAIIAggCCAIIAggCCAIIAggCCAIIAggCCAIIAhkCAwLEAh4AAvcCAgKHAgQCBQIGAgcCCAIJApcCCwKYAg0CCAIIAggCCAIIAggCCAIIAggCCAIIAggCCAIIAggCCAIIAhkCAwI+Ah4AAvcCAgIiAgQCBQIGAgcCCAIJAgoCCwKYAg0CCAIIAggCCAIIAggCCAIIAggCCAIIAggCCAIIAggCCAIIAhkCAwKaAh4AAvcCAgKHAgQCBQIGAgcCCAIJAhwCCwKYAg0CCAIIAggCCAIIAggCCAIIAggCCAIIAggCCAIIAggCCAIIAhkCAwKqAh4AAvcCAgJJAgQCBQIGAgcCCAIJAgoCCwKYAg0CCAIIAggCCAIIAggCCAIIAggCCAIIAggCCAIIAggCCAIIAhkCAwLNAh4AAvcCAgJFAgQCBQIGAgcCCAIJAhwCCwKYAg0CCAIIAggCCAIIAggCCAIIAggCCAIIAggCCAIIAggCCAIIAhkCAwLVAh4AAvcCAgIgAgQCBQIGAgcCCAIJApcCCwKYAg0CCAIIAggCCAIIAggCCAIIAggCCAIIAggCCAIIAggCCAIIAhkCAwLgAh4AAvcCAgIbAgQCBQIGAgcCCAIJAgoCCwKYAg0CCAIIAggCCAIIAggCCAIIAggCCAIIAggCCAIIAggCCAIIAhkCAwKdAh4AAvcCAgIeAgQCBQIGAgcCCAIJApcCCwKYAg0CCAIIAggCCAIIAggCCAIIAggCCAIIAggCCAIIAggCCAIIAhkCAwLiAh4AAvcCAgIgAgQCBQIGAgcCCAIJAhwCCwKYAg0CCAIIAggCCAIIAggCCAIIAggCCAIIAggCCAIIAggCCAIIAhkCAwLTAh4AAvcCAgIeAgQCBQIGegAAArYCBwIIAgkCHAILApgCDQIIAggCCAIIAggCCAIIAggCCAIIAggCCAIIAggCCAIIAggCGQIDAtICHgAC9wICAioCBAIFAgYCBwIIAgkClwILApgCDQIIAggCCAIIAggCCAIIAggCCAIIAggCCAIIAggCCAIIAggCGQIDApkCHgAC9wICAkUCBAIFAgYCBwIIAgkClwILApgCDQIIAggCCAIIAggCCAIIAggCCAIIAggCCAIIAggCCAIIAggCGQIDAqMCHgAC9wICAjsCBAIFAgYCBwIIAgkCCgILApgCDQIIAggCCAIIAggCCAIIAggCCAIIAggCCAIIAggCCAIIAggCGQIDAtwCHgAC9wICAgMCBAIFAgYCBwIIAgkClwILApgCDQIIAggCCAIIAggCCAIIAggCCAIIAggCCAIIAggCCAIIAggCGQIDAsMCHgAC9wICAoACBAIFAgYCBwIIAgkCCgILApgCDQIIAggCCAIIAggCCAIIAggCCAIIAggCCAIIAggCCAIIAggCGQIDAtoCHgAC9wICAn0CBAIFAgYCBwIIAgkClwILApgCDQIIAggCCAIIAggCCAIIAggCCAIIAggCCAIIAggCCAIIAggCGQIDAj4CHgAC9wICAn0CBAIFAgYCBwIIAgkCHAILApgCDQIIAggCCAIIAggCCAIIAggCCAIIAggCCAIIAggCCAIIAggCGQIDAvICHgAC9wICAjcCBAIFAgYCBwIIAgkCCgILApgCDQIIAggCCAIIAggCCAIIAggCCAIIAggCCAIIAggCCAIIAggCGQIDAtgCHgAC+AAJODUyNTU1NTc2AgIC+QAGMjAxMzEyAgQCBQIGAgcCCAIJAisCCwIMAg0CCAIIAggCCAIIAggCCAIIAggCCAIIAggCCAIIAggCCAIIAioCAwL6c3EAfgAAAAAAAnNxAH4ABP///////////////v////7/////dXEAfgAHAAAAAxTl5Hh4egAABAACHgAC+wAJODQ3MzQ0MDgwAgICIgIEAgUCBgIHAggCCQIcAgsCmAINAggCCAIIAggCCAIIAggCCAIIAggCCAIIAggCCAIIAggCCAIDAgMC1AIeAAL7AgICKgIEAgUCBgIHAggCCQIcAgsCmAINAggCCAIIAggCCAIIAggCCAIIAggCCAIIAggCCAIIAggCCAIDAgMCqQIeAAL7AgICRwIEAgUCBgIHAggCCQIcAgsCmAINAggCCAIIAggCCAIIAggCCAIIAggCCAIIAggCCAIIAggCCAIDAgMCswIeAAL7AgICJAIEAgUCBgIHAggCCQIcAgsCmAINAggCCAIIAggCCAIIAggCCAIIAggCCAIIAggCCAIIAggCCAIDAgMCxgIeAAL7AgICIAIEAgUCBgIHAggCCQIcAgsCmAINAggCCAIIAggCCAIIAggCCAIIAggCCAIIAggCCAIIAggCCAIDAgMC0wIeAAL7AgICNwIEAgUCBgIHAggCCQIcAgsCmAINAggCCAIIAggCCAIIAggCCAIIAggCCAIIAggCCAIIAggCCAIDAgMCnAIeAAL7AgICfQIEAgUCBgIHAggCCQIcAgsCmAINAggCCAIIAggCCAIIAggCCAIIAggCCAIIAggCCAIIAggCCAIDAgMC8gIeAAL7AgICgAIEAgUCBgIHAggCCQIcAgsCmAINAggCCAIIAggCCAIIAggCCAIIAggCCAIIAggCCAIIAggCCAIDAgMCoAIeAAL7AgICWgIEAgUCBgIHAggCCQIcAgsCmAINAggCCAIIAggCCAIIAggCCAIIAggCCAIIAggCCAIIAggCCAIDAgMCtQIeAAL7AgICLQIEAgUCBgIHAggCCQIcAgsCmAINAggCCAIIAggCCAIIAggCCAIIAggCCAIIAggCCAIIAggCCAIDAgMCqAIeAAL7AgICLwIEAgUCBgIHAggCCQIcAgsCmAINAggCCAIIAggCCAIIAggCCAIIAggCCAIIAggCCAIIAggCCAIDAgMCvgIeAAL7AgICSQIEAgUCBgIHAggCCQIcAgsCmAINAggCCAIIAggCCAIIAggCCAIIAggCCAIIAggCCAIIAggCCAIDAgMC3gIeAAL7AgICXQIEAgUCBgIHAggCCQIcAgsCmAINAggCCAIIAggCCAIIAggCCAIIAggCCAIIAggCCAIIAggCCAIDAgMCvQIeAAL7AgICMwIEAgUCBgIHAggCCQIcAgsCmAINAggCCAIIAggCCAIIAggCCAIIAggCCAIIAggCCAIIAggCCAIDAgMCywIeAAL7AgICNQIEAgUCBgIHAggCCQIcAgsCmAINAggCCAIIAggCCAIIAggCCAIIegAABAACCAIIAggCCAIIAggCCAIIAgMCAwK5Ah4AAvsCAgKHAgQCBQIGAgcCCAIJAhwCCwKYAg0CCAIIAggCCAIIAggCCAIIAggCCAIIAggCCAIIAggCCAIIAgMCAwKqAh4AAvsCAgI9AgQCBQIGAgcCCAIJAhwCCwKYAg0CCAIIAggCCAIIAggCCAIIAggCCAIIAggCCAIIAggCCAIIAgMCAwLjAh4AAvsCAgKFAgQCBQIGAgcCCAIJAhwCCwKYAg0CCAIIAggCCAIIAggCCAIIAggCCAIIAggCCAIIAggCCAIIAgMCAwLxAh4AAvwACTg1MjM2NDc2OAICAjUCBAIFAgYCBwIIAgkCCgILApgCDQIIAggCCAIIAggCCAIIAggCCAIIAggCCAIIAggCCAIIAggCEwIDAqwCHgAC/AICAl0CBAIFAgYCBwIIAgkClwILApgCDQIIAggCCAIIAggCCAIIAggCCAIIAggCCAIIAggCCAIIAggCEwIDArwCHgAC/AICAioCBAIFAgYCBwIIAgkCHAILApgCDQIIAggCCAIIAggCCAIIAggCCAIIAggCCAIIAggCCAIIAggCEwIDAqkCHgAC/AICAi0CBAIFAgYCBwIIAgkCCgILApgCDQIIAggCCAIIAggCCAIIAggCCAIIAggCCAIIAggCCAIIAggCEwIDAqECHgAC/AICAoACBAIFAgYCBwIIAgkCCgILApgCDQIIAggCCAIIAggCCAIIAggCCAIIAggCCAIIAggCCAIIAggCEwIDAtoCHgAC/AICAh4CBAIFAgYCBwIIAgkCCgILApgCDQIIAggCCAIIAggCCAIIAggCCAIIAggCCAIIAggCCAIIAggCEwIDAp4CHgAC/AICAoACBAIFAgYCBwIIAgkCHAILApgCDQIIAggCCAIIAggCCAIIAggCCAIIAggCCAIIAggCCAIIAggCEwIDAqACHgAC/AICAkUCBAIFAgYCBwIIAgkCHAILApgCDQIIAggCCAIIAggCCAIIAggCCAIIAggCCAIIAggCCAIIAggCEwIDAtUCHgAC/AICAjsCBAIFAgYCBwIIAgkCHAILApgCDQIIAggCCAIIAggCCAIIAggCCAIIAggCCAIIAggCCAIIAggCEwIDAqsCHgAC/AICAjcCBAIFAgYCBwIIAgkClwILApgCDQIIAggCCAIIAggCCAIIAggCCAIIAggCCAIIAggCCAIIAggCEwIDAqYCHgAC/AICAhsCBAIFAgYCBwIIAgkCCgILApgCDQIIAggCCAIIAggCCAIIAggCCAIIAggCCAIIAggCCAIIAggCEwIDAp0CHgAC/AICAi0CBAIFAgYCBwIIAgkCHAILegAABAACmAINAggCCAIIAggCCAIIAggCCAIIAggCCAIIAggCCAIIAggCCAITAgMCqAIeAAL8AgIChwIEAgUCBgIHAggCCQKXAgsCmAINAggCCAIIAggCCAIIAggCCAIIAggCCAIIAggCCAIIAggCCAITAgMCPgIeAAL8AgICjwIEAgUCBgIHAggCCQIcAgsCmAINAggCCAIIAggCCAIIAggCCAIIAggCCAIIAggCCAIIAggCCAITAgMC7wIeAAL8AgIChQIEAgUCBgIHAggCCQKXAgsCmAINAggCCAIIAggCCAIIAggCCAIIAggCCAIIAggCCAIIAggCCAITAgMCPgIeAAL8AgICgwIEAgUCBgIHAggCCQKXAgsCmAINAggCCAIIAggCCAIIAggCCAIIAggCCAIIAggCCAIIAggCCAITAgMCPgIeAAL8AgICRwIEAgUCBgIHAggCCQIcAgsCmAINAggCCAIIAggCCAIIAggCCAIIAggCCAIIAggCCAIIAggCCAITAgMCswIeAAL8AgICNQIEAgUCBgIHAggCCQIcAgsCmAINAggCCAIIAggCCAIIAggCCAIIAggCCAIIAggCCAIIAggCCAITAgMCuQIeAAL8AgICAwIEAgUCBgIHAggCCQIKAgsCmAINAggCCAIIAggCCAIIAggCCAIIAggCCAIIAggCCAIIAggCCAITAgMCtAIeAAL8AgICiAIEAgUCBgIHAggCCQIKAgsCmAINAggCCAIIAggCCAIIAggCCAIIAggCCAIIAggCCAIIAggCCAITAgMC7gIeAAL8AgICKAIEAgUCBgIHAggCCQKXAgsCmAINAggCCAIIAggCCAIIAggCCAIIAggCCAIIAggCCAIIAggCCAITAgMCtgIeAAL8AgICfQIEAgUCBgIHAggCCQIKAgsCmAINAggCCAIIAggCCAIIAggCCAIIAggCCAIIAggCCAIIAggCCAITAgMC5wIeAAL8AgICWgIEAgUCBgIHAggCCQIcAgsCmAINAggCCAIIAggCCAIIAggCCAIIAggCCAIIAggCCAIIAggCCAITAgMCtQIeAAL8AgICJgIEAgUCBgIHAggCCQIKAgsCmAINAggCCAIIAggCCAIIAggCCAIIAggCCAIIAggCCAIIAggCCAITAgMCsAIeAAL8AgICRQIEAgUCBgIHAggCCQIKAgsCmAINAggCCAIIAggCCAIIAggCCAIIAggCCAIIAggCCAIIAggCCAITAgMCuwIeAAL8AgICLwIEAgUCBgIHAggCCQIcAgsCmAINAggCCAIIAggCCAIIAggCCAIIAggCCAIIAggCCAIIAggCCAITAgMCvgIeAAL8AgICOQIEAgUCegAABAAGAgcCCAIJApcCCwKYAg0CCAIIAggCCAIIAggCCAIIAggCCAIIAggCCAIIAggCCAIIAhMCAwK4Ah4AAvwCAgJBAgQCBQIGAgcCCAIJApcCCwKYAg0CCAIIAggCCAIIAggCCAIIAggCCAIIAggCCAIIAggCCAIIAhMCAwKvAh4AAvwCAgIqAgQCBQIGAgcCCAIJAgoCCwKYAg0CCAIIAggCCAIIAggCCAIIAggCCAIIAggCCAIIAggCCAIIAhMCAwKuAh4AAvwCAgIzAgQCBQIGAgcCCAIJApcCCwKYAg0CCAIIAggCCAIIAggCCAIIAggCCAIIAggCCAIIAggCCAIIAhMCAwLIAh4AAvwCAgIkAgQCBQIGAgcCCAIJAhwCCwKYAg0CCAIIAggCCAIIAggCCAIIAggCCAIIAggCCAIIAggCCAIIAhMCAwLGAh4AAvwCAgJHAgQCBQIGAgcCCAIJAgoCCwKYAg0CCAIIAggCCAIIAggCCAIIAggCCAIIAggCCAIIAggCCAIIAhMCAwLBAh4AAvwCAgIxAgQCBQIGAgcCCAIJAhwCCwKYAg0CCAIIAggCCAIIAggCCAIIAggCCAIIAggCCAIIAggCCAIIAhMCAwLOAh4AAvwCAgIDAgQCBQIGAgcCCAIJApcCCwKYAg0CCAIIAggCCAIIAggCCAIIAggCCAIIAggCCAIIAggCCAIIAhMCAwLDAh4AAvwCAgKIAgQCBQIGAgcCCAIJApcCCwKYAg0CCAIIAggCCAIIAggCCAIIAggCCAIIAggCCAIIAggCCAIIAhMCAwI+Ah4AAvwCAgKBAgQCBQIGAgcCCAIJAhwCCwKYAg0CCAIIAggCCAIIAggCCAIIAggCCAIIAggCCAIIAggCCAIIAhMCAwLzAh4AAvwCAgJJAgQCBQIGAgcCCAIJAgoCCwKYAg0CCAIIAggCCAIIAggCCAIIAggCCAIIAggCCAIIAggCCAIIAhMCAwLNAh4AAvwCAgImAgQCBQIGAgcCCAIJApcCCwKYAg0CCAIIAggCCAIIAggCCAIIAggCCAIIAggCCAIIAggCCAIIAhMCAwLQAh4AAvwCAgI9AgQCBQIGAgcCCAIJAgoCCwKYAg0CCAIIAggCCAIIAggCCAIIAggCCAIIAggCCAIIAggCCAIIAhMCAwLRAh4AAvwCAgIbAgQCBQIGAgcCCAIJAhwCCwKYAg0CCAIIAggCCAIIAggCCAIIAggCCAIIAggCCAIIAggCCAIIAhMCAwLWAh4AAvwCAgJ+AgQCBQIGAgcCCAIJApcCCwKYAg0CCAIIAggCCAIIAggCCAIIAggCCAIIAggCCAIIAggCCAIIAhMCAwI+Ah4AegAABAAC/AICAjECBAIFAgYCBwIIAgkCCgILApgCDQIIAggCCAIIAggCCAIIAggCCAIIAggCCAIIAggCCAIIAggCEwIDAt8CHgAC/AICAloCBAIFAgYCBwIIAgkCCgILApgCDQIIAggCCAIIAggCCAIIAggCCAIIAggCCAIIAggCCAIIAggCEwIDAtsCHgAC/AICAn0CBAIFAgYCBwIIAgkCHAILApgCDQIIAggCCAIIAggCCAIIAggCCAIIAggCCAIIAggCCAIIAggCEwIDAvICHgAC/AICAoACBAIFAgYCBwIIAgkClwILApgCDQIIAggCCAIIAggCCAIIAggCCAIIAggCCAIIAggCCAIIAggCEwIDAj4CHgAC/AICAmECBAIFAgYCBwIIAgkClwILApgCDQIIAggCCAIIAggCCAIIAggCCAIIAggCCAIIAggCCAIIAggCEwIDAtcCHgAC/AICAiICBAIFAgYCBwIIAgkClwILApgCDQIIAggCCAIIAggCCAIIAggCCAIIAggCCAIIAggCCAIIAggCEwIDAj4CHgAC/AICAiACBAIFAgYCBwIIAgkClwILApgCDQIIAggCCAIIAggCCAIIAggCCAIIAggCCAIIAggCCAIIAggCEwIDAuACHgAC/AICAkkCBAIFAgYCBwIIAgkCHAILApgCDQIIAggCCAIIAggCCAIIAggCCAIIAggCCAIIAggCCAIIAggCEwIDAt4CHgAC/AICAh4CBAIFAgYCBwIIAgkCHAILApgCDQIIAggCCAIIAggCCAIIAggCCAIIAggCCAIIAggCCAIIAggCEwIDAtICHgAC/AICAj0CBAIFAgYCBwIIAgkCHAILApgCDQIIAggCCAIIAggCCAIIAggCCAIIAggCCAIIAggCCAIIAggCEwIDAuMCHgAC/AICAoECBAIFAgYCBwIIAgkCCgILApgCDQIIAggCCAIIAggCCAIIAggCCAIIAggCCAIIAggCCAIIAggCEwIDAvACHgAC/AICAocCBAIFAgYCBwIIAgkCHAILApgCDQIIAggCCAIIAggCCAIIAggCCAIIAggCCAIIAggCCAIIAggCEwIDAqoCHgAC/AICAigCBAIFAgYCBwIIAgkCCgILApgCDQIIAggCCAIIAggCCAIIAggCCAIIAggCCAIIAggCCAIIAggCEwIDApsCHgAC/AICAioCBAIFAgYCBwIIAgkClwILApgCDQIIAggCCAIIAggCCAIIAggCCAIIAggCCAIIAggCCAIIAggCEwIDApkCHgAC/AICAkUCBAIFAgYCBwIIAgkClwILApgCDQIIAggCCAIIAggCCAIIAggCCAIIAggCCAIIAggCCAIIegAABAACCAITAgMCowIeAAL8AgICWgIEAgUCBgIHAggCCQKXAgsCmAINAggCCAIIAggCCAIIAggCCAIIAggCCAIIAggCCAIIAggCCAITAgMCPgIeAAL8AgICgwIEAgUCBgIHAggCCQIKAgsCmAINAggCCAIIAggCCAIIAggCCAIIAggCCAIIAggCCAIIAggCCAITAgMC7QIeAAL8AgICNwIEAgUCBgIHAggCCQIKAgsCmAINAggCCAIIAggCCAIIAggCCAIIAggCCAIIAggCCAIIAggCCAITAgMC2AIeAAL8AgICIAIEAgUCBgIHAggCCQIKAgsCmAINAggCCAIIAggCCAIIAggCCAIIAggCCAIIAggCCAIIAggCCAITAgMCnwIeAAL8AgICjwIEAgUCBgIHAggCCQKXAgsCmAINAggCCAIIAggCCAIIAggCCAIIAggCCAIIAggCCAIIAggCCAITAgMCPgIeAAL8AgICOQIEAgUCBgIHAggCCQIKAgsCmAINAggCCAIIAggCCAIIAggCCAIIAggCCAIIAggCCAIIAggCCAITAgMCpwIeAAL8AgICNwIEAgUCBgIHAggCCQIcAgsCmAINAggCCAIIAggCCAIIAggCCAIIAggCCAIIAggCCAIIAggCCAITAgMCnAIeAAL8AgICIgIEAgUCBgIHAggCCQIKAgsCmAINAggCCAIIAggCCAIIAggCCAIIAggCCAIIAggCCAIIAggCCAITAgMCmgIeAAL8AgICOwIEAgUCBgIHAggCCQKXAgsCmAINAggCCAIIAggCCAIIAggCCAIIAggCCAIIAggCCAIIAggCCAITAgMCpAIeAAL8AgIChQIEAgUCBgIHAggCCQIKAgsCmAINAggCCAIIAggCCAIIAggCCAIIAggCCAIIAggCCAIIAggCCAITAgMC5gIeAAL8AgICQQIEAgUCBgIHAggCCQIcAgsCmAINAggCCAIIAggCCAIIAggCCAIIAggCCAIIAggCCAIIAggCCAITAgMCwAIeAAL8AgICNQIEAgUCBgIHAggCCQKXAgsCmAINAggCCAIIAggCCAIIAggCCAIIAggCCAIIAggCCAIIAggCCAITAgMCsQIeAAL8AgICLQIEAgUCBgIHAggCCQKXAgsCmAINAggCCAIIAggCCAIIAggCCAIIAggCCAIIAggCCAIIAggCCAITAgMCpQIeAAL8AgICgwIEAgUCBgIHAggCCQIcAgsCmAINAggCCAIIAggCCAIIAggCCAIIAggCCAIIAggCCAIIAggCCAITAgMC7wIeAAL8AgICKAIEAgUCBgIHAggCCQIcAgsCmAINAggCCAIIAggCCAIIAggCCAIIAggCegAABAAIAggCCAIIAggCCAIIAhMCAwK6Ah4AAvwCAgIkAgQCBQIGAgcCCAIJAgoCCwKYAg0CCAIIAggCCAIIAggCCAIIAggCCAIIAggCCAIIAggCCAIIAhMCAwK3Ah4AAvwCAgI5AgQCBQIGAgcCCAIJAhwCCwKYAg0CCAIIAggCCAIIAggCCAIIAggCCAIIAggCCAIIAggCCAIIAhMCAwK/Ah4AAvwCAgJdAgQCBQIGAgcCCAIJAhwCCwKYAg0CCAIIAggCCAIIAggCCAIIAggCCAIIAggCCAIIAggCCAIIAhMCAwK9Ah4AAvwCAgJHAgQCBQIGAgcCCAIJApcCCwKYAg0CCAIIAggCCAIIAggCCAIIAggCCAIIAggCCAIIAggCCAIIAhMCAwKyAh4AAvwCAgIvAgQCBQIGAgcCCAIJApcCCwKYAg0CCAIIAggCCAIIAggCCAIIAggCCAIIAggCCAIIAggCCAIIAhMCAwI+Ah4AAvwCAgKFAgQCBQIGAgcCCAIJAhwCCwKYAg0CCAIIAggCCAIIAggCCAIIAggCCAIIAggCCAIIAggCCAIIAhMCAwLxAh4AAvwCAgKHAgQCBQIGAgcCCAIJAgoCCwKYAg0CCAIIAggCCAIIAggCCAIIAggCCAIIAggCCAIIAggCCAIIAhMCAwKtAh4AAvwCAgKBAgQCBQIGAgcCCAIJApcCCwKYAg0CCAIIAggCCAIIAggCCAIIAggCCAIIAggCCAIIAggCCAIIAhMCAwI+Ah4AAvwCAgIxAgQCBQIGAgcCCAIJApcCCwKYAg0CCAIIAggCCAIIAggCCAIIAggCCAIIAggCCAIIAggCCAIIAhMCAwLHAh4AAvwCAgIDAgQCBQIGAgcCCAIJAhwCCwKYAg0CCAIIAggCCAIIAggCCAIIAggCCAIIAggCCAIIAggCCAIIAhMCAwLKAh4AAvwCAgJhAgQCBQIGAgcCCAIJAgoCCwKYAg0CCAIIAggCCAIIAggCCAIIAggCCAIIAggCCAIIAggCCAIIAhMCAwLPAh4AAvwCAgJBAgQCBQIGAgcCCAIJAgoCCwKYAg0CCAIIAggCCAIIAggCCAIIAggCCAIIAggCCAIIAggCCAIIAhMCAwLCAh4AAvwCAgKIAgQCBQIGAgcCCAIJAhwCCwKYAg0CCAIIAggCCAIIAggCCAIIAggCCAIIAggCCAIIAggCCAIIAhMCAwLsAh4AAvwCAgIkAgQCBQIGAgcCCAIJApcCCwKYAg0CCAIIAggCCAIIAggCCAIIAggCCAIIAggCCAIIAggCCAIIAhMCAwLFAh4AAvwCAgIzAgQCBQIGAgcCCAIJAhwCCwKYAg0CCAIIAggCCAIIegAABAACCAIIAggCCAIIAggCCAIIAggCCAIIAggCEwIDAssCHgAC/AICAiYCBAIFAgYCBwIIAgkCHAILApgCDQIIAggCCAIIAggCCAIIAggCCAIIAggCCAIIAggCCAIIAggCEwIDAsQCHgAC/AICAn4CBAIFAgYCBwIIAgkCCgILApgCDQIIAggCCAIIAggCCAIIAggCCAIIAggCCAIIAggCCAIIAggCEwIDAu0CHgAC/AICAjMCBAIFAgYCBwIIAgkCCgILApgCDQIIAggCCAIIAggCCAIIAggCCAIIAggCCAIIAggCCAIIAggCEwIDAuECHgAC/AICAkkCBAIFAgYCBwIIAgkClwILApgCDQIIAggCCAIIAggCCAIIAggCCAIIAggCCAIIAggCCAIIAggCEwIDAt0CHgAC/AICAiICBAIFAgYCBwIIAgkCHAILApgCDQIIAggCCAIIAggCCAIIAggCCAIIAggCCAIIAggCCAIIAggCEwIDAtQCHgAC/AICAl0CBAIFAgYCBwIIAgkCCgILApgCDQIIAggCCAIIAggCCAIIAggCCAIIAggCCAIIAggCCAIIAggCEwIDAswCHgAC/AICAi8CBAIFAgYCBwIIAgkCCgILApgCDQIIAggCCAIIAggCCAIIAggCCAIIAggCCAIIAggCCAIIAggCEwIDAqICHgAC/AICAhsCBAIFAgYCBwIIAgkClwILApgCDQIIAggCCAIIAggCCAIIAggCCAIIAggCCAIIAggCCAIIAggCEwIDAtkCHgAC/AICAh4CBAIFAgYCBwIIAgkClwILApgCDQIIAggCCAIIAggCCAIIAggCCAIIAggCCAIIAggCCAIIAggCEwIDAuICHgAC/AICAn0CBAIFAgYCBwIIAgkClwILApgCDQIIAggCCAIIAggCCAIIAggCCAIIAggCCAIIAggCCAIIAggCEwIDAj4CHgAC/AICAmECBAIFAgYCBwIIAgkCHAILApgCDQIIAggCCAIIAggCCAIIAggCCAIIAggCCAIIAggCCAIIAggCEwIDAskCHgAC/AICAj0CBAIFAgYCBwIIAgkClwILApgCDQIIAggCCAIIAggCCAIIAggCCAIIAggCCAIIAggCCAIIAggCEwIDAj4CHgAC/AICAjsCBAIFAgYCBwIIAgkCCgILApgCDQIIAggCCAIIAggCCAIIAggCCAIIAggCCAIIAggCCAIIAggCEwIDAtwCHgAC/AICAiACBAIFAgYCBwIIAgkCHAILApgCDQIIAggCCAIIAggCCAIIAggCCAIIAggCCAIIAggCCAIIAggCEwIDAtMCHgAC/AICAn4CBAIFAgYCBwIIAgkCHAILApgCegAABAANAggCCAIIAggCCAIIAggCCAIIAggCCAIIAggCCAIIAggCCAITAgMC7wIeAAL8AgICjwIEAgUCBgIHAggCCQIKAgsCmAINAggCCAIIAggCCAIIAggCCAIIAggCCAIIAggCCAIIAggCCAITAgMC7QIeAAL9AAk4NDczNDUyNDACAgJHAgQCBQIGAgcCCAIJAgoCCwIMAg0CCAIIAggCCAIIAggCCAIIAggCCAIIAggCCAIIAggCCAIIAgQCAwJIAh4AAv0CAgIiAgQCBQIGAgcCCAIJAgoCCwIMAg0CCAIIAggCCAIIAggCCAIIAggCCAIIAggCCAIIAggCCAIIAgQCAwJ4Ah4AAv0CAgKHAgQCBQIGAgcCCAIJAgoCCwIMAg0CCAIIAggCCAIIAggCCAIIAggCCAIIAggCCAIIAggCCAIIAgQCAwKMAh4AAv0CAgI9AgQCBQIGAgcCCAIJAgoCCwIMAg0CCAIIAggCCAIIAggCCAIIAggCCAIIAggCCAIIAggCCAIIAgQCAwJ3Ah4AAv0CAgIkAgQCBQIGAgcCCAIJAgoCCwIMAg0CCAIIAggCCAIIAggCCAIIAggCCAIIAggCCAIIAggCCAIIAgQCAwIlAh4AAv0CAgIqAgQCBQIGAgcCCAIJAgoCCwIMAg0CCAIIAggCCAIIAggCCAIIAggCCAIIAggCCAIIAggCCAIIAgQCAwJUAh4AAv0CAgI1AgQCBQIGAgcCCAIJAgoCCwIMAg0CCAIIAggCCAIIAggCCAIIAggCCAIIAggCCAIIAggCCAIIAgQCAwJRAh4AAv0CAgIgAgQCBQIGAgcCCAIJAgoCCwIMAg0CCAIIAggCCAIIAggCCAIIAggCCAIIAggCCAIIAggCCAIIAgQCAwJyAh4AAv0CAgKFAgQCBQIGAgcCCAIJAgoCCwIMAg0CCAIIAggCCAIIAggCCAIIAggCCAIIAggCCAIIAggCCAIIAgQCAwKQAh4AAv0CAgJdAgQCBQIGAgcCCAIJAgoCCwIMAg0CCAIIAggCCAIIAggCCAIIAggCCAIIAggCCAIIAggCCAIIAgQCAwJeAh4AAv0CAgIvAgQCBQIGAgcCCAIJAgoCCwIMAg0CCAIIAggCCAIIAggCCAIIAggCCAIIAggCCAIIAggCCAIIAgQCAwJMAh4AAv0CAgJaAgQCBQIGAgcCCAIJAgoCCwIMAg0CCAIIAggCCAIIAggCCAIIAggCCAIIAggCCAIIAggCCAIIAgQCAwJbAh4AAv0CAgKAAgQCBQIGAgcCCAIJAgoCCwIMAg0CCAIIAggCCAIIAggCCAIIAggCCAIIAggCCAIIAggCCAIIAgQCAwKSAh4AAv0CegAABAACAjcCBAIFAgYCBwIIAgkCCgILAgwCDQIIAggCCAIIAggCCAIIAggCCAIIAggCCAIIAggCCAIIAggCBAIDAmMCHgAC/QICAi0CBAIFAgYCBwIIAgkCCgILAgwCDQIIAggCCAIIAggCCAIIAggCCAIIAggCCAIIAggCCAIIAggCBAIDAkQCHgAC/QICAjMCBAIFAgYCBwIIAgkCCgILAgwCDQIIAggCCAIIAggCCAIIAggCCAIIAggCCAIIAggCCAIIAggCBAIDAjQCHgAC/QICAkkCBAIFAgYCBwIIAgkCCgILAgwCDQIIAggCCAIIAggCCAIIAggCCAIIAggCCAIIAggCCAIIAggCBAIDAnoCHgAC/QICAn0CBAIFAgYCBwIIAgkCCgILAgwCDQIIAggCCAIIAggCCAIIAggCCAIIAggCCAIIAggCCAIIAggCBAIDAoQCHgAC/gAJODUyMzY4MjQ4AgICQQIEAgUCBgIHAggCCQIcAgsCDAINAggCCAIIAggCCAIIAggCCAIIAggCCAIIAggCCAIIAggCCAIWAgMCVwIeAAL+AgICgQIEAgUCBgIHAggCCQIrAgsCDAINAggCCAIIAggCCAIIAggCCAIIAggCCAIIAggCCAIIAggCCAIWAgMCPgIeAAL+AgIChwIEAgUCBgIHAggCCQIKAgsCDAINAggCCAIIAggCCAIIAggCCAIIAggCCAIIAggCCAIIAggCCAIWAgMCjAIeAAL+AgICJAIEAgUCBgIHAggCCQIrAgsCDAINAggCCAIIAggCCAIIAggCCAIIAggCCAIIAggCCAIIAggCCAIWAgMCVQIeAAL+AgICOQIEAgUCBgIHAggCCQIrAgsCDAINAggCCAIIAggCCAIIAggCCAIIAggCCAIIAggCCAIIAggCCAIWAgMCeQIeAAL+AgICPQIEAgUCBgIHAggCCQIcAgsCDAINAggCCAIIAggCCAIIAggCCAIIAggCCAIIAggCCAIIAggCCAIWAgMCUwIeAAL+AgICSQIEAgUCBgIHAggCCQIcAgsCDAINAggCCAIIAggCCAIIAggCCAIIAggCCAIIAggCCAIIAggCCAIWAgMCaAIeAAL+AgICMQIEAgUCBgIHAggCCQIrAgsCDAINAggCCAIIAggCCAIIAggCCAIIAggCCAIIAggCCAIIAggCCAIWAgMCWQIeAAL+AgICQQIEAgUCBgIHAggCCQIKAgsCDAINAggCCAIIAggCCAIIAggCCAIIAggCCAIIAggCCAIIAggCCAIWAgMCQgIeAAL+AgICXQIEAgUCBgIHAggCCQIKAgsCDAINAggCCAIIAggCCAIIAggCCAIIAggCCAIIegAABAACCAIIAggCCAIIAhYCAwJeAh4AAv4CAgKIAgQCBQIGAgcCCAIJAhwCCwIMAg0CCAIIAggCCAIIAggCCAIIAggCCAIIAggCCAIIAggCCAIIAhYCAwKLAh4AAv4CAgKFAgQCBQIGAgcCCAIJAgoCCwIMAg0CCAIIAggCCAIIAggCCAIIAggCCAIIAggCCAIIAggCCAIIAhYCAwKQAh4AAv4CAgIiAgQCBQIGAgcCCAIJAisCCwIMAg0CCAIIAggCCAIIAggCCAIIAggCCAIIAggCCAIIAggCCAIIAhYCAwI+Ah4AAv4CAgIoAgQCBQIGAgcCCAIJAgoCCwIMAg0CCAIIAggCCAIIAggCCAIIAggCCAIIAggCCAIIAggCCAIIAhYCAwJAAh4AAv4CAgIgAgQCBQIGAgcCCAIJAisCCwIMAg0CCAIIAggCCAIIAggCCAIIAggCCAIIAggCCAIIAggCCAIIAhYCAwJQAh4AAv4CAgIzAgQCBQIGAgcCCAIJAhwCCwIMAg0CCAIIAggCCAIIAggCCAIIAggCCAIIAggCCAIIAggCCAIIAhYCAwJNAh4AAv4CAgIvAgQCBQIGAgcCCAIJAhwCCwIMAg0CCAIIAggCCAIIAggCCAIIAggCCAIIAggCCAIIAggCCAIIAhYCAwIwAh4AAv4CAgI3AgQCBQIGAgcCCAIJAisCCwIMAg0CCAIIAggCCAIIAggCCAIIAggCCAIIAggCCAIIAggCCAIIAhYCAwI4Ah4AAv4CAgJdAgQCBQIGAgcCCAIJAhwCCwIMAg0CCAIIAggCCAIIAggCCAIIAggCCAIIAggCCAIIAggCCAIIAhYCAwJnAh4AAv4CAgKIAgQCBQIGAgcCCAIJAgoCCwIMAg0CCAIIAggCCAIIAggCCAIIAggCCAIIAggCCAIIAggCCAIIAhYCAwKNAh4AAv4CAgJ+AgQCBQIGAgcCCAIJAisCCwIMAg0CCAIIAggCCAIIAggCCAIIAggCCAIIAggCCAIIAggCCAIIAhYCAwI+Ah4AAv4CAgImAgQCBQIGAgcCCAIJAgoCCwIMAg0CCAIIAggCCAIIAggCCAIIAggCCAIIAggCCAIIAggCCAIIAhYCAwInAh4AAv4CAgKDAgQCBQIGAgcCCAIJAgoCCwIMAg0CCAIIAggCCAIIAggCCAIIAggCCAIIAggCCAIIAggCCAIIAhYCAwKOAh4AAv4CAgJhAgQCBQIGAgcCCAIJAisCCwIMAg0CCAIIAggCCAIIAggCCAIIAggCCAIIAggCCAIIAggCCAIIAhYCAwJiAh4AAv4CAgIqAgQCBQIGAgcCCAIJAisCCwIMAg0CCAIIAggCCAIIAggCegAABAAIAggCCAIIAggCCAIIAggCCAIIAggCFgIDAiwCHgAC/gICAiICBAIFAgYCBwIIAgkCHAILAgwCDQIIAggCCAIIAggCCAIIAggCCAIIAggCCAIIAggCCAIIAggCFgIDAiMCHgAC/gICAgMCBAIFAgYCBwIIAgkCCgILAgwCDQIIAggCCAIIAggCCAIIAggCCAIIAggCCAIIAggCCAIIAggCFgIDAg4CHgAC/gICAo8CBAIFAgYCBwIIAgkCKwILAgwCDQIIAggCCAIIAggCCAIIAggCCAIIAggCCAIIAggCCAIIAggCFgIDAj4CHgAC/gICAjUCBAIFAgYCBwIIAgkCHAILAgwCDQIIAggCCAIIAggCCAIIAggCCAIIAggCCAIIAggCCAIIAggCFgIDAjYCHgAC/gICAjsCBAIFAgYCBwIIAgkCKwILAgwCDQIIAggCCAIIAggCCAIIAggCCAIIAggCCAIIAggCCAIIAggCFgIDAjwCHgAC/gICAjMCBAIFAgYCBwIIAgkCCgILAgwCDQIIAggCCAIIAggCCAIIAggCCAIIAggCCAIIAggCCAIIAggCFgIDAjQCHgAC/gICAkUCBAIFAgYCBwIIAgkCKwILAgwCDQIIAggCCAIIAggCCAIIAggCCAIIAggCCAIIAggCCAIIAggCFgIDAkYCHgAC/gICAl0CBAIFAgYCBwIIAgkCKwILAgwCDQIIAggCCAIIAggCCAIIAggCCAIIAggCCAIIAggCCAIIAggCFgIDAnQCHgAC/gICAi0CBAIFAgYCBwIIAgkCHAILAgwCDQIIAggCCAIIAggCCAIIAggCCAIIAggCCAIIAggCCAIIAggCFgIDAnMCHgAC/gICAjsCBAIFAgYCBwIIAgkCHAILAgwCDQIIAggCCAIIAggCCAIIAggCCAIIAggCCAIIAggCCAIIAggCFgIDAk8CHgAC/gICAiACBAIFAgYCBwIIAgkCCgILAgwCDQIIAggCCAIIAggCCAIIAggCCAIIAggCCAIIAggCCAIIAggCFgIDAnICHgAC/gICAi8CBAIFAgYCBwIIAgkCCgILAgwCDQIIAggCCAIIAggCCAIIAggCCAIIAggCCAIIAggCCAIIAggCFgIDAkwCHgAC/gICAoACBAIFAgYCBwIIAgkCHAILAgwCDQIIAggCCAIIAggCCAIIAggCCAIIAggCCAIIAggCCAIIAggCFgIDApECHgAC/gICAiYCBAIFAgYCBwIIAgkCHAILAgwCDQIIAggCCAIIAggCCAIIAggCCAIIAggCCAIIAggCCAIIAggCFgIDAmsCHgAC/gICAoUCBAIFAgYCBwIIAgkCKwILAgwCDQIIegAABAACCAIIAggCCAIIAggCCAIIAggCCAIIAggCCAIIAggCCAIWAgMCPgIeAAL+AgICAwIEAgUCBgIHAggCCQIcAgsCDAINAggCCAIIAggCCAIIAggCCAIIAggCCAIIAggCCAIIAggCCAIWAgMCcQIeAAL+AgICfgIEAgUCBgIHAggCCQIKAgsCDAINAggCCAIIAggCCAIIAggCCAIIAggCCAIIAggCCAIIAggCCAIWAgMCjgIeAAL+AgICYQIEAgUCBgIHAggCCQIKAgsCDAINAggCCAIIAggCCAIIAggCCAIIAggCCAIIAggCCAIIAggCCAIWAgMCdQIeAAL+AgICQQIEAgUCBgIHAggCCQIrAgsCDAINAggCCAIIAggCCAIIAggCCAIIAggCCAIIAggCCAIIAggCCAIWAgMCewIeAAL+AgIChwIEAgUCBgIHAggCCQIcAgsCDAINAggCCAIIAggCCAIIAggCCAIIAggCCAIIAggCCAIIAggCCAIWAgMCkwIeAAL+AgICIgIEAgUCBgIHAggCCQIKAgsCDAINAggCCAIIAggCCAIIAggCCAIIAggCCAIIAggCCAIIAggCCAIWAgMCeAIeAAL+AgICOwIEAgUCBgIHAggCCQIKAgsCDAINAggCCAIIAggCCAIIAggCCAIIAggCCAIIAggCCAIIAggCCAIWAgMCZQIeAAL+AgICjwIEAgUCBgIHAggCCQIKAgsCDAINAggCCAIIAggCCAIIAggCCAIIAggCCAIIAggCCAIIAggCCAIWAgMCjgIeAAL+AgICgAIEAgUCBgIHAggCCQIKAgsCDAINAggCCAIIAggCCAIIAggCCAIIAggCCAIIAggCCAIIAggCCAIWAgMCkgIeAAL+AgICgwIEAgUCBgIHAggCCQIrAgsCDAINAggCCAIIAggCCAIIAggCCAIIAggCCAIIAggCCAIIAggCCAIWAgMCPgIeAAL+AgICIAIEAgUCBgIHAggCCQIcAgsCDAINAggCCAIIAggCCAIIAggCCAIIAggCCAIIAggCCAIIAggCCAIWAgMCIQIeAAL+AgICKAIEAgUCBgIHAggCCQIrAgsCDAINAggCCAIIAggCCAIIAggCCAIIAggCCAIIAggCCAIIAggCCAIWAgMCbwIeAAL+AgICRwIEAgUCBgIHAggCCQIcAgsCDAINAggCCAIIAggCCAIIAggCCAIIAggCCAIIAggCCAIIAggCCAIWAgMCVgIeAAL+AgICiAIEAgUCBgIHAggCCQIrAgsCDAINAggCCAIIAggCCAIIAggCCAIIAggCCAIIAggCCAIIAggCCAIWAgMCPgIeAAL+AgICRQIEAgUCBgIHAggCegAABAAJAgoCCwIMAg0CCAIIAggCCAIIAggCCAIIAggCCAIIAggCCAIIAggCCAIIAhYCAwJkAh4AAv4CAgImAgQCBQIGAgcCCAIJAisCCwIMAg0CCAIIAggCCAIIAggCCAIIAggCCAIIAggCCAIIAggCCAIIAhYCAwJpAh4AAv4CAgJ+AgQCBQIGAgcCCAIJAhwCCwIMAg0CCAIIAggCCAIIAggCCAIIAggCCAIIAggCCAIIAggCCAIIAhYCAwJ/Ah4AAv4CAgIqAgQCBQIGAgcCCAIJAgoCCwIMAg0CCAIIAggCCAIIAggCCAIIAggCCAIIAggCCAIIAggCCAIIAhYCAwJUAh4AAv4CAgIvAgQCBQIGAgcCCAIJAisCCwIMAg0CCAIIAggCCAIIAggCCAIIAggCCAIIAggCCAIIAggCCAIIAhYCAwI+Ah4AAv4CAgJhAgQCBQIGAgcCCAIJAhwCCwIMAg0CCAIIAggCCAIIAggCCAIIAggCCAIIAggCCAIIAggCCAIIAhYCAwJmAh4AAv4CAgJ9AgQCBQIGAgcCCAIJAisCCwIMAg0CCAIIAggCCAIIAggCCAIIAggCCAIIAggCCAIIAggCCAIIAhYCAwI+Ah4AAv4CAgJaAgQCBQIGAgcCCAIJAgoCCwIMAg0CCAIIAggCCAIIAggCCAIIAggCCAIIAggCCAIIAggCCAIIAhYCAwJbAh4AAv4CAgIzAgQCBQIGAgcCCAIJAisCCwIMAg0CCAIIAggCCAIIAggCCAIIAggCCAIIAggCCAIIAggCCAIIAhYCAwJcAh4AAv4CAgIkAgQCBQIGAgcCCAIJAhwCCwIMAg0CCAIIAggCCAIIAggCCAIIAggCCAIIAggCCAIIAggCCAIIAhYCAwJqAh4AAv4CAgJHAgQCBQIGAgcCCAIJAgoCCwIMAg0CCAIIAggCCAIIAggCCAIIAggCCAIIAggCCAIIAggCCAIIAhYCAwJIAh4AAv4CAgIDAgQCBQIGAgcCCAIJAisCCwIMAg0CCAIIAggCCAIIAggCCAIIAggCCAIIAggCCAIIAggCCAIIAhYCAwJgAh4AAv4CAgI9AgQCBQIGAgcCCAIJAisCCwIMAg0CCAIIAggCCAIIAggCCAIIAggCCAIIAggCCAIIAggCCAIIAhYCAwI+Ah4AAv4CAgIeAgQCBQIGAgcCCAIJAisCCwIMAg0CCAIIAggCCAIIAggCCAIIAggCCAIIAggCCAIIAggCCAIIAhYCAwJSAh4AAv4CAgKPAgQCBQIGAgcCCAIJAhwCCwIMAg0CCAIIAggCCAIIAggCCAIIAggCCAIIAggCCAIIAggCCAIIAhYCAwJ/Ah4AAv4CAgKBegAABAACBAIFAgYCBwIIAgkCHAILAgwCDQIIAggCCAIIAggCCAIIAggCCAIIAggCCAIIAggCCAIIAggCFgIDAoICHgAC/gICAjUCBAIFAgYCBwIIAgkCCgILAgwCDQIIAggCCAIIAggCCAIIAggCCAIIAggCCAIIAggCCAIIAggCFgIDAlECHgAC/gICAjkCBAIFAgYCBwIIAgkCHAILAgwCDQIIAggCCAIIAggCCAIIAggCCAIIAggCCAIIAggCCAIIAggCFgIDAjoCHgAC/gICAkkCBAIFAgYCBwIIAgkCKwILAgwCDQIIAggCCAIIAggCCAIIAggCCAIIAggCCAIIAggCCAIIAggCFgIDAkoCHgAC/gICAjECBAIFAgYCBwIIAgkCHAILAgwCDQIIAggCCAIIAggCCAIIAggCCAIIAggCCAIIAggCCAIIAggCFgIDAksCHgAC/gICAoACBAIFAgYCBwIIAgkCKwILAgwCDQIIAggCCAIIAggCCAIIAggCCAIIAggCCAIIAggCCAIIAggCFgIDAj4CHgAC/gICAiQCBAIFAgYCBwIIAgkCCgILAgwCDQIIAggCCAIIAggCCAIIAggCCAIIAggCCAIIAggCCAIIAggCFgIDAiUCHgAC/gICAi0CBAIFAgYCBwIIAgkCCgILAgwCDQIIAggCCAIIAggCCAIIAggCCAIIAggCCAIIAggCCAIIAggCFgIDAkQCHgAC/gICAloCBAIFAgYCBwIIAgkCHAILAgwCDQIIAggCCAIIAggCCAIIAggCCAIIAggCCAIIAggCCAIIAggCFgIDAl8CHgAC/gICAhsCBAIFAgYCBwIIAgkCKwILAgwCDQIIAggCCAIIAggCCAIIAggCCAIIAggCCAIIAggCCAIIAggCFgIDAj8CHgAC/gICAocCBAIFAgYCBwIIAgkCKwILAgwCDQIIAggCCAIIAggCCAIIAggCCAIIAggCCAIIAggCCAIIAggCFgIDAj4CHgAC/gICAoECBAIFAgYCBwIIAgkCCgILAgwCDQIIAggCCAIIAggCCAIIAggCCAIIAggCCAIIAggCCAIIAggCFgIDAokCHgAC/gICAjECBAIFAgYCBwIIAgkCCgILAgwCDQIIAggCCAIIAggCCAIIAggCCAIIAggCCAIIAggCCAIIAggCFgIDAjICHgAC/gICAigCBAIFAgYCBwIIAgkCHAILAgwCDQIIAggCCAIIAggCCAIIAggCCAIIAggCCAIIAggCCAIIAggCFgIDAikCHgAC/gICAhsCBAIFAgYCBwIIAgkCHAILAgwCDQIIAggCCAIIAggCCAIIAggCCAIIAggCCAIIAggCCAIIAggCFgIDegAABAACHQIeAAL+AgICHgIEAgUCBgIHAggCCQIcAgsCDAINAggCCAIIAggCCAIIAggCCAIIAggCCAIIAggCCAIIAggCCAIWAgMCHwIeAAL+AgIChQIEAgUCBgIHAggCCQIcAgsCDAINAggCCAIIAggCCAIIAggCCAIIAggCCAIIAggCCAIIAggCCAIWAgMChgIeAAL+AgICfQIEAgUCBgIHAggCCQIKAgsCDAINAggCCAIIAggCCAIIAggCCAIIAggCCAIIAggCCAIIAggCCAIWAgMChAIeAAL+AgICNwIEAgUCBgIHAggCCQIcAgsCDAINAggCCAIIAggCCAIIAggCCAIIAggCCAIIAggCCAIIAggCCAIWAgMCQwIeAAL+AgICHgIEAgUCBgIHAggCCQIKAgsCDAINAggCCAIIAggCCAIIAggCCAIIAggCCAIIAggCCAIIAggCCAIWAgMCdgIeAAL+AgICWgIEAgUCBgIHAggCCQIrAgsCDAINAggCCAIIAggCCAIIAggCCAIIAggCCAIIAggCCAIIAggCCAIWAgMCPgIeAAL+AgICOQIEAgUCBgIHAggCCQIKAgsCDAINAggCCAIIAggCCAIIAggCCAIIAggCCAIIAggCCAIIAggCCAIWAgMCTgIeAAL+AgICgwIEAgUCBgIHAggCCQIcAgsCDAINAggCCAIIAggCCAIIAggCCAIIAggCCAIIAggCCAIIAggCCAIWAgMCfwIeAAL+AgICRwIEAgUCBgIHAggCCQIrAgsCDAINAggCCAIIAggCCAIIAggCCAIIAggCCAIIAggCCAIIAggCCAIWAgMCbAIeAAL+AgICKgIEAgUCBgIHAggCCQIcAgsCDAINAggCCAIIAggCCAIIAggCCAIIAggCCAIIAggCCAIIAggCCAIWAgMCbgIeAAL+AgICNQIEAgUCBgIHAggCCQIrAgsCDAINAggCCAIIAggCCAIIAggCCAIIAggCCAIIAggCCAIIAggCCAIWAgMCcAIeAAL+AgICGwIEAgUCBgIHAggCCQIKAgsCDAINAggCCAIIAggCCAIIAggCCAIIAggCCAIIAggCCAIIAggCCAIWAgMCbQIeAAL+AgICPQIEAgUCBgIHAggCCQIKAgsCDAINAggCCAIIAggCCAIIAggCCAIIAggCCAIIAggCCAIIAggCCAIWAgMCdwIeAAL+AgICLQIEAgUCBgIHAggCCQIrAgsCDAINAggCCAIIAggCCAIIAggCCAIIAggCCAIIAggCCAIIAggCCAIWAgMCLgIeAAL+AgICSQIEAgUCBgIHAggCCQIKAgsCDAINAggCCAIIAggCCAIIAggCCAIIAggCCAIIAggCegAABAAIAggCCAIIAhYCAwJ6Ah4AAv4CAgJFAgQCBQIGAgcCCAIJAhwCCwIMAg0CCAIIAggCCAIIAggCCAIIAggCCAIIAggCCAIIAggCCAIIAhYCAwJYAh4AAv4CAgI3AgQCBQIGAgcCCAIJAgoCCwIMAg0CCAIIAggCCAIIAggCCAIIAggCCAIIAggCCAIIAggCCAIIAhYCAwJjAh4AAv4CAgJ9AgQCBQIGAgcCCAIJAhwCCwIMAg0CCAIIAggCCAIIAggCCAIIAggCCAIIAggCCAIIAggCCAIIAhYCAwKKAh4AAv8ACTg1MjQ3MjQ5NgICAmECBAIFAgYCBwIIAgkCHAILApgCDQIIAggCCAIIAggCCAIIAggCCAIIAggCCAIIAggCCAIIAggCGwIDAskCHgAC/wICAkkCBAIFAgYCBwIIAgkCHAILApgCDQIIAggCCAIIAggCCAIIAggCCAIIAggCCAIIAggCCAIIAggCGwIDAt4CHgAC/wICAiQCBAIFAgYCBwIIAgkClwILApgCDQIIAggCCAIIAggCCAIIAggCCAIIAggCCAIIAggCCAIIAggCGwIDAsUCHgAC/wICAkUCBAIFAgYCBwIIAgkCCgILApgCDQIIAggCCAIIAggCCAIIAggCCAIIAggCCAIIAggCCAIIAggCGwIDArsCHgAC/wICAmECBAIFAgYCBwIIAgkClwILApgCDQIIAggCCAIIAggCCAIIAggCCAIIAggCCAIIAggCCAIIAggCGwIDAtcCHgAC/wICAkkCBAIFAgYCBwIIAgkClwILApgCDQIIAggCCAIIAggCCAIIAggCCAIIAggCCAIIAggCCAIIAggCGwIDAt0CHgAC/wICAkcCBAIFAgYCBwIIAgkCCgILApgCDQIIAggCCAIIAggCCAIIAggCCAIIAggCCAIIAggCCAIIAggCGwIDAsECHgAC/wICAl0CBAIFAgYCBwIIAgkCCgILApgCDQIIAggCCAIIAggCCAIIAggCCAIIAggCCAIIAggCCAIIAggCGwIDAswCHgAC/wICAloCBAIFAgYCBwIIAgkCCgILApgCDQIIAggCCAIIAggCCAIIAggCCAIIAggCCAIIAggCCAIIAggCGwIDAtsCHgAC/wICAgMCBAIFAgYCBwIIAgkClwILApgCDQIIAggCCAIIAggCCAIIAggCCAIIAggCCAIIAggCCAIIAggCGwIDAsMCHgAC/wICAj0CBAIFAgYCBwIIAgkCHAILApgCDQIIAggCCAIIAggCCAIIAggCCAIIAggCCAIIAggCCAIIAggCGwIDAuMCHgAC/wICAkECBAIFAgYCBwIIAgkCHAILApgCDQIIAggCegAABAAIAggCCAIIAggCCAIIAggCCAIIAggCCAIIAggCCAIbAgMCwAIeAAL/AgICRwIEAgUCBgIHAggCCQKXAgsCmAINAggCCAIIAggCCAIIAggCCAIIAggCCAIIAggCCAIIAggCCAIbAgMCsgIeAAL/AgICRwIEAgUCBgIHAggCCQIcAgsCmAINAggCCAIIAggCCAIIAggCCAIIAggCCAIIAggCCAIIAggCCAIbAgMCswIeAAL/AgICQQIEAgUCBgIHAggCCQKXAgsCmAINAggCCAIIAggCCAIIAggCCAIIAggCCAIIAggCCAIIAggCCAIbAgMCrwIeAAL/AgICPQIEAgUCBgIHAggCCQKXAgsCmAINAggCCAIIAggCCAIIAggCCAIIAggCCAIIAggCCAIIAggCCAIbAgMCPgIeAAL/AgICOQIEAgUCBgIHAggCCQKXAgsCmAINAggCCAIIAggCCAIIAggCCAIIAggCCAIIAggCCAIIAggCCAIbAgMCuAIeAAL/AgIChwIEAgUCBgIHAggCCQIKAgsCmAINAggCCAIIAggCCAIIAggCCAIIAggCCAIIAggCCAIIAggCCAIbAgMCrQIeAAL/AgICKgIEAgUCBgIHAggCCQIKAgsCmAINAggCCAIIAggCCAIIAggCCAIIAggCCAIIAggCCAIIAggCCAIbAgMCrgIeAAL/AgICNwIEAgUCBgIHAggCCQIKAgsCmAINAggCCAIIAggCCAIIAggCCAIIAggCCAIIAggCCAIIAggCCAIbAgMC2AIeAAL/AgICOwIEAgUCBgIHAggCCQIKAgsCmAINAggCCAIIAggCCAIIAggCCAIIAggCCAIIAggCCAIIAggCCAIbAgMC3AIeAAL/AgICgAIEAgUCBgIHAggCCQIKAgsCmAINAggCCAIIAggCCAIIAggCCAIIAggCCAIIAggCCAIIAggCCAIbAgMC2gIeAAL/AgICHgIEAgUCBgIHAggCCQKXAgsCmAINAggCCAIIAggCCAIIAggCCAIIAggCCAIIAggCCAIIAggCCAIbAgMC4gIeAAL/AgICRQIEAgUCBgIHAggCCQIcAgsCmAINAggCCAIIAggCCAIIAggCCAIIAggCCAIIAggCCAIIAggCCAIbAgMC1QIeAAL/AgICIAIEAgUCBgIHAggCCQKXAgsCmAINAggCCAIIAggCCAIIAggCCAIIAggCCAIIAggCCAIIAggCCAIbAgMC4AIeAAL/AgICYQIEAgUCBgIHAggCCQIKAgsCmAINAggCCAIIAggCCAIIAggCCAIIAggCCAIIAggCCAIIAggCCAIbAgMCzwIeAAL/AgICAwIEAgUCBgIHAggCCQIcegAABAACCwKYAg0CCAIIAggCCAIIAggCCAIIAggCCAIIAggCCAIIAggCCAIIAhsCAwLKAh4AAv8CAgJFAgQCBQIGAgcCCAIJApcCCwKYAg0CCAIIAggCCAIIAggCCAIIAggCCAIIAggCCAIIAggCCAIIAhsCAwKjAh4AAv8CAgImAgQCBQIGAgcCCAIJAhwCCwKYAg0CCAIIAggCCAIIAggCCAIIAggCCAIIAggCCAIIAggCCAIIAhsCAwLEAh4AAv8CAgIqAgQCBQIGAgcCCAIJApcCCwKYAg0CCAIIAggCCAIIAggCCAIIAggCCAIIAggCCAIIAggCCAIIAhsCAwKZAh4AAv8CAgIqAgQCBQIGAgcCCAIJAhwCCwKYAg0CCAIIAggCCAIIAggCCAIIAggCCAIIAggCCAIIAggCCAIIAhsCAwKpAh4AAv8CAgIbAgQCBQIGAgcCCAIJAgoCCwKYAg0CCAIIAggCCAIIAggCCAIIAggCCAIIAggCCAIIAggCCAIIAhsCAwKdAh4AAv8CAgIkAgQCBQIGAgcCCAIJAhwCCwKYAg0CCAIIAggCCAIIAggCCAIIAggCCAIIAggCCAIIAggCCAIIAhsCAwLGAh4AAv8CAgI9AgQCBQIGAgcCCAIJAgoCCwKYAg0CCAIIAggCCAIIAggCCAIIAggCCAIIAggCCAIIAggCCAIIAhsCAwLRAh4AAv8CAgItAgQCBQIGAgcCCAIJApcCCwKYAg0CCAIIAggCCAIIAggCCAIIAggCCAIIAggCCAIIAggCCAIIAhsCAwKlAh4AAv8CAgJJAgQCBQIGAgcCCAIJAgoCCwKYAg0CCAIIAggCCAIIAggCCAIIAggCCAIIAggCCAIIAggCCAIIAhsCAwLNAh4AAv8CAgIiAgQCBQIGAgcCCAIJAgoCCwKYAg0CCAIIAggCCAIIAggCCAIIAggCCAIIAggCCAIIAggCCAIIAhsCAwKaAh4AAv8CAgImAgQCBQIGAgcCCAIJApcCCwKYAg0CCAIIAggCCAIIAggCCAIIAggCCAIIAggCCAIIAggCCAIIAhsCAwLQAh4AAv8CAgKHAgQCBQIGAgcCCAIJApcCCwKYAg0CCAIIAggCCAIIAggCCAIIAggCCAIIAggCCAIIAggCCAIIAhsCAwI+Ah4AAv8CAgKHAgQCBQIGAgcCCAIJAhwCCwKYAg0CCAIIAggCCAIIAggCCAIIAggCCAIIAggCCAIIAggCCAIIAhsCAwKqAh4AAv8CAgI7AgQCBQIGAgcCCAIJApcCCwKYAg0CCAIIAggCCAIIAggCCAIIAggCCAIIAggCCAIIAggCCAIIAhsCAwKkAh4AAv8CAgKAAgQCegAABAAFAgYCBwIIAgkClwILApgCDQIIAggCCAIIAggCCAIIAggCCAIIAggCCAIIAggCCAIIAggCGwIDAj4CHgAC/wICAjkCBAIFAgYCBwIIAgkCCgILApgCDQIIAggCCAIIAggCCAIIAggCCAIIAggCCAIIAggCCAIIAggCGwIDAqcCHgAC/wICAh4CBAIFAgYCBwIIAgkCCgILApgCDQIIAggCCAIIAggCCAIIAggCCAIIAggCCAIIAggCCAIIAggCGwIDAp4CHgAC/wICAjcCBAIFAgYCBwIIAgkClwILApgCDQIIAggCCAIIAggCCAIIAggCCAIIAggCCAIIAggCCAIIAggCGwIDAqYCHgAC/wICAjcCBAIFAgYCBwIIAgkCHAILApgCDQIIAggCCAIIAggCCAIIAggCCAIIAggCCAIIAggCCAIIAggCGwIDApwCHgAC/wICAi0CBAIFAgYCBwIIAgkCHAILApgCDQIIAggCCAIIAggCCAIIAggCCAIIAggCCAIIAggCCAIIAggCGwIDAqgCHgAC/wICAigCBAIFAgYCBwIIAgkCHAILApgCDQIIAggCCAIIAggCCAIIAggCCAIIAggCCAIIAggCCAIIAggCGwIDAroCHgAC/wICAoACBAIFAgYCBwIIAgkCHAILApgCDQIIAggCCAIIAggCCAIIAggCCAIIAggCCAIIAggCCAIIAggCGwIDAqACHgAC/wICAi8CBAIFAgYCBwIIAgkCCgILApgCDQIIAggCCAIIAggCCAIIAggCCAIIAggCCAIIAggCCAIIAggCGwIDAqICHgAC/wICAiACBAIFAgYCBwIIAgkCCgILApgCDQIIAggCCAIIAggCCAIIAggCCAIIAggCCAIIAggCCAIIAggCGwIDAp8CHgAC/wICAigCBAIFAgYCBwIIAgkClwILApgCDQIIAggCCAIIAggCCAIIAggCCAIIAggCCAIIAggCCAIIAggCGwIDArYCHgAC/wICAjUCBAIFAgYCBwIIAgkClwILApgCDQIIAggCCAIIAggCCAIIAggCCAIIAggCCAIIAggCCAIIAggCGwIDArECHgAC/wICAoUCBAIFAgYCBwIIAgkClwILApgCDQIIAggCCAIIAggCCAIIAggCCAIIAggCCAIIAggCCAIIAggCGwIDAj4CHgAC/wICAhsCBAIFAgYCBwIIAgkCHAILApgCDQIIAggCCAIIAggCCAIIAggCCAIIAggCCAIIAggCCAIIAggCGwIDAtYCHgAC/wICAjECBAIFAgYCBwIIAgkCCgILApgCDQIIAggCCAIIAggCCAIIAggCCAIIAggCCAIIAggCCAIIAggCGwIDAt8CegAABAAeAAL/AgICIAIEAgUCBgIHAggCCQIcAgsCmAINAggCCAIIAggCCAIIAggCCAIIAggCCAIIAggCCAIIAggCCAIbAgMC0wIeAAL/AgICAwIEAgUCBgIHAggCCQIKAgsCmAINAggCCAIIAggCCAIIAggCCAIIAggCCAIIAggCCAIIAggCCAIbAgMCtAIeAAL/AgICIgIEAgUCBgIHAggCCQIcAgsCmAINAggCCAIIAggCCAIIAggCCAIIAggCCAIIAggCCAIIAggCCAIbAgMC1AIeAAL/AgICNQIEAgUCBgIHAggCCQIcAgsCmAINAggCCAIIAggCCAIIAggCCAIIAggCCAIIAggCCAIIAggCCAIbAgMCuQIeAAL/AgIChQIEAgUCBgIHAggCCQIcAgsCmAINAggCCAIIAggCCAIIAggCCAIIAggCCAIIAggCCAIIAggCCAIbAgMC8QIeAAL/AgICHgIEAgUCBgIHAggCCQIcAgsCmAINAggCCAIIAggCCAIIAggCCAIIAggCCAIIAggCCAIIAggCCAIbAgMC0gIeAAL/AgICMwIEAgUCBgIHAggCCQIKAgsCmAINAggCCAIIAggCCAIIAggCCAIIAggCCAIIAggCCAIIAggCCAIbAgMC4QIeAAL/AgICWgIEAgUCBgIHAggCCQIcAgsCmAINAggCCAIIAggCCAIIAggCCAIIAggCCAIIAggCCAIIAggCCAIbAgMCtQIeAAL/AgICOQIEAgUCBgIHAggCCQIcAgsCmAINAggCCAIIAggCCAIIAggCCAIIAggCCAIIAggCCAIIAggCCAIbAgMCvwIeAAL/AgICMwIEAgUCBgIHAggCCQIcAgsCmAINAggCCAIIAggCCAIIAggCCAIIAggCCAIIAggCCAIIAggCCAIbAgMCywIeAAL/AgICMQIEAgUCBgIHAggCCQIcAgsCmAINAggCCAIIAggCCAIIAggCCAIIAggCCAIIAggCCAIIAggCCAIbAgMCzgIeAAL/AgICLwIEAgUCBgIHAggCCQKXAgsCmAINAggCCAIIAggCCAIIAggCCAIIAggCCAIIAggCCAIIAggCCAIbAgMCPgIeAAL/AgICXQIEAgUCBgIHAggCCQKXAgsCmAINAggCCAIIAggCCAIIAggCCAIIAggCCAIIAggCCAIIAggCCAIbAgMCvAIeAAL/AgICXQIEAgUCBgIHAggCCQIcAgsCmAINAggCCAIIAggCCAIIAggCCAIIAggCCAIIAggCCAIIAggCCAIbAgMCvQIeAAL/AgICLwIEAgUCBgIHAggCCQIcAgsCmAINAggCCAIIAggCCAIIAggCCAIIAggCCAIIAggCCAIIegAABAACCAIIAhsCAwK+Ah4AAv8CAgItAgQCBQIGAgcCCAIJAgoCCwKYAg0CCAIIAggCCAIIAggCCAIIAggCCAIIAggCCAIIAggCCAIIAhsCAwKhAh4AAv8CAgImAgQCBQIGAgcCCAIJAgoCCwKYAg0CCAIIAggCCAIIAggCCAIIAggCCAIIAggCCAIIAggCCAIIAhsCAwKwAh4AAv8CAgIiAgQCBQIGAgcCCAIJApcCCwKYAg0CCAIIAggCCAIIAggCCAIIAggCCAIIAggCCAIIAggCCAIIAhsCAwI+Ah4AAv8CAgIkAgQCBQIGAgcCCAIJAgoCCwKYAg0CCAIIAggCCAIIAggCCAIIAggCCAIIAggCCAIIAggCCAIIAhsCAwK3Ah4AAv8CAgIbAgQCBQIGAgcCCAIJApcCCwKYAg0CCAIIAggCCAIIAggCCAIIAggCCAIIAggCCAIIAggCCAIIAhsCAwLZAh4AAv8CAgJaAgQCBQIGAgcCCAIJApcCCwKYAg0CCAIIAggCCAIIAggCCAIIAggCCAIIAggCCAIIAggCCAIIAhsCAwI+Ah4AAv8CAgIxAgQCBQIGAgcCCAIJApcCCwKYAg0CCAIIAggCCAIIAggCCAIIAggCCAIIAggCCAIIAggCCAIIAhsCAwLHAh4AAv8CAgKFAgQCBQIGAgcCCAIJAgoCCwKYAg0CCAIIAggCCAIIAggCCAIIAggCCAIIAggCCAIIAggCCAIIAhsCAwLmAh4AAv8CAgI1AgQCBQIGAgcCCAIJAgoCCwKYAg0CCAIIAggCCAIIAggCCAIIAggCCAIIAggCCAIIAggCCAIIAhsCAwKsAh4AAv8CAgIzAgQCBQIGAgcCCAIJApcCCwKYAg0CCAIIAggCCAIIAggCCAIIAggCCAIIAggCCAIIAggCCAIIAhsCAwLIAh4AAv8CAgJBAgQCBQIGAgcCCAIJAgoCCwKYAg0CCAIIAggCCAIIAggCCAIIAggCCAIIAggCCAIIAggCCAIIAhsCAwLCAh4AAv8CAgIoAgQCBQIGAgcCCAIJAgoCCwKYAg0CCAIIAggCCAIIAggCCAIIAggCCAIIAggCCAIIAggCCAIIAhsCAwKbAh4AAv8CAgI7AgQCBQIGAgcCCAIJAhwCCwKYAg0CCAIIAggCCAIIAggCCAIIAggCCAIIAggCCAIIAggCCAIIAhsCAwKrAh4ABAABAAk4NTI0NzcxMzYCAgIbAgQCBQIGAgcCCAIJAhwCCwKYAg0CCAIIAggCCAIIAggCCAIIAggCCAIIAggCCAIIAggCCAIIAh8CAwLWAh4ABAABAgICIgIEAgUCBgIHAggCCQIcAgsCmAINAggCCAIIegAABAACCAIIAggCCAIIAggCCAIIAggCCAIIAggCCAIIAh8CAwLUAh4ABAABAgICAwIEAgUCBgIHAggCCQIKAgsCmAINAggCCAIIAggCCAIIAggCCAIIAggCCAIIAggCCAIIAggCCAIfAgMCtAIeAAQAAQICAjUCBAIFAgYCBwIIAgkClwILApgCDQIIAggCCAIIAggCCAIIAggCCAIIAggCCAIIAggCCAIIAggCHwIDArECHgAEAAECAgIxAgQCBQIGAgcCCAIJAgoCCwKYAg0CCAIIAggCCAIIAggCCAIIAggCCAIIAggCCAIIAggCCAIIAh8CAwLfAh4ABAABAgICMwIEAgUCBgIHAggCCQIKAgsCmAINAggCCAIIAggCCAIIAggCCAIIAggCCAIIAggCCAIIAggCCAIfAgMC4QIeAAQAAQICAiYCBAIFAgYCBwIIAgkCCgILApgCDQIIAggCCAIIAggCCAIIAggCCAIIAggCCAIIAggCCAIIAggCHwIDArACHgAEAAECAgIgAgQCBQIGAgcCCAIJAhwCCwKYAg0CCAIIAggCCAIIAggCCAIIAggCCAIIAggCCAIIAggCCAIIAh8CAwLTAh4ABAABAgICLQIEAgUCBgIHAggCCQKXAgsCmAINAggCCAIIAggCCAIIAggCCAIIAggCCAIIAggCCAIIAggCCAIfAgMCpQIeAAQAAQICAjkCBAIFAgYCBwIIAgkCHAILApgCDQIIAggCCAIIAggCCAIIAggCCAIIAggCCAIIAggCCAIIAggCHwIDAr8CHgAEAAECAgIeAgQCBQIGAgcCCAIJAhwCCwKYAg0CCAIIAggCCAIIAggCCAIIAggCCAIIAggCCAIIAggCCAIIAh8CAwLSAh4ABAABAgICOwIEAgUCBgIHAggCCQKXAgsCmAINAggCCAIIAggCCAIIAggCCAIIAggCCAIIAggCCAIIAggCCAIfAgMCpAIeAAQAAQICAh4CBAIFAgYCBwIIAgkClwILApgCDQIIAggCCAIIAggCCAIIAggCCAIIAggCCAIIAggCCAIIAggCHwIDAuICHgAEAAECAgIvAgQCBQIGAgcCCAIJAhwCCwKYAg0CCAIIAggCCAIIAggCCAIIAggCCAIIAggCCAIIAggCCAIIAh8CAwK+Ah4ABAABAgICIAIEAgUCBgIHAggCCQKXAgsCmAINAggCCAIIAggCCAIIAggCCAIIAggCCAIIAggCCAIIAggCCAIfAgMC4AIeAAQAAQICAjMCBAIFAgYCBwIIAgkCHAILApgCDQIIAggCCAIIAggCCAIIAggCCAIIAggCCAIIAggCCAIIAggCHwIDAssCHgAEAAECAgIkegAABAACBAIFAgYCBwIIAgkCCgILApgCDQIIAggCCAIIAggCCAIIAggCCAIIAggCCAIIAggCCAIIAggCHwIDArcCHgAEAAECAgJhAgQCBQIGAgcCCAIJAgoCCwKYAg0CCAIIAggCCAIIAggCCAIIAggCCAIIAggCCAIIAggCCAIIAh8CAwLPAh4ABAABAgICGwIEAgUCBgIHAggCCQIKAgsCmAINAggCCAIIAggCCAIIAggCCAIIAggCCAIIAggCCAIIAggCCAIfAgMCnQIeAAQAAQICAioCBAIFAgYCBwIIAgkClwILApgCDQIIAggCCAIIAggCCAIIAggCCAIIAggCCAIIAggCCAIIAggCHwIDApkCHgAEAAECAgIxAgQCBQIGAgcCCAIJAhwCCwKYAg0CCAIIAggCCAIIAggCCAIIAggCCAIIAggCCAIIAggCCAIIAh8CAwLOAh4ABAABAgICAwIEAgUCBgIHAggCCQIcAgsCmAINAggCCAIIAggCCAIIAggCCAIIAggCCAIIAggCCAIIAggCCAIfAgMCygIeAAQAAQICAjECBAIFAgYCBwIIAgkClwILApgCDQIIAggCCAIIAggCCAIIAggCCAIIAggCCAIIAggCCAIIAggCHwIDAscCHgAEAAECAgIqAgQCBQIGAgcCCAIJAhwCCwKYAg0CCAIIAggCCAIIAggCCAIIAggCCAIIAggCCAIIAggCCAIIAh8CAwKpAh4ABAABAgIChwIEAgUCBgIHAggCCQIcAgsCmAINAggCCAIIAggCCAIIAggCCAIIAggCCAIIAggCCAIIAggCCAIfAgMCqgIeAAQAAQICAiQCBAIFAgYCBwIIAgkCHAILApgCDQIIAggCCAIIAggCCAIIAggCCAIIAggCCAIIAggCCAIIAggCHwIDAsYCHgAEAAECAgKHAgQCBQIGAgcCCAIJApcCCwKYAg0CCAIIAggCCAIIAggCCAIIAggCCAIIAggCCAIIAggCCAIIAh8CAwI+Ah4ABAABAgICPQIEAgUCBgIHAggCCQIKAgsCmAINAggCCAIIAggCCAIIAggCCAIIAggCCAIIAggCCAIIAggCCAIfAgMC0QIeAAQAAQICAiICBAIFAgYCBwIIAgkCCgILApgCDQIIAggCCAIIAggCCAIIAggCCAIIAggCCAIIAggCCAIIAggCHwIDApoCHgAEAAECAgJJAgQCBQIGAgcCCAIJAgoCCwKYAg0CCAIIAggCCAIIAggCCAIIAggCCAIIAggCCAIIAggCCAIIAh8CAwLNAh4ABAABAgICLwIEAgUCBgIHAggCCQKXAgsCmAINAggCCAIIAggCCAIIAggCCAIIAggCCAIIegAABAACCAIIAggCCAIIAh8CAwI+Ah4ABAABAgICJAIEAgUCBgIHAggCCQKXAgsCmAINAggCCAIIAggCCAIIAggCCAIIAggCCAIIAggCCAIIAggCCAIfAgMCxQIeAAQAAQICAl0CBAIFAgYCBwIIAgkClwILApgCDQIIAggCCAIIAggCCAIIAggCCAIIAggCCAIIAggCCAIIAggCHwIDArwCHgAEAAECAgI5AgQCBQIGAgcCCAIJApcCCwKYAg0CCAIIAggCCAIIAggCCAIIAggCCAIIAggCCAIIAggCCAIIAh8CAwK4Ah4ABAABAgICJgIEAgUCBgIHAggCCQIcAgsCmAINAggCCAIIAggCCAIIAggCCAIIAggCCAIIAggCCAIIAggCCAIfAgMCxAIeAAQAAQICAiYCBAIFAgYCBwIIAgkClwILApgCDQIIAggCCAIIAggCCAIIAggCCAIIAggCCAIIAggCCAIIAggCHwIDAtACHgAEAAECAgIgAgQCBQIGAgcCCAIJAgoCCwKYAg0CCAIIAggCCAIIAggCCAIIAggCCAIIAggCCAIIAggCCAIIAh8CAwKfAh4ABAABAgICLQIEAgUCBgIHAggCCQIcAgsCmAINAggCCAIIAggCCAIIAggCCAIIAggCCAIIAggCCAIIAggCCAIfAgMCqAIeAAQAAQICAkUCBAIFAgYCBwIIAgkCCgILApgCDQIIAggCCAIIAggCCAIIAggCCAIIAggCCAIIAggCCAIIAggCHwIDArsCHgAEAAECAgIeAgQCBQIGAgcCCAIJAgoCCwKYAg0CCAIIAggCCAIIAggCCAIIAggCCAIIAggCCAIIAggCCAIIAh8CAwKeAh4ABAABAgICNQIEAgUCBgIHAggCCQIcAgsCmAINAggCCAIIAggCCAIIAggCCAIIAggCCAIIAggCCAIIAggCCAIfAgMCuQIeAAQAAQICAigCBAIFAgYCBwIIAgkCHAILApgCDQIIAggCCAIIAggCCAIIAggCCAIIAggCCAIIAggCCAIIAggCHwIDAroCHgAEAAECAgIoAgQCBQIGAgcCCAIJApcCCwKYAg0CCAIIAggCCAIIAggCCAIIAggCCAIIAggCCAIIAggCCAIIAh8CAwK2Ah4ABAABAgICRwIEAgUCBgIHAggCCQIcAgsCmAINAggCCAIIAggCCAIIAggCCAIIAggCCAIIAggCCAIIAggCCAIfAgMCswIeAAQAAQICAj0CBAIFAgYCBwIIAgkCHAILApgCDQIIAggCCAIIAggCCAIIAggCCAIIAggCCAIIAggCCAIIAggCHwIDAuMCHgAEAAECAgIqAgQCBQIGAgcCCAIJAgoCCwKYegAABAACDQIIAggCCAIIAggCCAIIAggCCAIIAggCCAIIAggCCAIIAggCHwIDAq4CHgAEAAECAgJHAgQCBQIGAgcCCAIJApcCCwKYAg0CCAIIAggCCAIIAggCCAIIAggCCAIIAggCCAIIAggCCAIIAh8CAwKyAh4ABAABAgIChwIEAgUCBgIHAggCCQIKAgsCmAINAggCCAIIAggCCAIIAggCCAIIAggCCAIIAggCCAIIAggCCAIfAgMCrQIeAAQAAQICAkECBAIFAgYCBwIIAgkCHAILApgCDQIIAggCCAIIAggCCAIIAggCCAIIAggCCAIIAggCCAIIAggCHwIDAsACHgAEAAECAgJBAgQCBQIGAgcCCAIJApcCCwKYAg0CCAIIAggCCAIIAggCCAIIAggCCAIIAggCCAIIAggCCAIIAh8CAwKvAh4ABAABAgICOwIEAgUCBgIHAggCCQIKAgsCmAINAggCCAIIAggCCAIIAggCCAIIAggCCAIIAggCCAIIAggCCAIfAgMC3AIeAAQAAQICAloCBAIFAgYCBwIIAgkCHAILApgCDQIIAggCCAIIAggCCAIIAggCCAIIAggCCAIIAggCCAIIAggCHwIDArUCHgAEAAECAgJdAgQCBQIGAgcCCAIJAhwCCwKYAg0CCAIIAggCCAIIAggCCAIIAggCCAIIAggCCAIIAggCCAIIAh8CAwK9Ah4ABAABAgICNwIEAgUCBgIHAggCCQIKAgsCmAINAggCCAIIAggCCAIIAggCCAIIAggCCAIIAggCCAIIAggCCAIfAgMC2AIeAAQAAQICAloCBAIFAgYCBwIIAgkClwILApgCDQIIAggCCAIIAggCCAIIAggCCAIIAggCCAIIAggCCAIIAggCHwIDAj4CHgAEAAECAgItAgQCBQIGAgcCCAIJAgoCCwKYAg0CCAIIAggCCAIIAggCCAIIAggCCAIIAggCCAIIAggCCAIIAh8CAwKhAh4ABAABAgICRQIEAgUCBgIHAggCCQIcAgsCmAINAggCCAIIAggCCAIIAggCCAIIAggCCAIIAggCCAIIAggCCAIfAgMC1QIeAAQAAQICAgMCBAIFAgYCBwIIAgkClwILApgCDQIIAggCCAIIAggCCAIIAggCCAIIAggCCAIIAggCCAIIAggCHwIDAsMCHgAEAAECAgJFAgQCBQIGAgcCCAIJApcCCwKYAg0CCAIIAggCCAIIAggCCAIIAggCCAIIAggCCAIIAggCCAIIAh8CAwKjAh4ABAABAgICNQIEAgUCBgIHAggCCQIKAgsCmAINAggCCAIIAggCCAIIAggCCAIIAggCCAIIAggCCAIIAggCCAIfAgMCrAIeegAABAAABAABAgICKAIEAgUCBgIHAggCCQIKAgsCmAINAggCCAIIAggCCAIIAggCCAIIAggCCAIIAggCCAIIAggCCAIfAgMCmwIeAAQAAQICAjMCBAIFAgYCBwIIAgkClwILApgCDQIIAggCCAIIAggCCAIIAggCCAIIAggCCAIIAggCCAIIAggCHwIDAsgCHgAEAAECAgJHAgQCBQIGAgcCCAIJAgoCCwKYAg0CCAIIAggCCAIIAggCCAIIAggCCAIIAggCCAIIAggCCAIIAh8CAwLBAh4ABAABAgICQQIEAgUCBgIHAggCCQIKAgsCmAINAggCCAIIAggCCAIIAggCCAIIAggCCAIIAggCCAIIAggCCAIfAgMCwgIeAAQAAQICAjsCBAIFAgYCBwIIAgkCHAILApgCDQIIAggCCAIIAggCCAIIAggCCAIIAggCCAIIAggCCAIIAggCHwIDAqsCHgAEAAECAgJhAgQCBQIGAgcCCAIJAhwCCwKYAg0CCAIIAggCCAIIAggCCAIIAggCCAIIAggCCAIIAggCCAIIAh8CAwLJAh4ABAABAgICSQIEAgUCBgIHAggCCQIcAgsCmAINAggCCAIIAggCCAIIAggCCAIIAggCCAIIAggCCAIIAggCCAIfAgMC3gIeAAQAAQICAjcCBAIFAgYCBwIIAgkClwILApgCDQIIAggCCAIIAggCCAIIAggCCAIIAggCCAIIAggCCAIIAggCHwIDAqYCHgAEAAECAgI5AgQCBQIGAgcCCAIJAgoCCwKYAg0CCAIIAggCCAIIAggCCAIIAggCCAIIAggCCAIIAggCCAIIAh8CAwKnAh4ABAABAgICLwIEAgUCBgIHAggCCQIKAgsCmAINAggCCAIIAggCCAIIAggCCAIIAggCCAIIAggCCAIIAggCCAIfAgMCogIeAAQAAQICAjcCBAIFAgYCBwIIAgkCHAILApgCDQIIAggCCAIIAggCCAIIAggCCAIIAggCCAIIAggCCAIIAggCHwIDApwCHgAEAAECAgI9AgQCBQIGAgcCCAIJApcCCwKYAg0CCAIIAggCCAIIAggCCAIIAggCCAIIAggCCAIIAggCCAIIAh8CAwI+Ah4ABAABAgICIgIEAgUCBgIHAggCCQKXAgsCmAINAggCCAIIAggCCAIIAggCCAIIAggCCAIIAggCCAIIAggCCAIfAgMCPgIeAAQAAQICAhsCBAIFAgYCBwIIAgkClwILApgCDQIIAggCCAIIAggCCAIIAggCCAIIAggCCAIIAggCCAIIAggCHwIDAtkCHgAEAAECAgJdAgQCBQIGAgcCCAIJAgoCCwKYAg0CCAIIAggCCAIIAggCCAIIegAABAACCAIIAggCCAIIAggCCAIIAggCHwIDAswCHgAEAAECAgJJAgQCBQIGAgcCCAIJApcCCwKYAg0CCAIIAggCCAIIAggCCAIIAggCCAIIAggCCAIIAggCCAIIAh8CAwLdAh4ABAABAgICWgIEAgUCBgIHAggCCQIKAgsCmAINAggCCAIIAggCCAIIAggCCAIIAggCCAIIAggCCAIIAggCCAIfAgMC2wIeAAQAAQICAmECBAIFAgYCBwIIAgkClwILApgCDQIIAggCCAIIAggCCAIIAggCCAIIAggCCAIIAggCCAIIAggCHwIDAtcCHgAEAQEACTg1MjQ3OTQ1NgICAi0CBAIFAgYCBwIIAgkCHAILApgCDQIIAggCCAIIAggCCAIIAggCCAIIAggCCAIIAggCCAIIAggCIQIDAqgCHgAEAQECAgI7AgQCBQIGAgcCCAIJApcCCwKYAg0CCAIIAggCCAIIAggCCAIIAggCCAIIAggCCAIIAggCCAIIAiECAwKkAh4ABAEBAgICLwIEAgUCBgIHAggCCQIKAgsCmAINAggCCAIIAggCCAIIAggCCAIIAggCCAIIAggCCAIIAggCCAIhAgMCogIeAAQBAQICAiACBAIFAgYCBwIIAgkCCgILApgCDQIIAggCCAIIAggCCAIIAggCCAIIAggCCAIIAggCCAIIAggCIQIDAp8CHgAEAQECAgI1AgQCBQIGAgcCCAIJAhwCCwKYAg0CCAIIAggCCAIIAggCCAIIAggCCAIIAggCCAIIAggCCAIIAiECAwK5Ah4ABAEBAgICKAIEAgUCBgIHAggCCQIcAgsCmAINAggCCAIIAggCCAIIAggCCAIIAggCCAIIAggCCAIIAggCCAIhAgMCugIeAAQBAQICAjECBAIFAgYCBwIIAgkCCgILApgCDQIIAggCCAIIAggCCAIIAggCCAIIAggCCAIIAggCCAIIAggCIQIDAt8CHgAEAQECAgIbAgQCBQIGAgcCCAIJAgoCCwKYAg0CCAIIAggCCAIIAggCCAIIAggCCAIIAggCCAIIAggCCAIIAiECAwKdAh4ABAEBAgICKgIEAgUCBgIHAggCCQKXAgsCmAINAggCCAIIAggCCAIIAggCCAIIAggCCAIIAggCCAIIAggCCAIhAgMCmQIeAAQBAQICAjUCBAIFAgYCBwIIAgkClwILApgCDQIIAggCCAIIAggCCAIIAggCCAIIAggCCAIIAggCCAIIAggCIQIDArECHgAEAQECAgIiAgQCBQIGAgcCCAIJAhwCCwKYAg0CCAIIAggCCAIIAggCCAIIAggCCAIIAggCCAIIAggCCAIIAiECAwLUAh4ABAEBAgICegAABAADAgQCBQIGAgcCCAIJAgoCCwKYAg0CCAIIAggCCAIIAggCCAIIAggCCAIIAggCCAIIAggCCAIIAiECAwK0Ah4ABAEBAgICMwIEAgUCBgIHAggCCQIKAgsCmAINAggCCAIIAggCCAIIAggCCAIIAggCCAIIAggCCAIIAggCCAIhAgMC4QIeAAQBAQICAi0CBAIFAgYCBwIIAgkCCgILApgCDQIIAggCCAIIAggCCAIIAggCCAIIAggCCAIIAggCCAIIAggCIQIDAqECHgAEAQECAgImAgQCBQIGAgcCCAIJAgoCCwKYAg0CCAIIAggCCAIIAggCCAIIAggCCAIIAggCCAIIAggCCAIIAiECAwKwAh4ABAEBAgICWgIEAgUCBgIHAggCCQKXAgsCmAINAggCCAIIAggCCAIIAggCCAIIAggCCAIIAggCCAIIAggCCAIhAgMCPgIeAAQBAQICAiACBAIFAgYCBwIIAgkCHAILApgCDQIIAggCCAIIAggCCAIIAggCCAIIAggCCAIIAggCCAIIAggCIQIDAtMCHgAEAQECAgI5AgQCBQIGAgcCCAIJAhwCCwKYAg0CCAIIAggCCAIIAggCCAIIAggCCAIIAggCCAIIAggCCAIIAiECAwK/Ah4ABAEBAgICLwIEAgUCBgIHAggCCQIcAgsCmAINAggCCAIIAggCCAIIAggCCAIIAggCCAIIAggCCAIIAggCCAIhAgMCvgIeAAQBAQICAiACBAIFAgYCBwIIAgkClwILApgCDQIIAggCCAIIAggCCAIIAggCCAIIAggCCAIIAggCCAIIAggCIQIDAuACHgAEAQECAgJdAgQCBQIGAgcCCAIJApcCCwKYAg0CCAIIAggCCAIIAggCCAIIAggCCAIIAggCCAIIAggCCAIIAiECAwK8Ah4ABAEBAgICHgIEAgUCBgIHAggCCQIcAgsCmAINAggCCAIIAggCCAIIAggCCAIIAggCCAIIAggCCAIIAggCCAIhAgMC0gIeAAQBAQICAh4CBAIFAgYCBwIIAgkClwILApgCDQIIAggCCAIIAggCCAIIAggCCAIIAggCCAIIAggCCAIIAggCIQIDAuICHgAEAQECAgJdAgQCBQIGAgcCCAIJAhwCCwKYAg0CCAIIAggCCAIIAggCCAIIAggCCAIIAggCCAIIAggCCAIIAiECAwK9Ah4ABAEBAgICWgIEAgUCBgIHAggCCQIcAgsCmAINAggCCAIIAggCCAIIAggCCAIIAggCCAIIAggCCAIIAggCCAIhAgMCtQIeAAQBAQICAiQCBAIFAgYCBwIIAgkCCgILApgCDQIIAggCCAIIAggCCAIIAggCCAIIAggCegAABAAIAggCCAIIAggCCAIhAgMCtwIeAAQBAQICAj0CBAIFAgYCBwIIAgkClwILApgCDQIIAggCCAIIAggCCAIIAggCCAIIAggCCAIIAggCCAIIAggCIQIDAj4CHgAEAQECAgIbAgQCBQIGAgcCCAIJApcCCwKYAg0CCAIIAggCCAIIAggCCAIIAggCCAIIAggCCAIIAggCCAIIAiECAwLZAh4ABAEBAgICMQIEAgUCBgIHAggCCQKXAgsCmAINAggCCAIIAggCCAIIAggCCAIIAggCCAIIAggCCAIIAggCCAIhAgMCxwIeAAQBAQICAjMCBAIFAgYCBwIIAgkCHAILApgCDQIIAggCCAIIAggCCAIIAggCCAIIAggCCAIIAggCCAIIAggCIQIDAssCHgAEAQECAgIzAgQCBQIGAgcCCAIJApcCCwKYAg0CCAIIAggCCAIIAggCCAIIAggCCAIIAggCCAIIAggCCAIIAiECAwLIAh4ABAEBAgICMQIEAgUCBgIHAggCCQIcAgsCmAINAggCCAIIAggCCAIIAggCCAIIAggCCAIIAggCCAIIAggCCAIhAgMCzgIeAAQBAQICAiICBAIFAgYCBwIIAgkClwILApgCDQIIAggCCAIIAggCCAIIAggCCAIIAggCCAIIAggCCAIIAggCIQIDAj4CHgAEAQECAgIbAgQCBQIGAgcCCAIJAhwCCwKYAg0CCAIIAggCCAIIAggCCAIIAggCCAIIAggCCAIIAggCCAIIAiECAwLWAh4ABAEBAgICKAIEAgUCBgIHAggCCQIKAgsCmAINAggCCAIIAggCCAIIAggCCAIIAggCCAIIAggCCAIIAggCCAIhAgMCmwIeAAQBAQICAkcCBAIFAgYCBwIIAgkCCgILApgCDQIIAggCCAIIAggCCAIIAggCCAIIAggCCAIIAggCCAIIAggCIQIDAsECHgAEAQECAgI1AgQCBQIGAgcCCAIJAgoCCwKYAg0CCAIIAggCCAIIAggCCAIIAggCCAIIAggCCAIIAggCCAIIAiECAwKsAh4ABAEBAgICNwIEAgUCBgIHAggCCQIcAgsCmAINAggCCAIIAggCCAIIAggCCAIIAggCCAIIAggCCAIIAggCCAIhAgMCnAIeAAQBAQICAjkCBAIFAgYCBwIIAgkCCgILApgCDQIIAggCCAIIAggCCAIIAggCCAIIAggCCAIIAggCCAIIAggCIQIDAqcCHgAEAQECAgJBAgQCBQIGAgcCCAIJAgoCCwKYAg0CCAIIAggCCAIIAggCCAIIAggCCAIIAggCCAIIAggCCAIIAiECAwLCAh4ABAEBAgICNwIEAgUCBgIHAggCCQKXAgsCegAABACYAg0CCAIIAggCCAIIAggCCAIIAggCCAIIAggCCAIIAggCCAIIAiECAwKmAh4ABAEBAgICOwIEAgUCBgIHAggCCQIcAgsCmAINAggCCAIIAggCCAIIAggCCAIIAggCCAIIAggCCAIIAggCCAIhAgMCqwIeAAQBAQICAmECBAIFAgYCBwIIAgkCHAILApgCDQIIAggCCAIIAggCCAIIAggCCAIIAggCCAIIAggCCAIIAggCIQIDAskCHgAEAQECAgJJAgQCBQIGAgcCCAIJAhwCCwKYAg0CCAIIAggCCAIIAggCCAIIAggCCAIIAggCCAIIAggCCAIIAiECAwLeAh4ABAEBAgICRQIEAgUCBgIHAggCCQIKAgsCmAINAggCCAIIAggCCAIIAggCCAIIAggCCAIIAggCCAIIAggCCAIhAgMCuwIeAAQBAQICAl0CBAIFAgYCBwIIAgkCCgILApgCDQIIAggCCAIIAggCCAIIAggCCAIIAggCCAIIAggCCAIIAggCIQIDAswCHgAEAQECAgJhAgQCBQIGAgcCCAIJApcCCwKYAg0CCAIIAggCCAIIAggCCAIIAggCCAIIAggCCAIIAggCCAIIAiECAwLXAh4ABAEBAgICSQIEAgUCBgIHAggCCQKXAgsCmAINAggCCAIIAggCCAIIAggCCAIIAggCCAIIAggCCAIIAggCCAIhAgMC3QIeAAQBAQICAloCBAIFAgYCBwIIAgkCCgILApgCDQIIAggCCAIIAggCCAIIAggCCAIIAggCCAIIAggCCAIIAggCIQIDAtsCHgAEAQECAgI9AgQCBQIGAgcCCAIJAhwCCwKYAg0CCAIIAggCCAIIAggCCAIIAggCCAIIAggCCAIIAggCCAIIAiECAwLjAh4ABAEBAgICRwIEAgUCBgIHAggCCQIcAgsCmAINAggCCAIIAggCCAIIAggCCAIIAggCCAIIAggCCAIIAggCCAIhAgMCswIeAAQBAQICAgMCBAIFAgYCBwIIAgkClwILApgCDQIIAggCCAIIAggCCAIIAggCCAIIAggCCAIIAggCCAIIAggCIQIDAsMCHgAEAQECAgIqAgQCBQIGAgcCCAIJAgoCCwKYAg0CCAIIAggCCAIIAggCCAIIAggCCAIIAggCCAIIAggCCAIIAiECAwKuAh4ABAEBAgICQQIEAgUCBgIHAggCCQKXAgsCmAINAggCCAIIAggCCAIIAggCCAIIAggCCAIIAggCCAIIAggCCAIhAgMCrwIeAAQBAQICAjkCBAIFAgYCBwIIAgkClwILApgCDQIIAggCCAIIAggCCAIIAggCCAIIAggCCAIIAggCCAIIAggCIQIDArgCegAABAAeAAQBAQICAkcCBAIFAgYCBwIIAgkClwILApgCDQIIAggCCAIIAggCCAIIAggCCAIIAggCCAIIAggCCAIIAggCIQIDArICHgAEAQECAgJBAgQCBQIGAgcCCAIJAhwCCwKYAg0CCAIIAggCCAIIAggCCAIIAggCCAIIAggCCAIIAggCCAIIAiECAwLAAh4ABAEBAgICLwIEAgUCBgIHAggCCQKXAgsCmAINAggCCAIIAggCCAIIAggCCAIIAggCCAIIAggCCAIIAggCCAIhAgMCPgIeAAQBAQICAjsCBAIFAgYCBwIIAgkCCgILApgCDQIIAggCCAIIAggCCAIIAggCCAIIAggCCAIIAggCCAIIAggCIQIDAtwCHgAEAQECAgI3AgQCBQIGAgcCCAIJAgoCCwKYAg0CCAIIAggCCAIIAggCCAIIAggCCAIIAggCCAIIAggCCAIIAiECAwLYAh4ABAEBAgICSQIEAgUCBgIHAggCCQIKAgsCmAINAggCCAIIAggCCAIIAggCCAIIAggCCAIIAggCCAIIAggCCAIhAgMCzQIeAAQBAQICAmECBAIFAgYCBwIIAgkCCgILApgCDQIIAggCCAIIAggCCAIIAggCCAIIAggCCAIIAggCCAIIAggCIQIDAs8CHgAEAQECAgJFAgQCBQIGAgcCCAIJAhwCCwKYAg0CCAIIAggCCAIIAggCCAIIAggCCAIIAggCCAIIAggCCAIIAiECAwLVAh4ABAEBAgICRQIEAgUCBgIHAggCCQKXAgsCmAINAggCCAIIAggCCAIIAggCCAIIAggCCAIIAggCCAIIAggCCAIhAgMCowIeAAQBAQICAioCBAIFAgYCBwIIAgkCHAILApgCDQIIAggCCAIIAggCCAIIAggCCAIIAggCCAIIAggCCAIIAggCIQIDAqkCHgAEAQECAgIDAgQCBQIGAgcCCAIJAhwCCwKYAg0CCAIIAggCCAIIAggCCAIIAggCCAIIAggCCAIIAggCCAIIAiECAwLKAh4ABAEBAgICKAIEAgUCBgIHAggCCQKXAgsCmAINAggCCAIIAggCCAIIAggCCAIIAggCCAIIAggCCAIIAggCCAIhAgMCtgIeAAQBAQICAiQCBAIFAgYCBwIIAgkCHAILApgCDQIIAggCCAIIAggCCAIIAggCCAIIAggCCAIIAggCCAIIAggCIQIDAsYCHgAEAQECAgIiAgQCBQIGAgcCCAIJAgoCCwKYAg0CCAIIAggCCAIIAggCCAIIAggCCAIIAggCCAIIAggCCAIIAiECAwKaAh4ABAEBAgICJgIEAgUCBgIHAggCCQKXAgsCmAINAggCCAIIAggCCAIIAggCegAAAXcIAggCCAIIAggCCAIIAggCCAIIAiECAwLQAh4ABAEBAgICPQIEAgUCBgIHAggCCQIKAgsCmAINAggCCAIIAggCCAIIAggCCAIIAggCCAIIAggCCAIIAggCCAIhAgMC0QIeAAQBAQICAh4CBAIFAgYCBwIIAgkCCgILApgCDQIIAggCCAIIAggCCAIIAggCCAIIAggCCAIIAggCCAIIAggCIQIDAp4CHgAEAQECAgIkAgQCBQIGAgcCCAIJApcCCwKYAg0CCAIIAggCCAIIAggCCAIIAggCCAIIAggCCAIIAggCCAIIAiECAwLFAh4ABAEBAgICJgIEAgUCBgIHAggCCQIcAgsCmAINAggCCAIIAggCCAIIAggCCAIIAggCCAIIAggCCAIIAggCCAIhAgMCxAIeAAQBAQICAi0CBAIFAgYCBwIIAgkClwILApgCDQIIAggCCAIIAggCCAIIAggCCAIIAggCCAIIAggCCAIIAggCIQIDAqU=]]></xxe4awand>
</file>

<file path=customXml/item59.xml><?xml version="1.0" encoding="utf-8"?>
<xxe4awand xmlns="http://www.excel4apps.com"><![CDATA[rO0ABXfZCMCtii8ABDMHAh4AAERjb20uZXhjZWw0YXBwcy53YW5kLm9yYWNsZS5n
bHdhbmQuY2FsY3VsYXRpb25zLmdldGJhbGFuY2UuR2V0QmFsYW5jZQIBAAkyMzE5
MjMwMzICAgABMAIDAAYyMDE4MDk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KnnZHh4d1UCHgACAQICAhsABjIwMTgwNwIEAgUCBgIHAggCCQIcAAYxOTEw
MTACCwIMAg0CCAIIAggCCAIIAggCCAIIAggCCAIIAggCCAIIAggCCAIIAhQCAwId
c3EAfgAAAAAAAnNxAH4ABP///////////////v////7/////dXEAfgAHAAAABGPP
mgl4eHdNAh4AAgECAgIeAAYyMDE2MDUCBAIFAgYCBwIIAgkCHAILAgwCDQIIAggC
CAIIAggCCAIIAggCCAIIAggCCAIIAggCCAIIAggCFAIDAh9zcQB+AAAAAAACc3EA
fgAE///////////////+/////v////91cQB+AAcAAAAETCsLgHh4d1UCHgACAQIC
AiAABjIwMTcwNAIEAgUCBgIHAggCCQIhAAYxOTEwMjUCCwIMAg0CCAIIAggCCAII
AggCCAIIAggCCAIIAggCCAIIAggCCAIIAhQCAwIic3EAfgAAAAAAAnNxAH4ABP///////////////v////7/////dXEAfgAHAAAAAwR0jXh4d00CHgACAQICAiMABjIwMTcxMAIEAgUCBgIHAggCCQIhAgsCDAINAggCCAIIAggCCAIIAggCCAIIAggCCAIIAggCCAIIAggCCAIUAgMCJHNxAH4AAAAAAAJzcQB+AAT///////////////7////+/////3VxAH4ABwAAAAMD3Kt4eHdNAh4AAgECAgIlAAYyMDE2MDcCBAIFAgYCBwIIAgkCCgILAgwCDQIIAggCCAIIAggCCAIIAggCCAIIAggCCAIIAggCCAIIAggCFAIDAiZzcQB+AAAAAAACc3EAfgAE///////////////+/////v////91cQB+AAcAAAAEAzaSmXh4d00CHgACAQICAicABjIwMTYwNAIEAgUCBgIHAggCCQIhAgsCDAINAggCCAIIAggCCAIIAggCCAIIAggCCAIIAggCCAIIAggCCAIUAgMCKHNxAH4AAAAAAAJzcQB+AAT///////////////7////+/////3VxAH4ABwAAAAMMxv54eHdNAh4AAgECAgIpAAYyMDE4MDYCBAIFAgYCBwIIAgkCIQILAgwCDQIIAggCCAIIAggCCAIIAggCCAIIAggCCAIIAggCCAIIAggCFAIDAipzcQB+AAAAAAACc3EAfgAE///////////////+/////gAAAAB1cQB+AAcAAAAAeHh3mgIeAAIBAgICKwAGMjAxODEwAgQCBQIGAgcCCAIJAiECCwIMAg0CCAIIAggCCAIIAggCCAIIAggCCAIIAggCCAIIAggCCAIIAhQCAwIqAh4AAgECAgIsAAYyMDE3MDkCBAIFAgYCBwIIAgkCCgILAgwCDQIIAggCCAIIAggCCAIIAggCCAIIAggCCAIIAggCCAIIAggCFAIDAi1zcQB+AAAAAAACc3EAfgAE///////////////+/////gAAAAF1cQB+AAcAAAAEAo6woHh4d5oCHgACAQICAi4ABjIwMTcxMgIEAgUCBgIHAggCCQIhAgsCDAINAggCCAIIAggCCAIIAggCCAIIAggCCAIIAggCCAIIAggCCAIUAgMCKgIeAAIBAgICLwAGMjAxNzA3AgQCBQIGAgcCCAIJAhwCCwIMAg0CCAIIAggCCAIIAggCCAIIAggCCAIIAggCCAIIAggCCAIIAhQCAwIwc3EAfgAAAAAAAnNxAH4ABP///////////////v////7/////dXEAfgAHAAAABF7UYvh4eHdFAh4AAgECAgIbAgQCBQIGAgcCCAIJAgoCCwIMAg0CCAIIAggCCAIIAggCCAIIAggCCAIIAggCCAIIAggCCAIIAhQCAwIxc3EAfgAAAAAAAnNxAH4ABP///////////////v////4AAAABdXEAfgAHAAAAAwlJUHh4d00CHgACAQICAjIABjIwMTcwMgIEAgUCBgIHAggCCQIhAgsCDAINAggCCAIIAggCCAIIAggCCAIIAggCCAIIAggCCAIIAggCCAIUAgMCM3NxAH4AAAAAAAJzcQB+AAT///////////////7////+/////3VxAH4ABwAAAAME+2h4eHdNAh4AAgECAgI0AAYyMDE4MDICBAIFAgYCBwIIAgkCCgILAgwCDQIIAggCCAIIAggCCAIIAggCCAIIAggCCAIIAggCCAIIAggCFAIDAjVzcQB+AAAAAAACc3EAfgAE///////////////+/////v////91cQB+AAcAAAAEGWLnZXh4d0UCHgACAQICAiUCBAIFAgYCBwIIAgkCHAILAgwCDQIIAggCCAIIAggCCAIIAggCCAIIAggCCAIIAggCCAIIAggCFAIDAjZzcQB+AAAAAAACc3EAfgAE///////////////+/////v////91cQB+AAcAAAAEWi+1rXh4d00CHgACAQICAjcABjIwMTcxMQIEAgUCBgIHAggCCQIcAgsCDAINAggCCAIIAggCCAIIAggCCAIIAggCCAIIAggCCAIIAggCCAIUAgMCOHNxAH4AAAAAAAJzcQB+AAT///////////////7////+/////3VxAH4ABwAAAAQw0KqzeHh3RQIeAAIBAgICAwIEAgUCBgIHAggCCQIcAgsCDAINAggCCAIIAggCCAIIAggCCAIIAggCCAIIAggCCAIIAggCCAIUAgMCOXNxAH4AAAAAAAJzcQB+AAT///////////////7////+/////3VxAH4ABwAAAARx0ZiUeHh3RQIeAAIBAgICHgIEAgUCBgIHAggCCQIKAgsCDAINAggCCAIIAggCCAIIAggCCAIIAggCCAIIAggCCAIIAggCCAIUAgMCOnNxAH4AAAAAAAJzcQB+AAT///////////////7////+/////3VxAH4ABwAAAAQENonjeHh3TQIeAAIBAgICOwAGMjAxNjA5AgQCBQIGAgcCCAIJAhwCCwIMAg0CCAIIAggCCAIIAggCCAIIAggCCAIIAggCCAIIAggCCAIIAhQCAwI8c3EAfgAAAAAAAnNxAH4ABP///////////////v////7/////dXEAfgAHAAAABGExCBR4eHdNAh4AAgECAgI9AAYyMDE2MDYCBAIFAgYCBwIIAgkCIQILAgwCDQIIAggCCAIIAggCCAIIAggCCAIIAggCCAIIAggCCAIIAggCFAIDAj5zcQB+AAAAAAACc3EAfgAE///////////////+/////v////91cQB+AAcAAAADCoBUeHh3RQIeAAIBAgICKwIEAgUCBgIHAggCCQIKAgsCDAINAggCCAIIAggCCAIIAggCCAIIAggCCAIIAggCCAIIAggCCAIUAgMCP3NxAH4AAAAAAAJzcQB+AAT///////////////7////+AAAAAXVxAH4ABwAAAAQK/GdUeHh3mgIeAAIBAgICQAAGMjAxODA4AgQCBQIGAgcCCAIJAiECCwIMAg0CCAIIAggCCAIIAggCCAIIAggCCAIIAggCCAIIAggCCAIIAhQCAwIqAh4AAgECAgJBAAYyMDE2MDICBAIFAgYCBwIIAgkCCgILAgwCDQIIAggCCAIIAggCCAIIAggCCAIIAggCCAIIAggCCAIIAggCFAIDAkJzcQB+AAAAAAACc3EAfgAE///////////////+/////v////91cQB+AAcAAAAECCX/sXh4d00CHgACAQICAkMABjIwMTcwNQIEAgUCBgIHAggCCQIcAgsCDAINAggCCAIIAggCCAIIAggCCAIIAggCCAIIAggCCAIIAggCCAIUAgMCRHNxAH4AAAAAAAJzcQB+AAT///////////////7////+/////3VxAH4ABwAAAARZ/eXyeHh3TQIeAAIBAgICRQAGMjAxNzA4AgQCBQIGAgcCCAIJAiECCwIMAg0CCAIIAggCCAIIAggCCAIIAggCCAIIAggCCAIIAggCCAIIAhQCAwJGc3EAfgAAAAAAAnNxAH4ABP///////////////v////7/////dXEAfgAHAAAAAwQlCXh4d5ICHgACAQICAkcABjIwMTgxMQIEAgUCBgIHAggCCQIKAgsCDAINAggCCAIIAggCCAIIAggCCAIIAggCCAIIAggCCAIIAggCCAIUAgMCPwIeAAIBAgICKwIEAgUCBgIHAggCCQIcAgsCDAINAggCCAIIAggCCAIIAggCCAIIAggCCAIIAggCCAIIAggCCAIUAgMCSHNxAH4AAAAAAAJzcQB+AAT///////////////7////+/////3VxAH4ABwAAAASIbHKOeHh3mgIeAAIBAgICSQAGMjAxODAxAgQCBQIGAgcCCAIJAiECCwIMAg0CCAIIAggCCAIIAggCCAIIAggCCAIIAggCCAIIAggCCAIIAhQCAwIqAh4AAgECAgJKAAYyMDE2MTACBAIFAgYCBwIIAgkCCgILAgwCDQIIAggCCAIIAggCCAIIAggCCAIIAggCCAIIAggCCAIIAggCFAIDAktzcQB+AAAAAAACc3EAfgAE///////////////+/////v////91cQB+AAcAAAADvFyyeHh3TQIeAAIBAgICTAAGMjAxNjAzAgQCBQIGAgcCCAIJAgoCCwIMAg0CCAIIAggCCAIIAggCCAIIAggCCAIIAggCCAIIAggCCAIIAhQCAwJNc3EAfgAAAAAAAnNxAH4ABP///////////////v////7/////dXEAfgAHAAAABAXojm54eHdFAh4AAgECAgIyAgQCBQIGAgcCCAIJAhwCCwIMAg0CCAIIAggCCAIIAggCCAIIAggCCAIIAggCCAIIAggCCAIIAhQCAwJOc3EAfgAAAAAAAnNxAH4ABP///////////////v////7/////dXEAfgAHAAAABEmLU8l4eHdFAh4AAgECAgJBAgQCBQIGAgcCCAIJAhwCCwIMAg0CCAIIAggCCAIIAggCCAIIAggCCAIIAggCCAIIAggCCAIIAhQCAwJPc3EAfgAAAAAAAnNxAH4ABP///////////////v////7/////dXEAfgAHAAAABDc49U94eHdNAh4AAgECAgJQAAYyMDE4MDQCBAIFAgYCBwIIAgkCHAILAgwCDQIIAggCCAIIAggCCAIIAggCCAIIAggCCAIIAggCCAIIAggCFAIDAlFzcQB+AAAAAAACc3EAfgAE///////////////+/////v////91cQB+AAcAAAAEWqnIX3h4d0UCHgACAQICAikCBAIFAgYCBwIIAgkCCgILAgwCDQIIAggCCAIIAggCCAIIAggCCAIIAggCCAIIAggCCAIIAggCFAIDAlJzcQB+AAAAAAACc3EAfgAE///////////////+/////v////91cQB+AAcAAAAEAe561nh4d0UCHgACAQICAiwCBAIFAgYCBwIIAgkCIQILAgwCDQIIAggCCAIIAggCCAIIAggCCAIIAggCCAIIAggCCAIIAggCFAIDAlNzcQB+AAAAAAACc3EAfgAE///////////////+/////v////91cQB+AAcAAAADBA6ueHh3TQIeAAIBAgICVAAGMjAxODA1AgQCBQIGAgcCCAIJAgoCCwIMAg0CCAIIAggCCAIIAggCCAIIAggCCAIIAggCCAIIAggCCAIIAhQCAwJVc3EAfgAAAAAAAnNxAH4ABP///////////////v////7/////dXEAfgAHAAAABARKQZV4eHeKAh4AAgECAgI0AgQCBQIGAgcCCAIJAiECCwIMAg0CCAIIAggCCAIIAggCCAIIAggCCAIIAggCCAIIAggCCAIIAhQCAwIqAh4AAgECAgI7AgQCBQIGAgcCCAIJAiECCwIMAg0CCAIIAggCCAIIAggCCAIIAggCCAIIAggCCAIIAggCCAIIAhQCAwJWc3EAfgAAAAAAAnNxAH4ABP///////////////v////7/////dXEAfgAHAAAAAweN1Hh4d4oCHgACAQICAkcCBAIFAgYCBwIIAgkCHAILAgwCDQIIAggCCAIIAggCCAIIAggCCAIIAggCCAIIAggCCAIIAggCFAIDAkgCHgACAQICAicCBAIFAgYCBwIIAgkCCgILAgwCDQIIAggCCAIIAggCCAIIAggCCAIIAggCCAIIAggCCAIIAggCFAIDAldzcQB+AAAAAAACc3EAfgAE///////////////+/////v////91cQB+AAcAAAAEBOQwD3h4d0UCHgACAQICAkwCBAIFAgYCBwIIAgkCHAILAgwCDQIIAggCCAIIAggCCAIIAggCCAIIAggCCAIIAggCCAIIAggCFAIDAlhzcQB+AAAAAAACc3EAfgAE///////////////+/////v////91cQB+AAcAAAAEPftW4nh4d0UCHgACAQICAh4CBAIFAgYCBwIIAgkCIQILAgwCDQIIAggCCAIIAggCCAIIAggCCAIIAggCCAIIAggCCAIIAggCFAIDAllzcQB+AAAAAAACc3EAfgAE///////////////+/////v////91cQB+AAcAAAADC4KteHh3igIeAAIBAgICGwIEAgUCBgIHAggCCQIhAgsCDAINAggCCAIIAggCCAIIAggCCAIIAggCCAIIAggCCAIIAggCCAIUAgMCKgIeAAIBAgICVAIEAgUCBgIHAggCCQIcAgsCDAINAggCCAIIAggCCAIIAggCCAIIAggCCAIIAggCCAIIAggCCAIUAgMCWnNxAH4AAAAAAAJzcQB+AAT///////////////7////+/////3VxAH4ABwAAAARc5cCweHh3RQIeAAIBAgICOwIEAgUCBgIHAggCCQIKAgsCDAINAggCCAIIAggCCAIIAggCCAIIAggCCAIIAggCCAIIAggCCAIUAgMCW3NxAH4AAAAAAAJzcQB+AAT///////////////7////+/////3VxAH4ABwAAAAQCG6dueHh3RQIeAAIBAgICLwIEAgUCBgIHAggCCQIKAgsCDAINAggCCAIIAggCCAIIAggCCAIIAggCCAIIAggCCAIIAggCCAIUAgMCXHNxAH4AAAAAAAJzcQB+AAT///////////////7////+/////3VxAH4ABwAAAAQCCvb0eHh3TQIeAAIBAgICXQAGMjAxNzAzAgQCBQIGAgcCCAIJAiECCwIMAg0CCAIIAggCCAIIAggCCAIIAggCCAIIAggCCAIIAggCCAIIAhQCAwJec3EAfgAAAAAAAnNxAH4ABP///////////////v////7/////dXEAfgAHAAAAAwSrl3h4d0UCHgACAQICAjICBAIFAgYCBwIIAgkCCgILAgwCDQIIAggCCAIIAggCCAIIAggCCAIIAggCCAIIAggCCAIIAggCFAIDAl9zcQB+AAAAAAACc3EAfgAE///////////////+/////v////91cQB+AAcAAAAEG0cx03h4d00CHgACAQICAmAABjIwMTYwOAIEAgUCBgIHAggCCQIcAgsCDAINAggCCAIIAggCCAIIAggCCAIIAggCCAIIAggCCAIIAggCCAIUAgMCYXNxAH4AAAAAAAJzcQB+AAT///////////////7////+/////3VxAH4ABwAAAARdV1DJeHh3RQIeAAIBAgICSgIEAgUCBgIHAggCCQIhAgsCDAINAggCCAIIAggCCAIIAggCCAIIAggCCAIIAggCCAIIAggCCAIUAgMCYnNxAH4AAAAAAAJzcQB+AAT///////////////7////+/////3VxAH4ABwAAAAMFP694eHdFAh4AAgECAgIuAgQCBQIGAgcCCAIJAhwCCwIMAg0CCAIIAggCCAIIAggCCAIIAggCCAIIAggCCAIIAggCCAIIAhQCAwJjc3EAfgAAAAAAAnNxAH4ABP///////////////v////7/////dXEAfgAHAAAABEI0vHx4eHdNAh4AAgECAgJkAAYyMDE3MDECBAIFAgYCBwIIAgkCHAILAgwCDQIIAggCCAIIAggCCAIIAggCCAIIAggCCAIIAggCCAIIAggCFAIDAmVzcQB+AAAAAAACc3EAfgAE///////////////+/////v////91cQB+AAcAAAAEPRU7dnh4d0UCHgACAQICAkwCBAIFAgYCBwIIAgkCIQILAgwCDQIIAggCCAIIAggCCAIIAggCCAIIAggCCAIIAggCCAIIAggCFAIDAmZzcQB+AAAAAAACc3EAfgAE///////////////+/////v////91cQB+AAcAAAADDoPdeHh3RQIeAAIBAgICRQIEAgUCBgIHAggCCQIKAgsCDAINAggCCAIIAggCCAIIAggCCAIIAggCCAIIAggCCAIIAggCCAIUAgMCZ3NxAH4AAAAAAAJzcQB+AAT///////////////7////+/////3VxAH4ABwAAAAMylNZ4eHdNAh4AAgECAgJoAAYyMDE2MTICBAIFAgYCBwIIAgkCHAILAgwCDQIIAggCCAIIAggCCAIIAggCCAIIAggCCAIIAggCCAIIAggCFAIDAmlzcQB+AAAAAAACc3EAfgAE///////////////+/////v////91cQB+AAcAAAAEKKPaWXh4d5ICHgACAQICAlQCBAIFAgYCBwIIAgkCIQILAgwCDQIIAggCCAIIAggCCAIIAggCCAIIAggCCAIIAggCCAIIAggCFAIDAioCHgACAQICAmoABjIwMTcwNgIEAgUCBgIHAggCCQIcAgsCDAINAggCCAIIAggCCAIIAggCCAIIAggCCAIIAggCCAIIAggCCAIUAgMCa3NxAH4AAAAAAAJzcQB+AAT///////////////7////+/////3VxAH4ABwAAAARYCwcseHh3RQIeAAIBAgICQwIEAgUCBgIHAggCCQIhAgsCDAINAggCCAIIAggCCAIIAggCCAIIAggCCAIIAggCCAIIAggCCAIUAgMCbHNxAH4AAAAAAAJzcQB+AAT///////////////7////+/////3VxAH4ABwAAAAMEVit4eHdFAh4AAgECAgJJAgQCBQIGAgcCCAIJAgoCCwIMAg0CCAIIAggCCAIIAggCCAIIAggCCAIIAggCCAIIAggCCAIIAhQCAwJtc3EAfgAAAAAAAnNxAH4ABP///////////////v////7/////dXEAfgAHAAAABCZxo1d4eHdFAh4AAgECAgI9AgQCBQIGAgcCCAIJAhwCCwIMAg0CCAIIAggCCAIIAggCCAIIAggCCAIIAggCCAIIAggCCAIIAhQCAwJuc3EAfgAAAAAAAnNxAH4ABP///////////////v////7/////dXEAfgAHAAAABFSIS5t4eHdFAh4AAgECAgJAAgQCBQIGAgcCCAIJAhwCCwIMAg0CCAIIAggCCAIIAggCCAIIAggCCAIIAggCCAIIAggCCAIIAhQCAwJvc3EAfgAAAAAAAnNxAH4ABP///////////////v////7/////dXEAfgAHAAAABG9TFvJ4eHdFAh4AAgECAgJgAgQCBQIGAgcCCAIJAgoCCwIMAg0CCAIIAggCCAIIAggCCAIIAggCCAIIAggCCAIIAggCCAIIAhQCAwJwc3EAfgAAAAAAAnNxAH4ABP///////////////v////7/////dXEAfgAHAAAABAK9P6R4eHdFAh4AAgECAgJkAgQCBQIGAgcCCAIJAgoCCwIMAg0CCAIIAggCCAIIAggCCAIIAggCCAIIAggCCAIIAggCCAIIAhQCAwJxc3EAfgAAAAAAAnNxAH4ABP///////////////v////7/////dXEAfgAHAAAABCjphrZ4eHdFAh4AAgECAgIuAgQCBQIGAgcCCAIJAgoCCwIMAg0CCAIIAggCCAIIAggCCAIIAggCCAIIAggCCAIIAggCCAIIAhQCAwJyc3EAfgAAAAAAAnNxAH4ABP///////////////v////7/////dXEAfgAHAAAABDRJviN4eHdFAh4AAgECAgJqAgQCBQIGAgcCCAIJAgoCCwIMAg0CCAIIAggCCAIIAggCCAIIAggCCAIIAggCCAIIAggCCAIIAhQCAwJzc3EAfgAAAAAAAnNxAH4ABP///////////////v////7/////dXEAfgAHAAAABAPdTSB4eHdFAh4AAgECAgJKAgQCBQIGAgcCCAIJAhwCCwIMAg0CCAIIAggCCAIIAggCCAIIAggCCAIIAggCCAIIAggCCAIIAhQCAwJ0c3EAfgAAAAAAAnNxAH4ABP///////////////v////7/////dXEAfgAHAAAABGKNyxZ4eHeaAh4AAgECAgJ1AAYyMDE4MDMCBAIFAgYCBwIIAgkCIQILAgwCDQIIAggCCAIIAggCCAIIAggCCAIIAggCCAIIAggCCAIIAggCFAIDAioCHgACAQICAnYABjIwMTYxMQIEAgUCBgIHAggCCQIhAgsCDAINAggCCAIIAggCCAIIAggCCAIIAggCCAIIAggCCAIIAggCCAIUAgMCd3NxAH4AAAAAAAJzcQB+AAT///////////////7////+/////3VxAH4ABwAAAAMGaCt4eHdFAh4AAgECAgJJAgQCBQIGAgcCCAIJAhwCCwIMAg0CCAIIAggCCAIIAggCCAIIAggCCAIIAggCCAIIAggCCAIIAhQCAwJ4c3EAfgAAAAAAAnNxAH4ABP///////////////v////7/////dXEAfgAHAAAABE7u6Np4eHdFAh4AAgECAgJFAgQCBQIGAgcCCAIJAhwCCwIMAg0CCAIIAggCCAIIAggCCAIIAggCCAIIAggCCAIIAggCCAIIAhQCAwJ5c3EAfgAAAAAAAnNxAH4ABP///////////////v////7/////dXEAfgAHAAAABGUxQat4eHdFAh4AAgECAgInAgQCBQIGAgcCCAIJAhwCCwIMAg0CCAIIAggCCAIIAggCCAIIAggCCAIIAggCCAIIAggCCAIIAhQCAwJ6c3EAfgAAAAAAAnNxAH4ABP///////////////v////7/////dXEAfgAHAAAABEhweK94eHdFAh4AAgECAgIpAgQCBQIGAgcCCAIJAhwCCwIMAg0CCAIIAggCCAIIAggCCAIIAggCCAIIAggCCAIIAggCCAIIAhQCAwJ7c3EAfgAAAAAAAnNxAH4ABP///////////////v////7/////dXEAfgAHAAAABF0aA9N4eHdFAh4AAgECAgIvAgQCBQIGAgcCCAIJAiECCwIMAg0CCAIIAggCCAIIAggCCAIIAggCCAIIAggCCAIIAggCCAIIAhQCAwJ8c3EAfgAAAAAAAnNxAH4ABP///////////////v////7/////dXEAfgAHAAAAAwQ0OHh4d0UCHgACAQICAl0CBAIFAgYCBwIIAgkCCgILAgwCDQIIAggCCAIIAggCCAIIAggCCAIIAggCCAIIAggCCAIIAggCFAIDAn1zcQB+AAAAAAACc3EAfgAE///////////////+/////v////91cQB+AAcAAAAEEP3yI3h4d4oCHgACAQICAkcCBAIFAgYCBwIIAgkCIQILAgwCDQIIAggCCAIIAggCCAIIAggCCAIIAggCCAIIAggCCAIIAggCFAIDAioCHgACAQICAiMCBAIFAgYCBwIIAgkCCgILAgwCDQIIAggCCAIIAggCCAIIAggCCAIIAggCCAIIAggCCAIIAggCFAIDAn5zcQB+AAAAAAACc3EAfgAE///////////////+/////gAAAAF1cQB+AAcAAAAECQ0V/Xh4d0UCHgACAQICAlACBAIFAgYCBwIIAgkCCgILAgwCDQIIAggCCAIIAggCCAIIAggCCAIIAggCCAIIAggCCAIIAggCFAIDAn9zcQB+AAAAAAACc3EAfgAE///////////////+/////v////91cQB+AAcAAAAEBxk/mXh4d0UCHgACAQICAmACBAIFAgYCBwIIAgkCIQILAgwCDQIIAggCCAIIAggCCAIIAggCCAIIAggCCAIIAggCCAIIAggCFAIDAoBzcQB+AAAAAAACc3EAfgAE///////////////+/////v////91cQB+AAcAAAADCLaceHh3igIeAAIBAgICAwIEAgUCBgIHAggCCQIhAgsCDAINAggCCAIIAggCCAIIAggCCAIIAggCCAIIAggCCAIIAggCCAIUAgMCKgIeAAIBAgICIAIEAgUCBgIHAggCCQIKAgsCDAINAggCCAIIAggCCAIIAggCCAIIAggCCAIIAggCCAIIAggCCAIUAgMCgXNxAH4AAAAAAAJzcQB+AAT///////////////7////+/////3VxAH4ABwAAAAQJ8GpGeHh3RQIeAAIBAgICdQIEAgUCBgIHAggCCQIcAgsCDAINAggCCAIIAggCCAIIAggCCAIIAggCCAIIAggCCAIIAggCCAIUAgMCgnNxAH4AAAAAAAJzcQB+AAT///////////////7////+/////3VxAH4ABwAAAARSfqMaeHh3RQIeAAIBAgICNwIEAgUCBgIHAggCCQIKAgsCDAINAggCCAIIAggCCAIIAggCCAIIAggCCAIIAggCCAIIAggCCAIUAgMCg3NxAH4AAAAAAAJzcQB+AAT///////////////7////+/////3VxAH4ABwAAAAREule8eHh3RQIeAAIBAgICZAIEAgUCBgIHAggCCQIhAgsCDAINAggCCAIIAggCCAIIAggCCAIIAggCCAIIAggCCAIIAggCCAIUAgMChHNxAH4AAAAAAAJzcQB+AAT///////////////7////+/////3VxAH4ABwAAAAMFZP94eHdFAh4AAgECAgJDAgQCBQIGAgcCCAIJAgoCCwIMAg0CCAIIAggCCAIIAggCCAIIAggCCAIIAggCCAIIAggCCAIIAhQCAwKFc3EAfgAAAAAAAnNxAH4ABP///////////////v////7/////dXEAfgAHAAAABAYhGIV4eHdFAh4AAgECAgJoAgQCBQIGAgcCCAIJAiECCwIMAg0CCAIIAggCCAIIAggCCAIIAggCCAIIAggCCAIIAggCCAIIAhQCAwKGc3EAfgAAAAAAAnNxAH4ABP///////////////v////7/////dXEAfgAHAAAAAwbck3h4d0UCHgACAQICAnYCBAIFAgYCBwIIAgkCCgILAgwCDQIIAggCCAIIAggCCAIIAggCCAIIAggCCAIIAggCCAIIAggCFAIDAodzcQB+AAAAAAACc3EAfgAE///////////////+/////v////91cQB+AAcAAAAETEMOFXh4d0UCHgACAQICAiMCBAIFAgYCBwIIAgkCHAILAgwCDQIIAggCCAIIAggCCAIIAggCCAIIAggCCAIIAggCCAIIAggCFAIDAohzcQB+AAAAAAACc3EAfgAE///////////////+/////v////91cQB+AAcAAAAEgtyI8Xh4d0UCHgACAQICAl0CBAIFAgYCBwIIAgkCHAILAgwCDQIIAggCCAIIAggCCAIIAggCCAIIAggCCAIIAggCCAIIAggCFAIDAolzcQB+AAAAAAACc3EAfgAE///////////////+/////v////91cQB+AAcAAAAEU2ObJnh4d0UCHgACAQICAmoCBAIFAgYCBwIIAgkCIQILAgwCDQIIAggCCAIIAggCCAIIAggCCAIIAggCCAIIAggCCAIIAggCFAIDAopzcQB+AAAAAAACc3EAfgAE///////////////+/////v////91cQB+AAcAAAADBEN6eHh3RQIeAAIBAgICaAIEAgUCBgIHAggCCQIKAgsCDAINAggCCAIIAggCCAIIAggCCAIIAggCCAIIAggCCAIIAggCCAIUAgMCi3NxAH4AAAAAAAJzcQB+AAT///////////////7////+/////3VxAH4ABwAAAAQ7i4i9eHh3RQIeAAIBAgICIAIEAgUCBgIHAggCCQIcAgsCDAINAggCCAIIAggCCAIIAggCCAIIAggCCAIIAggCCAIIAggCCAIUAgMCjHNxAH4AAAAAAAJzcQB+AAT///////////////7////+/////3VxAH4ABwAAAARacNl3eHh3RQIeAAIBAgICdQIEAgUCBgIHAggCCQIKAgsCDAINAggCCAIIAggCCAIIAggCCAIIAggCCAIIAggCCAIIAggCCAIUAgMCjXNxAH4AAAAAAAJzcQB+AAT///////////////7////+/////3VxAH4ABwAAAAQOU8mMeHh3RQIeAAIBAgICQQIEAgUCBgIHAggCCQIhAgsCDAINAggCCAIIAggCCAIIAggCCAIIAggCCAIIAggCCAIIAggCCAIUAgMCjnNxAH4AAAAAAAJzcQB+AAT///////////////7////+/////3VxAH4ABwAAAAMSFct4eHdFAh4AAgECAgJAAgQCBQIGAgcCCAIJAgoCCwIMAg0CCAIIAggCCAIIAggCCAIIAggCCAIIAggCCAIIAggCCAIIAhQCAwKPc3EAfgAAAAAAAnNxAH4ABP///////////////v////4AAAABdXEAfgAHAAAABAIIPL14eHeKAh4AAgECAgI3AgQCBQIGAgcCCAIJAiECCwIMAg0CCAIIAggCCAIIAggCCAIIAggCCAIIAggCCAIIAggCCAIIAhQCAwIqAh4AAgECAgJ2AgQCBQIGAgcCCAIJAhwCCwIMAg0CCAIIAggCCAIIAggCCAIIAggCCAIIAggCCAIIAggCCAIIAhQCAwKQc3EAfgAAAAAAAnNxAH4ABP///////////////v////7/////dXEAfgAHAAAABBJUFap4eHdFAh4AAgECAgIlAgQCBQIGAgcCCAIJAiECCwIMAg0CCAIIAggCCAIIAggCCAIIAggCCAIIAggCCAIIAggCCAIIAhQCAwKRc3EAfgAAAAAAAnNxAH4ABP///////////////v////7/////dXEAfgAHAAAAAwmef3h4d0UCHgACAQICAjQCBAIFAgYCBwIIAgkCHAILAgwCDQIIAggCCAIIAggCCAIIAggCCAIIAggCCAIIAggCCAIIAggCFAIDApJzcQB+AAAAAAACc3EAfgAE///////////////+/////v////91cQB+AAcAAAAETypx+Xh4d4oCHgACAQICAlACBAIFAgYCBwIIAgkCIQILAgwCDQIIAggCCAIIAggCCAIIAggCCAIIAggCCAIIAggCCAIIAggCFAIDAioCHgACAQICAj0CBAIFAgYCBwIIAgkCCgILAgwCDQIIAggCCAIIAggCCAIIAggCCAIIAggCCAIIAggCCAIIAggCFAIDApNzcQB+AAAAAAACc3EAfgAE///////////////+/////v////91cQB+AAcAAAAEA6uLrXh4d0UCHgACAQICAiwCBAIFAgYCBwIIAgkCHAILAgwCDQIIAggCCAIIAggCCAIIAggCCAIIAggCCAIIAggCCAIIAggCFAIDApRzcQB+AAAAAAACc3EAfgAE///////////////+/////v////91cQB+AAcAAAAEcQZZSXh4egAABAACHgAClQAJNTQxNjQxMjg4AgICPQIEAgUCBgIHAggCCQIcAgsCDAINAggCCAIIAggCCAIIAggCCAIIAggCCAIIAggCCAIIAggCCAIgAgMCbgIeAAKVAgICNwIEAgUCBgIHAggCCQIhAgsCDAINAggCCAIIAggCCAIIAggCCAIIAggCCAIIAggCCAIIAggCCAIgAgMCKgIeAAKVAgICSgIEAgUCBgIHAggCCQIhAgsCDAINAggCCAIIAggCCAIIAggCCAIIAggCCAIIAggCCAIIAggCCAIgAgMCYgIeAAKVAgICLwIEAgUCBgIHAggCCQIcAgsCDAINAggCCAIIAggCCAIIAggCCAIIAggCCAIIAggCCAIIAggCCAIgAgMCMAIeAAKVAgICQwIEAgUCBgIHAggCCQIhAgsCDAINAggCCAIIAggCCAIIAggCCAIIAggCCAIIAggCCAIIAggCCAIgAgMCbAIeAAKVAgICSQIEAgUCBgIHAggCCQIKAgsCDAINAggCCAIIAggCCAIIAggCCAIIAggCCAIIAggCCAIIAggCCAIgAgMCbQIeAAKVAgICaAIEAgUCBgIHAggCCQIcAgsCDAINAggCCAIIAggCCAIIAggCCAIIAggCCAIIAggCCAIIAggCCAIgAgMCaQIeAAKVAgICTAIEAgUCBgIHAggCCQIhAgsCDAINAggCCAIIAggCCAIIAggCCAIIAggCCAIIAggCCAIIAggCCAIgAgMCZgIeAAKVAgICIAIEAgUCBgIHAggCCQIhAgsCDAINAggCCAIIAggCCAIIAggCCAIIAggCCAIIAggCCAIIAggCCAIgAgMCIgIeAAKVAgICLAIEAgUCBgIHAggCCQIKAgsCDAINAggCCAIIAggCCAIIAggCCAIIAggCCAIIAggCCAIIAggCCAIgAgMCLQIeAAKVAgICYAIEAgUCBgIHAggCCQIKAgsCDAINAggCCAIIAggCCAIIAggCCAIIAggCCAIIAggCCAIIAggCCAIgAgMCcAIeAAKVAgICLgIEAgUCBgIHAggCCQIhAgsCDAINAggCCAIIAggCCAIIAggCCAIIAggCCAIIAggCCAIIAggCCAIgAgMCKgIeAAKVAgICHgIEAgUCBgIHAggCCQIcAgsCDAINAggCCAIIAggCCAIIAggCCAIIAggCCAIIAggCCAIIAggCCAIgAgMCHwIeAAKVAgICJwIEAgUCBgIHAggCCQIhAgsCDAINAggCCAIIAggCCAIIAggCCAIIAggCCAIIAggCCAIIAggCCAIgAgMCKAIeAAKVAgICdgIEAgUCBgIHAggCCQIhAgsCDAINAggCCAIIAggCCAIIAggCCAIIegAABAACCAIIAggCCAIIAggCCAIIAiACAwJ3Ah4AApUCAgIlAgQCBQIGAgcCCAIJAgoCCwIMAg0CCAIIAggCCAIIAggCCAIIAggCCAIIAggCCAIIAggCCAIIAiACAwImAh4AApUCAgJqAgQCBQIGAgcCCAIJAhwCCwIMAg0CCAIIAggCCAIIAggCCAIIAggCCAIIAggCCAIIAggCCAIIAiACAwJrAh4AApUCAgJFAgQCBQIGAgcCCAIJAgoCCwIMAg0CCAIIAggCCAIIAggCCAIIAggCCAIIAggCCAIIAggCCAIIAiACAwJnAh4AApUCAgJoAgQCBQIGAgcCCAIJAgoCCwIMAg0CCAIIAggCCAIIAggCCAIIAggCCAIIAggCCAIIAggCCAIIAiACAwKLAh4AApUCAgIyAgQCBQIGAgcCCAIJAgoCCwIMAg0CCAIIAggCCAIIAggCCAIIAggCCAIIAggCCAIIAggCCAIIAiACAwJfAh4AApUCAgJgAgQCBQIGAgcCCAIJAhwCCwIMAg0CCAIIAggCCAIIAggCCAIIAggCCAIIAggCCAIIAggCCAIIAiACAwJhAh4AApUCAgIvAgQCBQIGAgcCCAIJAgoCCwIMAg0CCAIIAggCCAIIAggCCAIIAggCCAIIAggCCAIIAggCCAIIAiACAwJcAh4AApUCAgI9AgQCBQIGAgcCCAIJAgoCCwIMAg0CCAIIAggCCAIIAggCCAIIAggCCAIIAggCCAIIAggCCAIIAiACAwKTAh4AApUCAgIeAgQCBQIGAgcCCAIJAiECCwIMAg0CCAIIAggCCAIIAggCCAIIAggCCAIIAggCCAIIAggCCAIIAiACAwJZAh4AApUCAgIuAgQCBQIGAgcCCAIJAhwCCwIMAg0CCAIIAggCCAIIAggCCAIIAggCCAIIAggCCAIIAggCCAIIAiACAwJjAh4AApUCAgI0AgQCBQIGAgcCCAIJAhwCCwIMAg0CCAIIAggCCAIIAggCCAIIAggCCAIIAggCCAIIAggCCAIIAiACAwKSAh4AApUCAgJkAgQCBQIGAgcCCAIJAhwCCwIMAg0CCAIIAggCCAIIAggCCAIIAggCCAIIAggCCAIIAggCCAIIAiACAwJlAh4AApUCAgIsAgQCBQIGAgcCCAIJAhwCCwIMAg0CCAIIAggCCAIIAggCCAIIAggCCAIIAggCCAIIAggCCAIIAiACAwKUAh4AApUCAgI7AgQCBQIGAgcCCAIJAgoCCwIMAg0CCAIIAggCCAIIAggCCAIIAggCCAIIAggCCAIIAggCCAIIAiACAwJbAh4AApUCAgJ2AgQCBQIGAgcCCAIJAhwCCwIMAg0CCAIIAggCegAABAAIAggCCAIIAggCCAIIAggCCAIIAggCCAIIAggCIAIDApACHgAClQICAmoCBAIFAgYCBwIIAgkCIQILAgwCDQIIAggCCAIIAggCCAIIAggCCAIIAggCCAIIAggCCAIIAggCIAIDAooCHgAClQICAl0CBAIFAgYCBwIIAgkCIQILAgwCDQIIAggCCAIIAggCCAIIAggCCAIIAggCCAIIAggCCAIIAggCIAIDAl4CHgAClQICAkwCBAIFAgYCBwIIAgkCHAILAgwCDQIIAggCCAIIAggCCAIIAggCCAIIAggCCAIIAggCCAIIAggCIAIDAlgCHgAClQICAiACBAIFAgYCBwIIAgkCHAILAgwCDQIIAggCCAIIAggCCAIIAggCCAIIAggCCAIIAggCCAIIAggCIAIDAowCHgAClQICAkECBAIFAgYCBwIIAgkCIQILAgwCDQIIAggCCAIIAggCCAIIAggCCAIIAggCCAIIAggCCAIIAggCIAIDAo4CHgAClQICAiACBAIFAgYCBwIIAgkCCgILAgwCDQIIAggCCAIIAggCCAIIAggCCAIIAggCCAIIAggCCAIIAggCIAIDAoECHgAClQICAmACBAIFAgYCBwIIAgkCIQILAgwCDQIIAggCCAIIAggCCAIIAggCCAIIAggCCAIIAggCCAIIAggCIAIDAoACHgAClQICAkkCBAIFAgYCBwIIAgkCIQILAgwCDQIIAggCCAIIAggCCAIIAggCCAIIAggCCAIIAggCCAIIAggCIAIDAioCHgAClQICAiwCBAIFAgYCBwIIAgkCIQILAgwCDQIIAggCCAIIAggCCAIIAggCCAIIAggCCAIIAggCCAIIAggCIAIDAlMCHgAClQICAiMCBAIFAgYCBwIIAgkCCgILAgwCDQIIAggCCAIIAggCCAIIAggCCAIIAggCCAIIAggCCAIIAggCIAIDAn4CHgAClQICAl0CBAIFAgYCBwIIAgkCHAILAgwCDQIIAggCCAIIAggCCAIIAggCCAIIAggCCAIIAggCCAIIAggCIAIDAokCHgAClQICAkECBAIFAgYCBwIIAgkCHAILAgwCDQIIAggCCAIIAggCCAIIAggCCAIIAggCCAIIAggCCAIIAggCIAIDAk8CHgAClQICAjsCBAIFAgYCBwIIAgkCIQILAgwCDQIIAggCCAIIAggCCAIIAggCCAIIAggCCAIIAggCCAIIAggCIAIDAlYCHgAClQICAkMCBAIFAgYCBwIIAgkCCgILAgwCDQIIAggCCAIIAggCCAIIAggCCAIIAggCCAIIAggCCAIIAggCIAIDAoUCHgAClQICAicCBAIFAgYCBwIIAgkCCgILegAABAACDAINAggCCAIIAggCCAIIAggCCAIIAggCCAIIAggCCAIIAggCCAIgAgMCVwIeAAKVAgICXQIEAgUCBgIHAggCCQIKAgsCDAINAggCCAIIAggCCAIIAggCCAIIAggCCAIIAggCCAIIAggCCAIgAgMCfQIeAAKVAgICJQIEAgUCBgIHAggCCQIhAgsCDAINAggCCAIIAggCCAIIAggCCAIIAggCCAIIAggCCAIIAggCCAIgAgMCkQIeAAKVAgICRQIEAgUCBgIHAggCCQIhAgsCDAINAggCCAIIAggCCAIIAggCCAIIAggCCAIIAggCCAIIAggCCAIgAgMCRgIeAAKVAgICIwIEAgUCBgIHAggCCQIcAgsCDAINAggCCAIIAggCCAIIAggCCAIIAggCCAIIAggCCAIIAggCCAIgAgMCiAIeAAKVAgICdgIEAgUCBgIHAggCCQIKAgsCDAINAggCCAIIAggCCAIIAggCCAIIAggCCAIIAggCCAIIAggCCAIgAgMChwIeAAKVAgICNAIEAgUCBgIHAggCCQIhAgsCDAINAggCCAIIAggCCAIIAggCCAIIAggCCAIIAggCCAIIAggCCAIgAgMCKgIeAAKVAgICZAIEAgUCBgIHAggCCQIhAgsCDAINAggCCAIIAggCCAIIAggCCAIIAggCCAIIAggCCAIIAggCCAIgAgMChAIeAAKVAgICOwIEAgUCBgIHAggCCQIcAgsCDAINAggCCAIIAggCCAIIAggCCAIIAggCCAIIAggCCAIIAggCCAIgAgMCPAIeAAKVAgICSgIEAgUCBgIHAggCCQIKAgsCDAINAggCCAIIAggCCAIIAggCCAIIAggCCAIIAggCCAIIAggCCAIgAgMCSwIeAAKVAgICNwIEAgUCBgIHAggCCQIKAgsCDAINAggCCAIIAggCCAIIAggCCAIIAggCCAIIAggCCAIIAggCCAIgAgMCgwIeAAKVAgICTAIEAgUCBgIHAggCCQIKAgsCDAINAggCCAIIAggCCAIIAggCCAIIAggCCAIIAggCCAIIAggCCAIgAgMCTQIeAAKVAgICMgIEAgUCBgIHAggCCQIcAgsCDAINAggCCAIIAggCCAIIAggCCAIIAggCCAIIAggCCAIIAggCCAIgAgMCTgIeAAKVAgICSQIEAgUCBgIHAggCCQIcAgsCDAINAggCCAIIAggCCAIIAggCCAIIAggCCAIIAggCCAIIAggCCAIgAgMCeAIeAAKVAgICNwIEAgUCBgIHAggCCQIcAgsCDAINAggCCAIIAggCCAIIAggCCAIIAggCCAIIAggCCAIIAggCCAIgAgMCOAIeAAKVAgICPQIEAgUCegAABAAGAgcCCAIJAiECCwIMAg0CCAIIAggCCAIIAggCCAIIAggCCAIIAggCCAIIAggCCAIIAiACAwI+Ah4AApUCAgInAgQCBQIGAgcCCAIJAhwCCwIMAg0CCAIIAggCCAIIAggCCAIIAggCCAIIAggCCAIIAggCCAIIAiACAwJ6Ah4AApUCAgIyAgQCBQIGAgcCCAIJAiECCwIMAg0CCAIIAggCCAIIAggCCAIIAggCCAIIAggCCAIIAggCCAIIAiACAwIzAh4AApUCAgIvAgQCBQIGAgcCCAIJAiECCwIMAg0CCAIIAggCCAIIAggCCAIIAggCCAIIAggCCAIIAggCCAIIAiACAwJ8Ah4AApUCAgJKAgQCBQIGAgcCCAIJAhwCCwIMAg0CCAIIAggCCAIIAggCCAIIAggCCAIIAggCCAIIAggCCAIIAiACAwJ0Ah4AApUCAgJkAgQCBQIGAgcCCAIJAgoCCwIMAg0CCAIIAggCCAIIAggCCAIIAggCCAIIAggCCAIIAggCCAIIAiACAwJxAh4AApUCAgIuAgQCBQIGAgcCCAIJAgoCCwIMAg0CCAIIAggCCAIIAggCCAIIAggCCAIIAggCCAIIAggCCAIIAiACAwJyAh4AApUCAgJoAgQCBQIGAgcCCAIJAiECCwIMAg0CCAIIAggCCAIIAggCCAIIAggCCAIIAggCCAIIAggCCAIIAiACAwKGAh4AApUCAgJDAgQCBQIGAgcCCAIJAhwCCwIMAg0CCAIIAggCCAIIAggCCAIIAggCCAIIAggCCAIIAggCCAIIAiACAwJEAh4AApUCAgJBAgQCBQIGAgcCCAIJAgoCCwIMAg0CCAIIAggCCAIIAggCCAIIAggCCAIIAggCCAIIAggCCAIIAiACAwJCAh4AApUCAgJFAgQCBQIGAgcCCAIJAhwCCwIMAg0CCAIIAggCCAIIAggCCAIIAggCCAIIAggCCAIIAggCCAIIAiACAwJ5Ah4AApUCAgI0AgQCBQIGAgcCCAIJAgoCCwIMAg0CCAIIAggCCAIIAggCCAIIAggCCAIIAggCCAIIAggCCAIIAiACAwI1Ah4AApUCAgIlAgQCBQIGAgcCCAIJAhwCCwIMAg0CCAIIAggCCAIIAggCCAIIAggCCAIIAggCCAIIAggCCAIIAiACAwI2Ah4AApUCAgIjAgQCBQIGAgcCCAIJAiECCwIMAg0CCAIIAggCCAIIAggCCAIIAggCCAIIAggCCAIIAggCCAIIAiACAwIkAh4AApUCAgIeAgQCBQIGAgcCCAIJAgoCCwIMAg0CCAIIAggCCAIIAggCCAIIAggCCAIIAggCCAIIAggCCAIIAiACAwI6Ah4Ad5YClQICAmoCBAIFAgYCBwIIAgkCCgILAgwCDQIIAggCCAIIAggCCAIIAggCCAIIAggCCAIIAggCCAIIAggCIAIDAnMCHgAClgAJNTM1MDAwMTA0AgICVAIEAgUCBgIHAggCCQIKAgsClwACSUQCDQIIAggCCAIIAggCCAIIAggCCAIIAggCCAIIAggCCAIIAggCEwIDAphzcQB+AAAAAAACc3EAfgAE///////////////+/////gAAAAF1cQB+AAcAAAADNqW2eHh3RQIeAAKWAgICdQIEAgUCBgIHAggCCQIcAgsClwINAggCCAIIAggCCAIIAggCCAIIAggCCAIIAggCCAIIAggCCAITAgMCmXNxAH4AAAAAAAJzcQB+AAT///////////////7////+/////3VxAH4ABwAAAAQqwrH4eHh3RQIeAAKWAgICNwIEAgUCBgIHAggCCQIKAgsClwINAggCCAIIAggCCAIIAggCCAIIAggCCAIIAggCCAIIAggCCAITAgMCmnNxAH4AAAAAAAJzcQB+AAT///////////////7////+/////3VxAH4ABwAAAAQewHRseHh3RQIeAAKWAgICRwIEAgUCBgIHAggCCQIKAgsClwINAggCCAIIAggCCAIIAggCCAIIAggCCAIIAggCCAIIAggCCAITAgMCm3NxAH4AAAAAAAJzcQB+AAT///////////////7////+AAAAAXVxAH4ABwAAAAQI26UWeHh3kgIeAAKWAgICKwIEAgUCBgIHAggCCQKcAAYxOTEwMTUCCwKXAg0CCAIIAggCCAIIAggCCAIIAggCCAIIAggCCAIIAggCCAIIAhMCAwIqAh4AApYCAgJMAgQCBQIGAgcCCAIJAgoCCwKXAg0CCAIIAggCCAIIAggCCAIIAggCCAIIAggCCAIIAggCCAIIAhMCAwKdc3EAfgAAAAAAAnNxAH4ABP///////////////v////7/////dXEAfgAHAAAABAL7S4t4eHdFAh4AApYCAgIyAgQCBQIGAgcCCAIJApwCCwKXAg0CCAIIAggCCAIIAggCCAIIAggCCAIIAggCCAIIAggCCAIIAhMCAwKec3EAfgAAAAAAAnNxAH4ABP///////////////v////7/////dXEAfgAHAAAAAxKG63h4d0UCHgAClgICAkcCBAIFAgYCBwIIAgkCHAILApcCDQIIAggCCAIIAggCCAIIAggCCAIIAggCCAIIAggCCAIIAggCEwIDAp9zcQB+AAAAAAACc3EAfgAE///////////////+/////v////91cQB+AAcAAAAESiXnBXh4d4oCHgAClgICAlACBAIFAgYCBwIIAgkCnAILApcCDQIIAggCCAIIAggCCAIIAggCCAIIAggCCAIIAggCCAIIAggCEwIDAioCHgAClgICAkECBAIFAgYCBwIIAgkCnAILApcCDQIIAggCCAIIAggCCAIIAggCCAIIAggCCAIIAggCCAIIAggCEwIDAqBzcQB+AAAAAAACc3EAfgAE///////////////+/////v////91cQB+AAcAAAADEle/eHh3RQIeAAKWAgICQwIEAgUCBgIHAggCCQIKAgsClwINAggCCAIIAggCCAIIAggCCAIIAggCCAIIAggCCAIIAggCCAITAgMCoXNxAH4AAAAAAAJzcQB+AAT///////////////7////+/////3VxAH4ABwAAAAQC12dUeHh3RQIeAAKWAgICIwIEAgUCBgIHAggCCQKcAgsClwINAggCCAIIAggCCAIIAggCCAIIAggCCAIIAggCCAIIAggCCAITAgMConNxAH4AAAAAAAJzcQB+AAT///////////////7////+/////3VxAH4ABwAAAAMSpqJ4eHdFAh4AApYCAgJdAgQCBQIGAgcCCAIJAhwCCwKXAg0CCAIIAggCCAIIAggCCAIIAggCCAIIAggCCAIIAggCCAIIAhMCAwKjc3EAfgAAAAAAAnNxAH4ABP///////////////v////7/////dXEAfgAHAAAABCZ4H3F4eHdFAh4AApYCAgJ2AgQCBQIGAgcCCAIJAgoCCwKXAg0CCAIIAggCCAIIAggCCAIIAggCCAIIAggCCAIIAggCCAIIAhMCAwKkc3EAfgAAAAAAAnNxAH4ABP///////////////v////7/////dXEAfgAHAAAABCWQ0ft4eHdFAh4AApYCAgJ1AgQCBQIGAgcCCAIJAgoCCwKXAg0CCAIIAggCCAIIAggCCAIIAggCCAIIAggCCAIIAggCCAIIAhMCAwKlc3EAfgAAAAAAAnNxAH4ABP///////////////v////7/////dXEAfgAHAAAABATh3pl4eHdFAh4AApYCAgJUAgQCBQIGAgcCCAIJAhwCCwKXAg0CCAIIAggCCAIIAggCCAIIAggCCAIIAggCCAIIAggCCAIIAhMCAwKmc3EAfgAAAAAAAnNxAH4ABP///////////////v////7/////dXEAfgAHAAAABC/+xlx4eHdFAh4AApYCAgJMAgQCBQIGAgcCCAIJAhwCCwKXAg0CCAIIAggCCAIIAggCCAIIAggCCAIIAggCCAIIAggCCAIIAhMCAwKnc3EAfgAAAAAAAnNxAH4ABP///////////////v////7/////dXEAfgAHAAAABB6uCU94eHdFAh4AApYCAgIgAgQCBQIGAgcCCAIJApwCCwKXAg0CCAIIAggCCAIIAggCCAIIAggCCAIIAggCCAIIAggCCAIIAhMCAwKoc3EAfgAAAAAAAnNxAH4ABP///////////////v////7/////dXEAfgAHAAAAAxKO1Hh4d0UCHgAClgICAh4CBAIFAgYCBwIIAgkCHAILApcCDQIIAggCCAIIAggCCAIIAggCCAIIAggCCAIIAggCCAIIAggCEwIDAqlzcQB+AAAAAAACc3EAfgAE///////////////+/////v////91cQB+AAcAAAAEJi8ywnh4d0UCHgAClgICAi8CBAIFAgYCBwIIAgkCCgILApcCDQIIAggCCAIIAggCCAIIAggCCAIIAggCCAIIAggCCAIIAggCEwIDAqpzcQB+AAAAAAACc3EAfgAE///////////////+/////v////91cQB+AAcAAAADTrgKeHh3zwIeAAKWAgICNAIEAgUCBgIHAggCCQKcAgsClwINAggCCAIIAggCCAIIAggCCAIIAggCCAIIAggCCAIIAggCCAITAgMCKgIeAAKWAgICLgIEAgUCBgIHAggCCQKcAgsClwINAggCCAIIAggCCAIIAggCCAIIAggCCAIIAggCCAIIAggCCAITAgMCKgIeAAKWAgICdgIEAgUCBgIHAggCCQIcAgsClwINAggCCAIIAggCCAIIAggCCAIIAggCCAIIAggCCAIIAggCCAITAgMCq3NxAH4AAAAAAAJzcQB+AAT///////////////7////+/////3VxAH4ABwAAAAQL0RJ0eHh3RQIeAAKWAgICYAIEAgUCBgIHAggCCQIcAgsClwINAggCCAIIAggCCAIIAggCCAIIAggCCAIIAggCCAIIAggCCAITAgMCrHNxAH4AAAAAAAJzcQB+AAT///////////////7////+/////3VxAH4ABwAAAAQx77UZeHh3RQIeAAKWAgICZAIEAgUCBgIHAggCCQIcAgsClwINAggCCAIIAggCCAIIAggCCAIIAggCCAIIAggCCAIIAggCCAITAgMCrXNxAH4AAAAAAAJzcQB+AAT///////////////7////+/////3VxAH4ABwAAAAQdsfpMeHh3RQIeAAKWAgICLAIEAgUCBgIHAggCCQKcAgsClwINAggCCAIIAggCCAIIAggCCAIIAggCCAIIAggCCAIIAggCCAITAgMCrnNxAH4AAAAAAAJzcQB+AAT///////////////7////+/////3VxAH4ABwAAAAMSoqh4eHdFAh4AApYCAgI9AgQCBQIGAgcCCAIJAhwCCwKXAg0CCAIIAggCCAIIAggCCAIIAggCCAIIAggCCAIIAggCCAIIAhMCAwKvc3EAfgAAAAAAAnNxAH4ABP///////////////v////7/////dXEAfgAHAAAABCsQC1F4eHdFAh4AApYCAgJAAgQCBQIGAgcCCAIJAhwCCwKXAg0CCAIIAggCCAIIAggCCAIIAggCCAIIAggCCAIIAggCCAIIAhMCAwKwc3EAfgAAAAAAAnNxAH4ABP///////////////v////7/////dXEAfgAHAAAABDvz0SR4eHdFAh4AApYCAgJoAgQCBQIGAgcCCAIJAhwCCwKXAg0CCAIIAggCCAIIAggCCAIIAggCCAIIAggCCAIIAggCCAIIAhMCAwKxc3EAfgAAAAAAAnNxAH4ABP///////////////v////7/////dXEAfgAHAAAABBWstZ94eHdFAh4AApYCAgIeAgQCBQIGAgcCCAIJApwCCwKXAg0CCAIIAggCCAIIAggCCAIIAggCCAIIAggCCAIIAggCCAIIAhMCAwKyc3EAfgAAAAAAAnNxAH4ABP///////////////v////7/////dXEAfgAHAAAAAxJjf3h4d4oCHgAClgICAhsCBAIFAgYCBwIIAgkCnAILApcCDQIIAggCCAIIAggCCAIIAggCCAIIAggCCAIIAggCCAIIAggCEwIDAioCHgAClgICAiUCBAIFAgYCBwIIAgkCCgILApcCDQIIAggCCAIIAggCCAIIAggCCAIIAggCCAIIAggCCAIIAggCEwIDArNzcQB+AAAAAAACc3EAfgAE///////////////+/////v////91cQB+AAcAAAAEAQaUYHh4d0UCHgAClgICAmoCBAIFAgYCBwIIAgkCHAILApcCDQIIAggCCAIIAggCCAIIAggCCAIIAggCCAIIAggCCAIIAggCEwIDArRzcQB+AAAAAAACc3EAfgAE///////////////+/////v////91cQB+AAcAAAAEKgtGIXh4d0UCHgAClgICAiUCBAIFAgYCBwIIAgkCHAILApcCDQIIAggCCAIIAggCCAIIAggCCAIIAggCCAIIAggCCAIIAggCEwIDArVzcQB+AAAAAAACc3EAfgAE///////////////+/////v////91cQB+AAcAAAAELv3gknh4d0UCHgAClgICAmQCBAIFAgYCBwIIAgkCCgILApcCDQIIAggCCAIIAggCCAIIAggCCAIIAggCCAIIAggCCAIIAggCEwIDArZzcQB+AAAAAAACc3EAfgAE///////////////+/////v////91cQB+AAcAAAAEFDr3g3h4d0UCHgAClgICAgMCBAIFAgYCBwIIAgkCCgILApcCDQIIAggCCAIIAggCCAIIAggCCAIIAggCCAIIAggCCAIIAggCEwIDArdzcQB+AAAAAAACc3EAfgAE///////////////+/////gAAAAF1cQB+AAcAAAAEBXlFQnh4d0UCHgAClgICAmACBAIFAgYCBwIIAgkCCgILApcCDQIIAggCCAIIAggCCAIIAggCCAIIAggCCAIIAggCCAIIAggCEwIDArhzcQB+AAAAAAACc3EAfgAE///////////////+/////v////91cQB+AAcAAAADnrKqeHh3RQIeAAKWAgICLwIEAgUCBgIHAggCCQKcAgsClwINAggCCAIIAggCCAIIAggCCAIIAggCCAIIAggCCAIIAggCCAITAgMCuXNxAH4AAAAAAAJzcQB+AAT///////////////7////+/////3VxAH4ABwAAAAMSmrd4eHdFAh4AApYCAgJqAgQCBQIGAgcCCAIJAgoCCwKXAg0CCAIIAggCCAIIAggCCAIIAggCCAIIAggCCAIIAggCCAIIAhMCAwK6c3EAfgAAAAAAAnNxAH4ABP///////////////v////7/////dXEAfgAHAAAABAFtStJ4eHdFAh4AApYCAgJKAgQCBQIGAgcCCAIJApwCCwKXAg0CCAIIAggCCAIIAggCCAIIAggCCAIIAggCCAIIAggCCAIIAhMCAwK7c3EAfgAAAAAAAnNxAH4ABP///////////////v////7/////dXEAfgAHAAAAAxJ3JXh4d4oCHgAClgICAkkCBAIFAgYCBwIIAgkCnAILApcCDQIIAggCCAIIAggCCAIIAggCCAIIAggCCAIIAggCCAIIAggCEwIDAioCHgAClgICAjcCBAIFAgYCBwIIAgkCHAILApcCDQIIAggCCAIIAggCCAIIAggCCAIIAggCCAIIAggCCAIIAggCEwIDArxzcQB+AAAAAAACc3EAfgAE///////////////+/////v////91cQB+AAcAAAAEHCN8kHh4d0UCHgAClgICAkUCBAIFAgYCBwIIAgkCnAILApcCDQIIAggCCAIIAggCCAIIAggCCAIIAggCCAIIAggCCAIIAggCEwIDAr1zcQB+AAAAAAACc3EAfgAE///////////////+/////v////91cQB+AAcAAAADEp6veHh3RQIeAAKWAgICUAIEAgUCBgIHAggCCQIKAgsClwINAggCCAIIAggCCAIIAggCCAIIAggCCAIIAggCCAIIAggCCAITAgMCvnNxAH4AAAAAAAJzcQB+AAT///////////////7////+/////3VxAH4ABwAAAAQBMmvPeHh3RQIeAAKWAgICAwIEAgUCBgIHAggCCQIcAgsClwINAggCCAIIAggCCAIIAggCCAIIAggCCAIIAggCCAIIAggCCAITAgMCv3NxAH4AAAAAAAJzcQB+AAT///////////////7////+/////3VxAH4ABwAAAAQ+Iz64eHh3RQIeAAKWAgICQQIEAgUCBgIHAggCCQIKAgsClwINAggCCAIIAggCCAIIAggCCAIIAggCCAIIAggCCAIIAggCCAITAgMCwHNxAH4AAAAAAAJzcQB+AAT///////////////7////+/////3VxAH4ABwAAAAQEW5IQeHh3RQIeAAKWAgICOwIEAgUCBgIHAggCCQKcAgsClwINAggCCAIIAggCCAIIAggCCAIIAggCCAIIAggCCAIIAggCCAITAgMCwXNxAH4AAAAAAAJzcQB+AAT///////////////7////+/////3VxAH4ABwAAAAMSczV4eHdFAh4AApYCAgInAgQCBQIGAgcCCAIJApwCCwKXAg0CCAIIAggCCAIIAggCCAIIAggCCAIIAggCCAIIAggCCAIIAhMCAwLCc3EAfgAAAAAAAnNxAH4ABP///////////////v////7/////dXEAfgAHAAAAAxJflHh4d88CHgAClgICAikCBAIFAgYCBwIIAgkCnAILApcCDQIIAggCCAIIAggCCAIIAggCCAIIAggCCAIIAggCCAIIAggCEwIDAioCHgAClgICAisCBAIFAgYCBwIIAgkCCgILApcCDQIIAggCCAIIAggCCAIIAggCCAIIAggCCAIIAggCCAIIAggCEwIDApsCHgAClgICAkMCBAIFAgYCBwIIAgkCHAILApcCDQIIAggCCAIIAggCCAIIAggCCAIIAggCCAIIAggCCAIIAggCEwIDAsNzcQB+AAAAAAACc3EAfgAE///////////////+/////v////91cQB+AAcAAAAEKiZPC3h4d88CHgAClgICAisCBAIFAgYCBwIIAgkCHAILApcCDQIIAggCCAIIAggCCAIIAggCCAIIAggCCAIIAggCCAIIAggCEwIDAp8CHgAClgICAnUCBAIFAgYCBwIIAgkCnAILApcCDQIIAggCCAIIAggCCAIIAggCCAIIAggCCAIIAggCCAIIAggCEwIDAioCHgAClgICAiACBAIFAgYCBwIIAgkCCgILApcCDQIIAggCCAIIAggCCAIIAggCCAIIAggCCAIIAggCCAIIAggCEwIDAsRzcQB+AAAAAAACc3EAfgAE///////////////+/////v////91cQB+AAcAAAAEBQSjQXh4d0UCHgAClgICAkoCBAIFAgYCBwIIAgkCCgILApcCDQIIAggCCAIIAggCCAIIAggCCAIIAggCCAIIAggCCAIIAggCEwIDAsVzcQB+AAAAAAACc3EAfgAE///////////////+/////gAAAAF1cQB+AAcAAAADuXJ8eHh3RQIeAAKWAgICMgIEAgUCBgIHAggCCQIcAgsClwINAggCCAIIAggCCAIIAggCCAIIAggCCAIIAggCCAIIAggCCAITAgMCxnNxAH4AAAAAAAJzcQB+AAT///////////////7////+/////3VxAH4ABwAAAAQiCqwxeHh3RQIeAAKWAgICIwIEAgUCBgIHAggCCQIcAgsClwINAggCCAIIAggCCAIIAggCCAIIAggCCAIIAggCCAIIAggCCAITAgMCx3NxAH4AAAAAAAJzcQB+AAT///////////////7////+/////3VxAH4ABwAAAARDRE3geHh3RQIeAAKWAgICKQIEAgUCBgIHAggCCQIKAgsClwINAggCCAIIAggCCAIIAggCCAIIAggCCAIIAggCCAIIAggCCAITAgMCyHNxAH4AAAAAAAJzcQB+AAT///////////////7////+AAAAAXVxAH4ABwAAAAQBo3C7eHh3RQIeAAKWAgICLgIEAgUCBgIHAggCCQIKAgsClwINAggCCAIIAggCCAIIAggCCAIIAggCCAIIAggCCAIIAggCCAITAgMCyXNxAH4AAAAAAAJzcQB+AAT///////////////7////+/////3VxAH4ABwAAAAQWt6iieHh3RQIeAAKWAgICUAIEAgUCBgIHAggCCQIcAgsClwINAggCCAIIAggCCAIIAggCCAIIAggCCAIIAggCCAIIAggCCAITAgMCynNxAH4AAAAAAAJzcQB+AAT///////////////7////+/////3VxAH4ABwAAAAQu9BT/eHh3RQIeAAKWAgICQQIEAgUCBgIHAggCCQIcAgsClwINAggCCAIIAggCCAIIAggCCAIIAggCCAIIAggCCAIIAggCCAITAgMCy3NxAH4AAAAAAAJzcQB+AAT///////////////7////+/////3VxAH4ABwAAAAQbsx5ceHh3igIeAAKWAgICRwIEAgUCBgIHAggCCQKcAgsClwINAggCCAIIAggCCAIIAggCCAIIAggCCAIIAggCCAIIAggCCAITAgMCKgIeAAKWAgICJwIEAgUCBgIHAggCCQIKAgsClwINAggCCAIIAggCCAIIAggCCAIIAggCCAIIAggCCAIIAggCCAITAgMCzHNxAH4AAAAAAAJzcQB+AAT///////////////7////+/////3VxAH4ABwAAAAQCUB7peHh3RQIeAAKWAgICXQIEAgUCBgIHAggCCQKcAgsClwINAggCCAIIAggCCAIIAggCCAIIAggCCAIIAggCCAIIAggCCAITAgMCzXNxAH4AAAAAAAJzcQB+AAT///////////////7////+/////3VxAH4ABwAAAAMSit94eHdFAh4AApYCAgJoAgQCBQIGAgcCCAIJAgoCCwKXAg0CCAIIAggCCAIIAggCCAIIAggCCAIIAggCCAIIAggCCAIIAhMCAwLOc3EAfgAAAAAAAnNxAH4ABP///////////////v////7/////dXEAfgAHAAAABB0QqXR4eHeKAh4AApYCAgJUAgQCBQIGAgcCCAIJApwCCwKXAg0CCAIIAggCCAIIAggCCAIIAggCCAIIAggCCAIIAggCCAIIAhMCAwIqAh4AApYCAgJMAgQCBQIGAgcCCAIJApwCCwKXAg0CCAIIAggCCAIIAggCCAIIAggCCAIIAggCCAIIAggCCAIIAhMCAwLPc3EAfgAAAAAAAnNxAH4ABP///////////////v////7/////dXEAfgAHAAAAAxJbqXh4d0UCHgAClgICAjICBAIFAgYCBwIIAgkCCgILApcCDQIIAggCCAIIAggCCAIIAggCCAIIAggCCAIIAggCCAIIAggCEwIDAtBzcQB+AAAAAAACc3EAfgAE///////////////+/////v////91cQB+AAcAAAAEDgscSnh4d0UCHgAClgICAkACBAIFAgYCBwIIAgkCCgILApcCDQIIAggCCAIIAggCCAIIAggCCAIIAggCCAIIAggCCAIIAggCEwIDAtFzcQB+AAAAAAACc3EAfgAE///////////////+/////gAAAAF1cQB+AAcAAAAEA+4zBnh4d0UCHgAClgICAiACBAIFAgYCBwIIAgkCHAILApcCDQIIAggCCAIIAggCCAIIAggCCAIIAggCCAIIAggCCAIIAggCEwIDAtJzcQB+AAAAAAACc3EAfgAE///////////////+/////v////91cQB+AAcAAAAEKeDlE3h4d0UCHgAClgICAjsCBAIFAgYCBwIIAgkCCgILApcCDQIIAggCCAIIAggCCAIIAggCCAIIAggCCAIIAggCCAIIAggCEwIDAtNzcQB+AAAAAAACc3EAfgAE///////////////+/////v////91cQB+AAcAAAADMvcReHh3RQIeAAKWAgICdgIEAgUCBgIHAggCCQKcAgsClwINAggCCAIIAggCCAIIAggCCAIIAggCCAIIAggCCAIIAggCCAITAgMC1HNxAH4AAAAAAAJzcQB+AAT///////////////7////+/////3VxAH4ABwAAAAMSexV4eHdFAh4AApYCAgI0AgQCBQIGAgcCCAIJAhwCCwKXAg0CCAIIAggCCAIIAggCCAIIAggCCAIIAggCCAIIAggCCAIIAhMCAwLVc3EAfgAAAAAAAnNxAH4ABP///////////////v////7/////dXEAfgAHAAAABClGhLZ4eHdFAh4AApYCAgIjAgQCBQIGAgcCCAIJAgoCCwKXAg0CCAIIAggCCAIIAggCCAIIAggCCAIIAggCCAIIAggCCAIIAhMCAwLWc3EAfgAAAAAAAnNxAH4ABP///////////////v////4AAAABdXEAfgAHAAAABAYbWmp4eHdFAh4AApYCAgI9AgQCBQIGAgcCCAIJAgoCCwKXAg0CCAIIAggCCAIIAggCCAIIAggCCAIIAggCCAIIAggCCAIIAhMCAwLXc3EAfgAAAAAAAnNxAH4ABP///////////////v////7/////dXEAfgAHAAAABAFkyvJ4eHdFAh4AApYCAgJgAgQCBQIGAgcCCAIJApwCCwKXAg0CCAIIAggCCAIIAggCCAIIAggCCAIIAggCCAIIAggCCAIIAhMCAwLYc3EAfgAAAAAAAnNxAH4ABP///////////////v////7/////dXEAfgAHAAAAAxJvRnh4d0UCHgAClgICAi4CBAIFAgYCBwIIAgkCHAILApcCDQIIAggCCAIIAggCCAIIAggCCAIIAggCCAIIAggCCAIIAggCEwIDAtlzcQB+AAAAAAACc3EAfgAE///////////////+/////v////91cQB+AAcAAAAEJDRt9Hh4d0UCHgAClgICAiwCBAIFAgYCBwIIAgkCHAILApcCDQIIAggCCAIIAggCCAIIAggCCAIIAggCCAIIAggCCAIIAggCEwIDAtpzcQB+AAAAAAACc3EAfgAE///////////////+/////v////91cQB+AAcAAAAEOUUu/nh4d0UCHgAClgICAmQCBAIFAgYCBwIIAgkCnAILApcCDQIIAggCCAIIAggCCAIIAggCCAIIAggCCAIIAggCCAIIAggCEwIDAttzcQB+AAAAAAACc3EAfgAE///////////////+/////v////91cQB+AAcAAAADEoL4eHh3RQIeAAKWAgICLwIEAgUCBgIHAggCCQIcAgsClwINAggCCAIIAggCCAIIAggCCAIIAggCCAIIAggCCAIIAggCCAITAgMC3HNxAH4AAAAAAAJzcQB+AAT///////////////7////+/////3VxAH4ABwAAAAQukYUreHh3RQIeAAKWAgICaAIEAgUCBgIHAggCCQKcAgsClwINAggCCAIIAggCCAIIAggCCAIIAggCCAIIAggCCAIIAggCCAITAgMC3XNxAH4AAAAAAAJzcQB+AAT///////////////7////+/////3VxAH4ABwAAAAMSfwZ4eHdFAh4AApYCAgIsAgQCBQIGAgcCCAIJAgoCCwKXAg0CCAIIAggCCAIIAggCCAIIAggCCAIIAggCCAIIAggCCAIIAhMCAwLec3EAfgAAAAAAAnNxAH4ABP///////////////v////4AAAABdXEAfgAHAAAABAJaEtJ4eHdFAh4AApYCAgJqAgQCBQIGAgcCCAIJApwCCwKXAg0CCAIIAggCCAIIAggCCAIIAggCCAIIAggCCAIIAggCCAIIAhMCAwLfc3EAfgAAAAAAAnNxAH4ABP///////////////v////7/////dXEAfgAHAAAAAxKWwHh4d0UCHgAClgICAjQCBAIFAgYCBwIIAgkCCgILApcCDQIIAggCCAIIAggCCAIIAggCCAIIAggCCAIIAggCCAIIAggCEwIDAuBzcQB+AAAAAAACc3EAfgAE///////////////+/////v////91cQB+AAcAAAAECivT53h4d0UCHgAClgICAhsCBAIFAgYCBwIIAgkCHAILApcCDQIIAggCCAIIAggCCAIIAggCCAIIAggCCAIIAggCCAIIAggCEwIDAuFzcQB+AAAAAAACc3EAfgAE///////////////+/////v////91cQB+AAcAAAAENab75Xh4d0UCHgAClgICAkUCBAIFAgYCBwIIAgkCCgILApcCDQIIAggCCAIIAggCCAIIAggCCAIIAggCCAIIAggCCAIIAggCEwIDAuJzcQB+AAAAAAACc3EAfgAE///////////////+/////gAAAAF1cQB+AAcAAAAD/4leeHh3RQIeAAKWAgICSQIEAgUCBgIHAggCCQIKAgsClwINAggCCAIIAggCCAIIAggCCAIIAggCCAIIAggCCAIIAggCCAITAgMC43NxAH4AAAAAAAJzcQB+AAT///////////////7////+/////3VxAH4ABwAAAAQQposkeHh3RQIeAAKWAgICPQIEAgUCBgIHAggCCQKcAgsClwINAggCCAIIAggCCAIIAggCCAIIAggCCAIIAggCCAIIAggCCAITAgMC5HNxAH4AAAAAAAJzcQB+AAT///////////////7////+/////3VxAH4ABwAAAAMSZ2t4eHeKAh4AApYCAgJAAgQCBQIGAgcCCAIJApwCCwKXAg0CCAIIAggCCAIIAggCCAIIAggCCAIIAggCCAIIAggCCAIIAhMCAwIqAh4AApYCAgJJAgQCBQIGAgcCCAIJAhwCCwKXAg0CCAIIAggCCAIIAggCCAIIAggCCAIIAggCCAIIAggCCAIIAhMCAwLlc3EAfgAAAAAAAnNxAH4ABP///////////////v////7/////dXEAfgAHAAAABCkgj4V4eHdFAh4AApYCAgJKAgQCBQIGAgcCCAIJAhwCCwKXAg0CCAIIAggCCAIIAggCCAIIAggCCAIIAggCCAIIAggCCAIIAhMCAwLmc3EAfgAAAAAAAnNxAH4ABP///////////////v////7/////dXEAfgAHAAAABDSYRyN4eHdFAh4AApYCAgIpAgQCBQIGAgcCCAIJAhwCCwKXAg0CCAIIAggCCAIIAggCCAIIAggCCAIIAggCCAIIAggCCAIIAhMCAwLnc3EAfgAAAAAAAnNxAH4ABP///////////////v////7/////dXEAfgAHAAAABDDwgSh4eHdFAh4AApYCAgIeAgQCBQIGAgcCCAIJAgoCCwKXAg0CCAIIAggCCAIIAggCCAIIAggCCAIIAggCCAIIAggCCAIIAhMCAwLoc3EAfgAAAAAAAnNxAH4ABP///////////////v////7/////dXEAfgAHAAAABAHNSnd4eHdFAh4AApYCAgI7AgQCBQIGAgcCCAIJAhwCCwKXAg0CCAIIAggCCAIIAggCCAIIAggCCAIIAggCCAIIAggCCAIIAhMCAwLpc3EAfgAAAAAAAnNxAH4ABP///////////////v////7/////dXEAfgAHAAAABDO8lpJ4eHeKAh4AApYCAgIDAgQCBQIGAgcCCAIJApwCCwKXAg0CCAIIAggCCAIIAggCCAIIAggCCAIIAggCCAIIAggCCAIIAhMCAwIqAh4AApYCAgIlAgQCBQIGAgcCCAIJApwCCwKXAg0CCAIIAggCCAIIAggCCAIIAggCCAIIAggCCAIIAggCCAIIAhMCAwLqc3EAfgAAAAAAAnNxAH4ABP///////////////v////7/////dXEAfgAHAAAAAxJrWHh4d4oCHgAClgICAjcCBAIFAgYCBwIIAgkCnAILApcCDQIIAggCCAIIAggCCAIIAggCCAIIAggCCAIIAggCCAIIAggCEwIDAioCHgAClgICAl0CBAIFAgYCBwIIAgkCCgILApcCDQIIAggCCAIIAggCCAIIAggCCAIIAggCCAIIAggCCAIIAggCEwIDAutzcQB+AAAAAAACc3EAfgAE///////////////+/////v////91cQB+AAcAAAAECL1IIXh4d0UCHgAClgICAkUCBAIFAgYCBwIIAgkCHAILApcCDQIIAggCCAIIAggCCAIIAggCCAIIAggCCAIIAggCCAIIAggCEwIDAuxzcQB+AAAAAAACc3EAfgAE///////////////+/////v////91cQB+AAcAAAAENDlU6Hh4d0UCHgAClgICAhsCBAIFAgYCBwIIAgkCCgILApcCDQIIAggCCAIIAggCCAIIAggCCAIIAggCCAIIAggCCAIIAggCEwIDAu1zcQB+AAAAAAACc3EAfgAE///////////////+/////gAAAAF1cQB+AAcAAAAEAtQ47Hh4d0UCHgAClgICAicCBAIFAgYCBwIIAgkCHAILApcCDQIIAggCCAIIAggCCAIIAggCCAIIAggCCAIIAggCCAIIAggCEwIDAu5zcQB+AAAAAAACc3EAfgAE///////////////+/////v////91cQB+AAcAAAAEI8Z4/Xh4d0UCHgAClgICAkMCBAIFAgYCBwIIAgkCnAILApcCDQIIAggCCAIIAggCCAIIAggCCAIIAggCCAIIAggCCAIIAggCEwIDAu9zcQB+AAAAAAACc3EAfgAE///////////////+/////v////91cQB+AAcAAAADEpLKeHh6AAAEAAIeAALwAAk1NDE2MzU0ODgCAgI7AgQCBQIGAgcCCAIJAgoCCwKXAg0CCAIIAggCCAIIAggCCAIIAggCCAIIAggCCAIIAggCCAIIAhsCAwLTAh4AAvACAgJFAgQCBQIGAgcCCAIJAhwCCwKXAg0CCAIIAggCCAIIAggCCAIIAggCCAIIAggCCAIIAggCCAIIAhsCAwLsAh4AAvACAgJkAgQCBQIGAgcCCAIJAgoCCwKXAg0CCAIIAggCCAIIAggCCAIIAggCCAIIAggCCAIIAggCCAIIAhsCAwK2Ah4AAvACAgI9AgQCBQIGAgcCCAIJApwCCwKXAg0CCAIIAggCCAIIAggCCAIIAggCCAIIAggCCAIIAggCCAIIAhsCAwLkAh4AAvACAgIvAgQCBQIGAgcCCAIJApwCCwKXAg0CCAIIAggCCAIIAggCCAIIAggCCAIIAggCCAIIAggCCAIIAhsCAwK5Ah4AAvACAgJJAgQCBQIGAgcCCAIJAgoCCwKXAg0CCAIIAggCCAIIAggCCAIIAggCCAIIAggCCAIIAggCCAIIAhsCAwLjAh4AAvACAgJgAgQCBQIGAgcCCAIJAhwCCwKXAg0CCAIIAggCCAIIAggCCAIIAggCCAIIAggCCAIIAggCCAIIAhsCAwKsAh4AAvACAgJoAgQCBQIGAgcCCAIJApwCCwKXAg0CCAIIAggCCAIIAggCCAIIAggCCAIIAggCCAIIAggCCAIIAhsCAwLdAh4AAvACAgIsAgQCBQIGAgcCCAIJAhwCCwKXAg0CCAIIAggCCAIIAggCCAIIAggCCAIIAggCCAIIAggCCAIIAhsCAwLaAh4AAvACAgJqAgQCBQIGAgcCCAIJApwCCwKXAg0CCAIIAggCCAIIAggCCAIIAggCCAIIAggCCAIIAggCCAIIAhsCAwLfAh4AAvACAgIeAgQCBQIGAgcCCAIJApwCCwKXAg0CCAIIAggCCAIIAggCCAIIAggCCAIIAggCCAIIAggCCAIIAhsCAwKyAh4AAvACAgI7AgQCBQIGAgcCCAIJAhwCCwKXAg0CCAIIAggCCAIIAggCCAIIAggCCAIIAggCCAIIAggCCAIIAhsCAwLpAh4AAvACAgIeAgQCBQIGAgcCCAIJAhwCCwKXAg0CCAIIAggCCAIIAggCCAIIAggCCAIIAggCCAIIAggCCAIIAhsCAwKpAh4AAvACAgJoAgQCBQIGAgcCCAIJAhwCCwKXAg0CCAIIAggCCAIIAggCCAIIAggCCAIIAggCCAIIAggCCAIIAhsCAwKxAh4AAvACAgJkAgQCBQIGAgcCCAIJAhwCCwKXAg0CCAIIAggCCAIIAggCCAIIAgh6AAAEAAIIAggCCAIIAggCCAIIAggCGwIDAq0CHgAC8AICAiUCBAIFAgYCBwIIAgkCCgILApcCDQIIAggCCAIIAggCCAIIAggCCAIIAggCCAIIAggCCAIIAggCGwIDArMCHgAC8AICAkUCBAIFAgYCBwIIAgkCCgILApcCDQIIAggCCAIIAggCCAIIAggCCAIIAggCCAIIAggCCAIIAggCGwIDAuICHgAC8AICAjQCBAIFAgYCBwIIAgkCHAILApcCDQIIAggCCAIIAggCCAIIAggCCAIIAggCCAIIAggCCAIIAggCGwIDAtUCHgAC8AICAjQCBAIFAgYCBwIIAgkCnAILApcCDQIIAggCCAIIAggCCAIIAggCCAIIAggCCAIIAggCCAIIAggCGwIDAioCHgAC8AICAiMCBAIFAgYCBwIIAgkCCgILApcCDQIIAggCCAIIAggCCAIIAggCCAIIAggCCAIIAggCCAIIAggCGwIDAtYCHgAC8AICAj0CBAIFAgYCBwIIAgkCCgILApcCDQIIAggCCAIIAggCCAIIAggCCAIIAggCCAIIAggCCAIIAggCGwIDAtcCHgAC8AICAi4CBAIFAgYCBwIIAgkCHAILApcCDQIIAggCCAIIAggCCAIIAggCCAIIAggCCAIIAggCCAIIAggCGwIDAtkCHgAC8AICAiwCBAIFAgYCBwIIAgkCnAILApcCDQIIAggCCAIIAggCCAIIAggCCAIIAggCCAIIAggCCAIIAggCGwIDAq4CHgAC8AICAmQCBAIFAgYCBwIIAgkCnAILApcCDQIIAggCCAIIAggCCAIIAggCCAIIAggCCAIIAggCCAIIAggCGwIDAtsCHgAC8AICAi4CBAIFAgYCBwIIAgkCnAILApcCDQIIAggCCAIIAggCCAIIAggCCAIIAggCCAIIAggCCAIIAggCGwIDAioCHgAC8AICAmACBAIFAgYCBwIIAgkCnAILApcCDQIIAggCCAIIAggCCAIIAggCCAIIAggCCAIIAggCCAIIAggCGwIDAtgCHgAC8AICAnYCBAIFAgYCBwIIAgkCnAILApcCDQIIAggCCAIIAggCCAIIAggCCAIIAggCCAIIAggCCAIIAggCGwIDAtQCHgAC8AICAnYCBAIFAgYCBwIIAgkCHAILApcCDQIIAggCCAIIAggCCAIIAggCCAIIAggCCAIIAggCCAIIAggCGwIDAqsCHgAC8AICAj0CBAIFAgYCBwIIAgkCHAILApcCDQIIAggCCAIIAggCCAIIAggCCAIIAggCCAIIAggCCAIIAggCGwIDAq8CHgAC8AICAi8CBAIFAgYCBwIIAgkCHAILApcCDQIIAggCCAJ6AAAEAAgCCAIIAggCCAIIAggCCAIIAggCCAIIAggCCAIbAgMC3AIeAALwAgICdQIEAgUCBgIHAggCCQIKAgsClwINAggCCAIIAggCCAIIAggCCAIIAggCCAIIAggCCAIIAggCCAIbAgMCpQIeAALwAgICMgIEAgUCBgIHAggCCQIKAgsClwINAggCCAIIAggCCAIIAggCCAIIAggCCAIIAggCCAIIAggCCAIbAgMC0AIeAALwAgICIAIEAgUCBgIHAggCCQKcAgsClwINAggCCAIIAggCCAIIAggCCAIIAggCCAIIAggCCAIIAggCCAIbAgMCqAIeAALwAgICaAIEAgUCBgIHAggCCQIKAgsClwINAggCCAIIAggCCAIIAggCCAIIAggCCAIIAggCCAIIAggCCAIbAgMCzgIeAALwAgICVAIEAgUCBgIHAggCCQKcAgsClwINAggCCAIIAggCCAIIAggCCAIIAggCCAIIAggCCAIIAggCCAIbAgMCKgIeAALwAgICIAIEAgUCBgIHAggCCQIcAgsClwINAggCCAIIAggCCAIIAggCCAIIAggCCAIIAggCCAIIAggCCAIbAgMC0gIeAALwAgICTAIEAgUCBgIHAggCCQKcAgsClwINAggCCAIIAggCCAIIAggCCAIIAggCCAIIAggCCAIIAggCCAIbAgMCzwIeAALwAgICTAIEAgUCBgIHAggCCQIcAgsClwINAggCCAIIAggCCAIIAggCCAIIAggCCAIIAggCCAIIAggCCAIbAgMCpwIeAALwAgICUAIEAgUCBgIHAggCCQKcAgsClwINAggCCAIIAggCCAIIAggCCAIIAggCCAIIAggCCAIIAggCCAIbAgMCKgIeAALwAgICQQIEAgUCBgIHAggCCQKcAgsClwINAggCCAIIAggCCAIIAggCCAIIAggCCAIIAggCCAIIAggCCAIbAgMCoAIeAALwAgICXQIEAgUCBgIHAggCCQKcAgsClwINAggCCAIIAggCCAIIAggCCAIIAggCCAIIAggCCAIIAggCCAIbAgMCzQIeAALwAgICdgIEAgUCBgIHAggCCQIKAgsClwINAggCCAIIAggCCAIIAggCCAIIAggCCAIIAggCCAIIAggCCAIbAgMCpAIeAALwAgICIwIEAgUCBgIHAggCCQIcAgsClwINAggCCAIIAggCCAIIAggCCAIIAggCCAIIAggCCAIIAggCCAIbAgMCxwIeAALwAgICVAIEAgUCBgIHAggCCQIcAgsClwINAggCCAIIAggCCAIIAggCCAIIAggCCAIIAggCCAIIAggCCAIbAgMCpgIeAALwAgICQwIEAgUCBgIHAggCCQIKAgt6AAAEAAKXAg0CCAIIAggCCAIIAggCCAIIAggCCAIIAggCCAIIAggCCAIIAhsCAwKhAh4AAvACAgIuAgQCBQIGAgcCCAIJAgoCCwKXAg0CCAIIAggCCAIIAggCCAIIAggCCAIIAggCCAIIAggCCAIIAhsCAwLJAh4AAvACAgJdAgQCBQIGAgcCCAIJAhwCCwKXAg0CCAIIAggCCAIIAggCCAIIAggCCAIIAggCCAIIAggCCAIIAhsCAwKjAh4AAvACAgJqAgQCBQIGAgcCCAIJAgoCCwKXAg0CCAIIAggCCAIIAggCCAIIAggCCAIIAggCCAIIAggCCAIIAhsCAwK6Ah4AAvACAgIjAgQCBQIGAgcCCAIJApwCCwKXAg0CCAIIAggCCAIIAggCCAIIAggCCAIIAggCCAIIAggCCAIIAhsCAwKiAh4AAvACAgInAgQCBQIGAgcCCAIJAgoCCwKXAg0CCAIIAggCCAIIAggCCAIIAggCCAIIAggCCAIIAggCCAIIAhsCAwLMAh4AAvACAgJBAgQCBQIGAgcCCAIJAhwCCwKXAg0CCAIIAggCCAIIAggCCAIIAggCCAIIAggCCAIIAggCCAIIAhsCAwLLAh4AAvACAgIyAgQCBQIGAgcCCAIJApwCCwKXAg0CCAIIAggCCAIIAggCCAIIAggCCAIIAggCCAIIAggCCAIIAhsCAwKeAh4AAvACAgJKAgQCBQIGAgcCCAIJAgoCCwKXAg0CCAIIAggCCAIIAggCCAIIAggCCAIIAggCCAIIAggCCAIIAhsCAwLFAh4AAvACAgJDAgQCBQIGAgcCCAIJAhwCCwKXAg0CCAIIAggCCAIIAggCCAIIAggCCAIIAggCCAIIAggCCAIIAhsCAwLDAh4AAvACAgI3AgQCBQIGAgcCCAIJAgoCCwKXAg0CCAIIAggCCAIIAggCCAIIAggCCAIIAggCCAIIAggCCAIIAhsCAwKaAh4AAvACAgJMAgQCBQIGAgcCCAIJAgoCCwKXAg0CCAIIAggCCAIIAggCCAIIAggCCAIIAggCCAIIAggCCAIIAhsCAwKdAh4AAvACAgIgAgQCBQIGAgcCCAIJAgoCCwKXAg0CCAIIAggCCAIIAggCCAIIAggCCAIIAggCCAIIAggCCAIIAhsCAwLEAh4AAvACAgJ1AgQCBQIGAgcCCAIJAhwCCwKXAg0CCAIIAggCCAIIAggCCAIIAggCCAIIAggCCAIIAggCCAIIAhsCAwKZAh4AAvACAgIvAgQCBQIGAgcCCAIJAgoCCwKXAg0CCAIIAggCCAIIAggCCAIIAggCCAIIAggCCAIIAggCCAIIAhsCAwKqAh4AAvACAgJ1AgQCBQJ6AAAEAAYCBwIIAgkCnAILApcCDQIIAggCCAIIAggCCAIIAggCCAIIAggCCAIIAggCCAIIAggCGwIDAioCHgAC8AICAjICBAIFAgYCBwIIAgkCHAILApcCDQIIAggCCAIIAggCCAIIAggCCAIIAggCCAIIAggCCAIIAggCGwIDAsYCHgAC8AICAjsCBAIFAgYCBwIIAgkCnAILApcCDQIIAggCCAIIAggCCAIIAggCCAIIAggCCAIIAggCCAIIAggCGwIDAsECHgAC8AICAlACBAIFAgYCBwIIAgkCCgILApcCDQIIAggCCAIIAggCCAIIAggCCAIIAggCCAIIAggCCAIIAggCGwIDAr4CHgAC8AICAmoCBAIFAgYCBwIIAgkCHAILApcCDQIIAggCCAIIAggCCAIIAggCCAIIAggCCAIIAggCCAIIAggCGwIDArQCHgAC8AICAkECBAIFAgYCBwIIAgkCCgILApcCDQIIAggCCAIIAggCCAIIAggCCAIIAggCCAIIAggCCAIIAggCGwIDAsACHgAC8AICAl0CBAIFAgYCBwIIAgkCCgILApcCDQIIAggCCAIIAggCCAIIAggCCAIIAggCCAIIAggCCAIIAggCGwIDAusCHgAC8AICAkMCBAIFAgYCBwIIAgkCnAILApcCDQIIAggCCAIIAggCCAIIAggCCAIIAggCCAIIAggCCAIIAggCGwIDAu8CHgAC8AICAicCBAIFAgYCBwIIAgkCnAILApcCDQIIAggCCAIIAggCCAIIAggCCAIIAggCCAIIAggCCAIIAggCGwIDAsICHgAC8AICAlQCBAIFAgYCBwIIAgkCCgILApcCDQIIAggCCAIIAggCCAIIAggCCAIIAggCCAIIAggCCAIIAggCGwIDApgCHgAC8AICAicCBAIFAgYCBwIIAgkCHAILApcCDQIIAggCCAIIAggCCAIIAggCCAIIAggCCAIIAggCCAIIAggCGwIDAu4CHgAC8AICAmACBAIFAgYCBwIIAgkCCgILApcCDQIIAggCCAIIAggCCAIIAggCCAIIAggCCAIIAggCCAIIAggCGwIDArgCHgAC8AICAjcCBAIFAgYCBwIIAgkCHAILApcCDQIIAggCCAIIAggCCAIIAggCCAIIAggCCAIIAggCCAIIAggCGwIDArwCHgAC8AICAkkCBAIFAgYCBwIIAgkCnAILApcCDQIIAggCCAIIAggCCAIIAggCCAIIAggCCAIIAggCCAIIAggCGwIDAioCHgAC8AICAkkCBAIFAgYCBwIIAgkCHAILApcCDQIIAggCCAIIAggCCAIIAggCCAIIAggCCAIIAggCCAIIAggCGwIDAuUCHgB6AAAEAALwAgICLAIEAgUCBgIHAggCCQIKAgsClwINAggCCAIIAggCCAIIAggCCAIIAggCCAIIAggCCAIIAggCCAIbAgMC3gIeAALwAgICUAIEAgUCBgIHAggCCQIcAgsClwINAggCCAIIAggCCAIIAggCCAIIAggCCAIIAggCCAIIAggCCAIbAgMCygIeAALwAgICHgIEAgUCBgIHAggCCQIKAgsClwINAggCCAIIAggCCAIIAggCCAIIAggCCAIIAggCCAIIAggCCAIbAgMC6AIeAALwAgICRQIEAgUCBgIHAggCCQKcAgsClwINAggCCAIIAggCCAIIAggCCAIIAggCCAIIAggCCAIIAggCCAIbAgMCvQIeAALwAgICNAIEAgUCBgIHAggCCQIKAgsClwINAggCCAIIAggCCAIIAggCCAIIAggCCAIIAggCCAIIAggCCAIbAgMC4AIeAALwAgICSgIEAgUCBgIHAggCCQKcAgsClwINAggCCAIIAggCCAIIAggCCAIIAggCCAIIAggCCAIIAggCCAIbAgMCuwIeAALwAgICNwIEAgUCBgIHAggCCQKcAgsClwINAggCCAIIAggCCAIIAggCCAIIAggCCAIIAggCCAIIAggCCAIbAgMCKgIeAALwAgICJQIEAgUCBgIHAggCCQKcAgsClwINAggCCAIIAggCCAIIAggCCAIIAggCCAIIAggCCAIIAggCCAIbAgMC6gIeAALwAgICJQIEAgUCBgIHAggCCQIcAgsClwINAggCCAIIAggCCAIIAggCCAIIAggCCAIIAggCCAIIAggCCAIbAgMCtQIeAALwAgICSgIEAgUCBgIHAggCCQIcAgsClwINAggCCAIIAggCCAIIAggCCAIIAggCCAIIAggCCAIIAggCCAIbAgMC5gIeAALxAAkyMzE5Mjc2NzICAgJMAgQCBQIGAgcCCAIJAhwCCwIMAg0CCAIIAggCCAIIAggCCAIIAggCCAIIAggCCAIIAggCCAIIAhgCAwJYAh4AAvECAgIgAgQCBQIGAgcCCAIJAhwCCwIMAg0CCAIIAggCCAIIAggCCAIIAggCCAIIAggCCAIIAggCCAIIAhgCAwKMAh4AAvECAgJUAgQCBQIGAgcCCAIJAhwCCwIMAg0CCAIIAggCCAIIAggCCAIIAggCCAIIAggCCAIIAggCCAIIAhgCAwJaAh4AAvECAgIeAgQCBQIGAgcCCAIJAgoCCwIMAg0CCAIIAggCCAIIAggCCAIIAggCCAIIAggCCAIIAggCCAIIAhgCAwI6Ah4AAvECAgJ2AgQCBQIGAgcCCAIJAgoCCwIMAg0CCAIIAggCCAIIAggCCAIIAggCCAJ6AAAEAAgCCAIIAggCCAIIAggCGAIDAocCHgAC8QICAjcCBAIFAgYCBwIIAgkCHAILAgwCDQIIAggCCAIIAggCCAIIAggCCAIIAggCCAIIAggCCAIIAggCGAIDAjgCHgAC8QICAnUCBAIFAgYCBwIIAgkCIQILAgwCDQIIAggCCAIIAggCCAIIAggCCAIIAggCCAIIAggCCAIIAggCGAIDAioCHgAC8QICAmgCBAIFAgYCBwIIAgkCCgILAgwCDQIIAggCCAIIAggCCAIIAggCCAIIAggCCAIIAggCCAIIAggCGAIDAosCHgAC8QICAmQCBAIFAgYCBwIIAgkCIQILAgwCDQIIAggCCAIIAggCCAIIAggCCAIIAggCCAIIAggCCAIIAggCGAIDAoQCHgAC8QICAmoCBAIFAgYCBwIIAgkCCgILAgwCDQIIAggCCAIIAggCCAIIAggCCAIIAggCCAIIAggCCAIIAggCGAIDAnMCHgAC8QICAi8CBAIFAgYCBwIIAgkCCgILAgwCDQIIAggCCAIIAggCCAIIAggCCAIIAggCCAIIAggCCAIIAggCGAIDAlwCHgAC8QICAj0CBAIFAgYCBwIIAgkCCgILAgwCDQIIAggCCAIIAggCCAIIAggCCAIIAggCCAIIAggCCAIIAggCGAIDApMCHgAC8QICAl0CBAIFAgYCBwIIAgkCIQILAgwCDQIIAggCCAIIAggCCAIIAggCCAIIAggCCAIIAggCCAIIAggCGAIDAl4CHgAC8QICAnYCBAIFAgYCBwIIAgkCHAILAgwCDQIIAggCCAIIAggCCAIIAggCCAIIAggCCAIIAggCCAIIAggCGAIDApACHgAC8QICAi4CBAIFAgYCBwIIAgkCHAILAgwCDQIIAggCCAIIAggCCAIIAggCCAIIAggCCAIIAggCCAIIAggCGAIDAmMCHgAC8QICAicCBAIFAgYCBwIIAgkCHAILAgwCDQIIAggCCAIIAggCCAIIAggCCAIIAggCCAIIAggCCAIIAggCGAIDAnoCHgAC8QICAkoCBAIFAgYCBwIIAgkCCgILAgwCDQIIAggCCAIIAggCCAIIAggCCAIIAggCCAIIAggCCAIIAggCGAIDAksCHgAC8QICAkMCBAIFAgYCBwIIAgkCHAILAgwCDQIIAggCCAIIAggCCAIIAggCCAIIAggCCAIIAggCCAIIAggCGAIDAkQCHgAC8QICAkkCBAIFAgYCBwIIAgkCIQILAgwCDQIIAggCCAIIAggCCAIIAggCCAIIAggCCAIIAggCCAIIAggCGAIDAioCHgAC8QICAlACBAIFAgYCBwIIAgkCIQILAgwCDQIIAggCCAIIAgh6AAAEAAIIAggCCAIIAggCCAIIAggCCAIIAggCCAIYAgMCKgIeAALxAgICKQIEAgUCBgIHAggCCQIcAgsCDAINAggCCAIIAggCCAIIAggCCAIIAggCCAIIAggCCAIIAggCCAIYAgMCewIeAALxAgICTAIEAgUCBgIHAggCCQIhAgsCDAINAggCCAIIAggCCAIIAggCCAIIAggCCAIIAggCCAIIAggCCAIYAgMCZgIeAALxAgICHgIEAgUCBgIHAggCCQIcAgsCDAINAggCCAIIAggCCAIIAggCCAIIAggCCAIIAggCCAIIAggCCAIYAgMCHwIeAALxAgICagIEAgUCBgIHAggCCQIcAgsCDAINAggCCAIIAggCCAIIAggCCAIIAggCCAIIAggCCAIIAggCCAIYAgMCawIeAALxAgICTAIEAgUCBgIHAggCCQIKAgsCDAINAggCCAIIAggCCAIIAggCCAIIAggCCAIIAggCCAIIAggCCAIYAgMCTQIeAALxAgICVAIEAgUCBgIHAggCCQIKAgsCDAINAggCCAIIAggCCAIIAggCCAIIAggCCAIIAggCCAIIAggCCAIYAgMCVQIeAALxAgICIwIEAgUCBgIHAggCCQIhAgsCDAINAggCCAIIAggCCAIIAggCCAIIAggCCAIIAggCCAIIAggCCAIYAgMCJAIeAALxAgICJwIEAgUCBgIHAggCCQIhAgsCDAINAggCCAIIAggCCAIIAggCCAIIAggCCAIIAggCCAIIAggCCAIYAgMCKAIeAALxAgICIAIEAgUCBgIHAggCCQIKAgsCDAINAggCCAIIAggCCAIIAggCCAIIAggCCAIIAggCCAIIAggCCAIYAgMCgQIeAALxAgICXQIEAgUCBgIHAggCCQIcAgsCDAINAggCCAIIAggCCAIIAggCCAIIAggCCAIIAggCCAIIAggCCAIYAgMCiQIeAALxAgICQQIEAgUCBgIHAggCCQIcAgsCDAINAggCCAIIAggCCAIIAggCCAIIAggCCAIIAggCCAIIAggCCAIYAgMCTwIeAALxAgICQwIEAgUCBgIHAggCCQIhAgsCDAINAggCCAIIAggCCAIIAggCCAIIAggCCAIIAggCCAIIAggCCAIYAgMCbAIeAALxAgICYAIEAgUCBgIHAggCCQIKAgsCDAINAggCCAIIAggCCAIIAggCCAIIAggCCAIIAggCCAIIAggCCAIYAgMCcAIeAALxAgICKQIEAgUCBgIHAggCCQIhAgsCDAINAggCCAIIAggCCAIIAggCCAIIAggCCAIIAggCCAIIAggCCAIYAgMCKgIeAALxAgICJQIEAgUCBgIHAggCCQIcAgsCDAJ6AAAEAA0CCAIIAggCCAIIAggCCAIIAggCCAIIAggCCAIIAggCCAIIAhgCAwI2Ah4AAvECAgJKAgQCBQIGAgcCCAIJAhwCCwIMAg0CCAIIAggCCAIIAggCCAIIAggCCAIIAggCCAIIAggCCAIIAhgCAwJ0Ah4AAvECAgIyAgQCBQIGAgcCCAIJAiECCwIMAg0CCAIIAggCCAIIAggCCAIIAggCCAIIAggCCAIIAggCCAIIAhgCAwIzAh4AAvECAgI7AgQCBQIGAgcCCAIJAiECCwIMAg0CCAIIAggCCAIIAggCCAIIAggCCAIIAggCCAIIAggCCAIIAhgCAwJWAh4AAvECAgIsAgQCBQIGAgcCCAIJAgoCCwIMAg0CCAIIAggCCAIIAggCCAIIAggCCAIIAggCCAIIAggCCAIIAhgCAwItAh4AAvECAgJkAgQCBQIGAgcCCAIJAgoCCwIMAg0CCAIIAggCCAIIAggCCAIIAggCCAIIAggCCAIIAggCCAIIAhgCAwJxAh4AAvECAgI0AgQCBQIGAgcCCAIJAgoCCwIMAg0CCAIIAggCCAIIAggCCAIIAggCCAIIAggCCAIIAggCCAIIAhgCAwI1Ah4AAvECAgIuAgQCBQIGAgcCCAIJAgoCCwIMAg0CCAIIAggCCAIIAggCCAIIAggCCAIIAggCCAIIAggCCAIIAhgCAwJyAh4AAvECAgJoAgQCBQIGAgcCCAIJAiECCwIMAg0CCAIIAggCCAIIAggCCAIIAggCCAIIAggCCAIIAggCCAIIAhgCAwKGAh4AAvECAgJQAgQCBQIGAgcCCAIJAhwCCwIMAg0CCAIIAggCCAIIAggCCAIIAggCCAIIAggCCAIIAggCCAIIAhgCAwJRAh4AAvECAgJqAgQCBQIGAgcCCAIJAiECCwIMAg0CCAIIAggCCAIIAggCCAIIAggCCAIIAggCCAIIAggCCAIIAhgCAwKKAh4AAvECAgJgAgQCBQIGAgcCCAIJAhwCCwIMAg0CCAIIAggCCAIIAggCCAIIAggCCAIIAggCCAIIAggCCAIIAhgCAwJhAh4AAvECAgIsAgQCBQIGAgcCCAIJAhwCCwIMAg0CCAIIAggCCAIIAggCCAIIAggCCAIIAggCCAIIAggCCAIIAhgCAwKUAh4AAvECAgJJAgQCBQIGAgcCCAIJAhwCCwIMAg0CCAIIAggCCAIIAggCCAIIAggCCAIIAggCCAIIAggCCAIIAhgCAwJ4Ah4AAvECAgI7AgQCBQIGAgcCCAIJAgoCCwIMAg0CCAIIAggCCAIIAggCCAIIAggCCAIIAggCCAIIAggCCAIIAhgCAwJbAh4AAvECAgJFAgQCBQIGAgd6AAAEAAIIAgkCHAILAgwCDQIIAggCCAIIAggCCAIIAggCCAIIAggCCAIIAggCCAIIAggCGAIDAnkCHgAC8QICAi4CBAIFAgYCBwIIAgkCIQILAgwCDQIIAggCCAIIAggCCAIIAggCCAIIAggCCAIIAggCCAIIAggCGAIDAioCHgAC8QICAnUCBAIFAgYCBwIIAgkCCgILAgwCDQIIAggCCAIIAggCCAIIAggCCAIIAggCCAIIAggCCAIIAggCGAIDAo0CHgAC8QICAi8CBAIFAgYCBwIIAgkCIQILAgwCDQIIAggCCAIIAggCCAIIAggCCAIIAggCCAIIAggCCAIIAggCGAIDAnwCHgAC8QICAnYCBAIFAgYCBwIIAgkCIQILAgwCDQIIAggCCAIIAggCCAIIAggCCAIIAggCCAIIAggCCAIIAggCGAIDAncCHgAC8QICAjICBAIFAgYCBwIIAgkCCgILAgwCDQIIAggCCAIIAggCCAIIAggCCAIIAggCCAIIAggCCAIIAggCGAIDAl8CHgAC8QICAj0CBAIFAgYCBwIIAgkCIQILAgwCDQIIAggCCAIIAggCCAIIAggCCAIIAggCCAIIAggCCAIIAggCGAIDAj4CHgAC8QICAjsCBAIFAgYCBwIIAgkCHAILAgwCDQIIAggCCAIIAggCCAIIAggCCAIIAggCCAIIAggCCAIIAggCGAIDAjwCHgAC8QICAmQCBAIFAgYCBwIIAgkCHAILAgwCDQIIAggCCAIIAggCCAIIAggCCAIIAggCCAIIAggCCAIIAggCGAIDAmUCHgAC8QICAl0CBAIFAgYCBwIIAgkCCgILAgwCDQIIAggCCAIIAggCCAIIAggCCAIIAggCCAIIAggCCAIIAggCGAIDAn0CHgAC8QICAjcCBAIFAgYCBwIIAgkCIQILAgwCDQIIAggCCAIIAggCCAIIAggCCAIIAggCCAIIAggCCAIIAggCGAIDAioCHgAC8QICAiUCBAIFAgYCBwIIAgkCIQILAgwCDQIIAggCCAIIAggCCAIIAggCCAIIAggCCAIIAggCCAIIAggCGAIDApECHgAC8QICAkoCBAIFAgYCBwIIAgkCIQILAgwCDQIIAggCCAIIAggCCAIIAggCCAIIAggCCAIIAggCCAIIAggCGAIDAmICHgAC8QICAlACBAIFAgYCBwIIAgkCCgILAgwCDQIIAggCCAIIAggCCAIIAggCCAIIAggCCAIIAggCCAIIAggCGAIDAn8CHgAC8QICAkECBAIFAgYCBwIIAgkCCgILAgwCDQIIAggCCAIIAggCCAIIAggCCAIIAggCCAIIAggCCAIIAggCGAIDAkICHgAC8QJ6AAAEAAICRQIEAgUCBgIHAggCCQIhAgsCDAINAggCCAIIAggCCAIIAggCCAIIAggCCAIIAggCCAIIAggCCAIYAgMCRgIeAALxAgICNAIEAgUCBgIHAggCCQIcAgsCDAINAggCCAIIAggCCAIIAggCCAIIAggCCAIIAggCCAIIAggCCAIYAgMCkgIeAALxAgICIwIEAgUCBgIHAggCCQIKAgsCDAINAggCCAIIAggCCAIIAggCCAIIAggCCAIIAggCCAIIAggCCAIYAgMCfgIeAALxAgICaAIEAgUCBgIHAggCCQIcAgsCDAINAggCCAIIAggCCAIIAggCCAIIAggCCAIIAggCCAIIAggCCAIYAgMCaQIeAALxAgICIAIEAgUCBgIHAggCCQIhAgsCDAINAggCCAIIAggCCAIIAggCCAIIAggCCAIIAggCCAIIAggCCAIYAgMCIgIeAALxAgICJQIEAgUCBgIHAggCCQIKAgsCDAINAggCCAIIAggCCAIIAggCCAIIAggCCAIIAggCCAIIAggCCAIYAgMCJgIeAALxAgICMgIEAgUCBgIHAggCCQIcAgsCDAINAggCCAIIAggCCAIIAggCCAIIAggCCAIIAggCCAIIAggCCAIYAgMCTgIeAALxAgICVAIEAgUCBgIHAggCCQIhAgsCDAINAggCCAIIAggCCAIIAggCCAIIAggCCAIIAggCCAIIAggCCAIYAgMCKgIeAALxAgICPQIEAgUCBgIHAggCCQIcAgsCDAINAggCCAIIAggCCAIIAggCCAIIAggCCAIIAggCCAIIAggCCAIYAgMCbgIeAALxAgICLAIEAgUCBgIHAggCCQIhAgsCDAINAggCCAIIAggCCAIIAggCCAIIAggCCAIIAggCCAIIAggCCAIYAgMCUwIeAALxAgICdQIEAgUCBgIHAggCCQIcAgsCDAINAggCCAIIAggCCAIIAggCCAIIAggCCAIIAggCCAIIAggCCAIYAgMCggIeAALxAgICNwIEAgUCBgIHAggCCQIKAgsCDAINAggCCAIIAggCCAIIAggCCAIIAggCCAIIAggCCAIIAggCCAIYAgMCgwIeAALxAgICQQIEAgUCBgIHAggCCQIhAgsCDAINAggCCAIIAggCCAIIAggCCAIIAggCCAIIAggCCAIIAggCCAIYAgMCjgIeAALxAgICYAIEAgUCBgIHAggCCQIhAgsCDAINAggCCAIIAggCCAIIAggCCAIIAggCCAIIAggCCAIIAggCCAIYAgMCgAIeAALxAgICRQIEAgUCBgIHAggCCQIKAgsCDAINAggCCAIIAggCCAIIAggCCAIIAggCCAIIAggCCAIIAggCCAJ6AAAEABgCAwJnAh4AAvECAgJJAgQCBQIGAgcCCAIJAgoCCwIMAg0CCAIIAggCCAIIAggCCAIIAggCCAIIAggCCAIIAggCCAIIAhgCAwJtAh4AAvECAgInAgQCBQIGAgcCCAIJAgoCCwIMAg0CCAIIAggCCAIIAggCCAIIAggCCAIIAggCCAIIAggCCAIIAhgCAwJXAh4AAvECAgI0AgQCBQIGAgcCCAIJAiECCwIMAg0CCAIIAggCCAIIAggCCAIIAggCCAIIAggCCAIIAggCCAIIAhgCAwIqAh4AAvECAgIjAgQCBQIGAgcCCAIJAhwCCwIMAg0CCAIIAggCCAIIAggCCAIIAggCCAIIAggCCAIIAggCCAIIAhgCAwKIAh4AAvECAgIvAgQCBQIGAgcCCAIJAhwCCwIMAg0CCAIIAggCCAIIAggCCAIIAggCCAIIAggCCAIIAggCCAIIAhgCAwIwAh4AAvECAgIeAgQCBQIGAgcCCAIJAiECCwIMAg0CCAIIAggCCAIIAggCCAIIAggCCAIIAggCCAIIAggCCAIIAhgCAwJZAh4AAvECAgJDAgQCBQIGAgcCCAIJAgoCCwIMAg0CCAIIAggCCAIIAggCCAIIAggCCAIIAggCCAIIAggCCAIIAhgCAwKFAh4AAvECAgIpAgQCBQIGAgcCCAIJAgoCCwIMAg0CCAIIAggCCAIIAggCCAIIAggCCAIIAggCCAIIAggCCAIIAhgCAwJSAh4AAvIACTIzMTkyNTM1MgICAi8CBAIFAgYCBwIIAgkCCgILAgwCDQIIAggCCAIIAggCCAIIAggCCAIIAggCCAIIAggCCAIIAggCFgIDAlwCHgAC8gICAkMCBAIFAgYCBwIIAgkCHAILAgwCDQIIAggCCAIIAggCCAIIAggCCAIIAggCCAIIAggCCAIIAggCFgIDAkQCHgAC8gICAlACBAIFAgYCBwIIAgkCIQILAgwCDQIIAggCCAIIAggCCAIIAggCCAIIAggCCAIIAggCCAIIAggCFgIDAioCHgAC8gICAisCBAIFAgYCBwIIAgkCIQILAgwCDQIIAggCCAIIAggCCAIIAggCCAIIAggCCAIIAggCCAIIAggCFgIDAioCHgAC8gICAnYCBAIFAgYCBwIIAgkCHAILAgwCDQIIAggCCAIIAggCCAIIAggCCAIIAggCCAIIAggCCAIIAggCFgIDApACHgAC8gICAgMCBAIFAgYCBwIIAgkCCgILAgwCDQIIAggCCAIIAggCCAIIAggCCAIIAggCCAIIAggCCAIIAggCFgIDAg4CHgAC8gICAiACBAIFAgYCBwIIAgkCIQILAgwCDQIIAggCCAIIAggCCAJ6AAAEAAgCCAIIAggCCAIIAggCCAIIAggCCAIWAgMCIgIeAALyAgICJQIEAgUCBgIHAggCCQIKAgsCDAINAggCCAIIAggCCAIIAggCCAIIAggCCAIIAggCCAIIAggCCAIWAgMCJgIeAALyAgICHgIEAgUCBgIHAggCCQIcAgsCDAINAggCCAIIAggCCAIIAggCCAIIAggCCAIIAggCCAIIAggCCAIWAgMCHwIeAALyAgICGwIEAgUCBgIHAggCCQIcAgsCDAINAggCCAIIAggCCAIIAggCCAIIAggCCAIIAggCCAIIAggCCAIWAgMCHQIeAALyAgICNAIEAgUCBgIHAggCCQIhAgsCDAINAggCCAIIAggCCAIIAggCCAIIAggCCAIIAggCCAIIAggCCAIWAgMCKgIeAALyAgICSgIEAgUCBgIHAggCCQIhAgsCDAINAggCCAIIAggCCAIIAggCCAIIAggCCAIIAggCCAIIAggCCAIWAgMCYgIeAALyAgICLwIEAgUCBgIHAggCCQIcAgsCDAINAggCCAIIAggCCAIIAggCCAIIAggCCAIIAggCCAIIAggCCAIWAgMCMAIeAALyAgICQwIEAgUCBgIHAggCCQIKAgsCDAINAggCCAIIAggCCAIIAggCCAIIAggCCAIIAggCCAIIAggCCAIWAgMChQIeAALyAgICRwIEAgUCBgIHAggCCQIcAgsCDAINAggCCAIIAggCCAIIAggCCAIIAggCCAIIAggCCAIIAggCCAIWAgMCSAIeAALyAgICTAIEAgUCBgIHAggCCQIcAgsCDAINAggCCAIIAggCCAIIAggCCAIIAggCCAIIAggCCAIIAggCCAIWAgMCWAIeAALyAgICVAIEAgUCBgIHAggCCQIcAgsCDAINAggCCAIIAggCCAIIAggCCAIIAggCCAIIAggCCAIIAggCCAIWAgMCWgIeAALyAgICagIEAgUCBgIHAggCCQIhAgsCDAINAggCCAIIAggCCAIIAggCCAIIAggCCAIIAggCCAIIAggCCAIWAgMCigIeAALyAgICOwIEAgUCBgIHAggCCQIKAgsCDAINAggCCAIIAggCCAIIAggCCAIIAggCCAIIAggCCAIIAggCCAIWAgMCWwIeAALyAgICQQIEAgUCBgIHAggCCQIhAgsCDAINAggCCAIIAggCCAIIAggCCAIIAggCCAIIAggCCAIIAggCCAIWAgMCjgIeAALyAgICMgIEAgUCBgIHAggCCQIKAgsCDAINAggCCAIIAggCCAIIAggCCAIIAggCCAIIAggCCAIIAggCCAIWAgMCXwIeAALyAgICKwIEAgUCBgIHAggCCQIKAgsCDAINAgh6AAAEAAIIAggCCAIIAggCCAIIAggCCAIIAggCCAIIAggCCAIIAhYCAwI/Ah4AAvICAgIvAgQCBQIGAgcCCAIJAiECCwIMAg0CCAIIAggCCAIIAggCCAIIAggCCAIIAggCCAIIAggCCAIIAhYCAwJ8Ah4AAvICAgJBAgQCBQIGAgcCCAIJAgoCCwIMAg0CCAIIAggCCAIIAggCCAIIAggCCAIIAggCCAIIAggCCAIIAhYCAwJCAh4AAvICAgJFAgQCBQIGAgcCCAIJAiECCwIMAg0CCAIIAggCCAIIAggCCAIIAggCCAIIAggCCAIIAggCCAIIAhYCAwJGAh4AAvICAgJQAgQCBQIGAgcCCAIJAgoCCwIMAg0CCAIIAggCCAIIAggCCAIIAggCCAIIAggCCAIIAggCCAIIAhYCAwJ/Ah4AAvICAgJkAgQCBQIGAgcCCAIJAhwCCwIMAg0CCAIIAggCCAIIAggCCAIIAggCCAIIAggCCAIIAggCCAIIAhYCAwJlAh4AAvICAgJHAgQCBQIGAgcCCAIJAgoCCwIMAg0CCAIIAggCCAIIAggCCAIIAggCCAIIAggCCAIIAggCCAIIAhYCAwI/Ah4AAvICAgIuAgQCBQIGAgcCCAIJAiECCwIMAg0CCAIIAggCCAIIAggCCAIIAggCCAIIAggCCAIIAggCCAIIAhYCAwIqAh4AAvICAgJUAgQCBQIGAgcCCAIJAgoCCwIMAg0CCAIIAggCCAIIAggCCAIIAggCCAIIAggCCAIIAggCCAIIAhYCAwJVAh4AAvICAgJgAgQCBQIGAgcCCAIJAiECCwIMAg0CCAIIAggCCAIIAggCCAIIAggCCAIIAggCCAIIAggCCAIIAhYCAwKAAh4AAvICAgJJAgQCBQIGAgcCCAIJAiECCwIMAg0CCAIIAggCCAIIAggCCAIIAggCCAIIAggCCAIIAggCCAIIAhYCAwIqAh4AAvICAgJMAgQCBQIGAgcCCAIJAgoCCwIMAg0CCAIIAggCCAIIAggCCAIIAggCCAIIAggCCAIIAggCCAIIAhYCAwJNAh4AAvICAgJ1AgQCBQIGAgcCCAIJAhwCCwIMAg0CCAIIAggCCAIIAggCCAIIAggCCAIIAggCCAIIAggCCAIIAhYCAwKCAh4AAvICAgIrAgQCBQIGAgcCCAIJAhwCCwIMAg0CCAIIAggCCAIIAggCCAIIAggCCAIIAggCCAIIAggCCAIIAhYCAwJIAh4AAvICAgI3AgQCBQIGAgcCCAIJAgoCCwIMAg0CCAIIAggCCAIIAggCCAIIAggCCAIIAggCCAIIAggCCAIIAhYCAwKDAh4AAvICAgIpAgQCBQIGAgcCCAJ6AAAEAAkCIQILAgwCDQIIAggCCAIIAggCCAIIAggCCAIIAggCCAIIAggCCAIIAggCFgIDAioCHgAC8gICAicCBAIFAgYCBwIIAgkCIQILAgwCDQIIAggCCAIIAggCCAIIAggCCAIIAggCCAIIAggCCAIIAggCFgIDAigCHgAC8gICAkECBAIFAgYCBwIIAgkCHAILAgwCDQIIAggCCAIIAggCCAIIAggCCAIIAggCCAIIAggCCAIIAggCFgIDAk8CHgAC8gICAi4CBAIFAgYCBwIIAgkCCgILAgwCDQIIAggCCAIIAggCCAIIAggCCAIIAggCCAIIAggCCAIIAggCFgIDAnICHgAC8gICAmACBAIFAgYCBwIIAgkCCgILAgwCDQIIAggCCAIIAggCCAIIAggCCAIIAggCCAIIAggCCAIIAggCFgIDAnACHgAC8gICAjsCBAIFAgYCBwIIAgkCIQILAgwCDQIIAggCCAIIAggCCAIIAggCCAIIAggCCAIIAggCCAIIAggCFgIDAlYCHgAC8gICAmQCBAIFAgYCBwIIAgkCCgILAgwCDQIIAggCCAIIAggCCAIIAggCCAIIAggCCAIIAggCCAIIAggCFgIDAnECHgAC8gICAlACBAIFAgYCBwIIAgkCHAILAgwCDQIIAggCCAIIAggCCAIIAggCCAIIAggCCAIIAggCCAIIAggCFgIDAlECHgAC8gICAkcCBAIFAgYCBwIIAgkCIQILAgwCDQIIAggCCAIIAggCCAIIAggCCAIIAggCCAIIAggCCAIIAggCFgIDAioCHgAC8gICAjICBAIFAgYCBwIIAgkCIQILAgwCDQIIAggCCAIIAggCCAIIAggCCAIIAggCCAIIAggCCAIIAggCFgIDAjMCHgAC8gICAgMCBAIFAgYCBwIIAgkCHAILAgwCDQIIAggCCAIIAggCCAIIAggCCAIIAggCCAIIAggCCAIIAggCFgIDAjkCHgAC8gICAiUCBAIFAgYCBwIIAgkCHAILAgwCDQIIAggCCAIIAggCCAIIAggCCAIIAggCCAIIAggCCAIIAggCFgIDAjYCHgAC8gICAjcCBAIFAgYCBwIIAgkCHAILAgwCDQIIAggCCAIIAggCCAIIAggCCAIIAggCCAIIAggCCAIIAggCFgIDAjgCHgAC8gICAmoCBAIFAgYCBwIIAgkCCgILAgwCDQIIAggCCAIIAggCCAIIAggCCAIIAggCCAIIAggCCAIIAggCFgIDAnMCHgAC8gICAj0CBAIFAgYCBwIIAgkCCgILAgwCDQIIAggCCAIIAggCCAIIAggCCAIIAggCCAIIAggCCAIIAggCFgIDApMCHgAC8gICAkB6AAAEAAIEAgUCBgIHAggCCQIKAgsCDAINAggCCAIIAggCCAIIAggCCAIIAggCCAIIAggCCAIIAggCCAIWAgMCjwIeAALyAgICXQIEAgUCBgIHAggCCQIhAgsCDAINAggCCAIIAggCCAIIAggCCAIIAggCCAIIAggCCAIIAggCCAIWAgMCXgIeAALyAgICJwIEAgUCBgIHAggCCQIcAgsCDAINAggCCAIIAggCCAIIAggCCAIIAggCCAIIAggCCAIIAggCCAIWAgMCegIeAALyAgICLgIEAgUCBgIHAggCCQIcAgsCDAINAggCCAIIAggCCAIIAggCCAIIAggCCAIIAggCCAIIAggCCAIWAgMCYwIeAALyAgICKQIEAgUCBgIHAggCCQIcAgsCDAINAggCCAIIAggCCAIIAggCCAIIAggCCAIIAggCCAIIAggCCAIWAgMCewIeAALyAgICTAIEAgUCBgIHAggCCQIhAgsCDAINAggCCAIIAggCCAIIAggCCAIIAggCCAIIAggCCAIIAggCCAIWAgMCZgIeAALyAgICRQIEAgUCBgIHAggCCQIKAgsCDAINAggCCAIIAggCCAIIAggCCAIIAggCCAIIAggCCAIIAggCCAIWAgMCZwIeAALyAgICVAIEAgUCBgIHAggCCQIhAgsCDAINAggCCAIIAggCCAIIAggCCAIIAggCCAIIAggCCAIIAggCCAIWAgMCKgIeAALyAgICaAIEAgUCBgIHAggCCQIcAgsCDAINAggCCAIIAggCCAIIAggCCAIIAggCCAIIAggCCAIIAggCCAIWAgMCaQIeAALyAgICZAIEAgUCBgIHAggCCQIhAgsCDAINAggCCAIIAggCCAIIAggCCAIIAggCCAIIAggCCAIIAggCCAIWAgMChAIeAALyAgICagIEAgUCBgIHAggCCQIcAgsCDAINAggCCAIIAggCCAIIAggCCAIIAggCCAIIAggCCAIIAggCCAIWAgMCawIeAALyAgICSQIEAgUCBgIHAggCCQIKAgsCDAINAggCCAIIAggCCAIIAggCCAIIAggCCAIIAggCCAIIAggCCAIWAgMCbQIeAALyAgICKQIEAgUCBgIHAggCCQIKAgsCDAINAggCCAIIAggCCAIIAggCCAIIAggCCAIIAggCCAIIAggCCAIWAgMCUgIeAALyAgICPQIEAgUCBgIHAggCCQIcAgsCDAINAggCCAIIAggCCAIIAggCCAIIAggCCAIIAggCCAIIAggCCAIWAgMCbgIeAALyAgICNwIEAgUCBgIHAggCCQIhAgsCDAINAggCCAIIAggCCAIIAggCCAIIAggCCAIIAggCCAIIAggCCAIWAgN6AAAEAAIqAh4AAvICAgIjAgQCBQIGAgcCCAIJAhwCCwIMAg0CCAIIAggCCAIIAggCCAIIAggCCAIIAggCCAIIAggCCAIIAhYCAwKIAh4AAvICAgInAgQCBQIGAgcCCAIJAgoCCwIMAg0CCAIIAggCCAIIAggCCAIIAggCCAIIAggCCAIIAggCCAIIAhYCAwJXAh4AAvICAgIeAgQCBQIGAgcCCAIJAiECCwIMAg0CCAIIAggCCAIIAggCCAIIAggCCAIIAggCCAIIAggCCAIIAhYCAwJZAh4AAvICAgJAAgQCBQIGAgcCCAIJAhwCCwIMAg0CCAIIAggCCAIIAggCCAIIAggCCAIIAggCCAIIAggCCAIIAhYCAwJvAh4AAvICAgIgAgQCBQIGAgcCCAIJAhwCCwIMAg0CCAIIAggCCAIIAggCCAIIAggCCAIIAggCCAIIAggCCAIIAhYCAwKMAh4AAvICAgIbAgQCBQIGAgcCCAIJAiECCwIMAg0CCAIIAggCCAIIAggCCAIIAggCCAIIAggCCAIIAggCCAIIAhYCAwIqAh4AAvICAgJgAgQCBQIGAgcCCAIJAhwCCwIMAg0CCAIIAggCCAIIAggCCAIIAggCCAIIAggCCAIIAggCCAIIAhYCAwJhAh4AAvICAgJoAgQCBQIGAgcCCAIJAgoCCwIMAg0CCAIIAggCCAIIAggCCAIIAggCCAIIAggCCAIIAggCCAIIAhYCAwKLAh4AAvICAgJAAgQCBQIGAgcCCAIJAiECCwIMAg0CCAIIAggCCAIIAggCCAIIAggCCAIIAggCCAIIAggCCAIIAhYCAwIqAh4AAvICAgJ1AgQCBQIGAgcCCAIJAgoCCwIMAg0CCAIIAggCCAIIAggCCAIIAggCCAIIAggCCAIIAggCCAIIAhYCAwKNAh4AAvICAgI7AgQCBQIGAgcCCAIJAhwCCwIMAg0CCAIIAggCCAIIAggCCAIIAggCCAIIAggCCAIIAggCCAIIAhYCAwI8Ah4AAvICAgJdAgQCBQIGAgcCCAIJAgoCCwIMAg0CCAIIAggCCAIIAggCCAIIAggCCAIIAggCCAIIAggCCAIIAhYCAwJ9Ah4AAvICAgIlAgQCBQIGAgcCCAIJAiECCwIMAg0CCAIIAggCCAIIAggCCAIIAggCCAIIAggCCAIIAggCCAIIAhYCAwKRAh4AAvICAgIsAgQCBQIGAgcCCAIJAhwCCwIMAg0CCAIIAggCCAIIAggCCAIIAggCCAIIAggCCAIIAggCCAIIAhYCAwKUAh4AAvICAgJoAgQCBQIGAgcCCAIJAiECCwIMAg0CCAIIAggCCAIIAggCCAIIAggCCAIIAggCCAJ6AAAEAAgCCAIIAggCFgIDAoYCHgAC8gICAjQCBAIFAgYCBwIIAgkCHAILAgwCDQIIAggCCAIIAggCCAIIAggCCAIIAggCCAIIAggCCAIIAggCFgIDApICHgAC8gICAiMCBAIFAgYCBwIIAgkCCgILAgwCDQIIAggCCAIIAggCCAIIAggCCAIIAggCCAIIAggCCAIIAggCFgIDAn4CHgAC8gICAiwCBAIFAgYCBwIIAgkCIQILAgwCDQIIAggCCAIIAggCCAIIAggCCAIIAggCCAIIAggCCAIIAggCFgIDAlMCHgAC8gICAiACBAIFAgYCBwIIAgkCCgILAgwCDQIIAggCCAIIAggCCAIIAggCCAIIAggCCAIIAggCCAIIAggCFgIDAoECHgAC8gICAgMCBAIFAgYCBwIIAgkCIQILAgwCDQIIAggCCAIIAggCCAIIAggCCAIIAggCCAIIAggCCAIIAggCFgIDAioCHgAC8gICAjICBAIFAgYCBwIIAgkCHAILAgwCDQIIAggCCAIIAggCCAIIAggCCAIIAggCCAIIAggCCAIIAggCFgIDAk4CHgAC8gICAnYCBAIFAgYCBwIIAgkCIQILAgwCDQIIAggCCAIIAggCCAIIAggCCAIIAggCCAIIAggCCAIIAggCFgIDAncCHgAC8gICAkMCBAIFAgYCBwIIAgkCIQILAgwCDQIIAggCCAIIAggCCAIIAggCCAIIAggCCAIIAggCCAIIAggCFgIDAmwCHgAC8gICAkoCBAIFAgYCBwIIAgkCCgILAgwCDQIIAggCCAIIAggCCAIIAggCCAIIAggCCAIIAggCCAIIAggCFgIDAksCHgAC8gICAl0CBAIFAgYCBwIIAgkCHAILAgwCDQIIAggCCAIIAggCCAIIAggCCAIIAggCCAIIAggCCAIIAggCFgIDAokCHgAC8gICAnYCBAIFAgYCBwIIAgkCCgILAgwCDQIIAggCCAIIAggCCAIIAggCCAIIAggCCAIIAggCCAIIAggCFgIDAocCHgAC8gICAiwCBAIFAgYCBwIIAgkCCgILAgwCDQIIAggCCAIIAggCCAIIAggCCAIIAggCCAIIAggCCAIIAggCFgIDAi0CHgAC8gICAh4CBAIFAgYCBwIIAgkCCgILAgwCDQIIAggCCAIIAggCCAIIAggCCAIIAggCCAIIAggCCAIIAggCFgIDAjoCHgAC8gICAhsCBAIFAgYCBwIIAgkCCgILAgwCDQIIAggCCAIIAggCCAIIAggCCAIIAggCCAIIAggCCAIIAggCFgIDAjECHgAC8gICAjQCBAIFAgYCBwIIAgkCCgILAgwCDQIIAggCCAIIAggCCAIIAgh6AAAEAAIIAggCCAIIAggCCAIIAggCCAIWAgMCNQIeAALyAgICIwIEAgUCBgIHAggCCQIhAgsCDAINAggCCAIIAggCCAIIAggCCAIIAggCCAIIAggCCAIIAggCCAIWAgMCJAIeAALyAgICSgIEAgUCBgIHAggCCQIcAgsCDAINAggCCAIIAggCCAIIAggCCAIIAggCCAIIAggCCAIIAggCCAIWAgMCdAIeAALyAgICRQIEAgUCBgIHAggCCQIcAgsCDAINAggCCAIIAggCCAIIAggCCAIIAggCCAIIAggCCAIIAggCCAIWAgMCeQIeAALyAgICSQIEAgUCBgIHAggCCQIcAgsCDAINAggCCAIIAggCCAIIAggCCAIIAggCCAIIAggCCAIIAggCCAIWAgMCeAIeAALyAgICdQIEAgUCBgIHAggCCQIhAgsCDAINAggCCAIIAggCCAIIAggCCAIIAggCCAIIAggCCAIIAggCCAIWAgMCKgIeAALyAgICPQIEAgUCBgIHAggCCQIhAgsCDAINAggCCAIIAggCCAIIAggCCAIIAggCCAIIAggCCAIIAggCCAIWAgMCPgIeAALzAAk4MjYyMjg4ODgCAgIvAgQCBQIGAgcCCAIJAgoCCwKXAg0CCAIIAggCCAIIAggCCAIIAggCCAIIAggCCAIIAggCCAIIAgUCAwKqAh4AAvMCAgJ1AgQCBQIGAgcCCAIJAgoCCwKXAg0CCAIIAggCCAIIAggCCAIIAggCCAIIAggCCAIIAggCCAIIAgUCAwKlAh4AAvMCAgIyAgQCBQIGAgcCCAIJAgoCCwKXAg0CCAIIAggCCAIIAggCCAIIAggCCAIIAggCCAIIAggCCAIIAgUCAwLQAh4AAvMCAgI3AgQCBQIGAgcCCAIJAgoCCwKXAg0CCAIIAggCCAIIAggCCAIIAggCCAIIAggCCAIIAggCCAIIAgUCAwKaAh4AAvMCAgJFAgQCBQIGAgcCCAIJAgoCCwKXAg0CCAIIAggCCAIIAggCCAIIAggCCAIIAggCCAIIAggCCAIIAgUCAwLiAh4AAvMCAgIgAgQCBQIGAgcCCAIJAgoCCwKXAg0CCAIIAggCCAIIAggCCAIIAggCCAIIAggCCAIIAggCCAIIAgUCAwLEAh4AAvMCAgJUAgQCBQIGAgcCCAIJAgoCCwKXAg0CCAIIAggCCAIIAggCCAIIAggCCAIIAggCCAIIAggCCAIIAgUCAwKYAh4AAvMCAgJJAgQCBQIGAgcCCAIJAgoCCwKXAg0CCAIIAggCCAIIAggCCAIIAggCCAIIAggCCAIIAggCCAIIAgUCAwLjAh4AAvMCAgJqAgQCBQIGAgcCCAIJAgp6AAAEAAILApcCDQIIAggCCAIIAggCCAIIAggCCAIIAggCCAIIAggCCAIIAggCBQIDAroCHgAC8wICAiMCBAIFAgYCBwIIAgkCCgILApcCDQIIAggCCAIIAggCCAIIAggCCAIIAggCCAIIAggCCAIIAggCBQIDAtYCHgAC8wICAl0CBAIFAgYCBwIIAgkCCgILApcCDQIIAggCCAIIAggCCAIIAggCCAIIAggCCAIIAggCCAIIAggCBQIDAusCHgAC8wICAlACBAIFAgYCBwIIAgkCCgILApcCDQIIAggCCAIIAggCCAIIAggCCAIIAggCCAIIAggCCAIIAggCBQIDAr4CHgAC8wICAi4CBAIFAgYCBwIIAgkCCgILApcCDQIIAggCCAIIAggCCAIIAggCCAIIAggCCAIIAggCCAIIAggCBQIDAskCHgAC8wICAjQCBAIFAgYCBwIIAgkCCgILApcCDQIIAggCCAIIAggCCAIIAggCCAIIAggCCAIIAggCCAIIAggCBQIDAuACHgAC8wICAikCBAIFAgYCBwIIAgkCCgILApcCDQIIAggCCAIIAggCCAIIAggCCAIIAggCCAIIAggCCAIIAggCBQIDAsgCHgAC8wICAiwCBAIFAgYCBwIIAgkCCgILApcCDQIIAggCCAIIAggCCAIIAggCCAIIAggCCAIIAggCCAIIAggCBQIDAt4CHgAC8wICAkMCBAIFAgYCBwIIAgkCCgILApcCDQIIAggCCAIIAggCCAIIAggCCAIIAggCCAIIAggCCAIIAggCBQIDAqECHgAC8wICAmQCBAIFAgYCBwIIAgkCCgILApcCDQIIAggCCAIIAggCCAIIAggCCAIIAggCCAIIAggCCAIIAggCBQIDArYCHgAC9AAJMjMxOTIxODcyAgICSQIEAgUCBgIHAggCCQIKAgsClwINAggCCAIIAggCCAIIAggCCAIIAggCCAIIAggCCAIIAggCCAACAwLjAh4AAvQCAgJgAgQCBQIGAgcCCAIJAgoCCwKXAg0CCAIIAggCCAIIAggCCAIIAggCCAIIAggCCAIIAggCCAIIAAIDArgCHgAC9AICAi8CBAIFAgYCBwIIAgkCnAILApcCDQIIAggCCAIIAggCCAIIAggCCAIIAggCCAIIAggCCAIIAggAAgMCuQIeAAL0AgICRQIEAgUCBgIHAggCCQIcAgsClwINAggCCAIIAggCCAIIAggCCAIIAggCCAIIAggCCAIIAggCCAACAwLsAh4AAvQCAgI9AgQCBQIGAgcCCAIJAhwCCwKXAg0CCAIIAggCCAIIAggCCAIIAggCCAIIAggCCAIIAggCCAIIAAIDAq8CHgAC9AJ6AAAEAAICGwIEAgUCBgIHAggCCQKcAgsClwINAggCCAIIAggCCAIIAggCCAIIAggCCAIIAggCCAIIAggCCAACAwIqAh4AAvQCAgJFAgQCBQIGAgcCCAIJAgoCCwKXAg0CCAIIAggCCAIIAggCCAIIAggCCAIIAggCCAIIAggCCAIIAAIDAuICHgAC9AICAnYCBAIFAgYCBwIIAgkCnAILApcCDQIIAggCCAIIAggCCAIIAggCCAIIAggCCAIIAggCCAIIAggAAgMC1AIeAAL0AgICaAIEAgUCBgIHAggCCQIcAgsClwINAggCCAIIAggCCAIIAggCCAIIAggCCAIIAggCCAIIAggCCAACAwKxAh4AAvQCAgJqAgQCBQIGAgcCCAIJAhwCCwKXAg0CCAIIAggCCAIIAggCCAIIAggCCAIIAggCCAIIAggCCAIIAAIDArQCHgAC9AICAh4CBAIFAgYCBwIIAgkCnAILApcCDQIIAggCCAIIAggCCAIIAggCCAIIAggCCAIIAggCCAIIAggAAgMCsgIeAAL0AgICPQIEAgUCBgIHAggCCQIKAgsClwINAggCCAIIAggCCAIIAggCCAIIAggCCAIIAggCCAIIAggCCAACAwLXAh4AAvQCAgIuAgQCBQIGAgcCCAIJAhwCCwKXAg0CCAIIAggCCAIIAggCCAIIAggCCAIIAggCCAIIAggCCAIIAAIDAtkCHgAC9AICAmgCBAIFAgYCBwIIAgkCCgILApcCDQIIAggCCAIIAggCCAIIAggCCAIIAggCCAIIAggCCAIIAggAAgMCzgIeAAL0AgICLAIEAgUCBgIHAggCCQKcAgsClwINAggCCAIIAggCCAIIAggCCAIIAggCCAIIAggCCAIIAggCCAACAwKuAh4AAvQCAgJgAgQCBQIGAgcCCAIJAhwCCwKXAg0CCAIIAggCCAIIAggCCAIIAggCCAIIAggCCAIIAggCCAIIAAIDAqwCHgAC9AICAlQCBAIFAgYCBwIIAgkCnAILApcCDQIIAggCCAIIAggCCAIIAggCCAIIAggCCAIIAggCCAIIAggAAgMCKgIeAAL0AgICdQIEAgUCBgIHAggCCQIKAgsClwINAggCCAIIAggCCAIIAggCCAIIAggCCAIIAggCCAIIAggCCAACAwKlAh4AAvQCAgIgAgQCBQIGAgcCCAIJAhwCCwKXAg0CCAIIAggCCAIIAggCCAIIAggCCAIIAggCCAIIAggCCAIIAAIDAtICHgAC9AICAkcCBAIFAgYCBwIIAgkCnAILApcCDQIIAggCCAIIAggCCAIIAggCCAIIAggCCAIIAggCCAIIAggAAgMCKgIeAAL0AgICIwJ6AAAEAAQCBQIGAgcCCAIJAhwCCwKXAg0CCAIIAggCCAIIAggCCAIIAggCCAIIAggCCAIIAggCCAIIAAIDAscCHgAC9AICAikCBAIFAgYCBwIIAgkCCgILApcCDQIIAggCCAIIAggCCAIIAggCCAIIAggCCAIIAggCCAIIAggAAgMCyAIeAAL0AgICTAIEAgUCBgIHAggCCQKcAgsClwINAggCCAIIAggCCAIIAggCCAIIAggCCAIIAggCCAIIAggCCAACAwLPAh4AAvQCAgJAAgQCBQIGAgcCCAIJAhwCCwKXAg0CCAIIAggCCAIIAggCCAIIAggCCAIIAggCCAIIAggCCAIIAAIDArACHgAC9AICAnUCBAIFAgYCBwIIAgkCnAILApcCDQIIAggCCAIIAggCCAIIAggCCAIIAggCCAIIAggCCAIIAggAAgMCKgIeAAL0AgICKwIEAgUCBgIHAggCCQKcAgsClwINAggCCAIIAggCCAIIAggCCAIIAggCCAIIAggCCAIIAggCCAACAwIqAh4AAvQCAgJdAgQCBQIGAgcCCAIJAhwCCwKXAg0CCAIIAggCCAIIAggCCAIIAggCCAIIAggCCAIIAggCCAIIAAIDAqMCHgAC9AICAicCBAIFAgYCBwIIAgkCCgILApcCDQIIAggCCAIIAggCCAIIAggCCAIIAggCCAIIAggCCAIIAggAAgMCzAIeAAL0AgICSgIEAgUCBgIHAggCCQIKAgsClwINAggCCAIIAggCCAIIAggCCAIIAggCCAIIAggCCAIIAggCCAACAwLFAh4AAvQCAgIgAgQCBQIGAgcCCAIJAgoCCwKXAg0CCAIIAggCCAIIAggCCAIIAggCCAIIAggCCAIIAggCCAIIAAIDAsQCHgAC9AICAkECBAIFAgYCBwIIAgkCnAILApcCDQIIAggCCAIIAggCCAIIAggCCAIIAggCCAIIAggCCAIIAggAAgMCoAIeAAL0AgICIwIEAgUCBgIHAggCCQIKAgsClwINAggCCAIIAggCCAIIAggCCAIIAggCCAIIAggCCAIIAggCCAACAwLWAh4AAvQCAgIyAgQCBQIGAgcCCAIJAhwCCwKXAg0CCAIIAggCCAIIAggCCAIIAggCCAIIAggCCAIIAggCCAIIAAIDAsYCHgAC9AICAmQCBAIFAgYCBwIIAgkCnAILApcCDQIIAggCCAIIAggCCAIIAggCCAIIAggCCAIIAggCCAIIAggAAgMC2wIeAAL0AgICXQIEAgUCBgIHAggCCQIKAgsClwINAggCCAIIAggCCAIIAggCCAIIAggCCAIIAggCCAIIAggCCAACAwLrAh4AAvQCAgI0AgQCBQJ6AAAEAAYCBwIIAgkCHAILApcCDQIIAggCCAIIAggCCAIIAggCCAIIAggCCAIIAggCCAIIAggAAgMC1QIeAAL0AgICNwIEAgUCBgIHAggCCQKcAgsClwINAggCCAIIAggCCAIIAggCCAIIAggCCAIIAggCCAIIAggCCAACAwIqAh4AAvQCAgIpAgQCBQIGAgcCCAIJAhwCCwKXAg0CCAIIAggCCAIIAggCCAIIAggCCAIIAggCCAIIAggCCAIIAAIDAucCHgAC9AICAicCBAIFAgYCBwIIAgkCHAILApcCDQIIAggCCAIIAggCCAIIAggCCAIIAggCCAIIAggCCAIIAggAAgMC7gIeAAL0AgICQAIEAgUCBgIHAggCCQIKAgsClwINAggCCAIIAggCCAIIAggCCAIIAggCCAIIAggCCAIIAggCCAACAwLRAh4AAvQCAgJDAgQCBQIGAgcCCAIJApwCCwKXAg0CCAIIAggCCAIIAggCCAIIAggCCAIIAggCCAIIAggCCAIIAAIDAu8CHgAC9AICAkkCBAIFAgYCBwIIAgkCHAILApcCDQIIAggCCAIIAggCCAIIAggCCAIIAggCCAIIAggCCAIIAggAAgMC5QIeAAL0AgICGwIEAgUCBgIHAggCCQIKAgsClwINAggCCAIIAggCCAIIAggCCAIIAggCCAIIAggCCAIIAggCCAACAwLtAh4AAvQCAgIbAgQCBQIGAgcCCAIJAhwCCwKXAg0CCAIIAggCCAIIAggCCAIIAggCCAIIAggCCAIIAggCCAIIAAIDAuECHgAC9AICAiUCBAIFAgYCBwIIAgkCnAILApcCDQIIAggCCAIIAggCCAIIAggCCAIIAggCCAIIAggCCAIIAggAAgMC6gIeAAL0AgICNAIEAgUCBgIHAggCCQIKAgsClwINAggCCAIIAggCCAIIAggCCAIIAggCCAIIAggCCAIIAggCCAACAwLgAh4AAvQCAgIDAgQCBQIGAgcCCAIJApwCCwKXAg0CCAIIAggCCAIIAggCCAIIAggCCAIIAggCCAIIAggCCAIIAAIDAioCHgAC9AICAnYCBAIFAgYCBwIIAgkCCgILApcCDQIIAggCCAIIAggCCAIIAggCCAIIAggCCAIIAggCCAIIAggAAgMCpAIeAAL0AgICHgIEAgUCBgIHAggCCQIKAgsClwINAggCCAIIAggCCAIIAggCCAIIAggCCAIIAggCCAIIAggCCAACAwLoAh4AAvQCAgJKAgQCBQIGAgcCCAIJAhwCCwKXAg0CCAIIAggCCAIIAggCCAIIAggCCAIIAggCCAIIAggCCAIIAAIDAuYCHgAC9AICAlACBAIFAgYCBwJ6AAAEAAgCCQKcAgsClwINAggCCAIIAggCCAIIAggCCAIIAggCCAIIAggCCAIIAggCCAACAwIqAh4AAvQCAgIsAgQCBQIGAgcCCAIJAgoCCwKXAg0CCAIIAggCCAIIAggCCAIIAggCCAIIAggCCAIIAggCCAIIAAIDAt4CHgAC9AICAj0CBAIFAgYCBwIIAgkCnAILApcCDQIIAggCCAIIAggCCAIIAggCCAIIAggCCAIIAggCCAIIAggAAgMC5AIeAAL0AgICQAIEAgUCBgIHAggCCQKcAgsClwINAggCCAIIAggCCAIIAggCCAIIAggCCAIIAggCCAIIAggCCAACAwIqAh4AAvQCAgIvAgQCBQIGAgcCCAIJAhwCCwKXAg0CCAIIAggCCAIIAggCCAIIAggCCAIIAggCCAIIAggCCAIIAAIDAtwCHgAC9AICAgMCBAIFAgYCBwIIAgkCHAILApcCDQIIAggCCAIIAggCCAIIAggCCAIIAggCCAIIAggCCAIIAggAAgMCvwIeAAL0AgICJQIEAgUCBgIHAggCCQIKAgsClwINAggCCAIIAggCCAIIAggCCAIIAggCCAIIAggCCAIIAggCCAACAwKzAh4AAvQCAgIeAgQCBQIGAgcCCAIJAhwCCwKXAg0CCAIIAggCCAIIAggCCAIIAggCCAIIAggCCAIIAggCCAIIAAIDAqkCHgAC9AICAi4CBAIFAgYCBwIIAgkCnAILApcCDQIIAggCCAIIAggCCAIIAggCCAIIAggCCAIIAggCCAIIAggAAgMCKgIeAAL0AgICagIEAgUCBgIHAggCCQKcAgsClwINAggCCAIIAggCCAIIAggCCAIIAggCCAIIAggCCAIIAggCCAACAwLfAh4AAvQCAgIsAgQCBQIGAgcCCAIJAhwCCwKXAg0CCAIIAggCCAIIAggCCAIIAggCCAIIAggCCAIIAggCCAIIAAIDAtoCHgAC9AICAikCBAIFAgYCBwIIAgkCnAILApcCDQIIAggCCAIIAggCCAIIAggCCAIIAggCCAIIAggCCAIIAggAAgMCKgIeAAL0AgICaAIEAgUCBgIHAggCCQKcAgsClwINAggCCAIIAggCCAIIAggCCAIIAggCCAIIAggCCAIIAggCCAACAwLdAh4AAvQCAgIvAgQCBQIGAgcCCAIJAgoCCwKXAg0CCAIIAggCCAIIAggCCAIIAggCCAIIAggCCAIIAggCCAIIAAIDAqoCHgAC9AICAmACBAIFAgYCBwIIAgkCnAILApcCDQIIAggCCAIIAggCCAIIAggCCAIIAggCCAIIAggCCAIIAggAAgMC2AIeAAL0AgICOwIEAgUCBgIHAggCCQJ6AAAEABwCCwKXAg0CCAIIAggCCAIIAggCCAIIAggCCAIIAggCCAIIAggCCAIIAAIDAukCHgAC9AICAiACBAIFAgYCBwIIAgkCnAILApcCDQIIAggCCAIIAggCCAIIAggCCAIIAggCCAIIAggCCAIIAggAAgMCqAIeAAL0AgICdgIEAgUCBgIHAggCCQIcAgsClwINAggCCAIIAggCCAIIAggCCAIIAggCCAIIAggCCAIIAggCCAACAwKrAh4AAvQCAgIyAgQCBQIGAgcCCAIJAgoCCwKXAg0CCAIIAggCCAIIAggCCAIIAggCCAIIAggCCAIIAggCCAIIAAIDAtACHgAC9AICAgMCBAIFAgYCBwIIAgkCCgILApcCDQIIAggCCAIIAggCCAIIAggCCAIIAggCCAIIAggCCAIIAggAAgMCtwIeAAL0AgICTAIEAgUCBgIHAggCCQIcAgsClwINAggCCAIIAggCCAIIAggCCAIIAggCCAIIAggCCAIIAggCCAACAwKnAh4AAvQCAgJUAgQCBQIGAgcCCAIJAhwCCwKXAg0CCAIIAggCCAIIAggCCAIIAggCCAIIAggCCAIIAggCCAIIAAIDAqYCHgAC9AICAjsCBAIFAgYCBwIIAgkCCgILApcCDQIIAggCCAIIAggCCAIIAggCCAIIAggCCAIIAggCCAIIAggAAgMC0wIeAAL0AgICIwIEAgUCBgIHAggCCQKcAgsClwINAggCCAIIAggCCAIIAggCCAIIAggCCAIIAggCCAIIAggCCAACAwKiAh4AAvQCAgJHAgQCBQIGAgcCCAIJAhwCCwKXAg0CCAIIAggCCAIIAggCCAIIAggCCAIIAggCCAIIAggCCAIIAAIDAp8CHgAC9AICAkMCBAIFAgYCBwIIAgkCCgILApcCDQIIAggCCAIIAggCCAIIAggCCAIIAggCCAIIAggCCAIIAggAAgMCoQIeAAL0AgICNwIEAgUCBgIHAggCCQIKAgsClwINAggCCAIIAggCCAIIAggCCAIIAggCCAIIAggCCAIIAggCCAACAwKaAh4AAvQCAgJBAgQCBQIGAgcCCAIJAhwCCwKXAg0CCAIIAggCCAIIAggCCAIIAggCCAIIAggCCAIIAggCCAIIAAIDAssCHgAC9AICAjICBAIFAgYCBwIIAgkCnAILApcCDQIIAggCCAIIAggCCAIIAggCCAIIAggCCAIIAggCCAIIAggAAgMCngIeAAL0AgICVAIEAgUCBgIHAggCCQIKAgsClwINAggCCAIIAggCCAIIAggCCAIIAggCCAIIAggCCAIIAggCCAACAwKYAh4AAvQCAgJMAgQCBQIGAgcCCAIJAgoCCwJ6AAAEAJcCDQIIAggCCAIIAggCCAIIAggCCAIIAggCCAIIAggCCAIIAggAAgMCnQIeAAL0AgICKwIEAgUCBgIHAggCCQIcAgsClwINAggCCAIIAggCCAIIAggCCAIIAggCCAIIAggCCAIIAggCCAACAwKfAh4AAvQCAgJ1AgQCBQIGAgcCCAIJAhwCCwKXAg0CCAIIAggCCAIIAggCCAIIAggCCAIIAggCCAIIAggCCAIIAAIDApkCHgAC9AICAkcCBAIFAgYCBwIIAgkCCgILApcCDQIIAggCCAIIAggCCAIIAggCCAIIAggCCAIIAggCCAIIAggAAgMCmwIeAAL0AgICNAIEAgUCBgIHAggCCQKcAgsClwINAggCCAIIAggCCAIIAggCCAIIAggCCAIIAggCCAIIAggCCAACAwIqAh4AAvQCAgJkAgQCBQIGAgcCCAIJAhwCCwKXAg0CCAIIAggCCAIIAggCCAIIAggCCAIIAggCCAIIAggCCAIIAAIDAq0CHgAC9AICAkECBAIFAgYCBwIIAgkCCgILApcCDQIIAggCCAIIAggCCAIIAggCCAIIAggCCAIIAggCCAIIAggAAgMCwAIeAAL0AgICUAIEAgUCBgIHAggCCQIKAgsClwINAggCCAIIAggCCAIIAggCCAIIAggCCAIIAggCCAIIAggCCAACAwK+Ah4AAvQCAgI7AgQCBQIGAgcCCAIJApwCCwKXAg0CCAIIAggCCAIIAggCCAIIAggCCAIIAggCCAIIAggCCAIIAAIDAsECHgAC9AICAkoCBAIFAgYCBwIIAgkCnAILApcCDQIIAggCCAIIAggCCAIIAggCCAIIAggCCAIIAggCCAIIAggAAgMCuwIeAAL0AgICQwIEAgUCBgIHAggCCQIcAgsClwINAggCCAIIAggCCAIIAggCCAIIAggCCAIIAggCCAIIAggCCAACAwLDAh4AAvQCAgJJAgQCBQIGAgcCCAIJApwCCwKXAg0CCAIIAggCCAIIAggCCAIIAggCCAIIAggCCAIIAggCCAIIAAIDAioCHgAC9AICAjcCBAIFAgYCBwIIAgkCHAILApcCDQIIAggCCAIIAggCCAIIAggCCAIIAggCCAIIAggCCAIIAggAAgMCvAIeAAL0AgICJwIEAgUCBgIHAggCCQKcAgsClwINAggCCAIIAggCCAIIAggCCAIIAggCCAIIAggCCAIIAggCCAACAwLCAh4AAvQCAgJqAgQCBQIGAgcCCAIJAgoCCwKXAg0CCAIIAggCCAIIAggCCAIIAggCCAIIAggCCAIIAggCCAIIAAIDAroCHgAC9AICAisCBAIFAgYCBwIIAgkCCgILApcCDQJ6AAAEAAgCCAIIAggCCAIIAggCCAIIAggCCAIIAggCCAIIAggCCAACAwKbAh4AAvQCAgJFAgQCBQIGAgcCCAIJApwCCwKXAg0CCAIIAggCCAIIAggCCAIIAggCCAIIAggCCAIIAggCCAIIAAIDAr0CHgAC9AICAl0CBAIFAgYCBwIIAgkCnAILApcCDQIIAggCCAIIAggCCAIIAggCCAIIAggCCAIIAggCCAIIAggAAgMCzQIeAAL0AgICJQIEAgUCBgIHAggCCQIcAgsClwINAggCCAIIAggCCAIIAggCCAIIAggCCAIIAggCCAIIAggCCAACAwK1Ah4AAvQCAgJQAgQCBQIGAgcCCAIJAhwCCwKXAg0CCAIIAggCCAIIAggCCAIIAggCCAIIAggCCAIIAggCCAIIAAIDAsoCHgAC9AICAmQCBAIFAgYCBwIIAgkCCgILApcCDQIIAggCCAIIAggCCAIIAggCCAIIAggCCAIIAggCCAIIAggAAgMCtgIeAAL0AgICLgIEAgUCBgIHAggCCQIKAgsClwINAggCCAIIAggCCAIIAggCCAIIAggCCAIIAggCCAIIAggCCAACAwLJAh4AAvUACTkzMjM2MjA0MAICAl0CBAIFAgYCBwIIAgkCIQILAgwCDQIIAggCCAIIAggCCAIIAggCCAIIAggCCAIIAggCCAIIAggCIgIDAl4CHgAC9QICAkECBAIFAgYCBwIIAgkCIQILAgwCDQIIAggCCAIIAggCCAIIAggCCAIIAggCCAIIAggCCAIIAggCIgIDAo4CHgAC9QICAi4CBAIFAgYCBwIIAgkCHAILAgwCDQIIAggCCAIIAggCCAIIAggCCAIIAggCCAIIAggCCAIIAggCIgIDAmMCHgAC9QICAj0CBAIFAgYCBwIIAgkCCgILAgwCDQIIAggCCAIIAggCCAIIAggCCAIIAggCCAIIAggCCAIIAggCIgIDApMCHgAC9QICAnYCBAIFAgYCBwIIAgkCHAILAgwCDQIIAggCCAIIAggCCAIIAggCCAIIAggCCAIIAggCCAIIAggCIgIDApACHgAC9QICAicCBAIFAgYCBwIIAgkCHAILAgwCDQIIAggCCAIIAggCCAIIAggCCAIIAggCCAIIAggCCAIIAggCIgIDAnoCHgAC9QICAkMCBAIFAgYCBwIIAgkCHAILAgwCDQIIAggCCAIIAggCCAIIAggCCAIIAggCCAIIAggCCAIIAggCIgIDAkQCHgAC9QICAi8CBAIFAgYCBwIIAgkCCgILAgwCDQIIAggCCAIIAggCCAIIAggCCAIIAggCCAIIAggCCAIIAggCIgIDAlwCHgAC9QICAkwCBAIFAgZ6AAAEAAIHAggCCQIhAgsCDAINAggCCAIIAggCCAIIAggCCAIIAggCCAIIAggCCAIIAggCCAIiAgMCZgIeAAL1AgICagIEAgUCBgIHAggCCQIKAgsCDAINAggCCAIIAggCCAIIAggCCAIIAggCCAIIAggCCAIIAggCCAIiAgMCcwIeAAL1AgICMgIEAgUCBgIHAggCCQIhAgsCDAINAggCCAIIAggCCAIIAggCCAIIAggCCAIIAggCCAIIAggCCAIiAgMCMwIeAAL1AgICHgIEAgUCBgIHAggCCQIKAgsCDAINAggCCAIIAggCCAIIAggCCAIIAggCCAIIAggCCAIIAggCCAIiAgMCOgIeAAL1AgICIAIEAgUCBgIHAggCCQIcAgsCDAINAggCCAIIAggCCAIIAggCCAIIAggCCAIIAggCCAIIAggCCAIiAgMCjAIeAAL1AgICSgIEAgUCBgIHAggCCQIcAgsCDAINAggCCAIIAggCCAIIAggCCAIIAggCCAIIAggCCAIIAggCCAIiAgMCdAIeAAL1AgICNwIEAgUCBgIHAggCCQIcAgsCDAINAggCCAIIAggCCAIIAggCCAIIAggCCAIIAggCCAIIAggCCAIiAgMCOAIeAAL1AgICTAIEAgUCBgIHAggCCQIcAgsCDAINAggCCAIIAggCCAIIAggCCAIIAggCCAIIAggCCAIIAggCCAIiAgMCWAIeAAL1AgICIwIEAgUCBgIHAggCCQIhAgsCDAINAggCCAIIAggCCAIIAggCCAIIAggCCAIIAggCCAIIAggCCAIiAgMCJAIeAAL1AgICaAIEAgUCBgIHAggCCQIKAgsCDAINAggCCAIIAggCCAIIAggCCAIIAggCCAIIAggCCAIIAggCCAIiAgMCiwIeAAL1AgICXQIEAgUCBgIHAggCCQIcAgsCDAINAggCCAIIAggCCAIIAggCCAIIAggCCAIIAggCCAIIAggCCAIiAgMCiQIeAAL1AgICQwIEAgUCBgIHAggCCQIhAgsCDAINAggCCAIIAggCCAIIAggCCAIIAggCCAIIAggCCAIIAggCCAIiAgMCbAIeAAL1AgICJQIEAgUCBgIHAggCCQIcAgsCDAINAggCCAIIAggCCAIIAggCCAIIAggCCAIIAggCCAIIAggCCAIiAgMCNgIeAAL1AgICQQIEAgUCBgIHAggCCQIcAgsCDAINAggCCAIIAggCCAIIAggCCAIIAggCCAIIAggCCAIIAggCCAIiAgMCTwIeAAL1AgICNwIEAgUCBgIHAggCCQIhAgsCDAINAggCCAIIAggCCAIIAggCCAIIAggCCAIIAggCCAIIAggCCAIiAgMCKgIeAAJ6AAAEAPUCAgJ2AgQCBQIGAgcCCAIJAgoCCwIMAg0CCAIIAggCCAIIAggCCAIIAggCCAIIAggCCAIIAggCCAIIAiICAwKHAh4AAvUCAgJgAgQCBQIGAgcCCAIJAgoCCwIMAg0CCAIIAggCCAIIAggCCAIIAggCCAIIAggCCAIIAggCCAIIAiICAwJwAh4AAvUCAgI7AgQCBQIGAgcCCAIJAiECCwIMAg0CCAIIAggCCAIIAggCCAIIAggCCAIIAggCCAIIAggCCAIIAiICAwJWAh4AAvUCAgIsAgQCBQIGAgcCCAIJAgoCCwIMAg0CCAIIAggCCAIIAggCCAIIAggCCAIIAggCCAIIAggCCAIIAiICAwItAh4AAvUCAgJkAgQCBQIGAgcCCAIJAgoCCwIMAg0CCAIIAggCCAIIAggCCAIIAggCCAIIAggCCAIIAggCCAIIAiICAwJxAh4AAvUCAgIuAgQCBQIGAgcCCAIJAgoCCwIMAg0CCAIIAggCCAIIAggCCAIIAggCCAIIAggCCAIIAggCCAIIAiICAwJyAh4AAvUCAgJKAgQCBQIGAgcCCAIJAiECCwIMAg0CCAIIAggCCAIIAggCCAIIAggCCAIIAggCCAIIAggCCAIIAiICAwJiAh4AAvUCAgJMAgQCBQIGAgcCCAIJAgoCCwIMAg0CCAIIAggCCAIIAggCCAIIAggCCAIIAggCCAIIAggCCAIIAiICAwJNAh4AAvUCAgIeAgQCBQIGAgcCCAIJAhwCCwIMAg0CCAIIAggCCAIIAggCCAIIAggCCAIIAggCCAIIAggCCAIIAiICAwIfAh4AAvUCAgJJAgQCBQIGAgcCCAIJAiECCwIMAg0CCAIIAggCCAIIAggCCAIIAggCCAIIAggCCAIIAggCCAIIAiICAwIqAh4AAvUCAgJqAgQCBQIGAgcCCAIJAhwCCwIMAg0CCAIIAggCCAIIAggCCAIIAggCCAIIAggCCAIIAggCCAIIAiICAwJrAh4AAvUCAgInAgQCBQIGAgcCCAIJAiECCwIMAg0CCAIIAggCCAIIAggCCAIIAggCCAIIAggCCAIIAggCCAIIAiICAwIoAh4AAvUCAgIgAgQCBQIGAgcCCAIJAgoCCwIMAg0CCAIIAggCCAIIAggCCAIIAggCCAIIAggCCAIIAggCCAIIAiICAwKBAh4AAvUCAgI7AgQCBQIGAgcCCAIJAhwCCwIMAg0CCAIIAggCCAIIAggCCAIIAggCCAIIAggCCAIIAggCCAIIAiICAwI8Ah4AAvUCAgJkAgQCBQIGAgcCCAIJAhwCCwIMAg0CCAIIAggCCAIIAggCCAIIAggCCAIIAggCCAIIAggCCAJ6AAAEAAgCIgIDAmUCHgAC9QICAkUCBAIFAgYCBwIIAgkCIQILAgwCDQIIAggCCAIIAggCCAIIAggCCAIIAggCCAIIAggCCAIIAggCIgIDAkYCHgAC9QICAkECBAIFAgYCBwIIAgkCCgILAgwCDQIIAggCCAIIAggCCAIIAggCCAIIAggCCAIIAggCCAIIAggCIgIDAkICHgAC9QICAl0CBAIFAgYCBwIIAgkCCgILAgwCDQIIAggCCAIIAggCCAIIAggCCAIIAggCCAIIAggCCAIIAggCIgIDAn0CHgAC9QICAiUCBAIFAgYCBwIIAgkCIQILAgwCDQIIAggCCAIIAggCCAIIAggCCAIIAggCCAIIAggCCAIIAggCIgIDApECHgAC9QICAmgCBAIFAgYCBwIIAgkCIQILAgwCDQIIAggCCAIIAggCCAIIAggCCAIIAggCCAIIAggCCAIIAggCIgIDAoYCHgAC9QICAiMCBAIFAgYCBwIIAgkCCgILAgwCDQIIAggCCAIIAggCCAIIAggCCAIIAggCCAIIAggCCAIIAggCIgIDAn4CHgAC9QICAiwCBAIFAgYCBwIIAgkCHAILAgwCDQIIAggCCAIIAggCCAIIAggCCAIIAggCCAIIAggCCAIIAggCIgIDApQCHgAC9QICAmACBAIFAgYCBwIIAgkCHAILAgwCDQIIAggCCAIIAggCCAIIAggCCAIIAggCCAIIAggCCAIIAggCIgIDAmECHgAC9QICAi8CBAIFAgYCBwIIAgkCIQILAgwCDQIIAggCCAIIAggCCAIIAggCCAIIAggCCAIIAggCCAIIAggCIgIDAnwCHgAC9QICAjICBAIFAgYCBwIIAgkCCgILAgwCDQIIAggCCAIIAggCCAIIAggCCAIIAggCCAIIAggCCAIIAggCIgIDAl8CHgAC9QICAj0CBAIFAgYCBwIIAgkCIQILAgwCDQIIAggCCAIIAggCCAIIAggCCAIIAggCCAIIAggCCAIIAggCIgIDAj4CHgAC9QICAjsCBAIFAgYCBwIIAgkCCgILAgwCDQIIAggCCAIIAggCCAIIAggCCAIIAggCCAIIAggCCAIIAggCIgIDAlsCHgAC9QICAkUCBAIFAgYCBwIIAgkCHAILAgwCDQIIAggCCAIIAggCCAIIAggCCAIIAggCCAIIAggCCAIIAggCIgIDAnkCHgAC9QICAkkCBAIFAgYCBwIIAgkCHAILAgwCDQIIAggCCAIIAggCCAIIAggCCAIIAggCCAIIAggCCAIIAggCIgIDAngCHgAC9QICAicCBAIFAgYCBwIIAgkCCgILAgwCDQIIAggCCAIIAggCCAIIAggCCAIIAgh6AAAEAAIIAggCCAIIAggCCAIiAgMCVwIeAAL1AgICLgIEAgUCBgIHAggCCQIhAgsCDAINAggCCAIIAggCCAIIAggCCAIIAggCCAIIAggCCAIIAggCCAIiAgMCKgIeAAL1AgICSQIEAgUCBgIHAggCCQIKAgsCDAINAggCCAIIAggCCAIIAggCCAIIAggCCAIIAggCCAIIAggCCAIiAgMCbQIeAAL1AgICZAIEAgUCBgIHAggCCQIhAgsCDAINAggCCAIIAggCCAIIAggCCAIIAggCCAIIAggCCAIIAggCCAIiAgMChAIeAAL1AgICagIEAgUCBgIHAggCCQIhAgsCDAINAggCCAIIAggCCAIIAggCCAIIAggCCAIIAggCCAIIAggCCAIiAgMCigIeAAL1AgICIwIEAgUCBgIHAggCCQIcAgsCDAINAggCCAIIAggCCAIIAggCCAIIAggCCAIIAggCCAIIAggCCAIiAgMCiAIeAAL1AgICLwIEAgUCBgIHAggCCQIcAgsCDAINAggCCAIIAggCCAIIAggCCAIIAggCCAIIAggCCAIIAggCCAIiAgMCMAIeAAL1AgICHgIEAgUCBgIHAggCCQIhAgsCDAINAggCCAIIAggCCAIIAggCCAIIAggCCAIIAggCCAIIAggCCAIiAgMCWQIeAAL1AgICQwIEAgUCBgIHAggCCQIKAgsCDAINAggCCAIIAggCCAIIAggCCAIIAggCCAIIAggCCAIIAggCCAIiAgMChQIeAAL1AgICaAIEAgUCBgIHAggCCQIcAgsCDAINAggCCAIIAggCCAIIAggCCAIIAggCCAIIAggCCAIIAggCCAIiAgMCaQIeAAL1AgICIAIEAgUCBgIHAggCCQIhAgsCDAINAggCCAIIAggCCAIIAggCCAIIAggCCAIIAggCCAIIAggCCAIiAgMCIgIeAAL1AgICMgIEAgUCBgIHAggCCQIcAgsCDAINAggCCAIIAggCCAIIAggCCAIIAggCCAIIAggCCAIIAggCCAIiAgMCTgIeAAL1AgICLAIEAgUCBgIHAggCCQIhAgsCDAINAggCCAIIAggCCAIIAggCCAIIAggCCAIIAggCCAIIAggCCAIiAgMCUwIeAAL1AgICPQIEAgUCBgIHAggCCQIcAgsCDAINAggCCAIIAggCCAIIAggCCAIIAggCCAIIAggCCAIIAggCCAIiAgMCbgIeAAL1AgICJQIEAgUCBgIHAggCCQIKAgsCDAINAggCCAIIAggCCAIIAggCCAIIAggCCAIIAggCCAIIAggCCAIiAgMCJgIeAAL1AgICSgIEAgUCBgIHAggCCQIKAgsCDAINAggCCAIIAggCCAJ6AAAEAAgCCAIIAggCCAIIAggCCAIIAggCCAIIAiICAwJLAh4AAvUCAgJgAgQCBQIGAgcCCAIJAiECCwIMAg0CCAIIAggCCAIIAggCCAIIAggCCAIIAggCCAIIAggCCAIIAiICAwKAAh4AAvUCAgJFAgQCBQIGAgcCCAIJAgoCCwIMAg0CCAIIAggCCAIIAggCCAIIAggCCAIIAggCCAIIAggCCAIIAiICAwJnAh4AAvUCAgI3AgQCBQIGAgcCCAIJAgoCCwIMAg0CCAIIAggCCAIIAggCCAIIAggCCAIIAggCCAIIAggCCAIIAiICAwKDAh4AAvUCAgJ2AgQCBQIGAgcCCAIJAiECCwIMAg0CCAIIAggCCAIIAggCCAIIAggCCAIIAggCCAIIAggCCAIIAiICAwJ3Ah4AAvYACTIzMTkyNDE5MgICAjICBAIFAgYCBwIIAgkCCgILApcCDQIIAggCCAIIAggCCAIIAggCCAIIAggCCAIIAggCCAIIAggCFQIDAtACHgAC9gICAiwCBAIFAgYCBwIIAgkCHAILApcCDQIIAggCCAIIAggCCAIIAggCCAIIAggCCAIIAggCCAIIAggCFQIDAtoCHgAC9gICAkkCBAIFAgYCBwIIAgkCnAILApcCDQIIAggCCAIIAggCCAIIAggCCAIIAggCCAIIAggCCAIIAggCFQIDAioCHgAC9gICAjsCBAIFAgYCBwIIAgkCHAILApcCDQIIAggCCAIIAggCCAIIAggCCAIIAggCCAIIAggCCAIIAggCFQIDAukCHgAC9gICAkUCBAIFAgYCBwIIAgkCnAILApcCDQIIAggCCAIIAggCCAIIAggCCAIIAggCCAIIAggCCAIIAggCFQIDAr0CHgAC9gICAlACBAIFAgYCBwIIAgkCCgILApcCDQIIAggCCAIIAggCCAIIAggCCAIIAggCCAIIAggCCAIIAggCFQIDAr4CHgAC9gICAjQCBAIFAgYCBwIIAgkCCgILApcCDQIIAggCCAIIAggCCAIIAggCCAIIAggCCAIIAggCCAIIAggCFQIDAuACHgAC9gICAjsCBAIFAgYCBwIIAgkCCgILApcCDQIIAggCCAIIAggCCAIIAggCCAIIAggCCAIIAggCCAIIAggCFQIDAtMCHgAC9gICAgMCBAIFAgYCBwIIAgkCHAILApcCDQIIAggCCAIIAggCCAIIAggCCAIIAggCCAIIAggCCAIIAggCFQIDAr8CHgAC9gICAmQCBAIFAgYCBwIIAgkCnAILApcCDQIIAggCCAIIAggCCAIIAggCCAIIAggCCAIIAggCCAIIAggCFQIDAtsCHgAC9gICAjQCBAIFAgYCBwJ6AAAEAAgCCQIcAgsClwINAggCCAIIAggCCAIIAggCCAIIAggCCAIIAggCCAIIAggCCAIVAgMC1QIeAAL2AgICQQIEAgUCBgIHAggCCQIKAgsClwINAggCCAIIAggCCAIIAggCCAIIAggCCAIIAggCCAIIAggCCAIVAgMCwAIeAAL2AgICKwIEAgUCBgIHAggCCQIKAgsClwINAggCCAIIAggCCAIIAggCCAIIAggCCAIIAggCCAIIAggCCAIVAgMCmwIeAAL2AgICYAIEAgUCBgIHAggCCQKcAgsClwINAggCCAIIAggCCAIIAggCCAIIAggCCAIIAggCCAIIAggCCAIVAgMC2AIeAAL2AgICLwIEAgUCBgIHAggCCQIcAgsClwINAggCCAIIAggCCAIIAggCCAIIAggCCAIIAggCCAIIAggCCAIVAgMC3AIeAAL2AgICSgIEAgUCBgIHAggCCQIKAgsClwINAggCCAIIAggCCAIIAggCCAIIAggCCAIIAggCCAIIAggCCAIVAgMCxQIeAAL2AgICMgIEAgUCBgIHAggCCQIcAgsClwINAggCCAIIAggCCAIIAggCCAIIAggCCAIIAggCCAIIAggCCAIVAgMCxgIeAAL2AgICdQIEAgUCBgIHAggCCQKcAgsClwINAggCCAIIAggCCAIIAggCCAIIAggCCAIIAggCCAIIAggCCAIVAgMCKgIeAAL2AgICQAIEAgUCBgIHAggCCQKcAgsClwINAggCCAIIAggCCAIIAggCCAIIAggCCAIIAggCCAIIAggCCAIVAgMCKgIeAAL2AgICaAIEAgUCBgIHAggCCQKcAgsClwINAggCCAIIAggCCAIIAggCCAIIAggCCAIIAggCCAIIAggCCAIVAgMC3QIeAAL2AgICKQIEAgUCBgIHAggCCQIKAgsClwINAggCCAIIAggCCAIIAggCCAIIAggCCAIIAggCCAIIAggCCAIVAgMCyAIeAAL2AgICIwIEAgUCBgIHAggCCQIcAgsClwINAggCCAIIAggCCAIIAggCCAIIAggCCAIIAggCCAIIAggCCAIVAgMCxwIeAAL2AgICJQIEAgUCBgIHAggCCQIKAgsClwINAggCCAIIAggCCAIIAggCCAIIAggCCAIIAggCCAIIAggCCAIVAgMCswIeAAL2AgICJwIEAgUCBgIHAggCCQIKAgsClwINAggCCAIIAggCCAIIAggCCAIIAggCCAIIAggCCAIIAggCCAIVAgMCzAIeAAL2AgICRwIEAgUCBgIHAggCCQKcAgsClwINAggCCAIIAggCCAIIAggCCAIIAggCCAIIAggCCAIIAggCCAIVAgMCKgIeAAL2AgJ6AAAEAAIDAgQCBQIGAgcCCAIJAgoCCwKXAg0CCAIIAggCCAIIAggCCAIIAggCCAIIAggCCAIIAggCCAIIAhUCAwK3Ah4AAvYCAgI9AgQCBQIGAgcCCAIJApwCCwKXAg0CCAIIAggCCAIIAggCCAIIAggCCAIIAggCCAIIAggCCAIIAhUCAwLkAh4AAvYCAgIgAgQCBQIGAgcCCAIJApwCCwKXAg0CCAIIAggCCAIIAggCCAIIAggCCAIIAggCCAIIAggCCAIIAhUCAwKoAh4AAvYCAgJDAgQCBQIGAgcCCAIJAhwCCwKXAg0CCAIIAggCCAIIAggCCAIIAggCCAIIAggCCAIIAggCCAIIAhUCAwLDAh4AAvYCAgI3AgQCBQIGAgcCCAIJAhwCCwKXAg0CCAIIAggCCAIIAggCCAIIAggCCAIIAggCCAIIAggCCAIIAhUCAwK8Ah4AAvYCAgIvAgQCBQIGAgcCCAIJAgoCCwKXAg0CCAIIAggCCAIIAggCCAIIAggCCAIIAggCCAIIAggCCAIIAhUCAwKqAh4AAvYCAgJMAgQCBQIGAgcCCAIJAhwCCwKXAg0CCAIIAggCCAIIAggCCAIIAggCCAIIAggCCAIIAggCCAIIAhUCAwKnAh4AAvYCAgJKAgQCBQIGAgcCCAIJApwCCwKXAg0CCAIIAggCCAIIAggCCAIIAggCCAIIAggCCAIIAggCCAIIAhUCAwK7Ah4AAvYCAgIpAgQCBQIGAgcCCAIJApwCCwKXAg0CCAIIAggCCAIIAggCCAIIAggCCAIIAggCCAIIAggCCAIIAhUCAwIqAh4AAvYCAgIuAgQCBQIGAgcCCAIJAhwCCwKXAg0CCAIIAggCCAIIAggCCAIIAggCCAIIAggCCAIIAggCCAIIAhUCAwLZAh4AAvYCAgJqAgQCBQIGAgcCCAIJAgoCCwKXAg0CCAIIAggCCAIIAggCCAIIAggCCAIIAggCCAIIAggCCAIIAhUCAwK6Ah4AAvYCAgJUAgQCBQIGAgcCCAIJAhwCCwKXAg0CCAIIAggCCAIIAggCCAIIAggCCAIIAggCCAIIAggCCAIIAhUCAwKmAh4AAvYCAgInAgQCBQIGAgcCCAIJApwCCwKXAg0CCAIIAggCCAIIAggCCAIIAggCCAIIAggCCAIIAggCCAIIAhUCAwLCAh4AAvYCAgJ2AgQCBQIGAgcCCAIJApwCCwKXAg0CCAIIAggCCAIIAggCCAIIAggCCAIIAggCCAIIAggCCAIIAhUCAwLUAh4AAvYCAgIrAgQCBQIGAgcCCAIJAhwCCwKXAg0CCAIIAggCCAIIAggCCAIIAggCCAIIAggCCAIIAggCCAIIAhV6AAAEAAIDAp8CHgAC9gICAkwCBAIFAgYCBwIIAgkCCgILApcCDQIIAggCCAIIAggCCAIIAggCCAIIAggCCAIIAggCCAIIAggCFQIDAp0CHgAC9gICAmACBAIFAgYCBwIIAgkCCgILApcCDQIIAggCCAIIAggCCAIIAggCCAIIAggCCAIIAggCCAIIAggCFQIDArgCHgAC9gICAhsCBAIFAgYCBwIIAgkCnAILApcCDQIIAggCCAIIAggCCAIIAggCCAIIAggCCAIIAggCCAIIAggCFQIDAioCHgAC9gICAlACBAIFAgYCBwIIAgkCHAILApcCDQIIAggCCAIIAggCCAIIAggCCAIIAggCCAIIAggCCAIIAggCFQIDAsoCHgAC9gICAiUCBAIFAgYCBwIIAgkCHAILApcCDQIIAggCCAIIAggCCAIIAggCCAIIAggCCAIIAggCCAIIAggCFQIDArUCHgAC9gICAkcCBAIFAgYCBwIIAgkCCgILApcCDQIIAggCCAIIAggCCAIIAggCCAIIAggCCAIIAggCCAIIAggCFQIDApsCHgAC9gICAh4CBAIFAgYCBwIIAgkCnAILApcCDQIIAggCCAIIAggCCAIIAggCCAIIAggCCAIIAggCCAIIAggCFQIDArICHgAC9gICAl0CBAIFAgYCBwIIAgkCnAILApcCDQIIAggCCAIIAggCCAIIAggCCAIIAggCCAIIAggCCAIIAggCFQIDAs0CHgAC9gICAmQCBAIFAgYCBwIIAgkCCgILApcCDQIIAggCCAIIAggCCAIIAggCCAIIAggCCAIIAggCCAIIAggCFQIDArYCHgAC9gICAi4CBAIFAgYCBwIIAgkCCgILApcCDQIIAggCCAIIAggCCAIIAggCCAIIAggCCAIIAggCCAIIAggCFQIDAskCHgAC9gICAmoCBAIFAgYCBwIIAgkCHAILApcCDQIIAggCCAIIAggCCAIIAggCCAIIAggCCAIIAggCCAIIAggCFQIDArQCHgAC9gICAkECBAIFAgYCBwIIAgkCHAILApcCDQIIAggCCAIIAggCCAIIAggCCAIIAggCCAIIAggCCAIIAggCFQIDAssCHgAC9gICAlQCBAIFAgYCBwIIAgkCCgILApcCDQIIAggCCAIIAggCCAIIAggCCAIIAggCCAIIAggCCAIIAggCFQIDApgCHgAC9gICAkkCBAIFAgYCBwIIAgkCHAILApcCDQIIAggCCAIIAggCCAIIAggCCAIIAggCCAIIAggCCAIIAggCFQIDAuUCHgAC9gICAiwCBAIFAgYCBwIIAgkCnAILApcCDQIIAggCCAIIAggCCAIIAggCCAIIAggCCAJ6AAAEAAgCCAIIAggCCAIVAgMCrgIeAAL2AgICJQIEAgUCBgIHAggCCQKcAgsClwINAggCCAIIAggCCAIIAggCCAIIAggCCAIIAggCCAIIAggCCAIVAgMC6gIeAAL2AgICXQIEAgUCBgIHAggCCQIKAgsClwINAggCCAIIAggCCAIIAggCCAIIAggCCAIIAggCCAIIAggCCAIVAgMC6wIeAAL2AgICZAIEAgUCBgIHAggCCQIcAgsClwINAggCCAIIAggCCAIIAggCCAIIAggCCAIIAggCCAIIAggCCAIVAgMCrQIeAAL2AgICNAIEAgUCBgIHAggCCQKcAgsClwINAggCCAIIAggCCAIIAggCCAIIAggCCAIIAggCCAIIAggCCAIVAgMCKgIeAAL2AgICAwIEAgUCBgIHAggCCQKcAgsClwINAggCCAIIAggCCAIIAggCCAIIAggCCAIIAggCCAIIAggCCAIVAgMCKgIeAAL2AgICRQIEAgUCBgIHAggCCQIcAgsClwINAggCCAIIAggCCAIIAggCCAIIAggCCAIIAggCCAIIAggCCAIVAgMC7AIeAAL2AgICYAIEAgUCBgIHAggCCQIcAgsClwINAggCCAIIAggCCAIIAggCCAIIAggCCAIIAggCCAIIAggCCAIVAgMCrAIeAAL2AgICdQIEAgUCBgIHAggCCQIKAgsClwINAggCCAIIAggCCAIIAggCCAIIAggCCAIIAggCCAIIAggCCAIVAgMCpQIeAAL2AgICQAIEAgUCBgIHAggCCQIcAgsClwINAggCCAIIAggCCAIIAggCCAIIAggCCAIIAggCCAIIAggCCAIVAgMCsAIeAAL2AgICPQIEAgUCBgIHAggCCQIcAgsClwINAggCCAIIAggCCAIIAggCCAIIAggCCAIIAggCCAIIAggCCAIVAgMCrwIeAAL2AgICMgIEAgUCBgIHAggCCQKcAgsClwINAggCCAIIAggCCAIIAggCCAIIAggCCAIIAggCCAIIAggCCAIVAgMCngIeAAL2AgICNwIEAgUCBgIHAggCCQIKAgsClwINAggCCAIIAggCCAIIAggCCAIIAggCCAIIAggCCAIIAggCCAIVAgMCmgIeAAL2AgICaAIEAgUCBgIHAggCCQIcAgsClwINAggCCAIIAggCCAIIAggCCAIIAggCCAIIAggCCAIIAggCCAIVAgMCsQIeAAL2AgICQwIEAgUCBgIHAggCCQIKAgsClwINAggCCAIIAggCCAIIAggCCAIIAggCCAIIAggCCAIIAggCCAIVAgMCoQIeAAL2AgICOwIEAgUCBgIHAggCCQKcAgsClwINAggCCAIIAggCCAIIAgh6AAAEAAIIAggCCAIIAggCCAIIAggCCAIIAhUCAwLBAh4AAvYCAgJHAgQCBQIGAgcCCAIJAhwCCwKXAg0CCAIIAggCCAIIAggCCAIIAggCCAIIAggCCAIIAggCCAIIAhUCAwKfAh4AAvYCAgJFAgQCBQIGAgcCCAIJAgoCCwKXAg0CCAIIAggCCAIIAggCCAIIAggCCAIIAggCCAIIAggCCAIIAhUCAwLiAh4AAvYCAgIvAgQCBQIGAgcCCAIJApwCCwKXAg0CCAIIAggCCAIIAggCCAIIAggCCAIIAggCCAIIAggCCAIIAhUCAwK5Ah4AAvYCAgJ1AgQCBQIGAgcCCAIJAhwCCwKXAg0CCAIIAggCCAIIAggCCAIIAggCCAIIAggCCAIIAggCCAIIAhUCAwKZAh4AAvYCAgIjAgQCBQIGAgcCCAIJApwCCwKXAg0CCAIIAggCCAIIAggCCAIIAggCCAIIAggCCAIIAggCCAIIAhUCAwKiAh4AAvYCAgJJAgQCBQIGAgcCCAIJAgoCCwKXAg0CCAIIAggCCAIIAggCCAIIAggCCAIIAggCCAIIAggCCAIIAhUCAwLjAh4AAvYCAgJoAgQCBQIGAgcCCAIJAgoCCwKXAg0CCAIIAggCCAIIAggCCAIIAggCCAIIAggCCAIIAggCCAIIAhUCAwLOAh4AAvYCAgIpAgQCBQIGAgcCCAIJAhwCCwKXAg0CCAIIAggCCAIIAggCCAIIAggCCAIIAggCCAIIAggCCAIIAhUCAwLnAh4AAvYCAgJUAgQCBQIGAgcCCAIJApwCCwKXAg0CCAIIAggCCAIIAggCCAIIAggCCAIIAggCCAIIAggCCAIIAhUCAwIqAh4AAvYCAgI9AgQCBQIGAgcCCAIJAgoCCwKXAg0CCAIIAggCCAIIAggCCAIIAggCCAIIAggCCAIIAggCCAIIAhUCAwLXAh4AAvYCAgIeAgQCBQIGAgcCCAIJAgoCCwKXAg0CCAIIAggCCAIIAggCCAIIAggCCAIIAggCCAIIAggCCAIIAhUCAwLoAh4AAvYCAgI3AgQCBQIGAgcCCAIJApwCCwKXAg0CCAIIAggCCAIIAggCCAIIAggCCAIIAggCCAIIAggCCAIIAhUCAwIqAh4AAvYCAgJKAgQCBQIGAgcCCAIJAhwCCwKXAg0CCAIIAggCCAIIAggCCAIIAggCCAIIAggCCAIIAggCCAIIAhUCAwLmAh4AAvYCAgJMAgQCBQIGAgcCCAIJApwCCwKXAg0CCAIIAggCCAIIAggCCAIIAggCCAIIAggCCAIIAggCCAIIAhUCAwLPAh4AAvYCAgJAAgQCBQIGAgcCCAIJAgoCCwKXAg0CCAJ6AAAEAAgCCAIIAggCCAIIAggCCAIIAggCCAIIAggCCAIIAggCFQIDAtECHgAC9gICAi4CBAIFAgYCBwIIAgkCnAILApcCDQIIAggCCAIIAggCCAIIAggCCAIIAggCCAIIAggCCAIIAggCFQIDAioCHgAC9gICAkMCBAIFAgYCBwIIAgkCnAILApcCDQIIAggCCAIIAggCCAIIAggCCAIIAggCCAIIAggCCAIIAggCFQIDAu8CHgAC9gICAiACBAIFAgYCBwIIAgkCHAILApcCDQIIAggCCAIIAggCCAIIAggCCAIIAggCCAIIAggCCAIIAggCFQIDAtICHgAC9gICAnYCBAIFAgYCBwIIAgkCHAILApcCDQIIAggCCAIIAggCCAIIAggCCAIIAggCCAIIAggCCAIIAggCFQIDAqsCHgAC9gICAicCBAIFAgYCBwIIAgkCHAILApcCDQIIAggCCAIIAggCCAIIAggCCAIIAggCCAIIAggCCAIIAggCFQIDAu4CHgAC9gICAhsCBAIFAgYCBwIIAgkCCgILApcCDQIIAggCCAIIAggCCAIIAggCCAIIAggCCAIIAggCCAIIAggCFQIDAu0CHgAC9gICAiwCBAIFAgYCBwIIAgkCCgILApcCDQIIAggCCAIIAggCCAIIAggCCAIIAggCCAIIAggCCAIIAggCFQIDAt4CHgAC9gICAiACBAIFAgYCBwIIAgkCCgILApcCDQIIAggCCAIIAggCCAIIAggCCAIIAggCCAIIAggCCAIIAggCFQIDAsQCHgAC9gICAmoCBAIFAgYCBwIIAgkCnAILApcCDQIIAggCCAIIAggCCAIIAggCCAIIAggCCAIIAggCCAIIAggCFQIDAt8CHgAC9gICAiMCBAIFAgYCBwIIAgkCCgILApcCDQIIAggCCAIIAggCCAIIAggCCAIIAggCCAIIAggCCAIIAggCFQIDAtYCHgAC9gICAlACBAIFAgYCBwIIAgkCnAILApcCDQIIAggCCAIIAggCCAIIAggCCAIIAggCCAIIAggCCAIIAggCFQIDAioCHgAC9gICAkECBAIFAgYCBwIIAgkCnAILApcCDQIIAggCCAIIAggCCAIIAggCCAIIAggCCAIIAggCCAIIAggCFQIDAqACHgAC9gICAh4CBAIFAgYCBwIIAgkCHAILApcCDQIIAggCCAIIAggCCAIIAggCCAIIAggCCAIIAggCCAIIAggCFQIDAqkCHgAC9gICAnYCBAIFAgYCBwIIAgkCCgILApcCDQIIAggCCAIIAggCCAIIAggCCAIIAggCCAIIAggCCAIIAggCFQIDAqQCHgAC9gICAhsCBAIFAgYCBwIIAgl6AAAEAAIcAgsClwINAggCCAIIAggCCAIIAggCCAIIAggCCAIIAggCCAIIAggCCAIVAgMC4QIeAAL2AgICKwIEAgUCBgIHAggCCQKcAgsClwINAggCCAIIAggCCAIIAggCCAIIAggCCAIIAggCCAIIAggCCAIVAgMCKgIeAAL2AgICXQIEAgUCBgIHAggCCQIcAgsClwINAggCCAIIAggCCAIIAggCCAIIAggCCAIIAggCCAIIAggCCAIVAgMCowIeAAL3AAk4MjYyMzM1MjgCAgIvAgQCBQIGAgcCCAIJAhwCCwIMAg0CCAIIAggCCAIIAggCCAIIAggCCAIIAggCCAIIAggCCAIIAgICAwIwAh4AAvcCAgI3AgQCBQIGAgcCCAIJAhwCCwIMAg0CCAIIAggCCAIIAggCCAIIAggCCAIIAggCCAIIAggCCAIIAgICAwI4Ah4AAvcCAgIpAgQCBQIGAgcCCAIJAhwCCwIMAg0CCAIIAggCCAIIAggCCAIIAggCCAIIAggCCAIIAggCCAIIAgICAwJ7Ah4AAvcCAgJDAgQCBQIGAgcCCAIJAhwCCwIMAg0CCAIIAggCCAIIAggCCAIIAggCCAIIAggCCAIIAggCCAIIAgICAwJEAh4AAvcCAgIsAgQCBQIGAgcCCAIJAhwCCwIMAg0CCAIIAggCCAIIAggCCAIIAggCCAIIAggCCAIIAggCCAIIAgICAwKUAh4AAvcCAgJ1AgQCBQIGAgcCCAIJAhwCCwIMAg0CCAIIAggCCAIIAggCCAIIAggCCAIIAggCCAIIAggCCAIIAgICAwKCAh4AAvcCAgJJAgQCBQIGAgcCCAIJAhwCCwIMAg0CCAIIAggCCAIIAggCCAIIAggCCAIIAggCCAIIAggCCAIIAgICAwJ4Ah4AAvcCAgJdAgQCBQIGAgcCCAIJAhwCCwIMAg0CCAIIAggCCAIIAggCCAIIAggCCAIIAggCCAIIAggCCAIIAgICAwKJAh4AAvcCAgIuAgQCBQIGAgcCCAIJAhwCCwIMAg0CCAIIAggCCAIIAggCCAIIAggCCAIIAggCCAIIAggCCAIIAgICAwJjAh4AAvcCAgJqAgQCBQIGAgcCCAIJAhwCCwIMAg0CCAIIAggCCAIIAggCCAIIAggCCAIIAggCCAIIAggCCAIIAgICAwJrAh4AAvcCAgJFAgQCBQIGAgcCCAIJAhwCCwIMAg0CCAIIAggCCAIIAggCCAIIAggCCAIIAggCCAIIAggCCAIIAgICAwJ5Ah4AAvcCAgIjAgQCBQIGAgcCCAIJAhwCCwIMAg0CCAIIAggCCAIIAggCCAIIAggCCAIIAggCCAIIAggCCAIIAgICAwJ6AAAEAIgCHgAC9wICAjQCBAIFAgYCBwIIAgkCHAILAgwCDQIIAggCCAIIAggCCAIIAggCCAIIAggCCAIIAggCCAIIAggCAgIDApICHgAC9wICAmQCBAIFAgYCBwIIAgkCHAILAgwCDQIIAggCCAIIAggCCAIIAggCCAIIAggCCAIIAggCCAIIAggCAgIDAmUCHgAC9wICAlQCBAIFAgYCBwIIAgkCHAILAgwCDQIIAggCCAIIAggCCAIIAggCCAIIAggCCAIIAggCCAIIAggCAgIDAloCHgAC9wICAlACBAIFAgYCBwIIAgkCHAILAgwCDQIIAggCCAIIAggCCAIIAggCCAIIAggCCAIIAggCCAIIAggCAgIDAlECHgAC9wICAjICBAIFAgYCBwIIAgkCHAILAgwCDQIIAggCCAIIAggCCAIIAggCCAIIAggCCAIIAggCCAIIAggCAgIDAk4CHgAC9wICAiACBAIFAgYCBwIIAgkCHAILAgwCDQIIAggCCAIIAggCCAIIAggCCAIIAggCCAIIAggCCAIIAggCAgIDAowCHgAC+AAJOTMyMzYwODgwAgICaAIEAgUCBgIHAggCCQIcAgsClwINAggCCAIIAggCCAIIAggCCAIIAggCCAIIAggCCAIIAggCCAIhAgMCsQIeAAL4AgICagIEAgUCBgIHAggCCQKcAgsClwINAggCCAIIAggCCAIIAggCCAIIAggCCAIIAggCCAIIAggCCAIhAgMC3wIeAAL4AgICJQIEAgUCBgIHAggCCQIKAgsClwINAggCCAIIAggCCAIIAggCCAIIAggCCAIIAggCCAIIAggCCAIhAgMCswIeAAL4AgICRQIEAgUCBgIHAggCCQIKAgsClwINAggCCAIIAggCCAIIAggCCAIIAggCCAIIAggCCAIIAggCCAIhAgMC4gIeAAL4AgICaAIEAgUCBgIHAggCCQKcAgsClwINAggCCAIIAggCCAIIAggCCAIIAggCCAIIAggCCAIIAggCCAIhAgMC3QIeAAL4AgICHgIEAgUCBgIHAggCCQIcAgsClwINAggCCAIIAggCCAIIAggCCAIIAggCCAIIAggCCAIIAggCCAIhAgMCqQIeAAL4AgICagIEAgUCBgIHAggCCQIcAgsClwINAggCCAIIAggCCAIIAggCCAIIAggCCAIIAggCCAIIAggCCAIhAgMCtAIeAAL4AgICLAIEAgUCBgIHAggCCQIKAgsClwINAggCCAIIAggCCAIIAggCCAIIAggCCAIIAggCCAIIAggCCAIhAgMC3gIeAAL4AgICHgIEAgUCBgIHAggCCQKcAgsClwINAggCCAIIAggCCAIIAggCCAJ6AAAEAAgCCAIIAggCCAIIAggCCAIIAiECAwKyAh4AAvgCAgIvAgQCBQIGAgcCCAIJApwCCwKXAg0CCAIIAggCCAIIAggCCAIIAggCCAIIAggCCAIIAggCCAIIAiECAwK5Ah4AAvgCAgIvAgQCBQIGAgcCCAIJAhwCCwKXAg0CCAIIAggCCAIIAggCCAIIAggCCAIIAggCCAIIAggCCAIIAiECAwLcAh4AAvgCAgJgAgQCBQIGAgcCCAIJAgoCCwKXAg0CCAIIAggCCAIIAggCCAIIAggCCAIIAggCCAIIAggCCAIIAiECAwK4Ah4AAvgCAgJJAgQCBQIGAgcCCAIJAgoCCwKXAg0CCAIIAggCCAIIAggCCAIIAggCCAIIAggCCAIIAggCCAIIAiECAwLjAh4AAvgCAgI9AgQCBQIGAgcCCAIJAhwCCwKXAg0CCAIIAggCCAIIAggCCAIIAggCCAIIAggCCAIIAggCCAIIAiECAwKvAh4AAvgCAgI9AgQCBQIGAgcCCAIJApwCCwKXAg0CCAIIAggCCAIIAggCCAIIAggCCAIIAggCCAIIAggCCAIIAiECAwLkAh4AAvgCAgJqAgQCBQIGAgcCCAIJAgoCCwKXAg0CCAIIAggCCAIIAggCCAIIAggCCAIIAggCCAIIAggCCAIIAiECAwK6Ah4AAvgCAgIeAgQCBQIGAgcCCAIJAgoCCwKXAg0CCAIIAggCCAIIAggCCAIIAggCCAIIAggCCAIIAggCCAIIAiECAwLoAh4AAvgCAgJFAgQCBQIGAgcCCAIJApwCCwKXAg0CCAIIAggCCAIIAggCCAIIAggCCAIIAggCCAIIAggCCAIIAiECAwK9Ah4AAvgCAgI3AgQCBQIGAgcCCAIJAhwCCwKXAg0CCAIIAggCCAIIAggCCAIIAggCCAIIAggCCAIIAggCCAIIAiECAwK8Ah4AAvgCAgJJAgQCBQIGAgcCCAIJAhwCCwKXAg0CCAIIAggCCAIIAggCCAIIAggCCAIIAggCCAIIAggCCAIIAiECAwLlAh4AAvgCAgIuAgQCBQIGAgcCCAIJAgoCCwKXAg0CCAIIAggCCAIIAggCCAIIAggCCAIIAggCCAIIAggCCAIIAiECAwLJAh4AAvgCAgJkAgQCBQIGAgcCCAIJAgoCCwKXAg0CCAIIAggCCAIIAggCCAIIAggCCAIIAggCCAIIAggCCAIIAiECAwK2Ah4AAvgCAgIlAgQCBQIGAgcCCAIJAhwCCwKXAg0CCAIIAggCCAIIAggCCAIIAggCCAIIAggCCAIIAggCCAIIAiECAwK1Ah4AAvgCAgJKAgQCBQIGAgcCCAIJAhwCCwKXAg0CCAIIAgh6AAAEAAIIAggCCAIIAggCCAIIAggCCAIIAggCCAIIAggCIQIDAuYCHgAC+AICAkoCBAIFAgYCBwIIAgkCnAILApcCDQIIAggCCAIIAggCCAIIAggCCAIIAggCCAIIAggCCAIIAggCIQIDArsCHgAC+AICAjcCBAIFAgYCBwIIAgkCnAILApcCDQIIAggCCAIIAggCCAIIAggCCAIIAggCCAIIAggCCAIIAggCIQIDAioCHgAC+AICAjQCBAIFAgYCBwIIAgkCCgILApcCDQIIAggCCAIIAggCCAIIAggCCAIIAggCCAIIAggCCAIIAggCIQIDAuACHgAC+AICAiUCBAIFAgYCBwIIAgkCnAILApcCDQIIAggCCAIIAggCCAIIAggCCAIIAggCCAIIAggCCAIIAggCIQIDAuoCHgAC+AICAkMCBAIFAgYCBwIIAgkCnAILApcCDQIIAggCCAIIAggCCAIIAggCCAIIAggCCAIIAggCCAIIAggCIQIDAu8CHgAC+AICAkMCBAIFAgYCBwIIAgkCHAILApcCDQIIAggCCAIIAggCCAIIAggCCAIIAggCCAIIAggCCAIIAggCIQIDAsMCHgAC+AICAkUCBAIFAgYCBwIIAgkCHAILApcCDQIIAggCCAIIAggCCAIIAggCCAIIAggCCAIIAggCCAIIAggCIQIDAuwCHgAC+AICAkECBAIFAgYCBwIIAgkCCgILApcCDQIIAggCCAIIAggCCAIIAggCCAIIAggCCAIIAggCCAIIAggCIQIDAsACHgAC+AICAkkCBAIFAgYCBwIIAgkCnAILApcCDQIIAggCCAIIAggCCAIIAggCCAIIAggCCAIIAggCCAIIAggCIQIDAioCHgAC+AICAicCBAIFAgYCBwIIAgkCHAILApcCDQIIAggCCAIIAggCCAIIAggCCAIIAggCCAIIAggCCAIIAggCIQIDAu4CHgAC+AICAicCBAIFAgYCBwIIAgkCnAILApcCDQIIAggCCAIIAggCCAIIAggCCAIIAggCCAIIAggCCAIIAggCIQIDAsICHgAC+AICAjICBAIFAgYCBwIIAgkCHAILApcCDQIIAggCCAIIAggCCAIIAggCCAIIAggCCAIIAggCCAIIAggCIQIDAsYCHgAC+AICAiACBAIFAgYCBwIIAgkCCgILApcCDQIIAggCCAIIAggCCAIIAggCCAIIAggCCAIIAggCCAIIAggCIQIDAsQCHgAC+AICAkwCBAIFAgYCBwIIAgkCCgILApcCDQIIAggCCAIIAggCCAIIAggCCAIIAggCCAIIAggCCAIIAggCIQIDAp0CHgAC+AICAiMCBAIFAgYCBwIIAgkCCgJ6AAAEAAsClwINAggCCAIIAggCCAIIAggCCAIIAggCCAIIAggCCAIIAggCCAIhAgMC1gIeAAL4AgICNAIEAgUCBgIHAggCCQKcAgsClwINAggCCAIIAggCCAIIAggCCAIIAggCCAIIAggCCAIIAggCCAIhAgMCKgIeAAL4AgICXQIEAgUCBgIHAggCCQIKAgsClwINAggCCAIIAggCCAIIAggCCAIIAggCCAIIAggCCAIIAggCCAIhAgMC6wIeAAL4AgICMgIEAgUCBgIHAggCCQKcAgsClwINAggCCAIIAggCCAIIAggCCAIIAggCCAIIAggCCAIIAggCCAIhAgMCngIeAAL4AgICOwIEAgUCBgIHAggCCQKcAgsClwINAggCCAIIAggCCAIIAggCCAIIAggCCAIIAggCCAIIAggCCAIhAgMCwQIeAAL4AgICOwIEAgUCBgIHAggCCQIcAgsClwINAggCCAIIAggCCAIIAggCCAIIAggCCAIIAggCCAIIAggCCAIhAgMC6QIeAAL4AgICXQIEAgUCBgIHAggCCQIcAgsClwINAggCCAIIAggCCAIIAggCCAIIAggCCAIIAggCCAIIAggCCAIhAgMCowIeAAL4AgICJwIEAgUCBgIHAggCCQIKAgsClwINAggCCAIIAggCCAIIAggCCAIIAggCCAIIAggCCAIIAggCCAIhAgMCzAIeAAL4AgICQQIEAgUCBgIHAggCCQIcAgsClwINAggCCAIIAggCCAIIAggCCAIIAggCCAIIAggCCAIIAggCCAIhAgMCywIeAAL4AgICQwIEAgUCBgIHAggCCQIKAgsClwINAggCCAIIAggCCAIIAggCCAIIAggCCAIIAggCCAIIAggCCAIhAgMCoQIeAAL4AgICNwIEAgUCBgIHAggCCQIKAgsClwINAggCCAIIAggCCAIIAggCCAIIAggCCAIIAggCCAIIAggCCAIhAgMCmgIeAAL4AgICSgIEAgUCBgIHAggCCQIKAgsClwINAggCCAIIAggCCAIIAggCCAIIAggCCAIIAggCCAIIAggCCAIhAgMCxQIeAAL4AgICdgIEAgUCBgIHAggCCQIKAgsClwINAggCCAIIAggCCAIIAggCCAIIAggCCAIIAggCCAIIAggCCAIhAgMCpAIeAAL4AgICIwIEAgUCBgIHAggCCQIcAgsClwINAggCCAIIAggCCAIIAggCCAIIAggCCAIIAggCCAIIAggCCAIhAgMCxwIeAAL4AgICXQIEAgUCBgIHAggCCQKcAgsClwINAggCCAIIAggCCAIIAggCCAIIAggCCAIIAggCCAIIAggCCAIhAgMCzQIeAAL4AgICQQIEAgV6AAAEAAIGAgcCCAIJApwCCwKXAg0CCAIIAggCCAIIAggCCAIIAggCCAIIAggCCAIIAggCCAIIAiECAwKgAh4AAvgCAgIjAgQCBQIGAgcCCAIJApwCCwKXAg0CCAIIAggCCAIIAggCCAIIAggCCAIIAggCCAIIAggCCAIIAiECAwKiAh4AAvgCAgIsAgQCBQIGAgcCCAIJAhwCCwKXAg0CCAIIAggCCAIIAggCCAIIAggCCAIIAggCCAIIAggCCAIIAiECAwLaAh4AAvgCAgIgAgQCBQIGAgcCCAIJAhwCCwKXAg0CCAIIAggCCAIIAggCCAIIAggCCAIIAggCCAIIAggCCAIIAiECAwLSAh4AAvgCAgI7AgQCBQIGAgcCCAIJAgoCCwKXAg0CCAIIAggCCAIIAggCCAIIAggCCAIIAggCCAIIAggCCAIIAiECAwLTAh4AAvgCAgJoAgQCBQIGAgcCCAIJAgoCCwKXAg0CCAIIAggCCAIIAggCCAIIAggCCAIIAggCCAIIAggCCAIIAiECAwLOAh4AAvgCAgIgAgQCBQIGAgcCCAIJApwCCwKXAg0CCAIIAggCCAIIAggCCAIIAggCCAIIAggCCAIIAggCCAIIAiECAwKoAh4AAvgCAgJMAgQCBQIGAgcCCAIJAhwCCwKXAg0CCAIIAggCCAIIAggCCAIIAggCCAIIAggCCAIIAggCCAIIAiECAwKnAh4AAvgCAgJMAgQCBQIGAgcCCAIJApwCCwKXAg0CCAIIAggCCAIIAggCCAIIAggCCAIIAggCCAIIAggCCAIIAiECAwLPAh4AAvgCAgIuAgQCBQIGAgcCCAIJAhwCCwKXAg0CCAIIAggCCAIIAggCCAIIAggCCAIIAggCCAIIAggCCAIIAiECAwLZAh4AAvgCAgIvAgQCBQIGAgcCCAIJAgoCCwKXAg0CCAIIAggCCAIIAggCCAIIAggCCAIIAggCCAIIAggCCAIIAiECAwKqAh4AAvgCAgJkAgQCBQIGAgcCCAIJAhwCCwKXAg0CCAIIAggCCAIIAggCCAIIAggCCAIIAggCCAIIAggCCAIIAiECAwKtAh4AAvgCAgI0AgQCBQIGAgcCCAIJAhwCCwKXAg0CCAIIAggCCAIIAggCCAIIAggCCAIIAggCCAIIAggCCAIIAiECAwLVAh4AAvgCAgI9AgQCBQIGAgcCCAIJAgoCCwKXAg0CCAIIAggCCAIIAggCCAIIAggCCAIIAggCCAIIAggCCAIIAiECAwLXAh4AAvgCAgIyAgQCBQIGAgcCCAIJAgoCCwKXAg0CCAIIAggCCAIIAggCCAIIAggCCAIIAggCCAIIAggCCAIIAiECAwLQAh56AAAEAAAC+AICAi4CBAIFAgYCBwIIAgkCnAILApcCDQIIAggCCAIIAggCCAIIAggCCAIIAggCCAIIAggCCAIIAggCIQIDAioCHgAC+AICAiwCBAIFAgYCBwIIAgkCnAILApcCDQIIAggCCAIIAggCCAIIAggCCAIIAggCCAIIAggCCAIIAggCIQIDAq4CHgAC+AICAmQCBAIFAgYCBwIIAgkCnAILApcCDQIIAggCCAIIAggCCAIIAggCCAIIAggCCAIIAggCCAIIAggCIQIDAtsCHgAC+AICAnYCBAIFAgYCBwIIAgkCHAILApcCDQIIAggCCAIIAggCCAIIAggCCAIIAggCCAIIAggCCAIIAggCIQIDAqsCHgAC+AICAmACBAIFAgYCBwIIAgkCHAILApcCDQIIAggCCAIIAggCCAIIAggCCAIIAggCCAIIAggCCAIIAggCIQIDAqwCHgAC+AICAnYCBAIFAgYCBwIIAgkCnAILApcCDQIIAggCCAIIAggCCAIIAggCCAIIAggCCAIIAggCCAIIAggCIQIDAtQCHgAC+AICAmACBAIFAgYCBwIIAgkCnAILApcCDQIIAggCCAIIAggCCAIIAggCCAIIAggCCAIIAggCCAIIAggCIQIDAtgCHgAC+QAJODI2MjMxMjA4AgICQwIEAgUCBgIHAggCCQIcAgsClwINAggCCAIIAggCCAIIAggCCAIIAggCCAIIAggCCAIIAggCCAIDAgMCwwIeAAL5AgICKQIEAgUCBgIHAggCCQIcAgsClwINAggCCAIIAggCCAIIAggCCAIIAggCCAIIAggCCAIIAggCCAIDAgMC5wIeAAL5AgICUAIEAgUCBgIHAggCCQIcAgsClwINAggCCAIIAggCCAIIAggCCAIIAggCCAIIAggCCAIIAggCCAIDAgMCygIeAAL5AgICSQIEAgUCBgIHAggCCQIcAgsClwINAggCCAIIAggCCAIIAggCCAIIAggCCAIIAggCCAIIAggCCAIDAgMC5QIeAAL5AgICLAIEAgUCBgIHAggCCQIcAgsClwINAggCCAIIAggCCAIIAggCCAIIAggCCAIIAggCCAIIAggCCAIDAgMC2gIeAAL5AgICZAIEAgUCBgIHAggCCQIcAgsClwINAggCCAIIAggCCAIIAggCCAIIAggCCAIIAggCCAIIAggCCAIDAgMCrQIeAAL5AgICNAIEAgUCBgIHAggCCQIcAgsClwINAggCCAIIAggCCAIIAggCCAIIAggCCAIIAggCCAIIAggCCAIDAgMC1QIeAAL5AgICLwIEAgUCBgIHAggCCQIcAgsClwINAggCCAIIAggCCAIIAggCCAIIAgh6AAAEAAIIAggCCAIIAggCCAIIAgMCAwLcAh4AAvkCAgJdAgQCBQIGAgcCCAIJAhwCCwKXAg0CCAIIAggCCAIIAggCCAIIAggCCAIIAggCCAIIAggCCAIIAgMCAwKjAh4AAvkCAgIuAgQCBQIGAgcCCAIJAhwCCwKXAg0CCAIIAggCCAIIAggCCAIIAggCCAIIAggCCAIIAggCCAIIAgMCAwLZAh4AAvkCAgIjAgQCBQIGAgcCCAIJAhwCCwKXAg0CCAIIAggCCAIIAggCCAIIAggCCAIIAggCCAIIAggCCAIIAgMCAwLHAh4AAvkCAgJUAgQCBQIGAgcCCAIJAhwCCwKXAg0CCAIIAggCCAIIAggCCAIIAggCCAIIAggCCAIIAggCCAIIAgMCAwKmAh4AAvkCAgJ1AgQCBQIGAgcCCAIJAhwCCwKXAg0CCAIIAggCCAIIAggCCAIIAggCCAIIAggCCAIIAggCCAIIAgMCAwKZAh4AAvkCAgJFAgQCBQIGAgcCCAIJAhwCCwKXAg0CCAIIAggCCAIIAggCCAIIAggCCAIIAggCCAIIAggCCAIIAgMCAwLsAh4AAvkCAgIgAgQCBQIGAgcCCAIJAhwCCwKXAg0CCAIIAggCCAIIAggCCAIIAggCCAIIAggCCAIIAggCCAIIAgMCAwLSAh4AAvkCAgJqAgQCBQIGAgcCCAIJAhwCCwKXAg0CCAIIAggCCAIIAggCCAIIAggCCAIIAggCCAIIAggCCAIIAgMCAwK0Ah4AAvkCAgIyAgQCBQIGAgcCCAIJAhwCCwKXAg0CCAIIAggCCAIIAggCCAIIAggCCAIIAggCCAIIAggCCAIIAgMCAwLGAh4AAvkCAgI3AgQCBQIGAgcCCAIJAhwCCwKXAg0CCAIIAggCCAIIAggCCAIIAggCCAIIAggCCAIIAggCCAIIAgMCAwK8Ah4AAvoACTU0MTYzNzgwOAICAjICBAIFAgYCBwIIAgkCnAILApcCDQIIAggCCAIIAggCCAIIAggCCAIIAggCCAIIAggCCAIIAggCHQIDAp4CHgAC+gICAkoCBAIFAgYCBwIIAgkCCgILApcCDQIIAggCCAIIAggCCAIIAggCCAIIAggCCAIIAggCCAIIAggCHQIDAsUCHgAC+gICAl0CBAIFAgYCBwIIAgkCHAILApcCDQIIAggCCAIIAggCCAIIAggCCAIIAggCCAIIAggCCAIIAggCHQIDAqMCHgAC+gICAlACBAIFAgYCBwIIAgkCHAILApcCDQIIAggCCAIIAggCCAIIAggCCAIIAggCCAIIAggCCAIIAggCHQIDAsoCHgAC+gICAnUCBAIFAgYCBwIIAgkCnAILApd6AAAEAAINAggCCAIIAggCCAIIAggCCAIIAggCCAIIAggCCAIIAggCCAIdAgMCKgIeAAL6AgICQwIEAgUCBgIHAggCCQIKAgsClwINAggCCAIIAggCCAIIAggCCAIIAggCCAIIAggCCAIIAggCCAIdAgMCoQIeAAL6AgICNwIEAgUCBgIHAggCCQIKAgsClwINAggCCAIIAggCCAIIAggCCAIIAggCCAIIAggCCAIIAggCCAIdAgMCmgIeAAL6AgICIAIEAgUCBgIHAggCCQIKAgsClwINAggCCAIIAggCCAIIAggCCAIIAggCCAIIAggCCAIIAggCCAIdAgMCxAIeAAL6AgICJwIEAgUCBgIHAggCCQIKAgsClwINAggCCAIIAggCCAIIAggCCAIIAggCCAIIAggCCAIIAggCCAIdAgMCzAIeAAL6AgICIwIEAgUCBgIHAggCCQIcAgsClwINAggCCAIIAggCCAIIAggCCAIIAggCCAIIAggCCAIIAggCCAIdAgMCxwIeAAL6AgICXQIEAgUCBgIHAggCCQKcAgsClwINAggCCAIIAggCCAIIAggCCAIIAggCCAIIAggCCAIIAggCCAIdAgMCzQIeAAL6AgICQQIEAgUCBgIHAggCCQKcAgsClwINAggCCAIIAggCCAIIAggCCAIIAggCCAIIAggCCAIIAggCCAIdAgMCoAIeAAL6AgICQQIEAgUCBgIHAggCCQIcAgsClwINAggCCAIIAggCCAIIAggCCAIIAggCCAIIAggCCAIIAggCCAIdAgMCywIeAAL6AgICIAIEAgUCBgIHAggCCQIcAgsClwINAggCCAIIAggCCAIIAggCCAIIAggCCAIIAggCCAIIAggCCAIdAgMC0gIeAAL6AgICdgIEAgUCBgIHAggCCQIKAgsClwINAggCCAIIAggCCAIIAggCCAIIAggCCAIIAggCCAIIAggCCAIdAgMCpAIeAAL6AgICUAIEAgUCBgIHAggCCQKcAgsClwINAggCCAIIAggCCAIIAggCCAIIAggCCAIIAggCCAIIAggCCAIdAgMCKgIeAAL6AgICagIEAgUCBgIHAggCCQIKAgsClwINAggCCAIIAggCCAIIAggCCAIIAggCCAIIAggCCAIIAggCCAIdAgMCugIeAAL6AgICHgIEAgUCBgIHAggCCQIKAgsClwINAggCCAIIAggCCAIIAggCCAIIAggCCAIIAggCCAIIAggCCAIdAgMC6AIeAAL6AgICLgIEAgUCBgIHAggCCQIKAgsClwINAggCCAIIAggCCAIIAggCCAIIAggCCAIIAggCCAIIAggCCAIdAgMCyQIeAAL6AgICSgIEAgUCBgJ6AAAEAAcCCAIJAhwCCwKXAg0CCAIIAggCCAIIAggCCAIIAggCCAIIAggCCAIIAggCCAIIAh0CAwLmAh4AAvoCAgJMAgQCBQIGAgcCCAIJApwCCwKXAg0CCAIIAggCCAIIAggCCAIIAggCCAIIAggCCAIIAggCCAIIAh0CAwLPAh4AAvoCAgIgAgQCBQIGAgcCCAIJApwCCwKXAg0CCAIIAggCCAIIAggCCAIIAggCCAIIAggCCAIIAggCCAIIAh0CAwKoAh4AAvoCAgI3AgQCBQIGAgcCCAIJAhwCCwKXAg0CCAIIAggCCAIIAggCCAIIAggCCAIIAggCCAIIAggCCAIIAh0CAwK8Ah4AAvoCAgJoAgQCBQIGAgcCCAIJAgoCCwKXAg0CCAIIAggCCAIIAggCCAIIAggCCAIIAggCCAIIAggCCAIIAh0CAwLOAh4AAvoCAgJMAgQCBQIGAgcCCAIJAhwCCwKXAg0CCAIIAggCCAIIAggCCAIIAggCCAIIAggCCAIIAggCCAIIAh0CAwKnAh4AAvoCAgIsAgQCBQIGAgcCCAIJApwCCwKXAg0CCAIIAggCCAIIAggCCAIIAggCCAIIAggCCAIIAggCCAIIAh0CAwKuAh4AAvoCAgJKAgQCBQIGAgcCCAIJApwCCwKXAg0CCAIIAggCCAIIAggCCAIIAggCCAIIAggCCAIIAggCCAIIAh0CAwK7Ah4AAvoCAgJgAgQCBQIGAgcCCAIJApwCCwKXAg0CCAIIAggCCAIIAggCCAIIAggCCAIIAggCCAIIAggCCAIIAh0CAwLYAh4AAvoCAgI9AgQCBQIGAgcCCAIJAgoCCwKXAg0CCAIIAggCCAIIAggCCAIIAggCCAIIAggCCAIIAggCCAIIAh0CAwLXAh4AAvoCAgIyAgQCBQIGAgcCCAIJAgoCCwKXAg0CCAIIAggCCAIIAggCCAIIAggCCAIIAggCCAIIAggCCAIIAh0CAwLQAh4AAvoCAgIvAgQCBQIGAgcCCAIJAgoCCwKXAg0CCAIIAggCCAIIAggCCAIIAggCCAIIAggCCAIIAggCCAIIAh0CAwKqAh4AAvoCAgJkAgQCBQIGAgcCCAIJAhwCCwKXAg0CCAIIAggCCAIIAggCCAIIAggCCAIIAggCCAIIAggCCAIIAh0CAwKtAh4AAvoCAgIsAgQCBQIGAgcCCAIJAhwCCwKXAg0CCAIIAggCCAIIAggCCAIIAggCCAIIAggCCAIIAggCCAIIAh0CAwLaAh4AAvoCAgIuAgQCBQIGAgcCCAIJAhwCCwKXAg0CCAIIAggCCAIIAggCCAIIAggCCAIIAggCCAIIAggCCAIIAh0CAwLZAh4AAvp6AAAEAAICAnUCBAIFAgYCBwIIAgkCCgILApcCDQIIAggCCAIIAggCCAIIAggCCAIIAggCCAIIAggCCAIIAggCHQIDAqUCHgAC+gICAnYCBAIFAgYCBwIIAgkCHAILApcCDQIIAggCCAIIAggCCAIIAggCCAIIAggCCAIIAggCCAIIAggCHQIDAqsCHgAC+gICAmACBAIFAgYCBwIIAgkCHAILApcCDQIIAggCCAIIAggCCAIIAggCCAIIAggCCAIIAggCCAIIAggCHQIDAqwCHgAC+gICAmQCBAIFAgYCBwIIAgkCnAILApcCDQIIAggCCAIIAggCCAIIAggCCAIIAggCCAIIAggCCAIIAggCHQIDAtsCHgAC+gICAjQCBAIFAgYCBwIIAgkCnAILApcCDQIIAggCCAIIAggCCAIIAggCCAIIAggCCAIIAggCCAIIAggCHQIDAioCHgAC+gICAi4CBAIFAgYCBwIIAgkCnAILApcCDQIIAggCCAIIAggCCAIIAggCCAIIAggCCAIIAggCCAIIAggCHQIDAioCHgAC+gICAmoCBAIFAgYCBwIIAgkCHAILApcCDQIIAggCCAIIAggCCAIIAggCCAIIAggCCAIIAggCCAIIAggCHQIDArQCHgAC+gICAiMCBAIFAgYCBwIIAgkCCgILApcCDQIIAggCCAIIAggCCAIIAggCCAIIAggCCAIIAggCCAIIAggCHQIDAtYCHgAC+gICAkwCBAIFAgYCBwIIAgkCCgILApcCDQIIAggCCAIIAggCCAIIAggCCAIIAggCCAIIAggCCAIIAggCHQIDAp0CHgAC+gICAjQCBAIFAgYCBwIIAgkCHAILApcCDQIIAggCCAIIAggCCAIIAggCCAIIAggCCAIIAggCCAIIAggCHQIDAtUCHgAC+gICAmoCBAIFAgYCBwIIAgkCnAILApcCDQIIAggCCAIIAggCCAIIAggCCAIIAggCCAIIAggCCAIIAggCHQIDAt8CHgAC+gICAh4CBAIFAgYCBwIIAgkCnAILApcCDQIIAggCCAIIAggCCAIIAggCCAIIAggCCAIIAggCCAIIAggCHQIDArICHgAC+gICAh4CBAIFAgYCBwIIAgkCHAILApcCDQIIAggCCAIIAggCCAIIAggCCAIIAggCCAIIAggCCAIIAggCHQIDAqkCHgAC+gICAkkCBAIFAgYCBwIIAgkCCgILApcCDQIIAggCCAIIAggCCAIIAggCCAIIAggCCAIIAggCCAIIAggCHQIDAuMCHgAC+gICAmACBAIFAgYCBwIIAgkCCgILApcCDQIIAggCCAIIAggCCAIIAggCCAIIAggCCAIIAggCCAIIAgh6AAAEAAIdAgMCuAIeAAL6AgICLAIEAgUCBgIHAggCCQIKAgsClwINAggCCAIIAggCCAIIAggCCAIIAggCCAIIAggCCAIIAggCCAIdAgMC3gIeAAL6AgICLwIEAgUCBgIHAggCCQIcAgsClwINAggCCAIIAggCCAIIAggCCAIIAggCCAIIAggCCAIIAggCCAIdAgMC3AIeAAL6AgICLwIEAgUCBgIHAggCCQKcAgsClwINAggCCAIIAggCCAIIAggCCAIIAggCCAIIAggCCAIIAggCCAIdAgMCuQIeAAL6AgICPQIEAgUCBgIHAggCCQKcAgsClwINAggCCAIIAggCCAIIAggCCAIIAggCCAIIAggCCAIIAggCCAIdAgMC5AIeAAL6AgICPQIEAgUCBgIHAggCCQIcAgsClwINAggCCAIIAggCCAIIAggCCAIIAggCCAIIAggCCAIIAggCCAIdAgMCrwIeAAL6AgICNAIEAgUCBgIHAggCCQIKAgsClwINAggCCAIIAggCCAIIAggCCAIIAggCCAIIAggCCAIIAggCCAIdAgMC4AIeAAL6AgICdgIEAgUCBgIHAggCCQKcAgsClwINAggCCAIIAggCCAIIAggCCAIIAggCCAIIAggCCAIIAggCCAIdAgMC1AIeAAL6AgICJQIEAgUCBgIHAggCCQKcAgsClwINAggCCAIIAggCCAIIAggCCAIIAggCCAIIAggCCAIIAggCCAIdAgMC6gIeAAL6AgICRQIEAgUCBgIHAggCCQKcAgsClwINAggCCAIIAggCCAIIAggCCAIIAggCCAIIAggCCAIIAggCCAIdAgMCvQIeAAL6AgICOwIEAgUCBgIHAggCCQIKAgsClwINAggCCAIIAggCCAIIAggCCAIIAggCCAIIAggCCAIIAggCCAIdAgMC0wIeAAL6AgICZAIEAgUCBgIHAggCCQIKAgsClwINAggCCAIIAggCCAIIAggCCAIIAggCCAIIAggCCAIIAggCCAIdAgMCtgIeAAL6AgICRQIEAgUCBgIHAggCCQIcAgsClwINAggCCAIIAggCCAIIAggCCAIIAggCCAIIAggCCAIIAggCCAIdAgMC7AIeAAL6AgICJQIEAgUCBgIHAggCCQIcAgsClwINAggCCAIIAggCCAIIAggCCAIIAggCCAIIAggCCAIIAggCCAIdAgMCtQIeAAL6AgICNwIEAgUCBgIHAggCCQKcAgsClwINAggCCAIIAggCCAIIAggCCAIIAggCCAIIAggCCAIIAggCCAIdAgMCKgIeAAL6AgICQwIEAgUCBgIHAggCCQIcAgsClwINAggCCAIIAggCCAIIAggCCAIIAggCCAJ6AAAEAAgCCAIIAggCCAIIAh0CAwLDAh4AAvoCAgJJAgQCBQIGAgcCCAIJApwCCwKXAg0CCAIIAggCCAIIAggCCAIIAggCCAIIAggCCAIIAggCCAIIAh0CAwIqAh4AAvoCAgJJAgQCBQIGAgcCCAIJAhwCCwKXAg0CCAIIAggCCAIIAggCCAIIAggCCAIIAggCCAIIAggCCAIIAh0CAwLlAh4AAvoCAgJDAgQCBQIGAgcCCAIJApwCCwKXAg0CCAIIAggCCAIIAggCCAIIAggCCAIIAggCCAIIAggCCAIIAh0CAwLvAh4AAvoCAgInAgQCBQIGAgcCCAIJApwCCwKXAg0CCAIIAggCCAIIAggCCAIIAggCCAIIAggCCAIIAggCCAIIAh0CAwLCAh4AAvoCAgJBAgQCBQIGAgcCCAIJAgoCCwKXAg0CCAIIAggCCAIIAggCCAIIAggCCAIIAggCCAIIAggCCAIIAh0CAwLAAh4AAvoCAgIjAgQCBQIGAgcCCAIJApwCCwKXAg0CCAIIAggCCAIIAggCCAIIAggCCAIIAggCCAIIAggCCAIIAh0CAwKiAh4AAvoCAgInAgQCBQIGAgcCCAIJAhwCCwKXAg0CCAIIAggCCAIIAggCCAIIAggCCAIIAggCCAIIAggCCAIIAh0CAwLuAh4AAvoCAgIlAgQCBQIGAgcCCAIJAgoCCwKXAg0CCAIIAggCCAIIAggCCAIIAggCCAIIAggCCAIIAggCCAIIAh0CAwKzAh4AAvoCAgJFAgQCBQIGAgcCCAIJAgoCCwKXAg0CCAIIAggCCAIIAggCCAIIAggCCAIIAggCCAIIAggCCAIIAh0CAwLiAh4AAvoCAgJ1AgQCBQIGAgcCCAIJAhwCCwKXAg0CCAIIAggCCAIIAggCCAIIAggCCAIIAggCCAIIAggCCAIIAh0CAwKZAh4AAvoCAgJdAgQCBQIGAgcCCAIJAgoCCwKXAg0CCAIIAggCCAIIAggCCAIIAggCCAIIAggCCAIIAggCCAIIAh0CAwLrAh4AAvoCAgIyAgQCBQIGAgcCCAIJAhwCCwKXAg0CCAIIAggCCAIIAggCCAIIAggCCAIIAggCCAIIAggCCAIIAh0CAwLGAh4AAvoCAgJoAgQCBQIGAgcCCAIJAhwCCwKXAg0CCAIIAggCCAIIAggCCAIIAggCCAIIAggCCAIIAggCCAIIAh0CAwKxAh4AAvoCAgI7AgQCBQIGAgcCCAIJApwCCwKXAg0CCAIIAggCCAIIAggCCAIIAggCCAIIAggCCAIIAggCCAIIAh0CAwLBAh4AAvoCAgJQAgQCBQIGAgcCCAIJAgoCCwKXAg0CCAIIAggCCAIIAgh6AAAEAAIIAggCCAIIAggCCAIIAggCCAIIAggCHQIDAr4CHgAC+gICAmgCBAIFAgYCBwIIAgkCnAILApcCDQIIAggCCAIIAggCCAIIAggCCAIIAggCCAIIAggCCAIIAggCHQIDAt0CHgAC+gICAjsCBAIFAgYCBwIIAgkCHAILApcCDQIIAggCCAIIAggCCAIIAggCCAIIAggCCAIIAggCCAIIAggCHQIDAukCHgAC+wAJMjMxOTI2NTEyAgICTAIEAgUCBgIHAggCCQIcAgsClwINAggCCAIIAggCCAIIAggCCAIIAggCCAIIAggCCAIIAggCCAIXAgMCpwIeAAL7AgICVAIEAgUCBgIHAggCCQIcAgsClwINAggCCAIIAggCCAIIAggCCAIIAggCCAIIAggCCAIIAggCCAIXAgMCpgIeAAL7AgICIwIEAgUCBgIHAggCCQKcAgsClwINAggCCAIIAggCCAIIAggCCAIIAggCCAIIAggCCAIIAggCCAIXAgMCogIeAAL7AgICUAIEAgUCBgIHAggCCQKcAgsClwINAggCCAIIAggCCAIIAggCCAIIAggCCAIIAggCCAIIAggCCAIXAgMCKgIeAAL7AgICHgIEAgUCBgIHAggCCQIKAgsClwINAggCCAIIAggCCAIIAggCCAIIAggCCAIIAggCCAIIAggCCAIXAgMC6AIeAAL7AgICdgIEAgUCBgIHAggCCQIKAgsClwINAggCCAIIAggCCAIIAggCCAIIAggCCAIIAggCCAIIAggCCAIXAgMCpAIeAAL7AgICRwIEAgUCBgIHAggCCQIcAgsClwINAggCCAIIAggCCAIIAggCCAIIAggCCAIIAggCCAIIAggCCAIXAgMCnwIeAAL7AgICNwIEAgUCBgIHAggCCQIcAgsClwINAggCCAIIAggCCAIIAggCCAIIAggCCAIIAggCCAIIAggCCAIXAgMCvAIeAAL7AgICIAIEAgUCBgIHAggCCQKcAgsClwINAggCCAIIAggCCAIIAggCCAIIAggCCAIIAggCCAIIAggCCAIXAgMCqAIeAAL7AgICQwIEAgUCBgIHAggCCQIKAgsClwINAggCCAIIAggCCAIIAggCCAIIAggCCAIIAggCCAIIAggCCAIXAgMCoQIeAAL7AgICNwIEAgUCBgIHAggCCQIKAgsClwINAggCCAIIAggCCAIIAggCCAIIAggCCAIIAggCCAIIAggCCAIXAgMCmgIeAAL7AgICMgIEAgUCBgIHAggCCQKcAgsClwINAggCCAIIAggCCAIIAggCCAIIAggCCAIIAggCCAIIAggCCAIXAgMCngIeAAL7AgICXQIEAgUCBgIHAgh6AAAEAAIJAhwCCwKXAg0CCAIIAggCCAIIAggCCAIIAggCCAIIAggCCAIIAggCCAIIAhcCAwKjAh4AAvsCAgIrAgQCBQIGAgcCCAIJApwCCwKXAg0CCAIIAggCCAIIAggCCAIIAggCCAIIAggCCAIIAggCCAIIAhcCAwIqAh4AAvsCAgJUAgQCBQIGAgcCCAIJAgoCCwKXAg0CCAIIAggCCAIIAggCCAIIAggCCAIIAggCCAIIAggCCAIIAhcCAwKYAh4AAvsCAgJ1AgQCBQIGAgcCCAIJAhwCCwKXAg0CCAIIAggCCAIIAggCCAIIAggCCAIIAggCCAIIAggCCAIIAhcCAwKZAh4AAvsCAgJBAgQCBQIGAgcCCAIJApwCCwKXAg0CCAIIAggCCAIIAggCCAIIAggCCAIIAggCCAIIAggCCAIIAhcCAwKgAh4AAvsCAgI0AgQCBQIGAgcCCAIJApwCCwKXAg0CCAIIAggCCAIIAggCCAIIAggCCAIIAggCCAIIAggCCAIIAhcCAwIqAh4AAvsCAgIbAgQCBQIGAgcCCAIJAhwCCwKXAg0CCAIIAggCCAIIAggCCAIIAggCCAIIAggCCAIIAggCCAIIAhcCAwLhAh4AAvsCAgIuAgQCBQIGAgcCCAIJApwCCwKXAg0CCAIIAggCCAIIAggCCAIIAggCCAIIAggCCAIIAggCCAIIAhcCAwIqAh4AAvsCAgJMAgQCBQIGAgcCCAIJAgoCCwKXAg0CCAIIAggCCAIIAggCCAIIAggCCAIIAggCCAIIAggCCAIIAhcCAwKdAh4AAvsCAgJqAgQCBQIGAgcCCAIJApwCCwKXAg0CCAIIAggCCAIIAggCCAIIAggCCAIIAggCCAIIAggCCAIIAhcCAwLfAh4AAvsCAgIeAgQCBQIGAgcCCAIJAhwCCwKXAg0CCAIIAggCCAIIAggCCAIIAggCCAIIAggCCAIIAggCCAIIAhcCAwKpAh4AAvsCAgJHAgQCBQIGAgcCCAIJAgoCCwKXAg0CCAIIAggCCAIIAggCCAIIAggCCAIIAggCCAIIAggCCAIIAhcCAwKbAh4AAvsCAgIvAgQCBQIGAgcCCAIJAgoCCwKXAg0CCAIIAggCCAIIAggCCAIIAggCCAIIAggCCAIIAggCCAIIAhcCAwKqAh4AAvsCAgIsAgQCBQIGAgcCCAIJApwCCwKXAg0CCAIIAggCCAIIAggCCAIIAggCCAIIAggCCAIIAggCCAIIAhcCAwKuAh4AAvsCAgJkAgQCBQIGAgcCCAIJAhwCCwKXAg0CCAIIAggCCAIIAggCCAIIAggCCAIIAggCCAIIAggCCAIIAhcCAwKtAh4AAvsCAgJ6AAAEAGACBAIFAgYCBwIIAgkCHAILApcCDQIIAggCCAIIAggCCAIIAggCCAIIAggCCAIIAggCCAIIAggCFwIDAqwCHgAC+wICAnYCBAIFAgYCBwIIAgkCHAILApcCDQIIAggCCAIIAggCCAIIAggCCAIIAggCCAIIAggCCAIIAggCFwIDAqsCHgAC+wICAnUCBAIFAgYCBwIIAgkCCgILApcCDQIIAggCCAIIAggCCAIIAggCCAIIAggCCAIIAggCCAIIAggCFwIDAqUCHgAC+wICAjsCBAIFAgYCBwIIAgkCCgILApcCDQIIAggCCAIIAggCCAIIAggCCAIIAggCCAIIAggCCAIIAggCFwIDAtMCHgAC+wICAgMCBAIFAgYCBwIIAgkCnAILApcCDQIIAggCCAIIAggCCAIIAggCCAIIAggCCAIIAggCCAIIAggCFwIDAioCHgAC+wICAkUCBAIFAgYCBwIIAgkCHAILApcCDQIIAggCCAIIAggCCAIIAggCCAIIAggCCAIIAggCCAIIAggCFwIDAuwCHgAC+wICAjQCBAIFAgYCBwIIAgkCCgILApcCDQIIAggCCAIIAggCCAIIAggCCAIIAggCCAIIAggCCAIIAggCFwIDAuACHgAC+wICAiUCBAIFAgYCBwIIAgkCnAILApcCDQIIAggCCAIIAggCCAIIAggCCAIIAggCCAIIAggCCAIIAggCFwIDAuoCHgAC+wICAiwCBAIFAgYCBwIIAgkCCgILApcCDQIIAggCCAIIAggCCAIIAggCCAIIAggCCAIIAggCCAIIAggCFwIDAt4CHgAC+wICAkACBAIFAgYCBwIIAgkCnAILApcCDQIIAggCCAIIAggCCAIIAggCCAIIAggCCAIIAggCCAIIAggCFwIDAioCHgAC+wICAi8CBAIFAgYCBwIIAgkCHAILApcCDQIIAggCCAIIAggCCAIIAggCCAIIAggCCAIIAggCCAIIAggCFwIDAtwCHgAC+wICAj0CBAIFAgYCBwIIAgkCnAILApcCDQIIAggCCAIIAggCCAIIAggCCAIIAggCCAIIAggCCAIIAggCFwIDAuQCHgAC+wICAkkCBAIFAgYCBwIIAgkCCgILApcCDQIIAggCCAIIAggCCAIIAggCCAIIAggCCAIIAggCCAIIAggCFwIDAuMCHgAC+wICAkUCBAIFAgYCBwIIAgkCCgILApcCDQIIAggCCAIIAggCCAIIAggCCAIIAggCCAIIAggCCAIIAggCFwIDAuICHgAC+wICAjICBAIFAgYCBwIIAgkCHAILApcCDQIIAggCCAIIAggCCAIIAggCCAIIAggCCAIIAggCCAIIAggCFwJ6AAAEAAMCxgIeAAL7AgICXQIEAgUCBgIHAggCCQIKAgsClwINAggCCAIIAggCCAIIAggCCAIIAggCCAIIAggCCAIIAggCCAIXAgMC6wIeAAL7AgICaAIEAgUCBgIHAggCCQKcAgsClwINAggCCAIIAggCCAIIAggCCAIIAggCCAIIAggCCAIIAggCCAIXAgMC3QIeAAL7AgICOwIEAgUCBgIHAggCCQIcAgsClwINAggCCAIIAggCCAIIAggCCAIIAggCCAIIAggCCAIIAggCCAIXAgMC6QIeAAL7AgICKQIEAgUCBgIHAggCCQIcAgsClwINAggCCAIIAggCCAIIAggCCAIIAggCCAIIAggCCAIIAggCCAIXAgMC5wIeAAL7AgICJwIEAgUCBgIHAggCCQIcAgsClwINAggCCAIIAggCCAIIAggCCAIIAggCCAIIAggCCAIIAggCCAIXAgMC7gIeAAL7AgICNwIEAgUCBgIHAggCCQKcAgsClwINAggCCAIIAggCCAIIAggCCAIIAggCCAIIAggCCAIIAggCCAIXAgMCKgIeAAL7AgICQwIEAgUCBgIHAggCCQKcAgsClwINAggCCAIIAggCCAIIAggCCAIIAggCCAIIAggCCAIIAggCCAIXAgMC7wIeAAL7AgICSQIEAgUCBgIHAggCCQIcAgsClwINAggCCAIIAggCCAIIAggCCAIIAggCCAIIAggCCAIIAggCCAIXAgMC5QIeAAL7AgICGwIEAgUCBgIHAggCCQIKAgsClwINAggCCAIIAggCCAIIAggCCAIIAggCCAIIAggCCAIIAggCCAIXAgMC7QIeAAL7AgICIAIEAgUCBgIHAggCCQIcAgsClwINAggCCAIIAggCCAIIAggCCAIIAggCCAIIAggCCAIIAggCCAIXAgMC0gIeAAL7AgICagIEAgUCBgIHAggCCQIKAgsClwINAggCCAIIAggCCAIIAggCCAIIAggCCAIIAggCCAIIAggCCAIXAgMCugIeAAL7AgICXQIEAgUCBgIHAggCCQKcAgsClwINAggCCAIIAggCCAIIAggCCAIIAggCCAIIAggCCAIIAggCCAIXAgMCzQIeAAL7AgICIwIEAgUCBgIHAggCCQIcAgsClwINAggCCAIIAggCCAIIAggCCAIIAggCCAIIAggCCAIIAggCCAIXAgMCxwIeAAL7AgICLgIEAgUCBgIHAggCCQIKAgsClwINAggCCAIIAggCCAIIAggCCAIIAggCCAIIAggCCAIIAggCCAIXAgMCyQIeAAL7AgICRwIEAgUCBgIHAggCCQKcAgsClwINAggCCAIIAggCCAIIAggCCAIIAggCCAIIAgh6AAAEAAIIAggCCAIIAhcCAwIqAh4AAvsCAgJKAgQCBQIGAgcCCAIJAhwCCwKXAg0CCAIIAggCCAIIAggCCAIIAggCCAIIAggCCAIIAggCCAIIAhcCAwLmAh4AAvsCAgIpAgQCBQIGAgcCCAIJAgoCCwKXAg0CCAIIAggCCAIIAggCCAIIAggCCAIIAggCCAIIAggCCAIIAhcCAwLIAh4AAvsCAgJMAgQCBQIGAgcCCAIJApwCCwKXAg0CCAIIAggCCAIIAggCCAIIAggCCAIIAggCCAIIAggCCAIIAhcCAwLPAh4AAvsCAgJKAgQCBQIGAgcCCAIJAgoCCwKXAg0CCAIIAggCCAIIAggCCAIIAggCCAIIAggCCAIIAggCCAIIAhcCAwLFAh4AAvsCAgJQAgQCBQIGAgcCCAIJAhwCCwKXAg0CCAIIAggCCAIIAggCCAIIAggCCAIIAggCCAIIAggCCAIIAhcCAwLKAh4AAvsCAgIrAgQCBQIGAgcCCAIJAhwCCwKXAg0CCAIIAggCCAIIAggCCAIIAggCCAIIAggCCAIIAggCCAIIAhcCAwKfAh4AAvsCAgInAgQCBQIGAgcCCAIJAgoCCwKXAg0CCAIIAggCCAIIAggCCAIIAggCCAIIAggCCAIIAggCCAIIAhcCAwLMAh4AAvsCAgJ1AgQCBQIGAgcCCAIJApwCCwKXAg0CCAIIAggCCAIIAggCCAIIAggCCAIIAggCCAIIAggCCAIIAhcCAwIqAh4AAvsCAgIgAgQCBQIGAgcCCAIJAgoCCwKXAg0CCAIIAggCCAIIAggCCAIIAggCCAIIAggCCAIIAggCCAIIAhcCAwLEAh4AAvsCAgJBAgQCBQIGAgcCCAIJAhwCCwKXAg0CCAIIAggCCAIIAggCCAIIAggCCAIIAggCCAIIAggCCAIIAhcCAwLLAh4AAvsCAgJkAgQCBQIGAgcCCAIJApwCCwKXAg0CCAIIAggCCAIIAggCCAIIAggCCAIIAggCCAIIAggCCAIIAhcCAwLbAh4AAvsCAgIjAgQCBQIGAgcCCAIJAgoCCwKXAg0CCAIIAggCCAIIAggCCAIIAggCCAIIAggCCAIIAggCCAIIAhcCAwLWAh4AAvsCAgJqAgQCBQIGAgcCCAIJAhwCCwKXAg0CCAIIAggCCAIIAggCCAIIAggCCAIIAggCCAIIAggCCAIIAhcCAwK0Ah4AAvsCAgIbAgQCBQIGAgcCCAIJApwCCwKXAg0CCAIIAggCCAIIAggCCAIIAggCCAIIAggCCAIIAggCCAIIAhcCAwIqAh4AAvsCAgI0AgQCBQIGAgcCCAIJAhwCCwKXAg0CCAIIAggCCAIIAggCCAJ6AAAEAAgCCAIIAggCCAIIAggCCAIIAggCFwIDAtUCHgAC+wICAkACBAIFAgYCBwIIAgkCCgILApcCDQIIAggCCAIIAggCCAIIAggCCAIIAggCCAIIAggCCAIIAggCFwIDAtECHgAC+wICAh4CBAIFAgYCBwIIAgkCnAILApcCDQIIAggCCAIIAggCCAIIAggCCAIIAggCCAIIAggCCAIIAggCFwIDArICHgAC+wICAjICBAIFAgYCBwIIAgkCCgILApcCDQIIAggCCAIIAggCCAIIAggCCAIIAggCCAIIAggCCAIIAggCFwIDAtACHgAC+wICAmgCBAIFAgYCBwIIAgkCCgILApcCDQIIAggCCAIIAggCCAIIAggCCAIIAggCCAIIAggCCAIIAggCFwIDAs4CHgAC+wICAlQCBAIFAgYCBwIIAgkCnAILApcCDQIIAggCCAIIAggCCAIIAggCCAIIAggCCAIIAggCCAIIAggCFwIDAioCHgAC+wICAj0CBAIFAgYCBwIIAgkCCgILApcCDQIIAggCCAIIAggCCAIIAggCCAIIAggCCAIIAggCCAIIAggCFwIDAtcCHgAC+wICAiwCBAIFAgYCBwIIAgkCHAILApcCDQIIAggCCAIIAggCCAIIAggCCAIIAggCCAIIAggCCAIIAggCFwIDAtoCHgAC+wICAi4CBAIFAgYCBwIIAgkCHAILApcCDQIIAggCCAIIAggCCAIIAggCCAIIAggCCAIIAggCCAIIAggCFwIDAtkCHgAC+wICAmACBAIFAgYCBwIIAgkCnAILApcCDQIIAggCCAIIAggCCAIIAggCCAIIAggCCAIIAggCCAIIAggCFwIDAtgCHgAC+wICAnYCBAIFAgYCBwIIAgkCnAILApcCDQIIAggCCAIIAggCCAIIAggCCAIIAggCCAIIAggCCAIIAggCFwIDAtQCHgAC+wICAkUCBAIFAgYCBwIIAgkCnAILApcCDQIIAggCCAIIAggCCAIIAggCCAIIAggCCAIIAggCCAIIAggCFwIDAr0CHgAC+wICAmQCBAIFAgYCBwIIAgkCCgILApcCDQIIAggCCAIIAggCCAIIAggCCAIIAggCCAIIAggCCAIIAggCFwIDArYCHgAC+wICAiUCBAIFAgYCBwIIAgkCHAILApcCDQIIAggCCAIIAggCCAIIAggCCAIIAggCCAIIAggCCAIIAggCFwIDArUCHgAC+wICAkACBAIFAgYCBwIIAgkCHAILApcCDQIIAggCCAIIAggCCAIIAggCCAIIAggCCAIIAggCCAIIAggCFwIDArACHgAC+wICAi8CBAIFAgYCBwIIAgkCnAILApcCDQIIAgh6AAAEAAIIAggCCAIIAggCCAIIAggCCAIIAggCCAIIAggCCAIXAgMCuQIeAAL7AgICYAIEAgUCBgIHAggCCQIKAgsClwINAggCCAIIAggCCAIIAggCCAIIAggCCAIIAggCCAIIAggCCAIXAgMCuAIeAAL7AgICPQIEAgUCBgIHAggCCQIcAgsClwINAggCCAIIAggCCAIIAggCCAIIAggCCAIIAggCCAIIAggCCAIXAgMCrwIeAAL7AgICAwIEAgUCBgIHAggCCQIKAgsClwINAggCCAIIAggCCAIIAggCCAIIAggCCAIIAggCCAIIAggCCAIXAgMCtwIeAAL7AgICJQIEAgUCBgIHAggCCQIKAgsClwINAggCCAIIAggCCAIIAggCCAIIAggCCAIIAggCCAIIAggCCAIXAgMCswIeAAL7AgICQQIEAgUCBgIHAggCCQIKAgsClwINAggCCAIIAggCCAIIAggCCAIIAggCCAIIAggCCAIIAggCCAIXAgMCwAIeAAL7AgICKQIEAgUCBgIHAggCCQKcAgsClwINAggCCAIIAggCCAIIAggCCAIIAggCCAIIAggCCAIIAggCCAIXAgMCKgIeAAL7AgICaAIEAgUCBgIHAggCCQIcAgsClwINAggCCAIIAggCCAIIAggCCAIIAggCCAIIAggCCAIIAggCCAIXAgMCsQIeAAL7AgICUAIEAgUCBgIHAggCCQIKAgsClwINAggCCAIIAggCCAIIAggCCAIIAggCCAIIAggCCAIIAggCCAIXAgMCvgIeAAL7AgICOwIEAgUCBgIHAggCCQKcAgsClwINAggCCAIIAggCCAIIAggCCAIIAggCCAIIAggCCAIIAggCCAIXAgMCwQIeAAL7AgICSgIEAgUCBgIHAggCCQKcAgsClwINAggCCAIIAggCCAIIAggCCAIIAggCCAIIAggCCAIIAggCCAIXAgMCuwIeAAL7AgICQwIEAgUCBgIHAggCCQIcAgsClwINAggCCAIIAggCCAIIAggCCAIIAggCCAIIAggCCAIIAggCCAIXAgMCwwIeAAL7AgICSQIEAgUCBgIHAggCCQKcAgsClwINAggCCAIIAggCCAIIAggCCAIIAggCCAIIAggCCAIIAggCCAIXAgMCKgIeAAL7AgICAwIEAgUCBgIHAggCCQIcAgsClwINAggCCAIIAggCCAIIAggCCAIIAggCCAIIAggCCAIIAggCCAIXAgMCvwIeAAL7AgICKwIEAgUCBgIHAggCCQIKAgsClwINAggCCAIIAggCCAIIAggCCAIIAggCCAIIAggCCAIIAggCCAIXAgMCmwIeAAL7AgICJwIEAgUCBgIHAggCCQJ6AAAEAJwCCwKXAg0CCAIIAggCCAIIAggCCAIIAggCCAIIAggCCAIIAggCCAIIAhcCAwLCAh4AAvwACTIzMTkyODgzMgICAkoCBAIFAgYCBwIIAgkCCgILApcCDQIIAggCCAIIAggCCAIIAggCCAIIAggCCAIIAggCCAIIAggCGQIDAsUCHgAC/AICAl0CBAIFAgYCBwIIAgkCHAILApcCDQIIAggCCAIIAggCCAIIAggCCAIIAggCCAIIAggCCAIIAggCGQIDAqMCHgAC/AICAnUCBAIFAgYCBwIIAgkCnAILApcCDQIIAggCCAIIAggCCAIIAggCCAIIAggCCAIIAggCCAIIAggCGQIDAioCHgAC/AICAjcCBAIFAgYCBwIIAgkCCgILApcCDQIIAggCCAIIAggCCAIIAggCCAIIAggCCAIIAggCCAIIAggCGQIDApoCHgAC/AICAlACBAIFAgYCBwIIAgkCHAILApcCDQIIAggCCAIIAggCCAIIAggCCAIIAggCCAIIAggCCAIIAggCGQIDAsoCHgAC/AICAkMCBAIFAgYCBwIIAgkCCgILApcCDQIIAggCCAIIAggCCAIIAggCCAIIAggCCAIIAggCCAIIAggCGQIDAqECHgAC/AICAlQCBAIFAgYCBwIIAgkCCgILApcCDQIIAggCCAIIAggCCAIIAggCCAIIAggCCAIIAggCCAIIAggCGQIDApgCHgAC/AICAiMCBAIFAgYCBwIIAgkCHAILApcCDQIIAggCCAIIAggCCAIIAggCCAIIAggCCAIIAggCCAIIAggCGQIDAscCHgAC/AICAicCBAIFAgYCBwIIAgkCCgILApcCDQIIAggCCAIIAggCCAIIAggCCAIIAggCCAIIAggCCAIIAggCGQIDAswCHgAC/AICAnYCBAIFAgYCBwIIAgkCCgILApcCDQIIAggCCAIIAggCCAIIAggCCAIIAggCCAIIAggCCAIIAggCGQIDAqQCHgAC/AICAkECBAIFAgYCBwIIAgkCnAILApcCDQIIAggCCAIIAggCCAIIAggCCAIIAggCCAIIAggCCAIIAggCGQIDAqACHgAC/AICAl0CBAIFAgYCBwIIAgkCnAILApcCDQIIAggCCAIIAggCCAIIAggCCAIIAggCCAIIAggCCAIIAggCGQIDAs0CHgAC/AICAkECBAIFAgYCBwIIAgkCHAILApcCDQIIAggCCAIIAggCCAIIAggCCAIIAggCCAIIAggCCAIIAggCGQIDAssCHgAC/AICAmQCBAIFAgYCBwIIAgkCnAILApcCDQIIAggCCAIIAggCCAIIAggCCAIIAggCCAIIAggCCAIIAggCGQIDAtt6AAAEAAIeAAL8AgICNAIEAgUCBgIHAggCCQKcAgsClwINAggCCAIIAggCCAIIAggCCAIIAggCCAIIAggCCAIIAggCCAIZAgMCKgIeAAL8AgICdQIEAgUCBgIHAggCCQIcAgsClwINAggCCAIIAggCCAIIAggCCAIIAggCCAIIAggCCAIIAggCCAIZAgMCmQIeAAL8AgICXQIEAgUCBgIHAggCCQIKAgsClwINAggCCAIIAggCCAIIAggCCAIIAggCCAIIAggCCAIIAggCCAIZAgMC6wIeAAL8AgICIAIEAgUCBgIHAggCCQIKAgsClwINAggCCAIIAggCCAIIAggCCAIIAggCCAIIAggCCAIIAggCCAIZAgMCxAIeAAL8AgICIwIEAgUCBgIHAggCCQIKAgsClwINAggCCAIIAggCCAIIAggCCAIIAggCCAIIAggCCAIIAggCCAIZAgMC1gIeAAL8AgICUAIEAgUCBgIHAggCCQIKAgsClwINAggCCAIIAggCCAIIAggCCAIIAggCCAIIAggCCAIIAggCCAIZAgMCvgIeAAL8AgICTAIEAgUCBgIHAggCCQIKAgsClwINAggCCAIIAggCCAIIAggCCAIIAggCCAIIAggCCAIIAggCCAIZAgMCnQIeAAL8AgICMgIEAgUCBgIHAggCCQIcAgsClwINAggCCAIIAggCCAIIAggCCAIIAggCCAIIAggCCAIIAggCCAIZAgMCxgIeAAL8AgICOwIEAgUCBgIHAggCCQIcAgsClwINAggCCAIIAggCCAIIAggCCAIIAggCCAIIAggCCAIIAggCCAIZAgMC6QIeAAL8AgICOwIEAgUCBgIHAggCCQKcAgsClwINAggCCAIIAggCCAIIAggCCAIIAggCCAIIAggCCAIIAggCCAIZAgMCwQIeAAL8AgICMgIEAgUCBgIHAggCCQKcAgsClwINAggCCAIIAggCCAIIAggCCAIIAggCCAIIAggCCAIIAggCCAIZAgMCngIeAAL8AgICSgIEAgUCBgIHAggCCQKcAgsClwINAggCCAIIAggCCAIIAggCCAIIAggCCAIIAggCCAIIAggCCAIZAgMCuwIeAAL8AgICNwIEAgUCBgIHAggCCQKcAgsClwINAggCCAIIAggCCAIIAggCCAIIAggCCAIIAggCCAIIAggCCAIZAgMCKgIeAAL8AgICSQIEAgUCBgIHAggCCQKcAgsClwINAggCCAIIAggCCAIIAggCCAIIAggCCAIIAggCCAIIAggCCAIZAgMCKgIeAAL8AgICQwIEAgUCBgIHAggCCQIcAgsClwINAggCCAIIAggCCAIIAggCCAIIAggCCAIIAggCCAJ6AAAEAAgCCAIIAhkCAwLDAh4AAvwCAgJJAgQCBQIGAgcCCAIJAhwCCwKXAg0CCAIIAggCCAIIAggCCAIIAggCCAIIAggCCAIIAggCCAIIAhkCAwLlAh4AAvwCAgIpAgQCBQIGAgcCCAIJAhwCCwKXAg0CCAIIAggCCAIIAggCCAIIAggCCAIIAggCCAIIAggCCAIIAhkCAwLnAh4AAvwCAgJDAgQCBQIGAgcCCAIJApwCCwKXAg0CCAIIAggCCAIIAggCCAIIAggCCAIIAggCCAIIAggCCAIIAhkCAwLvAh4AAvwCAgInAgQCBQIGAgcCCAIJApwCCwKXAg0CCAIIAggCCAIIAggCCAIIAggCCAIIAggCCAIIAggCCAIIAhkCAwLCAh4AAvwCAgIpAgQCBQIGAgcCCAIJApwCCwKXAg0CCAIIAggCCAIIAggCCAIIAggCCAIIAggCCAIIAggCCAIIAhkCAwIqAh4AAvwCAgJBAgQCBQIGAgcCCAIJAgoCCwKXAg0CCAIIAggCCAIIAggCCAIIAggCCAIIAggCCAIIAggCCAIIAhkCAwLAAh4AAvwCAgInAgQCBQIGAgcCCAIJAhwCCwKXAg0CCAIIAggCCAIIAggCCAIIAggCCAIIAggCCAIIAggCCAIIAhkCAwLuAh4AAvwCAgIlAgQCBQIGAgcCCAIJApwCCwKXAg0CCAIIAggCCAIIAggCCAIIAggCCAIIAggCCAIIAggCCAIIAhkCAwLqAh4AAvwCAgJFAgQCBQIGAgcCCAIJApwCCwKXAg0CCAIIAggCCAIIAggCCAIIAggCCAIIAggCCAIIAggCCAIIAhkCAwK9Ah4AAvwCAgI0AgQCBQIGAgcCCAIJAgoCCwKXAg0CCAIIAggCCAIIAggCCAIIAggCCAIIAggCCAIIAggCCAIIAhkCAwLgAh4AAvwCAgIeAgQCBQIGAgcCCAIJAgoCCwKXAg0CCAIIAggCCAIIAggCCAIIAggCCAIIAggCCAIIAggCCAIIAhkCAwLoAh4AAvwCAgJQAgQCBQIGAgcCCAIJApwCCwKXAg0CCAIIAggCCAIIAggCCAIIAggCCAIIAggCCAIIAggCCAIIAhkCAwIqAh4AAvwCAgJqAgQCBQIGAgcCCAIJAgoCCwKXAg0CCAIIAggCCAIIAggCCAIIAggCCAIIAggCCAIIAggCCAIIAhkCAwK6Ah4AAvwCAgJkAgQCBQIGAgcCCAIJAgoCCwKXAg0CCAIIAggCCAIIAggCCAIIAggCCAIIAggCCAIIAggCCAIIAhkCAwK2Ah4AAvwCAgIuAgQCBQIGAgcCCAIJAgoCCwKXAg0CCAIIAggCCAIIAggCCAIIAgh6AAAEAAIIAggCCAIIAggCCAIIAggCGQIDAskCHgAC/AICAjcCBAIFAgYCBwIIAgkCHAILApcCDQIIAggCCAIIAggCCAIIAggCCAIIAggCCAIIAggCCAIIAggCGQIDArwCHgAC/AICAiUCBAIFAgYCBwIIAgkCHAILApcCDQIIAggCCAIIAggCCAIIAggCCAIIAggCCAIIAggCCAIIAggCGQIDArUCHgAC/AICAkoCBAIFAgYCBwIIAgkCHAILApcCDQIIAggCCAIIAggCCAIIAggCCAIIAggCCAIIAggCCAIIAggCGQIDAuYCHgAC/AICAkUCBAIFAgYCBwIIAgkCHAILApcCDQIIAggCCAIIAggCCAIIAggCCAIIAggCCAIIAggCCAIIAggCGQIDAuwCHgAC/AICAkkCBAIFAgYCBwIIAgkCCgILApcCDQIIAggCCAIIAggCCAIIAggCCAIIAggCCAIIAggCCAIIAggCGQIDAuMCHgAC/AICAj0CBAIFAgYCBwIIAgkCnAILApcCDQIIAggCCAIIAggCCAIIAggCCAIIAggCCAIIAggCCAIIAggCGQIDAuQCHgAC/AICAmACBAIFAgYCBwIIAgkCCgILApcCDQIIAggCCAIIAggCCAIIAggCCAIIAggCCAIIAggCCAIIAggCGQIDArgCHgAC/AICAiwCBAIFAgYCBwIIAgkCCgILApcCDQIIAggCCAIIAggCCAIIAggCCAIIAggCCAIIAggCCAIIAggCGQIDAt4CHgAC/AICAi8CBAIFAgYCBwIIAgkCHAILApcCDQIIAggCCAIIAggCCAIIAggCCAIIAggCCAIIAggCCAIIAggCGQIDAtwCHgAC/AICAi8CBAIFAgYCBwIIAgkCnAILApcCDQIIAggCCAIIAggCCAIIAggCCAIIAggCCAIIAggCCAIIAggCGQIDArkCHgAC/AICAj0CBAIFAgYCBwIIAgkCHAILApcCDQIIAggCCAIIAggCCAIIAggCCAIIAggCCAIIAggCCAIIAggCGQIDAq8CHgAC/AICAiUCBAIFAgYCBwIIAgkCCgILApcCDQIIAggCCAIIAggCCAIIAggCCAIIAggCCAIIAggCCAIIAggCGQIDArMCHgAC/AICAmoCBAIFAgYCBwIIAgkCHAILApcCDQIIAggCCAIIAggCCAIIAggCCAIIAggCCAIIAggCCAIIAggCGQIDArQCHgAC/AICAkUCBAIFAgYCBwIIAgkCCgILApcCDQIIAggCCAIIAggCCAIIAggCCAIIAggCCAIIAggCCAIIAggCGQIDAuICHgAC/AICAh4CBAIFAgYCBwIIAgkCHAILApcCDQIIAggCCAJ6AAAEAAgCCAIIAggCCAIIAggCCAIIAggCCAIIAggCCAIZAgMCqQIeAAL8AgICHgIEAgUCBgIHAggCCQKcAgsClwINAggCCAIIAggCCAIIAggCCAIIAggCCAIIAggCCAIIAggCCAIZAgMCsgIeAAL8AgICaAIEAgUCBgIHAggCCQKcAgsClwINAggCCAIIAggCCAIIAggCCAIIAggCCAIIAggCCAIIAggCCAIZAgMC3QIeAAL8AgICaAIEAgUCBgIHAggCCQIcAgsClwINAggCCAIIAggCCAIIAggCCAIIAggCCAIIAggCCAIIAggCCAIZAgMCsQIeAAL8AgICagIEAgUCBgIHAggCCQKcAgsClwINAggCCAIIAggCCAIIAggCCAIIAggCCAIIAggCCAIIAggCCAIZAgMC3wIeAAL8AgICLAIEAgUCBgIHAggCCQKcAgsClwINAggCCAIIAggCCAIIAggCCAIIAggCCAIIAggCCAIIAggCCAIZAgMCrgIeAAL8AgICYAIEAgUCBgIHAggCCQKcAgsClwINAggCCAIIAggCCAIIAggCCAIIAggCCAIIAggCCAIIAggCCAIZAgMC2AIeAAL8AgICPQIEAgUCBgIHAggCCQIKAgsClwINAggCCAIIAggCCAIIAggCCAIIAggCCAIIAggCCAIIAggCCAIZAgMC1wIeAAL8AgICLwIEAgUCBgIHAggCCQIKAgsClwINAggCCAIIAggCCAIIAggCCAIIAggCCAIIAggCCAIIAggCCAIZAgMCqgIeAAL8AgICNAIEAgUCBgIHAggCCQIcAgsClwINAggCCAIIAggCCAIIAggCCAIIAggCCAIIAggCCAIIAggCCAIZAgMC1QIeAAL8AgICMgIEAgUCBgIHAggCCQIKAgsClwINAggCCAIIAggCCAIIAggCCAIIAggCCAIIAggCCAIIAggCCAIZAgMC0AIeAAL8AgICLgIEAgUCBgIHAggCCQIcAgsClwINAggCCAIIAggCCAIIAggCCAIIAggCCAIIAggCCAIIAggCCAIZAgMC2QIeAAL8AgICLAIEAgUCBgIHAggCCQIcAgsClwINAggCCAIIAggCCAIIAggCCAIIAggCCAIIAggCCAIIAggCCAIZAgMC2gIeAAL8AgICZAIEAgUCBgIHAggCCQIcAgsClwINAggCCAIIAggCCAIIAggCCAIIAggCCAIIAggCCAIIAggCCAIZAgMCrQIeAAL8AgICdQIEAgUCBgIHAggCCQIKAgsClwINAggCCAIIAggCCAIIAggCCAIIAggCCAIIAggCCAIIAggCCAIZAgMCpQIeAAL8AgICLgIEAgUCBgIHAggCCQKcAgt6AAAEAAKXAg0CCAIIAggCCAIIAggCCAIIAggCCAIIAggCCAIIAggCCAIIAhkCAwIqAh4AAvwCAgJ2AgQCBQIGAgcCCAIJAhwCCwKXAg0CCAIIAggCCAIIAggCCAIIAggCCAIIAggCCAIIAggCCAIIAhkCAwKrAh4AAvwCAgIjAgQCBQIGAgcCCAIJApwCCwKXAg0CCAIIAggCCAIIAggCCAIIAggCCAIIAggCCAIIAggCCAIIAhkCAwKiAh4AAvwCAgJgAgQCBQIGAgcCCAIJAhwCCwKXAg0CCAIIAggCCAIIAggCCAIIAggCCAIIAggCCAIIAggCCAIIAhkCAwKsAh4AAvwCAgJMAgQCBQIGAgcCCAIJAhwCCwKXAg0CCAIIAggCCAIIAggCCAIIAggCCAIIAggCCAIIAggCCAIIAhkCAwKnAh4AAvwCAgJ2AgQCBQIGAgcCCAIJApwCCwKXAg0CCAIIAggCCAIIAggCCAIIAggCCAIIAggCCAIIAggCCAIIAhkCAwLUAh4AAvwCAgIgAgQCBQIGAgcCCAIJAhwCCwKXAg0CCAIIAggCCAIIAggCCAIIAggCCAIIAggCCAIIAggCCAIIAhkCAwLSAh4AAvwCAgJUAgQCBQIGAgcCCAIJAhwCCwKXAg0CCAIIAggCCAIIAggCCAIIAggCCAIIAggCCAIIAggCCAIIAhkCAwKmAh4AAvwCAgJUAgQCBQIGAgcCCAIJApwCCwKXAg0CCAIIAggCCAIIAggCCAIIAggCCAIIAggCCAIIAggCCAIIAhkCAwIqAh4AAvwCAgIgAgQCBQIGAgcCCAIJApwCCwKXAg0CCAIIAggCCAIIAggCCAIIAggCCAIIAggCCAIIAggCCAIIAhkCAwKoAh4AAvwCAgJMAgQCBQIGAgcCCAIJApwCCwKXAg0CCAIIAggCCAIIAggCCAIIAggCCAIIAggCCAIIAggCCAIIAhkCAwLPAh4AAvwCAgJoAgQCBQIGAgcCCAIJAgoCCwKXAg0CCAIIAggCCAIIAggCCAIIAggCCAIIAggCCAIIAggCCAIIAhkCAwLOAh4AAvwCAgIpAgQCBQIGAgcCCAIJAgoCCwKXAg0CCAIIAggCCAIIAggCCAIIAggCCAIIAggCCAIIAggCCAIIAhkCAwLIAh4AAvwCAgI7AgQCBQIGAgcCCAIJAgoCCwKXAg0CCAIIAggCCAIIAggCCAIIAggCCAIIAggCCAIIAggCCAIIAhkCAwLTAh4AAv0ACTUzNTAwMTI2NAICAjcCBAIFAgYCBwIIAgkCCgILAgwCDQIIAggCCAIIAggCCAIIAggCCAIIAggCCAIIAggCCAIIAggCAQIDAoMCHgB6AAAEAAL9AgICTAIEAgUCBgIHAggCCQIKAgsCDAINAggCCAIIAggCCAIIAggCCAIIAggCCAIIAggCCAIIAggCCAIBAgMCTQIeAAL9AgICdQIEAgUCBgIHAggCCQIcAgsCDAINAggCCAIIAggCCAIIAggCCAIIAggCCAIIAggCCAIIAggCCAIBAgMCggIeAAL9AgICXQIEAgUCBgIHAggCCQIcAgsCDAINAggCCAIIAggCCAIIAggCCAIIAggCCAIIAggCCAIIAggCCAIBAgMCiQIeAAL9AgICLAIEAgUCBgIHAggCCQIhAgsCDAINAggCCAIIAggCCAIIAggCCAIIAggCCAIIAggCCAIIAggCCAIBAgMCUwIeAAL9AgICVAIEAgUCBgIHAggCCQIKAgsCDAINAggCCAIIAggCCAIIAggCCAIIAggCCAIIAggCCAIIAggCCAIBAgMCVQIeAAL9AgICNAIEAgUCBgIHAggCCQIhAgsCDAINAggCCAIIAggCCAIIAggCCAIIAggCCAIIAggCCAIIAggCCAIBAgMCKgIeAAL9AgICAwIEAgUCBgIHAggCCQIhAgsCDAINAggCCAIIAggCCAIIAggCCAIIAggCCAIIAggCCAIIAggCCAIBAgMCKgIeAAL9AgICJQIEAgUCBgIHAggCCQIhAgsCDAINAggCCAIIAggCCAIIAggCCAIIAggCCAIIAggCCAIIAggCCAIBAgMCkQIeAAL9AgICXQIEAgUCBgIHAggCCQIKAgsCDAINAggCCAIIAggCCAIIAggCCAIIAggCCAIIAggCCAIIAggCCAIBAgMCfQIeAAL9AgICZAIEAgUCBgIHAggCCQIcAgsCDAINAggCCAIIAggCCAIIAggCCAIIAggCCAIIAggCCAIIAggCCAIBAgMCZQIeAAL9AgICRwIEAgUCBgIHAggCCQIKAgsCDAINAggCCAIIAggCCAIIAggCCAIIAggCCAIIAggCCAIIAggCCAIBAgMCPwIeAAL9AgICLwIEAgUCBgIHAggCCQIhAgsCDAINAggCCAIIAggCCAIIAggCCAIIAggCCAIIAggCCAIIAggCCAIBAgMCfAIeAAL9AgICNwIEAgUCBgIHAggCCQIcAgsCDAINAggCCAIIAggCCAIIAggCCAIIAggCCAIIAggCCAIIAggCCAIBAgMCOAIeAAL9AgICSQIEAgUCBgIHAggCCQIcAgsCDAINAggCCAIIAggCCAIIAggCCAIIAggCCAIIAggCCAIIAggCCAIBAgMCeAIeAAL9AgICQwIEAgUCBgIHAggCCQIcAgsCDAINAggCCAIIAggCCAIIAggCCAIIAggCCAIIAggCCAIIAgh6AAAEAAIIAgECAwJEAh4AAv0CAgIbAgQCBQIGAgcCCAIJAgoCCwIMAg0CCAIIAggCCAIIAggCCAIIAggCCAIIAggCCAIIAggCCAIIAgECAwIxAh4AAv0CAgJ2AgQCBQIGAgcCCAIJAgoCCwIMAg0CCAIIAggCCAIIAggCCAIIAggCCAIIAggCCAIIAggCCAIIAgECAwKHAh4AAv0CAgJkAgQCBQIGAgcCCAIJAgoCCwIMAg0CCAIIAggCCAIIAggCCAIIAggCCAIIAggCCAIIAggCCAIIAgECAwJxAh4AAv0CAgIjAgQCBQIGAgcCCAIJAiECCwIMAg0CCAIIAggCCAIIAggCCAIIAggCCAIIAggCCAIIAggCCAIIAgECAwIkAh4AAv0CAgJFAgQCBQIGAgcCCAIJAhwCCwIMAg0CCAIIAggCCAIIAggCCAIIAggCCAIIAggCCAIIAggCCAIIAgECAwJ5Ah4AAv0CAgIeAgQCBQIGAgcCCAIJAgoCCwIMAg0CCAIIAggCCAIIAggCCAIIAggCCAIIAggCCAIIAggCCAIIAgECAwI6Ah4AAv0CAgI7AgQCBQIGAgcCCAIJAiECCwIMAg0CCAIIAggCCAIIAggCCAIIAggCCAIIAggCCAIIAggCCAIIAgECAwJWAh4AAv0CAgIyAgQCBQIGAgcCCAIJAiECCwIMAg0CCAIIAggCCAIIAggCCAIIAggCCAIIAggCCAIIAggCCAIIAgECAwIzAh4AAv0CAgJgAgQCBQIGAgcCCAIJAgoCCwIMAg0CCAIIAggCCAIIAggCCAIIAggCCAIIAggCCAIIAggCCAIIAgECAwJwAh4AAv0CAgIvAgQCBQIGAgcCCAIJAhwCCwIMAg0CCAIIAggCCAIIAggCCAIIAggCCAIIAggCCAIIAggCCAIIAgECAwIwAh4AAv0CAgInAgQCBQIGAgcCCAIJAiECCwIMAg0CCAIIAggCCAIIAggCCAIIAggCCAIIAggCCAIIAggCCAIIAgECAwIoAh4AAv0CAgJKAgQCBQIGAgcCCAIJAiECCwIMAg0CCAIIAggCCAIIAggCCAIIAggCCAIIAggCCAIIAggCCAIIAgECAwJiAh4AAv0CAgJJAgQCBQIGAgcCCAIJAgoCCwIMAg0CCAIIAggCCAIIAggCCAIIAggCCAIIAggCCAIIAggCCAIIAgECAwJtAh4AAv0CAgIpAgQCBQIGAgcCCAIJAiECCwIMAg0CCAIIAggCCAIIAggCCAIIAggCCAIIAggCCAIIAggCCAIIAgECAwIqAh4AAv0CAgJqAgQCBQIGAgcCCAIJAhwCCwIMAg0CCAIIAggCCAIIAggCCAIIAggCCAJ6AAAEAAgCCAIIAggCCAIIAggCAQIDAmsCHgAC/QICAnYCBAIFAgYCBwIIAgkCIQILAgwCDQIIAggCCAIIAggCCAIIAggCCAIIAggCCAIIAggCCAIIAggCAQIDAncCHgAC/QICAkUCBAIFAgYCBwIIAgkCCgILAgwCDQIIAggCCAIIAggCCAIIAggCCAIIAggCCAIIAggCCAIIAggCAQIDAmcCHgAC/QICAiACBAIFAgYCBwIIAgkCIQILAgwCDQIIAggCCAIIAggCCAIIAggCCAIIAggCCAIIAggCCAIIAggCAQIDAiICHgAC/QICAjICBAIFAgYCBwIIAgkCCgILAgwCDQIIAggCCAIIAggCCAIIAggCCAIIAggCCAIIAggCCAIIAggCAQIDAl8CHgAC/QICAi8CBAIFAgYCBwIIAgkCCgILAgwCDQIIAggCCAIIAggCCAIIAggCCAIIAggCCAIIAggCCAIIAggCAQIDAlwCHgAC/QICAl0CBAIFAgYCBwIIAgkCIQILAgwCDQIIAggCCAIIAggCCAIIAggCCAIIAggCCAIIAggCCAIIAggCAQIDAl4CHgAC/QICAi4CBAIFAgYCBwIIAgkCHAILAgwCDQIIAggCCAIIAggCCAIIAggCCAIIAggCCAIIAggCCAIIAggCAQIDAmMCHgAC/QICAmACBAIFAgYCBwIIAgkCHAILAgwCDQIIAggCCAIIAggCCAIIAggCCAIIAggCCAIIAggCCAIIAggCAQIDAmECHgAC/QICAjsCBAIFAgYCBwIIAgkCCgILAgwCDQIIAggCCAIIAggCCAIIAggCCAIIAggCCAIIAggCCAIIAggCAQIDAlsCHgAC/QICAh4CBAIFAgYCBwIIAgkCIQILAgwCDQIIAggCCAIIAggCCAIIAggCCAIIAggCCAIIAggCCAIIAggCAQIDAlkCHgAC/QICAhsCBAIFAgYCBwIIAgkCIQILAgwCDQIIAggCCAIIAggCCAIIAggCCAIIAggCCAIIAggCCAIIAggCAQIDAioCHgAC/QICAlQCBAIFAgYCBwIIAgkCHAILAgwCDQIIAggCCAIIAggCCAIIAggCCAIIAggCCAIIAggCCAIIAggCAQIDAloCHgAC/QICAkcCBAIFAgYCBwIIAgkCHAILAgwCDQIIAggCCAIIAggCCAIIAggCCAIIAggCCAIIAggCCAIIAggCAQIDAkgCHgAC/QICAkwCBAIFAgYCBwIIAgkCHAILAgwCDQIIAggCCAIIAggCCAIIAggCCAIIAggCCAIIAggCCAIIAggCAQIDAlgCHgAC/QICAikCBAIFAgYCBwIIAgkCCgILAgwCDQIIAggCCAIIAgh6AAAEAAIIAggCCAIIAggCCAIIAggCCAIIAggCCAIBAgMCUgIeAAL9AgICKwIEAgUCBgIHAggCCQIcAgsCDAINAggCCAIIAggCCAIIAggCCAIIAggCCAIIAggCCAIIAggCCAIBAgMCSAIeAAL9AgICSQIEAgUCBgIHAggCCQIhAgsCDAINAggCCAIIAggCCAIIAggCCAIIAggCCAIIAggCCAIIAggCCAIBAgMCKgIeAAL9AgICSgIEAgUCBgIHAggCCQIKAgsCDAINAggCCAIIAggCCAIIAggCCAIIAggCCAIIAggCCAIIAggCCAIBAgMCSwIeAAL9AgICYAIEAgUCBgIHAggCCQIhAgsCDAINAggCCAIIAggCCAIIAggCCAIIAggCCAIIAggCCAIIAggCCAIBAgMCgAIeAAL9AgICIAIEAgUCBgIHAggCCQIKAgsCDAINAggCCAIIAggCCAIIAggCCAIIAggCCAIIAggCCAIIAggCCAIBAgMCgQIeAAL9AgICJwIEAgUCBgIHAggCCQIKAgsCDAINAggCCAIIAggCCAIIAggCCAIIAggCCAIIAggCCAIIAggCCAIBAgMCVwIeAAL9AgICZAIEAgUCBgIHAggCCQIhAgsCDAINAggCCAIIAggCCAIIAggCCAIIAggCCAIIAggCCAIIAggCCAIBAgMChAIeAAL9AgICQQIEAgUCBgIHAggCCQIcAgsCDAINAggCCAIIAggCCAIIAggCCAIIAggCCAIIAggCCAIIAggCCAIBAgMCTwIeAAL9AgICIwIEAgUCBgIHAggCCQIKAgsCDAINAggCCAIIAggCCAIIAggCCAIIAggCCAIIAggCCAIIAggCCAIBAgMCfgIeAAL9AgICNAIEAgUCBgIHAggCCQIcAgsCDAINAggCCAIIAggCCAIIAggCCAIIAggCCAIIAggCCAIIAggCCAIBAgMCkgIeAAL9AgICQQIEAgUCBgIHAggCCQIKAgsCDAINAggCCAIIAggCCAIIAggCCAIIAggCCAIIAggCCAIIAggCCAIBAgMCQgIeAAL9AgICOwIEAgUCBgIHAggCCQIcAgsCDAINAggCCAIIAggCCAIIAggCCAIIAggCCAIIAggCCAIIAggCCAIBAgMCPAIeAAL9AgICMgIEAgUCBgIHAggCCQIcAgsCDAINAggCCAIIAggCCAIIAggCCAIIAggCCAIIAggCCAIIAggCCAIBAgMCTgIeAAL9AgICRQIEAgUCBgIHAggCCQIhAgsCDAINAggCCAIIAggCCAIIAggCCAIIAggCCAIIAggCCAIIAggCCAIBAgMCRgIeAAL9AgICUAIEAgUCBgIHAggCCQIKAgsCDAJ6AAAEAA0CCAIIAggCCAIIAggCCAIIAggCCAIIAggCCAIIAggCCAIIAgECAwJ/Ah4AAv0CAgJAAgQCBQIGAgcCCAIJAiECCwIMAg0CCAIIAggCCAIIAggCCAIIAggCCAIIAggCCAIIAggCCAIIAgECAwIqAh4AAv0CAgI9AgQCBQIGAgcCCAIJAiECCwIMAg0CCAIIAggCCAIIAggCCAIIAggCCAIIAggCCAIIAggCCAIIAgECAwI+Ah4AAv0CAgIpAgQCBQIGAgcCCAIJAhwCCwIMAg0CCAIIAggCCAIIAggCCAIIAggCCAIIAggCCAIIAggCCAIIAgECAwJ7Ah4AAv0CAgIrAgQCBQIGAgcCCAIJAgoCCwIMAg0CCAIIAggCCAIIAggCCAIIAggCCAIIAggCCAIIAggCCAIIAgECAwI/Ah4AAv0CAgJqAgQCBQIGAgcCCAIJAgoCCwIMAg0CCAIIAggCCAIIAggCCAIIAggCCAIIAggCCAIIAggCCAIIAgECAwJzAh4AAv0CAgInAgQCBQIGAgcCCAIJAhwCCwIMAg0CCAIIAggCCAIIAggCCAIIAggCCAIIAggCCAIIAggCCAIIAgECAwJ6Ah4AAv0CAgIuAgQCBQIGAgcCCAIJAgoCCwIMAg0CCAIIAggCCAIIAggCCAIIAggCCAIIAggCCAIIAggCCAIIAgECAwJyAh4AAv0CAgIDAgQCBQIGAgcCCAIJAhwCCwIMAg0CCAIIAggCCAIIAggCCAIIAggCCAIIAggCCAIIAggCCAIIAgECAwI5Ah4AAv0CAgJoAgQCBQIGAgcCCAIJAiECCwIMAg0CCAIIAggCCAIIAggCCAIIAggCCAIIAggCCAIIAggCCAIIAgECAwKGAh4AAv0CAgJQAgQCBQIGAgcCCAIJAhwCCwIMAg0CCAIIAggCCAIIAggCCAIIAggCCAIIAggCCAIIAggCCAIIAgECAwJRAh4AAv0CAgJ1AgQCBQIGAgcCCAIJAiECCwIMAg0CCAIIAggCCAIIAggCCAIIAggCCAIIAggCCAIIAggCCAIIAgECAwIqAh4AAv0CAgIlAgQCBQIGAgcCCAIJAhwCCwIMAg0CCAIIAggCCAIIAggCCAIIAggCCAIIAggCCAIIAggCCAIIAgECAwI2Ah4AAv0CAgI0AgQCBQIGAgcCCAIJAgoCCwIMAg0CCAIIAggCCAIIAggCCAIIAggCCAIIAggCCAIIAggCCAIIAgECAwI1Ah4AAv0CAgJKAgQCBQIGAgcCCAIJAhwCCwIMAg0CCAIIAggCCAIIAggCCAIIAggCCAIIAggCCAIIAggCCAIIAgECAwJ0Ah4AAv0CAgIsAgQCBQIGAgd6AAAEAAIIAgkCCgILAgwCDQIIAggCCAIIAggCCAIIAggCCAIIAggCCAIIAggCCAIIAggCAQIDAi0CHgAC/QICAkACBAIFAgYCBwIIAgkCHAILAgwCDQIIAggCCAIIAggCCAIIAggCCAIIAggCCAIIAggCCAIIAggCAQIDAm8CHgAC/QICAkMCBAIFAgYCBwIIAgkCIQILAgwCDQIIAggCCAIIAggCCAIIAggCCAIIAggCCAIIAggCCAIIAggCAQIDAmwCHgAC/QICAgMCBAIFAgYCBwIIAgkCCgILAgwCDQIIAggCCAIIAggCCAIIAggCCAIIAggCCAIIAggCCAIIAggCAQIDAg4CHgAC/QICAi4CBAIFAgYCBwIIAgkCIQILAgwCDQIIAggCCAIIAggCCAIIAggCCAIIAggCCAIIAggCCAIIAggCAQIDAioCHgAC/QICAj0CBAIFAgYCBwIIAgkCHAILAgwCDQIIAggCCAIIAggCCAIIAggCCAIIAggCCAIIAggCCAIIAggCAQIDAm4CHgAC/QICAh4CBAIFAgYCBwIIAgkCHAILAgwCDQIIAggCCAIIAggCCAIIAggCCAIIAggCCAIIAggCCAIIAggCAQIDAh8CHgAC/QICAkcCBAIFAgYCBwIIAgkCIQILAgwCDQIIAggCCAIIAggCCAIIAggCCAIIAggCCAIIAggCCAIIAggCAQIDAioCHgAC/QICAhsCBAIFAgYCBwIIAgkCHAILAgwCDQIIAggCCAIIAggCCAIIAggCCAIIAggCCAIIAggCCAIIAggCAQIDAh0CHgAC/QICAiUCBAIFAgYCBwIIAgkCCgILAgwCDQIIAggCCAIIAggCCAIIAggCCAIIAggCCAIIAggCCAIIAggCAQIDAiYCHgAC/QICAlQCBAIFAgYCBwIIAgkCIQILAgwCDQIIAggCCAIIAggCCAIIAggCCAIIAggCCAIIAggCCAIIAggCAQIDAioCHgAC/QICAkwCBAIFAgYCBwIIAgkCIQILAgwCDQIIAggCCAIIAggCCAIIAggCCAIIAggCCAIIAggCCAIIAggCAQIDAmYCHgAC/QICAjcCBAIFAgYCBwIIAgkCIQILAgwCDQIIAggCCAIIAggCCAIIAggCCAIIAggCCAIIAggCCAIIAggCAQIDAioCHgAC/QICAkACBAIFAgYCBwIIAgkCCgILAgwCDQIIAggCCAIIAggCCAIIAggCCAIIAggCCAIIAggCCAIIAggCAQIDAo8CHgAC/QICAmgCBAIFAgYCBwIIAgkCHAILAgwCDQIIAggCCAIIAggCCAIIAggCCAIIAggCCAIIAggCCAIIAggCAQIDAmkCHgAC/QJ6AAAEAAICdQIEAgUCBgIHAggCCQIKAgsCDAINAggCCAIIAggCCAIIAggCCAIIAggCCAIIAggCCAIIAggCCAIBAgMCjQIeAAL9AgICaAIEAgUCBgIHAggCCQIKAgsCDAINAggCCAIIAggCCAIIAggCCAIIAggCCAIIAggCCAIIAggCCAIBAgMCiwIeAAL9AgICKwIEAgUCBgIHAggCCQIhAgsCDAINAggCCAIIAggCCAIIAggCCAIIAggCCAIIAggCCAIIAggCCAIBAgMCKgIeAAL9AgICPQIEAgUCBgIHAggCCQIKAgsCDAINAggCCAIIAggCCAIIAggCCAIIAggCCAIIAggCCAIIAggCCAIBAgMCkwIeAAL9AgICUAIEAgUCBgIHAggCCQIhAgsCDAINAggCCAIIAggCCAIIAggCCAIIAggCCAIIAggCCAIIAggCCAIBAgMCKgIeAAL9AgICQQIEAgUCBgIHAggCCQIhAgsCDAINAggCCAIIAggCCAIIAggCCAIIAggCCAIIAggCCAIIAggCCAIBAgMCjgIeAAL9AgICLAIEAgUCBgIHAggCCQIcAgsCDAINAggCCAIIAggCCAIIAggCCAIIAggCCAIIAggCCAIIAggCCAIBAgMClAIeAAL9AgICdgIEAgUCBgIHAggCCQIcAgsCDAINAggCCAIIAggCCAIIAggCCAIIAggCCAIIAggCCAIIAggCCAIBAgMCkAIeAAL9AgICIwIEAgUCBgIHAggCCQIcAgsCDAINAggCCAIIAggCCAIIAggCCAIIAggCCAIIAggCCAIIAggCCAIBAgMCiAIeAAL9AgICIAIEAgUCBgIHAggCCQIcAgsCDAINAggCCAIIAggCCAIIAggCCAIIAggCCAIIAggCCAIIAggCCAIBAgMCjAIeAAL9AgICQwIEAgUCBgIHAggCCQIKAgsCDAINAggCCAIIAggCCAIIAggCCAIIAggCCAIIAggCCAIIAggCCAIBAgMChQIeAAL9AgICagIEAgUCBgIHAggCCQIhAgsCDAINAggCCAIIAggCCAIIAggCCAIIAggCCAIIAggCCAIIAggCCAIBAgMCigIeAAL+AAk1NDE2NDAxMjgCAgIeAgQCBQIGAgcCCAIJApwCCwKXAg0CCAIIAggCCAIIAggCCAIIAggCCAIIAggCCAIIAggCCAIIAh8CAwKyAh4AAv4CAgJoAgQCBQIGAgcCCAIJAhwCCwKXAg0CCAIIAggCCAIIAggCCAIIAggCCAIIAggCCAIIAggCCAIIAh8CAwKxAh4AAv4CAgIvAgQCBQIGAgcCCAIJAhwCCwKXAg0CCAIIAggCCAIIAggCCAIIAggCCAIIAgh6AAAEAAIIAggCCAIIAggCHwIDAtwCHgAC/gICAmACBAIFAgYCBwIIAgkCCgILApcCDQIIAggCCAIIAggCCAIIAggCCAIIAggCCAIIAggCCAIIAggCHwIDArgCHgAC/gICAj0CBAIFAgYCBwIIAgkCHAILApcCDQIIAggCCAIIAggCCAIIAggCCAIIAggCCAIIAggCCAIIAggCHwIDAq8CHgAC/gICAmoCBAIFAgYCBwIIAgkCnAILApcCDQIIAggCCAIIAggCCAIIAggCCAIIAggCCAIIAggCCAIIAggCHwIDAt8CHgAC/gICAkUCBAIFAgYCBwIIAgkCCgILApcCDQIIAggCCAIIAggCCAIIAggCCAIIAggCCAIIAggCCAIIAggCHwIDAuICHgAC/gICAkkCBAIFAgYCBwIIAgkCCgILApcCDQIIAggCCAIIAggCCAIIAggCCAIIAggCCAIIAggCCAIIAggCHwIDAuMCHgAC/gICAiUCBAIFAgYCBwIIAgkCCgILApcCDQIIAggCCAIIAggCCAIIAggCCAIIAggCCAIIAggCCAIIAggCHwIDArMCHgAC/gICAnYCBAIFAgYCBwIIAgkCnAILApcCDQIIAggCCAIIAggCCAIIAggCCAIIAggCCAIIAggCCAIIAggCHwIDAtQCHgAC/gICAj0CBAIFAgYCBwIIAgkCnAILApcCDQIIAggCCAIIAggCCAIIAggCCAIIAggCCAIIAggCCAIIAggCHwIDAuQCHgAC/gICAiUCBAIFAgYCBwIIAgkCHAILApcCDQIIAggCCAIIAggCCAIIAggCCAIIAggCCAIIAggCCAIIAggCHwIDArUCHgAC/gICAkUCBAIFAgYCBwIIAgkCHAILApcCDQIIAggCCAIIAggCCAIIAggCCAIIAggCCAIIAggCCAIIAggCHwIDAuwCHgAC/gICAjsCBAIFAgYCBwIIAgkCCgILApcCDQIIAggCCAIIAggCCAIIAggCCAIIAggCCAIIAggCCAIIAggCHwIDAtMCHgAC/gICAi8CBAIFAgYCBwIIAgkCnAILApcCDQIIAggCCAIIAggCCAIIAggCCAIIAggCCAIIAggCCAIIAggCHwIDArkCHgAC/gICAkoCBAIFAgYCBwIIAgkCnAILApcCDQIIAggCCAIIAggCCAIIAggCCAIIAggCCAIIAggCCAIIAggCHwIDArsCHgAC/gICAjcCBAIFAgYCBwIIAgkCnAILApcCDQIIAggCCAIIAggCCAIIAggCCAIIAggCCAIIAggCCAIIAggCHwIDAioCHgAC/gICAjQCBAIFAgYCBwIIAgkCCgILApcCDQIIAggCCAIIAggCCAJ6AAAEAAgCCAIIAggCCAIIAggCCAIIAggCCAIfAgMC4AIeAAL+AgICJQIEAgUCBgIHAggCCQKcAgsClwINAggCCAIIAggCCAIIAggCCAIIAggCCAIIAggCCAIIAggCCAIfAgMC6gIeAAL+AgICLAIEAgUCBgIHAggCCQIKAgsClwINAggCCAIIAggCCAIIAggCCAIIAggCCAIIAggCCAIIAggCCAIfAgMC3gIeAAL+AgICZAIEAgUCBgIHAggCCQIKAgsClwINAggCCAIIAggCCAIIAggCCAIIAggCCAIIAggCCAIIAggCCAIfAgMCtgIeAAL+AgICNwIEAgUCBgIHAggCCQIcAgsClwINAggCCAIIAggCCAIIAggCCAIIAggCCAIIAggCCAIIAggCCAIfAgMCvAIeAAL+AgICSgIEAgUCBgIHAggCCQIcAgsClwINAggCCAIIAggCCAIIAggCCAIIAggCCAIIAggCCAIIAggCCAIfAgMC5gIeAAL+AgICHgIEAgUCBgIHAggCCQIKAgsClwINAggCCAIIAggCCAIIAggCCAIIAggCCAIIAggCCAIIAggCCAIfAgMC6AIeAAL+AgICRQIEAgUCBgIHAggCCQKcAgsClwINAggCCAIIAggCCAIIAggCCAIIAggCCAIIAggCCAIIAggCCAIfAgMCvQIeAAL+AgICIwIEAgUCBgIHAggCCQKcAgsClwINAggCCAIIAggCCAIIAggCCAIIAggCCAIIAggCCAIIAggCCAIfAgMCogIeAAL+AgICJwIEAgUCBgIHAggCCQIcAgsClwINAggCCAIIAggCCAIIAggCCAIIAggCCAIIAggCCAIIAggCCAIfAgMC7gIeAAL+AgICSQIEAgUCBgIHAggCCQKcAgsClwINAggCCAIIAggCCAIIAggCCAIIAggCCAIIAggCCAIIAggCCAIfAgMCKgIeAAL+AgICagIEAgUCBgIHAggCCQIKAgsClwINAggCCAIIAggCCAIIAggCCAIIAggCCAIIAggCCAIIAggCCAIfAgMCugIeAAL+AgICSQIEAgUCBgIHAggCCQIcAgsClwINAggCCAIIAggCCAIIAggCCAIIAggCCAIIAggCCAIIAggCCAIfAgMC5QIeAAL+AgICQQIEAgUCBgIHAggCCQIKAgsClwINAggCCAIIAggCCAIIAggCCAIIAggCCAIIAggCCAIIAggCCAIfAgMCwAIeAAL+AgICJwIEAgUCBgIHAggCCQKcAgsClwINAggCCAIIAggCCAIIAggCCAIIAggCCAIIAggCCAIIAggCCAIfAgMCwgIeAAL+AgICOwIEAgUCBgIHAggCCQIcAgsClwINAgh6AAAEAAIIAggCCAIIAggCCAIIAggCCAIIAggCCAIIAggCCAIIAh8CAwLpAh4AAv4CAgJDAgQCBQIGAgcCCAIJApwCCwKXAg0CCAIIAggCCAIIAggCCAIIAggCCAIIAggCCAIIAggCCAIIAh8CAwLvAh4AAv4CAgJDAgQCBQIGAgcCCAIJAhwCCwKXAg0CCAIIAggCCAIIAggCCAIIAggCCAIIAggCCAIIAggCCAIIAh8CAwLDAh4AAv4CAgI7AgQCBQIGAgcCCAIJApwCCwKXAg0CCAIIAggCCAIIAggCCAIIAggCCAIIAggCCAIIAggCCAIIAh8CAwLBAh4AAv4CAgJoAgQCBQIGAgcCCAIJApwCCwKXAg0CCAIIAggCCAIIAggCCAIIAggCCAIIAggCCAIIAggCCAIIAh8CAwLdAh4AAv4CAgJdAgQCBQIGAgcCCAIJAgoCCwKXAg0CCAIIAggCCAIIAggCCAIIAggCCAIIAggCCAIIAggCCAIIAh8CAwLrAh4AAv4CAgJMAgQCBQIGAgcCCAIJAgoCCwKXAg0CCAIIAggCCAIIAggCCAIIAggCCAIIAggCCAIIAggCCAIIAh8CAwKdAh4AAv4CAgIgAgQCBQIGAgcCCAIJAgoCCwKXAg0CCAIIAggCCAIIAggCCAIIAggCCAIIAggCCAIIAggCCAIIAh8CAwLEAh4AAv4CAgIyAgQCBQIGAgcCCAIJAhwCCwKXAg0CCAIIAggCCAIIAggCCAIIAggCCAIIAggCCAIIAggCCAIIAh8CAwLGAh4AAv4CAgIyAgQCBQIGAgcCCAIJApwCCwKXAg0CCAIIAggCCAIIAggCCAIIAggCCAIIAggCCAIIAggCCAIIAh8CAwKeAh4AAv4CAgI3AgQCBQIGAgcCCAIJAgoCCwKXAg0CCAIIAggCCAIIAggCCAIIAggCCAIIAggCCAIIAggCCAIIAh8CAwKaAh4AAv4CAgJKAgQCBQIGAgcCCAIJAgoCCwKXAg0CCAIIAggCCAIIAggCCAIIAggCCAIIAggCCAIIAggCCAIIAh8CAwLFAh4AAv4CAgJ1AgQCBQIGAgcCCAIJApwCCwKXAg0CCAIIAggCCAIIAggCCAIIAggCCAIIAggCCAIIAggCCAIIAh8CAwIqAh4AAv4CAgJ1AgQCBQIGAgcCCAIJAhwCCwKXAg0CCAIIAggCCAIIAggCCAIIAggCCAIIAggCCAIIAggCCAIIAh8CAwKZAh4AAv4CAgJBAgQCBQIGAgcCCAIJApwCCwKXAg0CCAIIAggCCAIIAggCCAIIAggCCAIIAggCCAIIAggCCAIIAh8CAwKgAh4AAv4CAgJdAgQCBQIGAgcCCAJ6AAAEAAkCHAILApcCDQIIAggCCAIIAggCCAIIAggCCAIIAggCCAIIAggCCAIIAggCHwIDAqMCHgAC/gICAnYCBAIFAgYCBwIIAgkCCgILApcCDQIIAggCCAIIAggCCAIIAggCCAIIAggCCAIIAggCCAIIAggCHwIDAqQCHgAC/gICAicCBAIFAgYCBwIIAgkCCgILApcCDQIIAggCCAIIAggCCAIIAggCCAIIAggCCAIIAggCCAIIAggCHwIDAswCHgAC/gICAkECBAIFAgYCBwIIAgkCHAILApcCDQIIAggCCAIIAggCCAIIAggCCAIIAggCCAIIAggCCAIIAggCHwIDAssCHgAC/gICAiMCBAIFAgYCBwIIAgkCHAILApcCDQIIAggCCAIIAggCCAIIAggCCAIIAggCCAIIAggCCAIIAggCHwIDAscCHgAC/gICAl0CBAIFAgYCBwIIAgkCnAILApcCDQIIAggCCAIIAggCCAIIAggCCAIIAggCCAIIAggCCAIIAggCHwIDAs0CHgAC/gICAkwCBAIFAgYCBwIIAgkCHAILApcCDQIIAggCCAIIAggCCAIIAggCCAIIAggCCAIIAggCCAIIAggCHwIDAqcCHgAC/gICAi4CBAIFAgYCBwIIAgkCCgILApcCDQIIAggCCAIIAggCCAIIAggCCAIIAggCCAIIAggCCAIIAggCHwIDAskCHgAC/gICAkMCBAIFAgYCBwIIAgkCCgILApcCDQIIAggCCAIIAggCCAIIAggCCAIIAggCCAIIAggCCAIIAggCHwIDAqECHgAC/gICAiwCBAIFAgYCBwIIAgkCHAILApcCDQIIAggCCAIIAggCCAIIAggCCAIIAggCCAIIAggCCAIIAggCHwIDAtoCHgAC/gICAmACBAIFAgYCBwIIAgkCHAILApcCDQIIAggCCAIIAggCCAIIAggCCAIIAggCCAIIAggCCAIIAggCHwIDAqwCHgAC/gICAkwCBAIFAgYCBwIIAgkCnAILApcCDQIIAggCCAIIAggCCAIIAggCCAIIAggCCAIIAggCCAIIAggCHwIDAs8CHgAC/gICAmgCBAIFAgYCBwIIAgkCCgILApcCDQIIAggCCAIIAggCCAIIAggCCAIIAggCCAIIAggCCAIIAggCHwIDAs4CHgAC/gICAiwCBAIFAgYCBwIIAgkCnAILApcCDQIIAggCCAIIAggCCAIIAggCCAIIAggCCAIIAggCCAIIAggCHwIDAq4CHgAC/gICAiACBAIFAgYCBwIIAgkCnAILApcCDQIIAggCCAIIAggCCAIIAggCCAIIAggCCAIIAggCCAIIAggCHwIDAqgCHgAC/gICAiB6AAAEAAIEAgUCBgIHAggCCQIcAgsClwINAggCCAIIAggCCAIIAggCCAIIAggCCAIIAggCCAIIAggCCAIfAgMC0gIeAAL+AgICYAIEAgUCBgIHAggCCQKcAgsClwINAggCCAIIAggCCAIIAggCCAIIAggCCAIIAggCCAIIAggCCAIfAgMC2AIeAAL+AgICdQIEAgUCBgIHAggCCQIKAgsClwINAggCCAIIAggCCAIIAggCCAIIAggCCAIIAggCCAIIAggCCAIfAgMCpQIeAAL+AgICMgIEAgUCBgIHAggCCQIKAgsClwINAggCCAIIAggCCAIIAggCCAIIAggCCAIIAggCCAIIAggCCAIfAgMC0AIeAAL+AgICZAIEAgUCBgIHAggCCQIcAgsClwINAggCCAIIAggCCAIIAggCCAIIAggCCAIIAggCCAIIAggCCAIfAgMCrQIeAAL+AgICNAIEAgUCBgIHAggCCQIcAgsClwINAggCCAIIAggCCAIIAggCCAIIAggCCAIIAggCCAIIAggCCAIfAgMC1QIeAAL+AgICdgIEAgUCBgIHAggCCQIcAgsClwINAggCCAIIAggCCAIIAggCCAIIAggCCAIIAggCCAIIAggCCAIfAgMCqwIeAAL+AgICHgIEAgUCBgIHAggCCQIcAgsClwINAggCCAIIAggCCAIIAggCCAIIAggCCAIIAggCCAIIAggCCAIfAgMCqQIeAAL+AgICagIEAgUCBgIHAggCCQIcAgsClwINAggCCAIIAggCCAIIAggCCAIIAggCCAIIAggCCAIIAggCCAIfAgMCtAIeAAL+AgICLgIEAgUCBgIHAggCCQKcAgsClwINAggCCAIIAggCCAIIAggCCAIIAggCCAIIAggCCAIIAggCCAIfAgMCKgIeAAL+AgICLgIEAgUCBgIHAggCCQIcAgsClwINAggCCAIIAggCCAIIAggCCAIIAggCCAIIAggCCAIIAggCCAIfAgMC2QIeAAL+AgICZAIEAgUCBgIHAggCCQKcAgsClwINAggCCAIIAggCCAIIAggCCAIIAggCCAIIAggCCAIIAggCCAIfAgMC2wIeAAL+AgICNAIEAgUCBgIHAggCCQKcAgsClwINAggCCAIIAggCCAIIAggCCAIIAggCCAIIAggCCAIIAggCCAIfAgMCKgIeAAL+AgICIwIEAgUCBgIHAggCCQIKAgsClwINAggCCAIIAggCCAIIAggCCAIIAggCCAIIAggCCAIIAggCCAIfAgMC1gIeAAL+AgICPQIEAgUCBgIHAggCCQIKAgsClwINAggCCAIIAggCCAIIAggCCAIIAggCCAIIAggCCAIIAggCCAIfAgN6AAAEAALXAh4AAv4CAgIvAgQCBQIGAgcCCAIJAgoCCwKXAg0CCAIIAggCCAIIAggCCAIIAggCCAIIAggCCAIIAggCCAIIAh8CAwKqAh4AAv8ACTU0MTYzNDMyOAICAi8CBAIFAgYCBwIIAgkCCgILAgwCDQIIAggCCAIIAggCCAIIAggCCAIIAggCCAIIAggCCAIIAggCGgIDAlwCHgAC/wICAicCBAIFAgYCBwIIAgkCHAILAgwCDQIIAggCCAIIAggCCAIIAggCCAIIAggCCAIIAggCCAIIAggCGgIDAnoCHgAC/wICAj0CBAIFAgYCBwIIAgkCCgILAgwCDQIIAggCCAIIAggCCAIIAggCCAIIAggCCAIIAggCCAIIAggCGgIDApMCHgAC/wICAkMCBAIFAgYCBwIIAgkCHAILAgwCDQIIAggCCAIIAggCCAIIAggCCAIIAggCCAIIAggCCAIIAggCGgIDAkQCHgAC/wICAl0CBAIFAgYCBwIIAgkCIQILAgwCDQIIAggCCAIIAggCCAIIAggCCAIIAggCCAIIAggCCAIIAggCGgIDAl4CHgAC/wICAnYCBAIFAgYCBwIIAgkCHAILAgwCDQIIAggCCAIIAggCCAIIAggCCAIIAggCCAIIAggCCAIIAggCGgIDApACHgAC/wICAi4CBAIFAgYCBwIIAgkCHAILAgwCDQIIAggCCAIIAggCCAIIAggCCAIIAggCCAIIAggCCAIIAggCGgIDAmMCHgAC/wICAlACBAIFAgYCBwIIAgkCIQILAgwCDQIIAggCCAIIAggCCAIIAggCCAIIAggCCAIIAggCCAIIAggCGgIDAioCHgAC/wICAkwCBAIFAgYCBwIIAgkCHAILAgwCDQIIAggCCAIIAggCCAIIAggCCAIIAggCCAIIAggCCAIIAggCGgIDAlgCHgAC/wICAiACBAIFAgYCBwIIAgkCHAILAgwCDQIIAggCCAIIAggCCAIIAggCCAIIAggCCAIIAggCCAIIAggCGgIDAowCHgAC/wICAlQCBAIFAgYCBwIIAgkCHAILAgwCDQIIAggCCAIIAggCCAIIAggCCAIIAggCCAIIAggCCAIIAggCGgIDAloCHgAC/wICAiMCBAIFAgYCBwIIAgkCIQILAgwCDQIIAggCCAIIAggCCAIIAggCCAIIAggCCAIIAggCCAIIAggCGgIDAiQCHgAC/wICAjICBAIFAgYCBwIIAgkCIQILAgwCDQIIAggCCAIIAggCCAIIAggCCAIIAggCCAIIAggCCAIIAggCGgIDAjMCHgAC/wICAkoCBAIFAgYCBwIIAgkCHAILAgwCDQIIAggCCAIIAggCCAIIAgh6AAAEAAIIAggCCAIIAggCCAIIAggCCAIaAgMCdAIeAAL/AgICNwIEAgUCBgIHAggCCQIcAgsCDAINAggCCAIIAggCCAIIAggCCAIIAggCCAIIAggCCAIIAggCCAIaAgMCOAIeAAL/AgICaAIEAgUCBgIHAggCCQIKAgsCDAINAggCCAIIAggCCAIIAggCCAIIAggCCAIIAggCCAIIAggCCAIaAgMCiwIeAAL/AgICdQIEAgUCBgIHAggCCQIhAgsCDAINAggCCAIIAggCCAIIAggCCAIIAggCCAIIAggCCAIIAggCCAIaAgMCKgIeAAL/AgICQQIEAgUCBgIHAggCCQIhAgsCDAINAggCCAIIAggCCAIIAggCCAIIAggCCAIIAggCCAIIAggCCAIaAgMCjgIeAAL/AgICagIEAgUCBgIHAggCCQIKAgsCDAINAggCCAIIAggCCAIIAggCCAIIAggCCAIIAggCCAIIAggCCAIaAgMCcwIeAAL/AgICHgIEAgUCBgIHAggCCQIKAgsCDAINAggCCAIIAggCCAIIAggCCAIIAggCCAIIAggCCAIIAggCCAIaAgMCOgIeAAL/AgICSQIEAgUCBgIHAggCCQIKAgsCDAINAggCCAIIAggCCAIIAggCCAIIAggCCAIIAggCCAIIAggCCAIaAgMCbQIeAAL/AgICNwIEAgUCBgIHAggCCQIKAgsCDAINAggCCAIIAggCCAIIAggCCAIIAggCCAIIAggCCAIIAggCCAIaAgMCgwIeAAL/AgICSgIEAgUCBgIHAggCCQIKAgsCDAINAggCCAIIAggCCAIIAggCCAIIAggCCAIIAggCCAIIAggCCAIaAgMCSwIeAAL/AgICPQIEAgUCBgIHAggCCQIcAgsCDAINAggCCAIIAggCCAIIAggCCAIIAggCCAIIAggCCAIIAggCCAIaAgMCbgIeAAL/AgICQwIEAgUCBgIHAggCCQIKAgsCDAINAggCCAIIAggCCAIIAggCCAIIAggCCAIIAggCCAIIAggCCAIaAgMChQIeAAL/AgICIwIEAgUCBgIHAggCCQIcAgsCDAINAggCCAIIAggCCAIIAggCCAIIAggCCAIIAggCCAIIAggCCAIaAgMCiAIeAAL/AgICNAIEAgUCBgIHAggCCQIhAgsCDAINAggCCAIIAggCCAIIAggCCAIIAggCCAIIAggCCAIIAggCCAIaAgMCKgIeAAL/AgICJwIEAgUCBgIHAggCCQIKAgsCDAINAggCCAIIAggCCAIIAggCCAIIAggCCAIIAggCCAIIAggCCAIaAgMCVwIeAAL/AgICLwIEAgUCBgIHAggCCQIcAgsCDAINAggCCAJ6AAAEAAgCCAIIAggCCAIIAggCCAIIAggCCAIIAggCCAIIAhoCAwIwAh4AAv8CAgIlAgQCBQIGAgcCCAIJAgoCCwIMAg0CCAIIAggCCAIIAggCCAIIAggCCAIIAggCCAIIAggCCAIIAhoCAwImAh4AAv8CAgJFAgQCBQIGAgcCCAIJAgoCCwIMAg0CCAIIAggCCAIIAggCCAIIAggCCAIIAggCCAIIAggCCAIIAhoCAwJnAh4AAv8CAgJMAgQCBQIGAgcCCAIJAiECCwIMAg0CCAIIAggCCAIIAggCCAIIAggCCAIIAggCCAIIAggCCAIIAhoCAwJmAh4AAv8CAgJUAgQCBQIGAgcCCAIJAiECCwIMAg0CCAIIAggCCAIIAggCCAIIAggCCAIIAggCCAIIAggCCAIIAhoCAwIqAh4AAv8CAgJoAgQCBQIGAgcCCAIJAhwCCwIMAg0CCAIIAggCCAIIAggCCAIIAggCCAIIAggCCAIIAggCCAIIAhoCAwJpAh4AAv8CAgIgAgQCBQIGAgcCCAIJAiECCwIMAg0CCAIIAggCCAIIAggCCAIIAggCCAIIAggCCAIIAggCCAIIAhoCAwIiAh4AAv8CAgJQAgQCBQIGAgcCCAIJAgoCCwIMAg0CCAIIAggCCAIIAggCCAIIAggCCAIIAggCCAIIAggCCAIIAhoCAwJ/Ah4AAv8CAgIsAgQCBQIGAgcCCAIJAiECCwIMAg0CCAIIAggCCAIIAggCCAIIAggCCAIIAggCCAIIAggCCAIIAhoCAwJTAh4AAv8CAgJkAgQCBQIGAgcCCAIJAiECCwIMAg0CCAIIAggCCAIIAggCCAIIAggCCAIIAggCCAIIAggCCAIIAhoCAwKEAh4AAv8CAgJgAgQCBQIGAgcCCAIJAiECCwIMAg0CCAIIAggCCAIIAggCCAIIAggCCAIIAggCCAIIAggCCAIIAhoCAwKAAh4AAv8CAgIuAgQCBQIGAgcCCAIJAiECCwIMAg0CCAIIAggCCAIIAggCCAIIAggCCAIIAggCCAIIAggCCAIIAhoCAwIqAh4AAv8CAgJ2AgQCBQIGAgcCCAIJAiECCwIMAg0CCAIIAggCCAIIAggCCAIIAggCCAIIAggCCAIIAggCCAIIAhoCAwJ3Ah4AAv8CAgJ1AgQCBQIGAgcCCAIJAhwCCwIMAg0CCAIIAggCCAIIAggCCAIIAggCCAIIAggCCAIIAggCCAIIAhoCAwKCAh4AAv8CAgIyAgQCBQIGAgcCCAIJAhwCCwIMAg0CCAIIAggCCAIIAggCCAIIAggCCAIIAggCCAIIAggCCAIIAhoCAwJOAh4AAv8CAgI7AgQCBQIGAgcCCAIJAhx6AAAEAAILAgwCDQIIAggCCAIIAggCCAIIAggCCAIIAggCCAIIAggCCAIIAggCGgIDAjwCHgAC/wICAnUCBAIFAgYCBwIIAgkCCgILAgwCDQIIAggCCAIIAggCCAIIAggCCAIIAggCCAIIAggCCAIIAggCGgIDAo0CHgAC/wICAi8CBAIFAgYCBwIIAgkCIQILAgwCDQIIAggCCAIIAggCCAIIAggCCAIIAggCCAIIAggCCAIIAggCGgIDAnwCHgAC/wICAjQCBAIFAgYCBwIIAgkCHAILAgwCDQIIAggCCAIIAggCCAIIAggCCAIIAggCCAIIAggCCAIIAggCGgIDApICHgAC/wICAkECBAIFAgYCBwIIAgkCCgILAgwCDQIIAggCCAIIAggCCAIIAggCCAIIAggCCAIIAggCCAIIAggCGgIDAkICHgAC/wICAmQCBAIFAgYCBwIIAgkCHAILAgwCDQIIAggCCAIIAggCCAIIAggCCAIIAggCCAIIAggCCAIIAggCGgIDAmUCHgAC/wICAiwCBAIFAgYCBwIIAgkCHAILAgwCDQIIAggCCAIIAggCCAIIAggCCAIIAggCCAIIAggCCAIIAggCGgIDApQCHgAC/wICAl0CBAIFAgYCBwIIAgkCCgILAgwCDQIIAggCCAIIAggCCAIIAggCCAIIAggCCAIIAggCCAIIAggCGgIDAn0CHgAC/wICAiUCBAIFAgYCBwIIAgkCIQILAgwCDQIIAggCCAIIAggCCAIIAggCCAIIAggCCAIIAggCCAIIAggCGgIDApECHgAC/wICAmgCBAIFAgYCBwIIAgkCIQILAgwCDQIIAggCCAIIAggCCAIIAggCCAIIAggCCAIIAggCCAIIAggCGgIDAoYCHgAC/wICAh4CBAIFAgYCBwIIAgkCIQILAgwCDQIIAggCCAIIAggCCAIIAggCCAIIAggCCAIIAggCCAIIAggCGgIDAlkCHgAC/wICAmQCBAIFAgYCBwIIAgkCCgILAgwCDQIIAggCCAIIAggCCAIIAggCCAIIAggCCAIIAggCCAIIAggCGgIDAnECHgAC/wICAmoCBAIFAgYCBwIIAgkCIQILAgwCDQIIAggCCAIIAggCCAIIAggCCAIIAggCCAIIAggCCAIIAggCGgIDAooCHgAC/wICAjQCBAIFAgYCBwIIAgkCCgILAgwCDQIIAggCCAIIAggCCAIIAggCCAIIAggCCAIIAggCCAIIAggCGgIDAjUCHgAC/wICAmACBAIFAgYCBwIIAgkCHAILAgwCDQIIAggCCAIIAggCCAIIAggCCAIIAggCCAIIAggCCAIIAggCGgIDAmECHgAC/wICAiUCBAJ6AAAEAAUCBgIHAggCCQIcAgsCDAINAggCCAIIAggCCAIIAggCCAIIAggCCAIIAggCCAIIAggCCAIaAgMCNgIeAAL/AgICRQIEAgUCBgIHAggCCQIcAgsCDAINAggCCAIIAggCCAIIAggCCAIIAggCCAIIAggCCAIIAggCCAIaAgMCeQIeAAL/AgICSQIEAgUCBgIHAggCCQIcAgsCDAINAggCCAIIAggCCAIIAggCCAIIAggCCAIIAggCCAIIAggCCAIaAgMCeAIeAAL/AgICMgIEAgUCBgIHAggCCQIKAgsCDAINAggCCAIIAggCCAIIAggCCAIIAggCCAIIAggCCAIIAggCCAIaAgMCXwIeAAL/AgICPQIEAgUCBgIHAggCCQIhAgsCDAINAggCCAIIAggCCAIIAggCCAIIAggCCAIIAggCCAIIAggCCAIaAgMCPgIeAAL/AgICOwIEAgUCBgIHAggCCQIKAgsCDAINAggCCAIIAggCCAIIAggCCAIIAggCCAIIAggCCAIIAggCCAIaAgMCWwIeAAL/AgICQwIEAgUCBgIHAggCCQIhAgsCDAINAggCCAIIAggCCAIIAggCCAIIAggCCAIIAggCCAIIAggCCAIaAgMCbAIeAAL/AgICJwIEAgUCBgIHAggCCQIhAgsCDAINAggCCAIIAggCCAIIAggCCAIIAggCCAIIAggCCAIIAggCCAIaAgMCKAIeAAL/AgICQQIEAgUCBgIHAggCCQIcAgsCDAINAggCCAIIAggCCAIIAggCCAIIAggCCAIIAggCCAIIAggCCAIaAgMCTwIeAAL/AgICNwIEAgUCBgIHAggCCQIhAgsCDAINAggCCAIIAggCCAIIAggCCAIIAggCCAIIAggCCAIIAggCCAIaAgMCKgIeAAL/AgICSgIEAgUCBgIHAggCCQIhAgsCDAINAggCCAIIAggCCAIIAggCCAIIAggCCAIIAggCCAIIAggCCAIaAgMCYgIeAAL/AgICOwIEAgUCBgIHAggCCQIhAgsCDAINAggCCAIIAggCCAIIAggCCAIIAggCCAIIAggCCAIIAggCCAIaAgMCVgIeAAL/AgICdgIEAgUCBgIHAggCCQIKAgsCDAINAggCCAIIAggCCAIIAggCCAIIAggCCAIIAggCCAIIAggCCAIaAgMChwIeAAL/AgICLAIEAgUCBgIHAggCCQIKAgsCDAINAggCCAIIAggCCAIIAggCCAIIAggCCAIIAggCCAIIAggCCAIaAgMCLQIeAAL/AgICLgIEAgUCBgIHAggCCQIKAgsCDAINAggCCAIIAggCCAIIAggCCAIIAggCCAIIAggCCAIIAggCCAIaAgMCcgJ6AAAEAB4AAv8CAgJdAgQCBQIGAgcCCAIJAhwCCwIMAg0CCAIIAggCCAIIAggCCAIIAggCCAIIAggCCAIIAggCCAIIAhoCAwKJAh4AAv8CAgJQAgQCBQIGAgcCCAIJAhwCCwIMAg0CCAIIAggCCAIIAggCCAIIAggCCAIIAggCCAIIAggCCAIIAhoCAwJRAh4AAv8CAgJgAgQCBQIGAgcCCAIJAgoCCwIMAg0CCAIIAggCCAIIAggCCAIIAggCCAIIAggCCAIIAggCCAIIAhoCAwJwAh4AAv8CAgIjAgQCBQIGAgcCCAIJAgoCCwIMAg0CCAIIAggCCAIIAggCCAIIAggCCAIIAggCCAIIAggCCAIIAhoCAwJ+Ah4AAv8CAgIeAgQCBQIGAgcCCAIJAhwCCwIMAg0CCAIIAggCCAIIAggCCAIIAggCCAIIAggCCAIIAggCCAIIAhoCAwIfAh4AAv8CAgJFAgQCBQIGAgcCCAIJAiECCwIMAg0CCAIIAggCCAIIAggCCAIIAggCCAIIAggCCAIIAggCCAIIAhoCAwJGAh4AAv8CAgJUAgQCBQIGAgcCCAIJAgoCCwIMAg0CCAIIAggCCAIIAggCCAIIAggCCAIIAggCCAIIAggCCAIIAhoCAwJVAh4AAv8CAgIgAgQCBQIGAgcCCAIJAgoCCwIMAg0CCAIIAggCCAIIAggCCAIIAggCCAIIAggCCAIIAggCCAIIAhoCAwKBAh4AAv8CAgJMAgQCBQIGAgcCCAIJAgoCCwIMAg0CCAIIAggCCAIIAggCCAIIAggCCAIIAggCCAIIAggCCAIIAhoCAwJNAh4AAv8CAgJJAgQCBQIGAgcCCAIJAiECCwIMAg0CCAIIAggCCAIIAggCCAIIAggCCAIIAggCCAIIAggCCAIIAhoCAwIqAh4AAv8CAgJqAgQCBQIGAgcCCAIJAhwCCwIMAg0CCAIIAggCCAIIAggCCAIIAggCCAIIAggCCAIIAggCCAIIAhoCAwJrAh4ABAABAAk5MzIzNjMyMDACAgIjAgQCBQIGAgcCCAIJApwCCwKXAg0CCAIIAggCCAIIAggCCAIIAggCCAIIAggCCAIIAggCCAIIAiMCAwKiAh4ABAABAgICagIEAgUCBgIHAggCCQIKAgsClwINAggCCAIIAggCCAIIAggCCAIIAggCCAIIAggCCAIIAggCCAIjAgMCugIeAAQAAQICAh4CBAIFAgYCBwIIAgkCCgILApcCDQIIAggCCAIIAggCCAIIAggCCAIIAggCCAIIAggCCAIIAggCIwIDAugCHgAEAAECAgIgAgQCBQIGAgcCCAIJAhwCCwKXAg0CCAIIAggCCAIIAggCCAJ6AAAEAAgCCAIIAggCCAIIAggCCAIIAggCIwIDAtICHgAEAAECAgIuAgQCBQIGAgcCCAIJAgoCCwKXAg0CCAIIAggCCAIIAggCCAIIAggCCAIIAggCCAIIAggCCAIIAiMCAwLJAh4ABAABAgICaAIEAgUCBgIHAggCCQIKAgsClwINAggCCAIIAggCCAIIAggCCAIIAggCCAIIAggCCAIIAggCCAIjAgMCzgIeAAQAAQICAjcCBAIFAgYCBwIIAgkCHAILApcCDQIIAggCCAIIAggCCAIIAggCCAIIAggCCAIIAggCCAIIAggCIwIDArwCHgAEAAECAgIgAgQCBQIGAgcCCAIJApwCCwKXAg0CCAIIAggCCAIIAggCCAIIAggCCAIIAggCCAIIAggCCAIIAiMCAwKoAh4ABAABAgICTAIEAgUCBgIHAggCCQIcAgsClwINAggCCAIIAggCCAIIAggCCAIIAggCCAIIAggCCAIIAggCCAIjAgMCpwIeAAQAAQICAkoCBAIFAgYCBwIIAgkCnAILApcCDQIIAggCCAIIAggCCAIIAggCCAIIAggCCAIIAggCCAIIAggCIwIDArsCHgAEAAECAgJMAgQCBQIGAgcCCAIJApwCCwKXAg0CCAIIAggCCAIIAggCCAIIAggCCAIIAggCCAIIAggCCAIIAiMCAwLPAh4ABAABAgICSgIEAgUCBgIHAggCCQIcAgsClwINAggCCAIIAggCCAIIAggCCAIIAggCCAIIAggCCAIIAggCCAIjAgMC5gIeAAQAAQICAi8CBAIFAgYCBwIIAgkCCgILApcCDQIIAggCCAIIAggCCAIIAggCCAIIAggCCAIIAggCCAIIAggCIwIDAqoCHgAEAAECAgI9AgQCBQIGAgcCCAIJAgoCCwKXAg0CCAIIAggCCAIIAggCCAIIAggCCAIIAggCCAIIAggCCAIIAiMCAwLXAh4ABAABAgICNwIEAgUCBgIHAggCCQKcAgsClwINAggCCAIIAggCCAIIAggCCAIIAggCCAIIAggCCAIIAggCCAIjAgMCKgIeAAQAAQICAkMCBAIFAgYCBwIIAgkCHAILApcCDQIIAggCCAIIAggCCAIIAggCCAIIAggCCAIIAggCCAIIAggCIwIDAsMCHgAEAAECAgIuAgQCBQIGAgcCCAIJAhwCCwKXAg0CCAIIAggCCAIIAggCCAIIAggCCAIIAggCCAIIAggCCAIIAiMCAwLZAh4ABAABAgICQwIEAgUCBgIHAggCCQKcAgsClwINAggCCAIIAggCCAIIAggCCAIIAggCCAIIAggCCAIIAggCCAIjAgMC7wIeAAQAAQICAi4CBAIFAgYCBwJ6AAAEAAgCCQKcAgsClwINAggCCAIIAggCCAIIAggCCAIIAggCCAIIAggCCAIIAggCCAIjAgMCKgIeAAQAAQICAicCBAIFAgYCBwIIAgkCHAILApcCDQIIAggCCAIIAggCCAIIAggCCAIIAggCCAIIAggCCAIIAggCIwIDAu4CHgAEAAECAgInAgQCBQIGAgcCCAIJApwCCwKXAg0CCAIIAggCCAIIAggCCAIIAggCCAIIAggCCAIIAggCCAIIAiMCAwLCAh4ABAABAgICdgIEAgUCBgIHAggCCQKcAgsClwINAggCCAIIAggCCAIIAggCCAIIAggCCAIIAggCCAIIAggCCAIjAgMC1AIeAAQAAQICAnYCBAIFAgYCBwIIAgkCHAILApcCDQIIAggCCAIIAggCCAIIAggCCAIIAggCCAIIAggCCAIIAggCIwIDAqsCHgAEAAECAgJkAgQCBQIGAgcCCAIJApwCCwKXAg0CCAIIAggCCAIIAggCCAIIAggCCAIIAggCCAIIAggCCAIIAiMCAwLbAh4ABAABAgICagIEAgUCBgIHAggCCQKcAgsClwINAggCCAIIAggCCAIIAggCCAIIAggCCAIIAggCCAIIAggCCAIjAgMC3wIeAAQAAQICAkwCBAIFAgYCBwIIAgkCCgILApcCDQIIAggCCAIIAggCCAIIAggCCAIIAggCCAIIAggCCAIIAggCIwIDAp0CHgAEAAECAgIgAgQCBQIGAgcCCAIJAgoCCwKXAg0CCAIIAggCCAIIAggCCAIIAggCCAIIAggCCAIIAggCCAIIAiMCAwLEAh4ABAABAgICIwIEAgUCBgIHAggCCQIKAgsClwINAggCCAIIAggCCAIIAggCCAIIAggCCAIIAggCCAIIAggCCAIjAgMC1gIeAAQAAQICAmoCBAIFAgYCBwIIAgkCHAILApcCDQIIAggCCAIIAggCCAIIAggCCAIIAggCCAIIAggCCAIIAggCIwIDArQCHgAEAAECAgIeAgQCBQIGAgcCCAIJAhwCCwKXAg0CCAIIAggCCAIIAggCCAIIAggCCAIIAggCCAIIAggCCAIIAiMCAwKpAh4ABAABAgICHgIEAgUCBgIHAggCCQKcAgsClwINAggCCAIIAggCCAIIAggCCAIIAggCCAIIAggCCAIIAggCCAIjAgMCsgIeAAQAAQICAl0CBAIFAgYCBwIIAgkCHAILApcCDQIIAggCCAIIAggCCAIIAggCCAIIAggCCAIIAggCCAIIAggCIwIDAqMCHgAEAAECAgJBAgQCBQIGAgcCCAIJAhwCCwKXAg0CCAIIAggCCAIIAggCCAIIAggCCAIIAggCCAIIAggCCAJ6AAAEAAgCIwIDAssCHgAEAAECAgJgAgQCBQIGAgcCCAIJAgoCCwKXAg0CCAIIAggCCAIIAggCCAIIAggCCAIIAggCCAIIAggCCAIIAiMCAwK4Ah4ABAABAgICLAIEAgUCBgIHAggCCQIKAgsClwINAggCCAIIAggCCAIIAggCCAIIAggCCAIIAggCCAIIAggCCAIjAgMC3gIeAAQAAQICAkECBAIFAgYCBwIIAgkCnAILApcCDQIIAggCCAIIAggCCAIIAggCCAIIAggCCAIIAggCCAIIAggCIwIDAqACHgAEAAECAgJ2AgQCBQIGAgcCCAIJAgoCCwKXAg0CCAIIAggCCAIIAggCCAIIAggCCAIIAggCCAIIAggCCAIIAiMCAwKkAh4ABAABAgICXQIEAgUCBgIHAggCCQKcAgsClwINAggCCAIIAggCCAIIAggCCAIIAggCCAIIAggCCAIIAggCCAIjAgMCzQIeAAQAAQICAkUCBAIFAgYCBwIIAgkCnAILApcCDQIIAggCCAIIAggCCAIIAggCCAIIAggCCAIIAggCCAIIAggCIwIDAr0CHgAEAAECAgIsAgQCBQIGAgcCCAIJAhwCCwKXAg0CCAIIAggCCAIIAggCCAIIAggCCAIIAggCCAIIAggCCAIIAiMCAwLaAh4ABAABAgICZAIEAgUCBgIHAggCCQIKAgsClwINAggCCAIIAggCCAIIAggCCAIIAggCCAIIAggCCAIIAggCCAIjAgMCtgIeAAQAAQICAjsCBAIFAgYCBwIIAgkCCgILApcCDQIIAggCCAIIAggCCAIIAggCCAIIAggCCAIIAggCCAIIAggCIwIDAtMCHgAEAAECAgJFAgQCBQIGAgcCCAIJAhwCCwKXAg0CCAIIAggCCAIIAggCCAIIAggCCAIIAggCCAIIAggCCAIIAiMCAwLsAh4ABAABAgICJQIEAgUCBgIHAggCCQIcAgsClwINAggCCAIIAggCCAIIAggCCAIIAggCCAIIAggCCAIIAggCCAIjAgMCtQIeAAQAAQICAiUCBAIFAgYCBwIIAgkCnAILApcCDQIIAggCCAIIAggCCAIIAggCCAIIAggCCAIIAggCCAIIAggCIwIDAuoCHgAEAAECAgJkAgQCBQIGAgcCCAIJAhwCCwKXAg0CCAIIAggCCAIIAggCCAIIAggCCAIIAggCCAIIAggCCAIIAiMCAwKtAh4ABAABAgICSQIEAgUCBgIHAggCCQKcAgsClwINAggCCAIIAggCCAIIAggCCAIIAggCCAIIAggCCAIIAggCCAIjAgMCKgIeAAQAAQICAkkCBAIFAgYCBwIIAgkCHAILApcCDQIIAggCCAJ6AAAEAAgCCAIIAggCCAIIAggCCAIIAggCCAIIAggCCAIjAgMC5QIeAAQAAQICAkECBAIFAgYCBwIIAgkCCgILApcCDQIIAggCCAIIAggCCAIIAggCCAIIAggCCAIIAggCCAIIAggCIwIDAsACHgAEAAECAgIyAgQCBQIGAgcCCAIJAgoCCwKXAg0CCAIIAggCCAIIAggCCAIIAggCCAIIAggCCAIIAggCCAIIAiMCAwLQAh4ABAABAgICLAIEAgUCBgIHAggCCQKcAgsClwINAggCCAIIAggCCAIIAggCCAIIAggCCAIIAggCCAIIAggCCAIjAgMCrgIeAAQAAQICAmACBAIFAgYCBwIIAgkCHAILApcCDQIIAggCCAIIAggCCAIIAggCCAIIAggCCAIIAggCCAIIAggCIwIDAqwCHgAEAAECAgJgAgQCBQIGAgcCCAIJApwCCwKXAg0CCAIIAggCCAIIAggCCAIIAggCCAIIAggCCAIIAggCCAIIAiMCAwLYAh4ABAABAgICMgIEAgUCBgIHAggCCQIcAgsClwINAggCCAIIAggCCAIIAggCCAIIAggCCAIIAggCCAIIAggCCAIjAgMCxgIeAAQAAQICAiUCBAIFAgYCBwIIAgkCCgILApcCDQIIAggCCAIIAggCCAIIAggCCAIIAggCCAIIAggCCAIIAggCIwIDArMCHgAEAAECAgJFAgQCBQIGAgcCCAIJAgoCCwKXAg0CCAIIAggCCAIIAggCCAIIAggCCAIIAggCCAIIAggCCAIIAiMCAwLiAh4ABAABAgICXQIEAgUCBgIHAggCCQIKAgsClwINAggCCAIIAggCCAIIAggCCAIIAggCCAIIAggCCAIIAggCCAIjAgMC6wIeAAQAAQICAmgCBAIFAgYCBwIIAgkCnAILApcCDQIIAggCCAIIAggCCAIIAggCCAIIAggCCAIIAggCCAIIAggCIwIDAt0CHgAEAAECAgIyAgQCBQIGAgcCCAIJApwCCwKXAg0CCAIIAggCCAIIAggCCAIIAggCCAIIAggCCAIIAggCCAIIAiMCAwKeAh4ABAABAgICOwIEAgUCBgIHAggCCQIcAgsClwINAggCCAIIAggCCAIIAggCCAIIAggCCAIIAggCCAIIAggCCAIjAgMC6QIeAAQAAQICAjsCBAIFAgYCBwIIAgkCnAILApcCDQIIAggCCAIIAggCCAIIAggCCAIIAggCCAIIAggCCAIIAggCIwIDAsECHgAEAAECAgJoAgQCBQIGAgcCCAIJAhwCCwKXAg0CCAIIAggCCAIIAggCCAIIAggCCAIIAggCCAIIAggCCAIIAiMCAwKxAh4ABAABAgICPQJ6AAADDAQCBQIGAgcCCAIJApwCCwKXAg0CCAIIAggCCAIIAggCCAIIAggCCAIIAggCCAIIAggCCAIIAiMCAwLkAh4ABAABAgICLwIEAgUCBgIHAggCCQKcAgsClwINAggCCAIIAggCCAIIAggCCAIIAggCCAIIAggCCAIIAggCCAIjAgMCuQIeAAQAAQICAjcCBAIFAgYCBwIIAgkCCgILApcCDQIIAggCCAIIAggCCAIIAggCCAIIAggCCAIIAggCCAIIAggCIwIDApoCHgAEAAECAgJKAgQCBQIGAgcCCAIJAgoCCwKXAg0CCAIIAggCCAIIAggCCAIIAggCCAIIAggCCAIIAggCCAIIAiMCAwLFAh4ABAABAgICJwIEAgUCBgIHAggCCQIKAgsClwINAggCCAIIAggCCAIIAggCCAIIAggCCAIIAggCCAIIAggCCAIjAgMCzAIeAAQAAQICAkMCBAIFAgYCBwIIAgkCCgILApcCDQIIAggCCAIIAggCCAIIAggCCAIIAggCCAIIAggCCAIIAggCIwIDAqECHgAEAAECAgIvAgQCBQIGAgcCCAIJAhwCCwKXAg0CCAIIAggCCAIIAggCCAIIAggCCAIIAggCCAIIAggCCAIIAiMCAwLcAh4ABAABAgICIwIEAgUCBgIHAggCCQIcAgsClwINAggCCAIIAggCCAIIAggCCAIIAggCCAIIAggCCAIIAggCCAIjAgMCxwIeAAQAAQICAj0CBAIFAgYCBwIIAgkCHAILApcCDQIIAggCCAIIAggCCAIIAggCCAIIAggCCAIIAggCCAIIAggCIwIDAq8CHgAEAAECAgJJAgQCBQIGAgcCCAIJAgoCCwKXAg0CCAIIAggCCAIIAggCCAIIAggCCAIIAggCCAIIAggCCAIIAiMCAwLjAh4ABAEBAAk5MzQyOTkyMTYCAgQCAQAGMjAxMzEyAgQCBQIGAgcCCAIJAiECCwIMAg0CCAIIAggCCAIIAggCCAIIAggCCAIIAggCCAIIAggCCAIIAioCAwQDAXNxAH4AAAAAAAJzcQB+AAT///////////////7////+/////3VxAH4ABwAAAAMU5eR4eHoAAAQAAh4ABAQBAAk1NDE2MzY2NDgCAgJMAgQCBQIGAgcCCAIJAhwCCwIMAg0CCAIIAggCCAIIAggCCAIIAggCCAIIAggCCAIIAggCCAIIAhwCAwJYAh4ABAQBAgICIAIEAgUCBgIHAggCCQIcAgsCDAINAggCCAIIAggCCAIIAggCCAIIAggCCAIIAggCCAIIAggCCAIcAgMCjAIeAAQEAQICAh4CBAIFAgYCBwIIAgkCCgILAgwCDQIIAggCCAIIAggCCAIIAggCCAIIAggCCAIIAggCCAIIAggCHAIDAjoCHgAEBAECAgJ2AgQCBQIGAgcCCAIJAgoCCwIMAg0CCAIIAggCCAIIAggCCAIIAggCCAIIAggCCAIIAggCCAIIAhwCAwKHAh4ABAQBAgICdQIEAgUCBgIHAggCCQIhAgsCDAINAggCCAIIAggCCAIIAggCCAIIAggCCAIIAggCCAIIAggCCAIcAgMCKgIeAAQEAQICAmQCBAIFAgYCBwIIAgkCIQILAgwCDQIIAggCCAIIAggCCAIIAggCCAIIAggCCAIIAggCCAIIAggCHAIDAoQCHgAEBAECAgI3AgQCBQIGAgcCCAIJAhwCCwIMAg0CCAIIAggCCAIIAggCCAIIAggCCAIIAggCCAIIAggCCAIIAhwCAwI4Ah4ABAQBAgICaAIEAgUCBgIHAggCCQIKAgsCDAINAggCCAIIAggCCAIIAggCCAIIAggCCAIIAggCCAIIAggCCAIcAgMCiwIeAAQEAQICAmoCBAIFAgYCBwIIAgkCCgILAgwCDQIIAggCCAIIAggCCAIIAggCCAIIAggCCAIIAggCCAIIAggCHAIDAnMCHgAEBAECAgJdAgQCBQIGAgcCCAIJAhwCCwIMAg0CCAIIAggCCAIIAggCCAIIAggCCAIIAggCCAIIAggCCAIIAhwCAwKJAh4ABAQBAgICJwIEAgUCBgIHAggCCQIKAgsCDAINAggCCAIIAggCCAIIAggCCAIIAggCCAIIAggCCAIIAggCCAIcAgMCVwIeAAQEAQICAkECBAIFAgYCBwIIAgkCHAILAgwCDQIIAggCCAIIAggCCAIIAggCCAIIAggCCAIIAggCCAIIAggCHAIDAk8CHgAEBAECAgI0AgQCBQIGAgcCCAIJAiECCwIMAg0CCAIIAggCCAIIAggCCAIIAggCCAIIAggCCAIIAggCCAIIAhwCAwIqAh4ABAQBAgICSgIEAgUCBgIHAggCCQIcAgsCDAINAggCCAIIAggCCAIIAggCCAIIAggCCAIIAggCCAIIAggCCAIcAgMCdAIeAAQEAQICAiMCBAIFAgYCBwIIAgkCHAILAgwCDQIIAnoAAAQACAIIAggCCAIIAggCCAIIAggCCAIIAggCCAIIAggCCAIcAgMCiAIeAAQEAQICAjICBAIFAgYCBwIIAgkCIQILAgwCDQIIAggCCAIIAggCCAIIAggCCAIIAggCCAIIAggCCAIIAggCHAIDAjMCHgAEBAECAgIuAgQCBQIGAgcCCAIJAgoCCwIMAg0CCAIIAggCCAIIAggCCAIIAggCCAIIAggCCAIIAggCCAIIAhwCAwJyAh4ABAQBAgICUAIEAgUCBgIHAggCCQIcAgsCDAINAggCCAIIAggCCAIIAggCCAIIAggCCAIIAggCCAIIAggCCAIcAgMCUQIeAAQEAQICAjsCBAIFAgYCBwIIAgkCIQILAgwCDQIIAggCCAIIAggCCAIIAggCCAIIAggCCAIIAggCCAIIAggCHAIDAlYCHgAEBAECAgJDAgQCBQIGAgcCCAIJAgoCCwIMAg0CCAIIAggCCAIIAggCCAIIAggCCAIIAggCCAIIAggCCAIIAhwCAwKFAh4ABAQBAgICIwIEAgUCBgIHAggCCQIKAgsCDAINAggCCAIIAggCCAIIAggCCAIIAggCCAIIAggCCAIIAggCCAIcAgMCfgIeAAQEAQICAh4CBAIFAgYCBwIIAgkCHAILAgwCDQIIAggCCAIIAggCCAIIAggCCAIIAggCCAIIAggCCAIIAggCHAIDAh8CHgAEBAECAgJqAgQCBQIGAgcCCAIJAhwCCwIMAg0CCAIIAggCCAIIAggCCAIIAggCCAIIAggCCAIIAggCCAIIAhwCAwJrAh4ABAQBAgICTAIEAgUCBgIHAggCCQIKAgsCDAINAggCCAIIAggCCAIIAggCCAIIAggCCAIIAggCCAIIAggCCAIcAgMCTQIeAAQEAQICAicCBAIFAgYCBwIIAgkCIQILAgwCDQIIAggCCAIIAggCCAIIAggCCAIIAggCCAIIAggCCAIIAggCHAIDAigCHgAEBAECAgIgAgQCBQIGAgcCCAIJAgoCCwIMAg0CCAIIAggCCAIIAggCCAIIAggCCAIIAggCCAIIAggCCAIIAhwCAwKBAh4ABAQBAgICQQIEAgUCBgIHAggCCQIhAgsCDAINAggCCAIIAggCCAIIAggCCAIIAggCCAIIAggCCAIIAggCCAIcAgMCjgIeAAQEAQICAj0CBAIFAgYCBwIIAgkCCgILAgwCDQIIAggCCAIIAggCCAIIAggCCAIIAggCCAIIAggCCAIIAggCHAIDApMCHgAEBAECAgJdAgQCBQIGAgcCCAIJAiECCwIMAg0CCAIIAggCCAIIAggCCAIIAggCCAIIAggCCAIIAggCCAIIAhwCAwJeAh4ABAQBAnoAAAQAAgJQAgQCBQIGAgcCCAIJAiECCwIMAg0CCAIIAggCCAIIAggCCAIIAggCCAIIAggCCAIIAggCCAIIAhwCAwIqAh4ABAQBAgICdgIEAgUCBgIHAggCCQIcAgsCDAINAggCCAIIAggCCAIIAggCCAIIAggCCAIIAggCCAIIAggCCAIcAgMCkAIeAAQEAQICAi4CBAIFAgYCBwIIAgkCHAILAgwCDQIIAggCCAIIAggCCAIIAggCCAIIAggCCAIIAggCCAIIAggCHAIDAmMCHgAEBAECAgJJAgQCBQIGAgcCCAIJAiECCwIMAg0CCAIIAggCCAIIAggCCAIIAggCCAIIAggCCAIIAggCCAIIAhwCAwIqAh4ABAQBAgICSgIEAgUCBgIHAggCCQIhAgsCDAINAggCCAIIAggCCAIIAggCCAIIAggCCAIIAggCCAIIAggCCAIcAgMCYgIeAAQEAQICAmQCBAIFAgYCBwIIAgkCHAILAgwCDQIIAggCCAIIAggCCAIIAggCCAIIAggCCAIIAggCCAIIAggCHAIDAmUCHgAEBAECAgIsAgQCBQIGAgcCCAIJAhwCCwIMAg0CCAIIAggCCAIIAggCCAIIAggCCAIIAggCCAIIAggCCAIIAhwCAwKUAh4ABAQBAgICNwIEAgUCBgIHAggCCQIhAgsCDAINAggCCAIIAggCCAIIAggCCAIIAggCCAIIAggCCAIIAggCCAIcAgMCKgIeAAQEAQICAkUCBAIFAgYCBwIIAgkCIQILAgwCDQIIAggCCAIIAggCCAIIAggCCAIIAggCCAIIAggCCAIIAggCHAIDAkYCHgAEBAECAgI0AgQCBQIGAgcCCAIJAhwCCwIMAg0CCAIIAggCCAIIAggCCAIIAggCCAIIAggCCAIIAggCCAIIAhwCAwKSAh4ABAQBAgICLwIEAgUCBgIHAggCCQIKAgsCDAINAggCCAIIAggCCAIIAggCCAIIAggCCAIIAggCCAIIAggCCAIcAgMCXAIeAAQEAQICAiUCBAIFAgYCBwIIAgkCIQILAgwCDQIIAggCCAIIAggCCAIIAggCCAIIAggCCAIIAggCCAIIAggCHAIDApECHgAEBAECAgJqAgQCBQIGAgcCCAIJAiECCwIMAg0CCAIIAggCCAIIAggCCAIIAggCCAIIAggCCAIIAggCCAIIAhwCAwKKAh4ABAQBAgICNAIEAgUCBgIHAggCCQIKAgsCDAINAggCCAIIAggCCAIIAggCCAIIAggCCAIIAggCCAIIAggCCAIcAgMCNQIeAAQEAQICAmACBAIFAgYCBwIIAgkCHAILAgwCDQIIAggCCAIIAggCCAIIAggCCAIIAnoAAAQACAIIAggCCAIIAggCCAIcAgMCYQIeAAQEAQICAkUCBAIFAgYCBwIIAgkCHAILAgwCDQIIAggCCAIIAggCCAIIAggCCAIIAggCCAIIAggCCAIIAggCHAIDAnkCHgAEBAECAgJJAgQCBQIGAgcCCAIJAhwCCwIMAg0CCAIIAggCCAIIAggCCAIIAggCCAIIAggCCAIIAggCCAIIAhwCAwJ4Ah4ABAQBAgICOwIEAgUCBgIHAggCCQIKAgsCDAINAggCCAIIAggCCAIIAggCCAIIAggCCAIIAggCCAIIAggCCAIcAgMCWwIeAAQEAQICAi4CBAIFAgYCBwIIAgkCIQILAgwCDQIIAggCCAIIAggCCAIIAggCCAIIAggCCAIIAggCCAIIAggCHAIDAioCHgAEBAECAgJ1AgQCBQIGAgcCCAIJAgoCCwIMAg0CCAIIAggCCAIIAggCCAIIAggCCAIIAggCCAIIAggCCAIIAhwCAwKNAh4ABAQBAgICLwIEAgUCBgIHAggCCQIhAgsCDAINAggCCAIIAggCCAIIAggCCAIIAggCCAIIAggCCAIIAggCCAIcAgMCfAIeAAQEAQICAnYCBAIFAgYCBwIIAgkCIQILAgwCDQIIAggCCAIIAggCCAIIAggCCAIIAggCCAIIAggCCAIIAggCHAIDAncCHgAEBAECAgIyAgQCBQIGAgcCCAIJAgoCCwIMAg0CCAIIAggCCAIIAggCCAIIAggCCAIIAggCCAIIAggCCAIIAhwCAwJfAh4ABAQBAgICPQIEAgUCBgIHAggCCQIhAgsCDAINAggCCAIIAggCCAIIAggCCAIIAggCCAIIAggCCAIIAggCCAIcAgMCPgIeAAQEAQICAkMCBAIFAgYCBwIIAgkCIQILAgwCDQIIAggCCAIIAggCCAIIAggCCAIIAggCCAIIAggCCAIIAggCHAIDAmwCHgAEBAECAgJJAgQCBQIGAgcCCAIJAgoCCwIMAg0CCAIIAggCCAIIAggCCAIIAggCCAIIAggCCAIIAggCCAIIAhwCAwJtAh4ABAQBAgICYAIEAgUCBgIHAggCCQIKAgsCDAINAggCCAIIAggCCAIIAggCCAIIAggCCAIIAggCCAIIAggCCAIcAgMCcAIeAAQEAQICAj0CBAIFAgYCBwIIAgkCHAILAgwCDQIIAggCCAIIAggCCAIIAggCCAIIAggCCAIIAggCCAIIAggCHAIDAm4CHgAEBAECAgIlAgQCBQIGAgcCCAIJAhwCCwIMAg0CCAIIAggCCAIIAggCCAIIAggCCAIIAggCCAIIAggCCAIIAhwCAwI2Ah4ABAQBAgICLwIEAgUCBgIHAggCCQIcAnoAAAQACwIMAg0CCAIIAggCCAIIAggCCAIIAggCCAIIAggCCAIIAggCCAIIAhwCAwIwAh4ABAQBAgICaAIEAgUCBgIHAggCCQIhAgsCDAINAggCCAIIAggCCAIIAggCCAIIAggCCAIIAggCCAIIAggCCAIcAgMChgIeAAQEAQICAh4CBAIFAgYCBwIIAgkCIQILAgwCDQIIAggCCAIIAggCCAIIAggCCAIIAggCCAIIAggCCAIIAggCHAIDAlkCHgAEBAECAgIsAgQCBQIGAgcCCAIJAgoCCwIMAg0CCAIIAggCCAIIAggCCAIIAggCCAIIAggCCAIIAggCCAIIAhwCAwItAh4ABAQBAgICZAIEAgUCBgIHAggCCQIKAgsCDAINAggCCAIIAggCCAIIAggCCAIIAggCCAIIAggCCAIIAggCCAIcAgMCcQIeAAQEAQICAiUCBAIFAgYCBwIIAgkCCgILAgwCDQIIAggCCAIIAggCCAIIAggCCAIIAggCCAIIAggCCAIIAggCHAIDAiYCHgAEBAECAgIgAgQCBQIGAgcCCAIJAiECCwIMAg0CCAIIAggCCAIIAggCCAIIAggCCAIIAggCCAIIAggCCAIIAhwCAwIiAh4ABAQBAgICMgIEAgUCBgIHAggCCQIcAgsCDAINAggCCAIIAggCCAIIAggCCAIIAggCCAIIAggCCAIIAggCCAIcAgMCTgIeAAQEAQICAmgCBAIFAgYCBwIIAgkCHAILAgwCDQIIAggCCAIIAggCCAIIAggCCAIIAggCCAIIAggCCAIIAggCHAIDAmkCHgAEBAECAgIsAgQCBQIGAgcCCAIJAiECCwIMAg0CCAIIAggCCAIIAggCCAIIAggCCAIIAggCCAIIAggCCAIIAhwCAwJTAh4ABAQBAgICIwIEAgUCBgIHAggCCQIhAgsCDAINAggCCAIIAggCCAIIAggCCAIIAggCCAIIAggCCAIIAggCCAIcAgMCJAIeAAQEAQICAnUCBAIFAgYCBwIIAgkCHAILAgwCDQIIAggCCAIIAggCCAIIAggCCAIIAggCCAIIAggCCAIIAggCHAIDAoICHgAEBAECAgI3AgQCBQIGAgcCCAIJAgoCCwIMAg0CCAIIAggCCAIIAggCCAIIAggCCAIIAggCCAIIAggCCAIIAhwCAwKDAh4ABAQBAgICYAIEAgUCBgIHAggCCQIhAgsCDAINAggCCAIIAggCCAIIAggCCAIIAggCCAIIAggCCAIIAggCCAIcAgMCgAIeAAQEAQICAkUCBAIFAgYCBwIIAgkCCgILAgwCDQIIAggCCAIIAggCCAIIAggCCAIIAggCCAIIAggCCAIIAggCHAIDAnoAAAQAZwIeAAQEAQICAkoCBAIFAgYCBwIIAgkCCgILAgwCDQIIAggCCAIIAggCCAIIAggCCAIIAggCCAIIAggCCAIIAggCHAIDAksCHgAEBAECAgJDAgQCBQIGAgcCCAIJAhwCCwIMAg0CCAIIAggCCAIIAggCCAIIAggCCAIIAggCCAIIAggCCAIIAhwCAwJEAh4ABAQBAgICOwIEAgUCBgIHAggCCQIcAgsCDAINAggCCAIIAggCCAIIAggCCAIIAggCCAIIAggCCAIIAggCCAIcAgMCPAIeAAQEAQICAicCBAIFAgYCBwIIAgkCHAILAgwCDQIIAggCCAIIAggCCAIIAggCCAIIAggCCAIIAggCCAIIAggCHAIDAnoCHgAEBAECAgJQAgQCBQIGAgcCCAIJAgoCCwIMAg0CCAIIAggCCAIIAggCCAIIAggCCAIIAggCCAIIAggCCAIIAhwCAwJ/Ah4ABAQBAgICQQIEAgUCBgIHAggCCQIKAgsCDAINAggCCAIIAggCCAIIAggCCAIIAggCCAIIAggCCAIIAggCCAIcAgMCQgIeAAQEAQICAl0CBAIFAgYCBwIIAgkCCgILAgwCDQIIAggCCAIIAggCCAIIAggCCAIIAggCCAIIAggCCAIIAggCHAIDAn0CHgAEBAECAgJMAgQCBQIGAgcCCAIJAiECCwIMAg0CCAIIAggCCAIIAggCCAIIAggCCAIIAggCCAIIAggCCAIIAhwCAwJmAh4ABAUBAAk1NDE2Mzg5NjgCAgI3AgQCBQIGAgcCCAIJAgoCCwIMAg0CCAIIAggCCAIIAggCCAIIAggCCAIIAggCCAIIAggCCAIIAh4CAwKDAh4ABAUBAgICQQIEAgUCBgIHAggCCQIcAgsCDAINAggCCAIIAggCCAIIAggCCAIIAggCCAIIAggCCAIIAggCCAIeAgMCTwIeAAQFAQICAicCBAIFAgYCBwIIAgkCCgILAgwCDQIIAggCCAIIAggCCAIIAggCCAIIAggCCAIIAggCCAIIAggCHgIDAlcCHgAEBQECAgJKAgQCBQIGAgcCCAIJAgoCCwIMAg0CCAIIAggCCAIIAggCCAIIAggCCAIIAggCCAIIAggCCAIIAh4CAwJLAh4ABAUBAgICXQIEAgUCBgIHAggCCQIcAgsCDAINAggCCAIIAggCCAIIAggCCAIIAggCCAIIAggCCAIIAggCCAIeAgMCiQIeAAQFAQICAkkCBAIFAgYCBwIIAgkCIQILAgwCDQIIAggCCAIIAggCCAIIAggCCAIIAggCCAIIAggCCAIIAggCHgIDAioCHgAEBQECAgIuAgQCBQIGAgcCCAIJAgoCCwIMAg0CCHoAAAQAAggCCAIIAggCCAIIAggCCAIIAggCCAIIAggCCAIIAggCHgIDAnICHgAEBQECAgI7AgQCBQIGAgcCCAIJAiECCwIMAg0CCAIIAggCCAIIAggCCAIIAggCCAIIAggCCAIIAggCCAIIAh4CAwJWAh4ABAUBAgICQwIEAgUCBgIHAggCCQIKAgsCDAINAggCCAIIAggCCAIIAggCCAIIAggCCAIIAggCCAIIAggCCAIeAgMChQIeAAQFAQICAkwCBAIFAgYCBwIIAgkCCgILAgwCDQIIAggCCAIIAggCCAIIAggCCAIIAggCCAIIAggCCAIIAggCHgIDAk0CHgAEBQECAgJ2AgQCBQIGAgcCCAIJAgoCCwIMAg0CCAIIAggCCAIIAggCCAIIAggCCAIIAggCCAIIAggCCAIIAh4CAwKHAh4ABAUBAgICMgIEAgUCBgIHAggCCQIcAgsCDAINAggCCAIIAggCCAIIAggCCAIIAggCCAIIAggCCAIIAggCCAIeAgMCTgIeAAQFAQICAiMCBAIFAgYCBwIIAgkCHAILAgwCDQIIAggCCAIIAggCCAIIAggCCAIIAggCCAIIAggCCAIIAggCHgIDAogCHgAEBQECAgIsAgQCBQIGAgcCCAIJAiECCwIMAg0CCAIIAggCCAIIAggCCAIIAggCCAIIAggCCAIIAggCCAIIAh4CAwJTAh4ABAUBAgICZAIEAgUCBgIHAggCCQIhAgsCDAINAggCCAIIAggCCAIIAggCCAIIAggCCAIIAggCCAIIAggCCAIeAgMChAIeAAQFAQICAjQCBAIFAgYCBwIIAgkCIQILAgwCDQIIAggCCAIIAggCCAIIAggCCAIIAggCCAIIAggCCAIIAggCHgIDAioCHgAEBQECAgIgAgQCBQIGAgcCCAIJAgoCCwIMAg0CCAIIAggCCAIIAggCCAIIAggCCAIIAggCCAIIAggCCAIIAh4CAwKBAh4ABAUBAgICYAIEAgUCBgIHAggCCQIhAgsCDAINAggCCAIIAggCCAIIAggCCAIIAggCCAIIAggCCAIIAggCCAIeAgMCgAIeAAQFAQICAnUCBAIFAgYCBwIIAgkCHAILAgwCDQIIAggCCAIIAggCCAIIAggCCAIIAggCCAIIAggCCAIIAggCHgIDAoICHgAEBQECAgI7AgQCBQIGAgcCCAIJAhwCCwIMAg0CCAIIAggCCAIIAggCCAIIAggCCAIIAggCCAIIAggCCAIIAh4CAwI8Ah4ABAUBAgICJwIEAgUCBgIHAggCCQIcAgsCDAINAggCCAIIAggCCAIIAggCCAIIAggCCAIIAggCCAIIAggCCAIeAgMCegIeAAQFAXoAAAQAAgICQwIEAgUCBgIHAggCCQIcAgsCDAINAggCCAIIAggCCAIIAggCCAIIAggCCAIIAggCCAIIAggCCAIeAgMCRAIeAAQFAQICAl0CBAIFAgYCBwIIAgkCCgILAgwCDQIIAggCCAIIAggCCAIIAggCCAIIAggCCAIIAggCCAIIAggCHgIDAn0CHgAEBQECAgJBAgQCBQIGAgcCCAIJAgoCCwIMAg0CCAIIAggCCAIIAggCCAIIAggCCAIIAggCCAIIAggCCAIIAh4CAwJCAh4ABAUBAgICSgIEAgUCBgIHAggCCQIcAgsCDAINAggCCAIIAggCCAIIAggCCAIIAggCCAIIAggCCAIIAggCCAIeAgMCdAIeAAQFAQICAmgCBAIFAgYCBwIIAgkCIQILAgwCDQIIAggCCAIIAggCCAIIAggCCAIIAggCCAIIAggCCAIIAggCHgIDAoYCHgAEBQECAgIyAgQCBQIGAgcCCAIJAiECCwIMAg0CCAIIAggCCAIIAggCCAIIAggCCAIIAggCCAIIAggCCAIIAh4CAwIzAh4ABAUBAgICTAIEAgUCBgIHAggCCQIhAgsCDAINAggCCAIIAggCCAIIAggCCAIIAggCCAIIAggCCAIIAggCCAIeAgMCZgIeAAQFAQICAmoCBAIFAgYCBwIIAgkCCgILAgwCDQIIAggCCAIIAggCCAIIAggCCAIIAggCCAIIAggCCAIIAggCHgIDAnMCHgAEBQECAgJ1AgQCBQIGAgcCCAIJAiECCwIMAg0CCAIIAggCCAIIAggCCAIIAggCCAIIAggCCAIIAggCCAIIAh4CAwIqAh4ABAUBAgICHgIEAgUCBgIHAggCCQIKAgsCDAINAggCCAIIAggCCAIIAggCCAIIAggCCAIIAggCCAIIAggCCAIeAgMCOgIeAAQFAQICAjcCBAIFAgYCBwIIAgkCHAILAgwCDQIIAggCCAIIAggCCAIIAggCCAIIAggCCAIIAggCCAIIAggCHgIDAjgCHgAEBQECAgJJAgQCBQIGAgcCCAIJAhwCCwIMAg0CCAIIAggCCAIIAggCCAIIAggCCAIIAggCCAIIAggCCAIIAh4CAwJ4Ah4ABAUBAgICPQIEAgUCBgIHAggCCQIhAgsCDAINAggCCAIIAggCCAIIAggCCAIIAggCCAIIAggCCAIIAggCCAIeAgMCPgIeAAQFAQICAi8CBAIFAgYCBwIIAgkCIQILAgwCDQIIAggCCAIIAggCCAIIAggCCAIIAggCCAIIAggCCAIIAggCHgIDAnwCHgAEBQECAgIjAgQCBQIGAgcCCAIJAiECCwIMAg0CCAIIAggCCAIIAggCCAIIAggCCHoAAAQAAggCCAIIAggCCAIIAggCHgIDAiQCHgAEBQECAgJDAgQCBQIGAgcCCAIJAiECCwIMAg0CCAIIAggCCAIIAggCCAIIAggCCAIIAggCCAIIAggCCAIIAh4CAwJsAh4ABAUBAgICJwIEAgUCBgIHAggCCQIhAgsCDAINAggCCAIIAggCCAIIAggCCAIIAggCCAIIAggCCAIIAggCCAIeAgMCKAIeAAQFAQICAmACBAIFAgYCBwIIAgkCCgILAgwCDQIIAggCCAIIAggCCAIIAggCCAIIAggCCAIIAggCCAIIAggCHgIDAnACHgAEBQECAgIvAgQCBQIGAgcCCAIJAhwCCwIMAg0CCAIIAggCCAIIAggCCAIIAggCCAIIAggCCAIIAggCCAIIAh4CAwIwAh4ABAUBAgICRQIEAgUCBgIHAggCCQIcAgsCDAINAggCCAIIAggCCAIIAggCCAIIAggCCAIIAggCCAIIAggCCAIeAgMCeQIeAAQFAQICAjcCBAIFAgYCBwIIAgkCIQILAgwCDQIIAggCCAIIAggCCAIIAggCCAIIAggCCAIIAggCCAIIAggCHgIDAioCHgAEBQECAgJKAgQCBQIGAgcCCAIJAiECCwIMAg0CCAIIAggCCAIIAggCCAIIAggCCAIIAggCCAIIAggCCAIIAh4CAwJiAh4ABAUBAgICJQIEAgUCBgIHAggCCQIcAgsCDAINAggCCAIIAggCCAIIAggCCAIIAggCCAIIAggCCAIIAggCCAIeAgMCNgIeAAQFAQICAh4CBAIFAgYCBwIIAgkCIQILAgwCDQIIAggCCAIIAggCCAIIAggCCAIIAggCCAIIAggCCAIIAggCHgIDAlkCHgAEBQECAgIsAgQCBQIGAgcCCAIJAgoCCwIMAg0CCAIIAggCCAIIAggCCAIIAggCCAIIAggCCAIIAggCCAIIAh4CAwItAh4ABAUBAgICZAIEAgUCBgIHAggCCQIKAgsCDAINAggCCAIIAggCCAIIAggCCAIIAggCCAIIAggCCAIIAggCCAIeAgMCcQIeAAQFAQICAjQCBAIFAgYCBwIIAgkCCgILAgwCDQIIAggCCAIIAggCCAIIAggCCAIIAggCCAIIAggCCAIIAggCHgIDAjUCHgAEBQECAgJqAgQCBQIGAgcCCAIJAiECCwIMAg0CCAIIAggCCAIIAggCCAIIAggCCAIIAggCCAIIAggCCAIIAh4CAwKKAh4ABAUBAgICIAIEAgUCBgIHAggCCQIhAgsCDAINAggCCAIIAggCCAIIAggCCAIIAggCCAIIAggCCAIIAggCCAIeAgMCIgIeAAQFAQICAmgCBAIFAgYCBwIIAgkCHHoAAAQAAgsCDAINAggCCAIIAggCCAIIAggCCAIIAggCCAIIAggCCAIIAggCCAIeAgMCaQIeAAQFAQICAkUCBAIFAgYCBwIIAgkCCgILAgwCDQIIAggCCAIIAggCCAIIAggCCAIIAggCCAIIAggCCAIIAggCHgIDAmcCHgAEBQECAgIlAgQCBQIGAgcCCAIJAgoCCwIMAg0CCAIIAggCCAIIAggCCAIIAggCCAIIAggCCAIIAggCCAIIAh4CAwImAh4ABAUBAgICagIEAgUCBgIHAggCCQIcAgsCDAINAggCCAIIAggCCAIIAggCCAIIAggCCAIIAggCCAIIAggCCAIeAgMCawIeAAQFAQICAnYCBAIFAgYCBwIIAgkCIQILAgwCDQIIAggCCAIIAggCCAIIAggCCAIIAggCCAIIAggCCAIIAggCHgIDAncCHgAEBQECAgI9AgQCBQIGAgcCCAIJAhwCCwIMAg0CCAIIAggCCAIIAggCCAIIAggCCAIIAggCCAIIAggCCAIIAh4CAwJuAh4ABAUBAgICLgIEAgUCBgIHAggCCQIhAgsCDAINAggCCAIIAggCCAIIAggCCAIIAggCCAIIAggCCAIIAggCCAIeAgMCKgIeAAQFAQICAkkCBAIFAgYCBwIIAgkCCgILAgwCDQIIAggCCAIIAggCCAIIAggCCAIIAggCCAIIAggCCAIIAggCHgIDAm0CHgAEBQECAgIvAgQCBQIGAgcCCAIJAgoCCwIMAg0CCAIIAggCCAIIAggCCAIIAggCCAIIAggCCAIIAggCCAIIAh4CAwJcAh4ABAUBAgICPQIEAgUCBgIHAggCCQIKAgsCDAINAggCCAIIAggCCAIIAggCCAIIAggCCAIIAggCCAIIAggCCAIeAgMCkwIeAAQFAQICAkECBAIFAgYCBwIIAgkCIQILAgwCDQIIAggCCAIIAggCCAIIAggCCAIIAggCCAIIAggCCAIIAggCHgIDAo4CHgAEBQECAgIuAgQCBQIGAgcCCAIJAhwCCwIMAg0CCAIIAggCCAIIAggCCAIIAggCCAIIAggCCAIIAggCCAIIAh4CAwJjAh4ABAUBAgICaAIEAgUCBgIHAggCCQIKAgsCDAINAggCCAIIAggCCAIIAggCCAIIAggCCAIIAggCCAIIAggCCAIeAgMCiwIeAAQFAQICAmQCBAIFAgYCBwIIAgkCHAILAgwCDQIIAggCCAIIAggCCAIIAggCCAIIAggCCAIIAggCCAIIAggCHgIDAmUCHgAEBQECAgIlAgQCBQIGAgcCCAIJAiECCwIMAg0CCAIIAggCCAIIAggCCAIIAggCCAIIAggCCAIIAggCCAIIAh4CA3oAAAQAApECHgAEBQECAgJFAgQCBQIGAgcCCAIJAiECCwIMAg0CCAIIAggCCAIIAggCCAIIAggCCAIIAggCCAIIAggCCAIIAh4CAwJGAh4ABAUBAgICNAIEAgUCBgIHAggCCQIcAgsCDAINAggCCAIIAggCCAIIAggCCAIIAggCCAIIAggCCAIIAggCCAIeAgMCkgIeAAQFAQICAh4CBAIFAgYCBwIIAgkCHAILAgwCDQIIAggCCAIIAggCCAIIAggCCAIIAggCCAIIAggCCAIIAggCHgIDAh8CHgAEBQECAgIjAgQCBQIGAgcCCAIJAgoCCwIMAg0CCAIIAggCCAIIAggCCAIIAggCCAIIAggCCAIIAggCCAIIAh4CAwJ+Ah4ABAUBAgICTAIEAgUCBgIHAggCCQIcAgsCDAINAggCCAIIAggCCAIIAggCCAIIAggCCAIIAggCCAIIAggCCAIeAgMCWAIeAAQFAQICAjsCBAIFAgYCBwIIAgkCCgILAgwCDQIIAggCCAIIAggCCAIIAggCCAIIAggCCAIIAggCCAIIAggCHgIDAlsCHgAEBQECAgIgAgQCBQIGAgcCCAIJAhwCCwIMAg0CCAIIAggCCAIIAggCCAIIAggCCAIIAggCCAIIAggCCAIIAh4CAwKMAh4ABAUBAgICLAIEAgUCBgIHAggCCQIcAgsCDAINAggCCAIIAggCCAIIAggCCAIIAggCCAIIAggCCAIIAggCCAIeAgMClAIeAAQFAQICAjICBAIFAgYCBwIIAgkCCgILAgwCDQIIAggCCAIIAggCCAIIAggCCAIIAggCCAIIAggCCAIIAggCHgIDAl8CHgAEBQECAgJgAgQCBQIGAgcCCAIJAhwCCwIMAg0CCAIIAggCCAIIAggCCAIIAggCCAIIAggCCAIIAggCCAIIAh4CAwJhAh4ABAUBAgICdgIEAgUCBgIHAggCCQIcAgsCDAINAggCCAIIAggCCAIIAggCCAIIAggCCAIIAggCCAIIAggCCAIeAgMCkAIeAAQFAQICAl0CBAIFAgYCBwIIAgkCIQILAgwCDQIIAggCCAIIAggCCAIIAggCCAIIAggCCAIIAggCCAIIAggCHgIDAl4CHgAEBQECAgJ1AgQCBQIGAgcCCAIJAgoCCwIMAg0CCAIIAggCCAIIAggCCAIIAggCCAIIAggCCAIIAggCCAIIAh4CAwKNAh4ABAYBAAk4MjYyMzAwNDgCAgJkAgQCBQIGAgcCCAIJAgoCCwIMAg0CCAIIAggCCAIIAggCCAIIAggCCAIIAggCCAIIAggCCAIIAgQCAwJxAh4ABAYBAgICLgIEAgUCBgIHAggCCQIKAgsCDAINAnoAAAQACAIIAggCCAIIAggCCAIIAggCCAIIAggCCAIIAggCCAIIAgQCAwJyAh4ABAYBAgICIwIEAgUCBgIHAggCCQIKAgsCDAINAggCCAIIAggCCAIIAggCCAIIAggCCAIIAggCCAIIAggCCAIEAgMCfgIeAAQGAQICAmoCBAIFAgYCBwIIAgkCCgILAgwCDQIIAggCCAIIAggCCAIIAggCCAIIAggCCAIIAggCCAIIAggCBAIDAnMCHgAEBgECAgJFAgQCBQIGAgcCCAIJAgoCCwIMAg0CCAIIAggCCAIIAggCCAIIAggCCAIIAggCCAIIAggCCAIIAgQCAwJnAh4ABAYBAgICVAIEAgUCBgIHAggCCQIKAgsCDAINAggCCAIIAggCCAIIAggCCAIIAggCCAIIAggCCAIIAggCCAIEAgMCVQIeAAQGAQICAiACBAIFAgYCBwIIAgkCCgILAgwCDQIIAggCCAIIAggCCAIIAggCCAIIAggCCAIIAggCCAIIAggCBAIDAoECHgAEBgECAgIyAgQCBQIGAgcCCAIJAgoCCwIMAg0CCAIIAggCCAIIAggCCAIIAggCCAIIAggCCAIIAggCCAIIAgQCAwJfAh4ABAYBAgICdQIEAgUCBgIHAggCCQIKAgsCDAINAggCCAIIAggCCAIIAggCCAIIAggCCAIIAggCCAIIAggCCAIEAgMCjQIeAAQGAQICAkkCBAIFAgYCBwIIAgkCCgILAgwCDQIIAggCCAIIAggCCAIIAggCCAIIAggCCAIIAggCCAIIAggCBAIDAm0CHgAEBgECAgI3AgQCBQIGAgcCCAIJAgoCCwIMAg0CCAIIAggCCAIIAggCCAIIAggCCAIIAggCCAIIAggCCAIIAgQCAwKDAh4ABAYBAgICLwIEAgUCBgIHAggCCQIKAgsCDAINAggCCAIIAggCCAIIAggCCAIIAggCCAIIAggCCAIIAggCCAIEAgMCXAIeAAQGAQICAiwCBAIFAgYCBwIIAgkCCgILAgwCDQIIAggCCAIIAggCCAIIAggCCAIIAggCCAIIAggCCAIIAggCBAIDAi0CHgAEBgECAgJdAgQCBQIGAgcCCAIJAgoCCwIMAg0CCAIIAggCCAIIAggCCAIIAggCCAIIAggCCAIIAggCCAIIAgQCAwJ9Ah4ABAYBAgICQwIEAgUCBgIHAggCCQIKAgsCDAINAggCCAIIAggCCAIIAggCCAIIAggCCAIIAggCCAIIAggCCAIEAgMChQIeAAQGAQICAikCBAIFAgYCBwIIAgkCCgILAgwCDQIIAggCCAIIAggCCAIIAggCCAIIAggCCAIIAggCCAIIAggCBAIDAlICHgAEBnoAAAQAAQICAlACBAIFAgYCBwIIAgkCCgILAgwCDQIIAggCCAIIAggCCAIIAggCCAIIAggCCAIIAggCCAIIAggCBAIDAn8CHgAEBgECAgI0AgQCBQIGAgcCCAIJAgoCCwIMAg0CCAIIAggCCAIIAggCCAIIAggCCAIIAggCCAIIAggCCAIIAgQCAwI1Ah4ABAcBAAk1MzQ5OTg5NDQCAgJDAgQCBQIGAgcCCAIJAiECCwIMAg0CCAIIAggCCAIIAggCCAIIAggCCAIIAggCCAIIAggCCAIIAhICAwJsAh4ABAcBAgICSQIEAgUCBgIHAggCCQIKAgsCDAINAggCCAIIAggCCAIIAggCCAIIAggCCAIIAggCCAIIAggCCAISAgMCbQIeAAQHAQICAnYCBAIFAgYCBwIIAgkCIQILAgwCDQIIAggCCAIIAggCCAIIAggCCAIIAggCCAIIAggCCAIIAggCEgIDAncCHgAEBwECAgJAAgQCBQIGAgcCCAIJAhwCCwIMAg0CCAIIAggCCAIIAggCCAIIAggCCAIIAggCCAIIAggCCAIIAhICAwJvAh4ABAcBAgICPQIEAgUCBgIHAggCCQIcAgsCDAINAggCCAIIAggCCAIIAggCCAIIAggCCAIIAggCCAIIAggCCAISAgMCbgIeAAQHAQICAmACBAIFAgYCBwIIAgkCCgILAgwCDQIIAggCCAIIAggCCAIIAggCCAIIAggCCAIIAggCCAIIAggCEgIDAnACHgAEBwECAgJFAgQCBQIGAgcCCAIJAgoCCwIMAg0CCAIIAggCCAIIAggCCAIIAggCCAIIAggCCAIIAggCCAIIAhICAwJnAh4ABAcBAgICTAIEAgUCBgIHAggCCQIhAgsCDAINAggCCAIIAggCCAIIAggCCAIIAggCCAIIAggCCAIIAggCCAISAgMCZgIeAAQHAQICAjcCBAIFAgYCBwIIAgkCIQILAgwCDQIIAggCCAIIAggCCAIIAggCCAIIAggCCAIIAggCCAIIAggCEgIDAioCHgAEBwECAgJqAgQCBQIGAgcCCAIJAhwCCwIMAg0CCAIIAggCCAIIAggCCAIIAggCCAIIAggCCAIIAggCCAIIAhICAwJrAh4ABAcBAgICaAIEAgUCBgIHAggCCQIcAgsCDAINAggCCAIIAggCCAIIAggCCAIIAggCCAIIAggCCAIIAggCCAISAgMCaQIeAAQHAQICAlQCBAIFAgYCBwIIAgkCIQILAgwCDQIIAggCCAIIAggCCAIIAggCCAIIAggCCAIIAggCCAIIAggCEgIDAioCHgAEBwECAgIpAgQCBQIGAgcCCAIJAhwCCwIMAg0CCAIIAggCCHoAAAQAAggCCAIIAggCCAIIAggCCAIIAggCCAIIAggCEgIDAnsCHgAEBwECAgIvAgQCBQIGAgcCCAIJAiECCwIMAg0CCAIIAggCCAIIAggCCAIIAggCCAIIAggCCAIIAggCCAIIAhICAwJ8Ah4ABAcBAgICJwIEAgUCBgIHAggCCQIcAgsCDAINAggCCAIIAggCCAIIAggCCAIIAggCCAIIAggCCAIIAggCCAISAgMCegIeAAQHAQICAkcCBAIFAgYCBwIIAgkCIQILAgwCDQIIAggCCAIIAggCCAIIAggCCAIIAggCCAIIAggCCAIIAggCEgIDAioCHgAEBwECAgIuAgQCBQIGAgcCCAIJAgoCCwIMAg0CCAIIAggCCAIIAggCCAIIAggCCAIIAggCCAIIAggCCAIIAhICAwJyAh4ABAcBAgICZAIEAgUCBgIHAggCCQIKAgsCDAINAggCCAIIAggCCAIIAggCCAIIAggCCAIIAggCCAIIAggCCAISAgMCcQIeAAQHAQICAmoCBAIFAgYCBwIIAgkCCgILAgwCDQIIAggCCAIIAggCCAIIAggCCAIIAggCCAIIAggCCAIIAggCEgIDAnMCHgAEBwECAgJFAgQCBQIGAgcCCAIJAhwCCwIMAg0CCAIIAggCCAIIAggCCAIIAggCCAIIAggCCAIIAggCCAIIAhICAwJ5Ah4ABAcBAgICSQIEAgUCBgIHAggCCQIcAgsCDAINAggCCAIIAggCCAIIAggCCAIIAggCCAIIAggCCAIIAggCCAISAgMCeAIeAAQHAQICAkoCBAIFAgYCBwIIAgkCHAILAgwCDQIIAggCCAIIAggCCAIIAggCCAIIAggCCAIIAggCCAIIAggCEgIDAnQCHgAEBwECAgJ1AgQCBQIGAgcCCAIJAiECCwIMAg0CCAIIAggCCAIIAggCCAIIAggCCAIIAggCCAIIAggCCAIIAhICAwIqAh4ABAcBAgICKwIEAgUCBgIHAggCCQIcAgsCDAINAggCCAIIAggCCAIIAggCCAIIAggCCAIIAggCCAIIAggCCAISAgMCSAIeAAQHAQICAlACBAIFAgYCBwIIAgkCHAILAgwCDQIIAggCCAIIAggCCAIIAggCCAIIAggCCAIIAggCCAIIAggCEgIDAlECHgAEBwECAgI7AgQCBQIGAgcCCAIJAiECCwIMAg0CCAIIAggCCAIIAggCCAIIAggCCAIIAggCCAIIAggCCAIIAhICAwJWAh4ABAcBAgICNAIEAgUCBgIHAggCCQIhAgsCDAINAggCCAIIAggCCAIIAggCCAIIAggCCAIIAggCCAIIAggCCAISAgMCKgIeAAQHAQICAkcCBHoAAAQAAgUCBgIHAggCCQIcAgsCDAINAggCCAIIAggCCAIIAggCCAIIAggCCAIIAggCCAIIAggCCAISAgMCSAIeAAQHAQICAiwCBAIFAgYCBwIIAgkCIQILAgwCDQIIAggCCAIIAggCCAIIAggCCAIIAggCCAIIAggCCAIIAggCEgIDAlMCHgAEBwECAgJUAgQCBQIGAgcCCAIJAgoCCwIMAg0CCAIIAggCCAIIAggCCAIIAggCCAIIAggCCAIIAggCCAIIAhICAwJVAh4ABAcBAgICJwIEAgUCBgIHAggCCQIKAgsCDAINAggCCAIIAggCCAIIAggCCAIIAggCCAIIAggCCAIIAggCCAISAgMCVwIeAAQHAQICAkECBAIFAgYCBwIIAgkCHAILAgwCDQIIAggCCAIIAggCCAIIAggCCAIIAggCCAIIAggCCAIIAggCEgIDAk8CHgAEBwECAgJHAgQCBQIGAgcCCAIJAgoCCwIMAg0CCAIIAggCCAIIAggCCAIIAggCCAIIAggCCAIIAggCCAIIAhICAwI/Ah4ABAcBAgICXQIEAgUCBgIHAggCCQIKAgsCDAINAggCCAIIAggCCAIIAggCCAIIAggCCAIIAggCCAIIAggCCAISAgMCfQIeAAQHAQICAkwCBAIFAgYCBwIIAgkCCgILAgwCDQIIAggCCAIIAggCCAIIAggCCAIIAggCCAIIAggCCAIIAggCEgIDAk0CHgAEBwECAgJFAgQCBQIGAgcCCAIJAiECCwIMAg0CCAIIAggCCAIIAggCCAIIAggCCAIIAggCCAIIAggCCAIIAhICAwJGAh4ABAcBAgICMgIEAgUCBgIHAggCCQIcAgsCDAINAggCCAIIAggCCAIIAggCCAIIAggCCAIIAggCCAIIAggCCAISAgMCTgIeAAQHAQICAjsCBAIFAgYCBwIIAgkCHAILAgwCDQIIAggCCAIIAggCCAIIAggCCAIIAggCCAIIAggCCAIIAggCEgIDAjwCHgAEBwECAgJKAgQCBQIGAgcCCAIJAgoCCwIMAg0CCAIIAggCCAIIAggCCAIIAggCCAIIAggCCAIIAggCCAIIAhICAwJLAh4ABAcBAgICSQIEAgUCBgIHAggCCQIhAgsCDAINAggCCAIIAggCCAIIAggCCAIIAggCCAIIAggCCAIIAggCCAISAgMCKgIeAAQHAQICAi8CBAIFAgYCBwIIAgkCCgILAgwCDQIIAggCCAIIAggCCAIIAggCCAIIAggCCAIIAggCCAIIAggCEgIDAlwCHgAEBwECAgJdAgQCBQIGAgcCCAIJAiECCwIMAg0CCAIIAggCCAIIAggCCAIIAggCCAIIAggCCHoAAAQAAggCCAIIAggCEgIDAl4CHgAEBwECAgIyAgQCBQIGAgcCCAIJAgoCCwIMAg0CCAIIAggCCAIIAggCCAIIAggCCAIIAggCCAIIAggCCAIIAhICAwJfAh4ABAcBAgICZAIEAgUCBgIHAggCCQIcAgsCDAINAggCCAIIAggCCAIIAggCCAIIAggCCAIIAggCCAIIAggCCAISAgMCZQIeAAQHAQICAmACBAIFAgYCBwIIAgkCHAILAgwCDQIIAggCCAIIAggCCAIIAggCCAIIAggCCAIIAggCCAIIAggCEgIDAmECHgAEBwECAgIuAgQCBQIGAgcCCAIJAhwCCwIMAg0CCAIIAggCCAIIAggCCAIIAggCCAIIAggCCAIIAggCCAIIAhICAwJjAh4ABAcBAgICTAIEAgUCBgIHAggCCQIcAgsCDAINAggCCAIIAggCCAIIAggCCAIIAggCCAIIAggCCAIIAggCCAISAgMCWAIeAAQHAQICAlQCBAIFAgYCBwIIAgkCHAILAgwCDQIIAggCCAIIAggCCAIIAggCCAIIAggCCAIIAggCCAIIAggCEgIDAloCHgAEBwECAgIeAgQCBQIGAgcCCAIJAiECCwIMAg0CCAIIAggCCAIIAggCCAIIAggCCAIIAggCCAIIAggCCAIIAhICAwJZAh4ABAcBAgICOwIEAgUCBgIHAggCCQIKAgsCDAINAggCCAIIAggCCAIIAggCCAIIAggCCAIIAggCCAIIAggCCAISAgMCWwIeAAQHAQICAikCBAIFAgYCBwIIAgkCCgILAgwCDQIIAggCCAIIAggCCAIIAggCCAIIAggCCAIIAggCCAIIAggCEgIDAlICHgAEBwECAgIbAgQCBQIGAgcCCAIJAiECCwIMAg0CCAIIAggCCAIIAggCCAIIAggCCAIIAggCCAIIAggCCAIIAhICAwIqAh4ABAcBAgICKQIEAgUCBgIHAggCCQIhAgsCDAINAggCCAIIAggCCAIIAggCCAIIAggCCAIIAggCCAIIAggCCAISAgMCKgIeAAQHAQICAiwCBAIFAgYCBwIIAgkCCgILAgwCDQIIAggCCAIIAggCCAIIAggCCAIIAggCCAIIAggCCAIIAggCEgIDAi0CHgAEBwECAgInAgQCBQIGAgcCCAIJAiECCwIMAg0CCAIIAggCCAIIAggCCAIIAggCCAIIAggCCAIIAggCCAIIAhICAwIoAh4ABAcBAgICSgIEAgUCBgIHAggCCQIhAgsCDAINAggCCAIIAggCCAIIAggCCAIIAggCCAIIAggCCAIIAggCCAISAgMCYgIeAAQHAQICAi4CBAIFAgYCBwIIAgkCIQILAgwCDXoAAAQAAggCCAIIAggCCAIIAggCCAIIAggCCAIIAggCCAIIAggCCAISAgMCKgIeAAQHAQICAi8CBAIFAgYCBwIIAgkCHAILAgwCDQIIAggCCAIIAggCCAIIAggCCAIIAggCCAIIAggCCAIIAggCEgIDAjACHgAEBwECAgIlAgQCBQIGAgcCCAIJAgoCCwIMAg0CCAIIAggCCAIIAggCCAIIAggCCAIIAggCCAIIAggCCAIIAhICAwImAh4ABAcBAgICAwIEAgUCBgIHAggCCQIKAgsCDAINAggCCAIIAggCCAIIAggCCAIIAggCCAIIAggCCAIIAggCCAISAgMCDgIeAAQHAQICAiACBAIFAgYCBwIIAgkCIQILAgwCDQIIAggCCAIIAggCCAIIAggCCAIIAggCCAIIAggCCAIIAggCEgIDAiICHgAEBwECAgIbAgQCBQIGAgcCCAIJAhwCCwIMAg0CCAIIAggCCAIIAggCCAIIAggCCAIIAggCCAIIAggCCAIIAhICAwIdAh4ABAcBAgICHgIEAgUCBgIHAggCCQIcAgsCDAINAggCCAIIAggCCAIIAggCCAIIAggCCAIIAggCCAIIAggCCAISAgMCHwIeAAQHAQICAisCBAIFAgYCBwIIAgkCCgILAgwCDQIIAggCCAIIAggCCAIIAggCCAIIAggCCAIIAggCCAIIAggCEgIDAj8CHgAEBwECAgJDAgQCBQIGAgcCCAIJAhwCCwIMAg0CCAIIAggCCAIIAggCCAIIAggCCAIIAggCCAIIAggCCAIIAhICAwJEAh4ABAcBAgICPQIEAgUCBgIHAggCCQIhAgsCDAINAggCCAIIAggCCAIIAggCCAIIAggCCAIIAggCCAIIAggCCAISAgMCPgIeAAQHAQICAkECBAIFAgYCBwIIAgkCCgILAgwCDQIIAggCCAIIAggCCAIIAggCCAIIAggCCAIIAggCCAIIAggCEgIDAkICHgAEBwECAgIjAgQCBQIGAgcCCAIJAiECCwIMAg0CCAIIAggCCAIIAggCCAIIAggCCAIIAggCCAIIAggCCAIIAhICAwIkAh4ABAcBAgICQAIEAgUCBgIHAggCCQIhAgsCDAINAggCCAIIAggCCAIIAggCCAIIAggCCAIIAggCCAIIAggCCAISAgMCKgIeAAQHAQICAh4CBAIFAgYCBwIIAgkCCgILAgwCDQIIAggCCAIIAggCCAIIAggCCAIIAggCCAIIAggCCAIIAggCEgIDAjoCHgAEBwECAgIbAgQCBQIGAgcCCAIJAgoCCwIMAg0CCAIIAggCCAIIAggCCAIIAggCCAIIAggCCAIIAggCCAIIAhICAwIxAh4ABHoAAAQABwECAgI0AgQCBQIGAgcCCAIJAgoCCwIMAg0CCAIIAggCCAIIAggCCAIIAggCCAIIAggCCAIIAggCCAIIAhICAwI1Ah4ABAcBAgICaAIEAgUCBgIHAggCCQIhAgsCDAINAggCCAIIAggCCAIIAggCCAIIAggCCAIIAggCCAIIAggCCAISAgMChgIeAAQHAQICAgMCBAIFAgYCBwIIAgkCHAILAgwCDQIIAggCCAIIAggCCAIIAggCCAIIAggCCAIIAggCCAIIAggCEgIDAjkCHgAEBwECAgIlAgQCBQIGAgcCCAIJAhwCCwIMAg0CCAIIAggCCAIIAggCCAIIAggCCAIIAggCCAIIAggCCAIIAhICAwI2Ah4ABAcBAgICNwIEAgUCBgIHAggCCQIcAgsCDAINAggCCAIIAggCCAIIAggCCAIIAggCCAIIAggCCAIIAggCCAISAgMCOAIeAAQHAQICAjICBAIFAgYCBwIIAgkCIQILAgwCDQIIAggCCAIIAggCCAIIAggCCAIIAggCCAIIAggCCAIIAggCEgIDAjMCHgAEBwECAgJdAgQCBQIGAgcCCAIJAhwCCwIMAg0CCAIIAggCCAIIAggCCAIIAggCCAIIAggCCAIIAggCCAIIAhICAwKJAh4ABAcBAgICNwIEAgUCBgIHAggCCQIKAgsCDAINAggCCAIIAggCCAIIAggCCAIIAggCCAIIAggCCAIIAggCCAISAgMCgwIeAAQHAQICAkMCBAIFAgYCBwIIAgkCCgILAgwCDQIIAggCCAIIAggCCAIIAggCCAIIAggCCAIIAggCCAIIAggCEgIDAoUCHgAEBwECAgIjAgQCBQIGAgcCCAIJAhwCCwIMAg0CCAIIAggCCAIIAggCCAIIAggCCAIIAggCCAIIAggCCAIIAhICAwKIAh4ABAcBAgICZAIEAgUCBgIHAggCCQIhAgsCDAINAggCCAIIAggCCAIIAggCCAIIAggCCAIIAggCCAIIAggCCAISAgMChAIeAAQHAQICAnYCBAIFAgYCBwIIAgkCCgILAgwCDQIIAggCCAIIAggCCAIIAggCCAIIAggCCAIIAggCCAIIAggCEgIDAocCHgAEBwECAgIjAgQCBQIGAgcCCAIJAgoCCwIMAg0CCAIIAggCCAIIAggCCAIIAggCCAIIAggCCAIIAggCCAIIAhICAwJ+Ah4ABAcBAgICdQIEAgUCBgIHAggCCQIcAgsCDAINAggCCAIIAggCCAIIAggCCAIIAggCCAIIAggCCAIIAggCCAISAgMCggIeAAQHAQICAiUCBAIFAgYCBwIIAgkCIQILAgwCDQIIAggCCAIIAggCCAIIAggCCHoAAAQAAggCCAIIAggCCAIIAggCCAISAgMCkQIeAAQHAQICAiACBAIFAgYCBwIIAgkCCgILAgwCDQIIAggCCAIIAggCCAIIAggCCAIIAggCCAIIAggCCAIIAggCEgIDAoECHgAEBwECAgJgAgQCBQIGAgcCCAIJAiECCwIMAg0CCAIIAggCCAIIAggCCAIIAggCCAIIAggCCAIIAggCCAIIAhICAwKAAh4ABAcBAgICUAIEAgUCBgIHAggCCQIKAgsCDAINAggCCAIIAggCCAIIAggCCAIIAggCCAIIAggCCAIIAggCCAISAgMCfwIeAAQHAQICAgMCBAIFAgYCBwIIAgkCIQILAgwCDQIIAggCCAIIAggCCAIIAggCCAIIAggCCAIIAggCCAIIAggCEgIDAioCHgAEBwECAgI9AgQCBQIGAgcCCAIJAgoCCwIMAg0CCAIIAggCCAIIAggCCAIIAggCCAIIAggCCAIIAggCCAIIAhICAwKTAh4ABAcBAgICQAIEAgUCBgIHAggCCQIKAgsCDAINAggCCAIIAggCCAIIAggCCAIIAggCCAIIAggCCAIIAggCCAISAgMCjwIeAAQHAQICAjQCBAIFAgYCBwIIAgkCHAILAgwCDQIIAggCCAIIAggCCAIIAggCCAIIAggCCAIIAggCCAIIAggCEgIDApICHgAEBwECAgJBAgQCBQIGAgcCCAIJAiECCwIMAg0CCAIIAggCCAIIAggCCAIIAggCCAIIAggCCAIIAggCCAIIAhICAwKOAh4ABAcBAgICLAIEAgUCBgIHAggCCQIcAgsCDAINAggCCAIIAggCCAIIAggCCAIIAggCCAIIAggCCAIIAggCCAISAgMClAIeAAQHAQICAnUCBAIFAgYCBwIIAgkCCgILAgwCDQIIAggCCAIIAggCCAIIAggCCAIIAggCCAIIAggCCAIIAggCEgIDAo0CHgAEBwECAgJQAgQCBQIGAgcCCAIJAiECCwIMAg0CCAIIAggCCAIIAggCCAIIAggCCAIIAggCCAIIAggCCAIIAhICAwIqAh4ABAcBAgICdgIEAgUCBgIHAggCCQIcAgsCDAINAggCCAIIAggCCAIIAggCCAIIAggCCAIIAggCCAIIAggCCAISAgMCkAIeAAQHAQICAiACBAIFAgYCBwIIAgkCHAILAgwCDQIIAggCCAIIAggCCAIIAggCCAIIAggCCAIIAggCCAIIAggCEgIDAowCHgAEBwECAgJqAgQCBQIGAgcCCAIJAiECCwIMAg0CCAIIAggCCAIIAggCCAIIAggCCAIIAggCCAIIAggCCAIIAhICAwKKAh4ABAcBAgICaAIEAgUCBgIHAggCCXd2AgoCCwIMAg0CCAIIAggCCAIIAggCCAIIAggCCAIIAggCCAIIAggCCAIIAhICAwKLAh4ABAcBAgICKwIEAgUCBgIHAggCCQIhAgsCDAINAggCCAIIAggCCAIIAggCCAIIAggCCAIIAggCCAIIAggCCAISAgMCKg==]]></xxe4awand>
</file>

<file path=customXml/item6.xml><?xml version="1.0" encoding="utf-8"?>
<xxe4awand xmlns="http://www.excel4apps.com"><![CDATA[rO0ABXfZCMCtii8ABPcDAh4AAERjb20uZXhjZWw0YXBwcy53YW5kLm9yYWNsZS5n
bHdhbmQuY2FsY3VsYXRpb25zLmdldGJhbGFuY2UuR2V0QmFsYW5jZQIBAAk0MTQx
NTE1MTICAgABMAIDAAYyMDE4MDICBAADWVREAgUAA1VTRAIGAAVUb3RhbAIHAAFB
AggAAAIJAAMwMDECCgAGMTkxMDEw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CAgMCHHNxAH4AAAAA
AAJzcQB+AAT///////////////7////+/////3VxAH4ABwAAAARlMUGreHh3TQIeAAIBAgICHQAGMjAxNzAxAgQCBQIGAgcCCAIJAgoCCwIMAg0CCAIIAggCCAIIAggCCAIIAggCCAIIAggCCAIIAggCCAIIAgICAwIec3EAfgAAAAAAAnNxAH4ABP///////////////v////7/////dXEAfgAHAAAABD0VO3Z4eHdNAh4AAgECAgIfAAYyMDE3MTACBAIFAgYCBwIIAgkCCgILAgwCDQIIAggCCAIIAggCCAIIAggCCAIIAggCCAIIAggCCAIIAggCAgIDAiBzcQB+AAAAAAACc3EAfgAE///////////////+/////v////91cQB+AAcAAAAEgtyI8Xh4d00CHgACAQICAiEABjIwMTcxMgIEAgUCBgIHAggCCQIKAgsCDAINAggCCAIIAggCCAIIAggCCAIIAggCCAIIAggCCAIIAggCCAICAgMCInNxAH4AAAAAAAJzcQB+AAT///////////////7////+/////3VxAH4ABwAAAARCNLx8eHh3TQIeAAIBAgICIwAGMjAxNzA0AgQCBQIGAgcCCAIJAgoCCwIMAg0CCAIIAggCCAIIAggCCAIIAggCCAIIAggCCAIIAggCCAIIAgICAwIkc3EAfgAAAAAAAnNxAH4ABP///////////////v////7/////dXEAfgAHAAAABFpw2Xd4eHdNAh4AAgECAgIlAAYyMDE4MDMCBAIFAgYCBwIIAgkCCgILAgwCDQIIAggCCAIIAggCCAIIAggCCAIIAggCCAIIAggCCAIIAggCAgIDAiZzcQB+AAAAAAACc3EAfgAE///////////////+/////v////91cQB+AAcAAAAEUn6jGnh4d00CHgACAQICAicABjIwMTcwNgIEAgUCBgIHAggCCQIKAgsCDAINAggCCAIIAggCCAIIAggCCAIIAggCCAIIAggCCAIIAggCCAICAgMCKHNxAH4AAAAAAAJzcQB+AAT///////////////7////+/////3VxAH4ABwAAAARYCwcseHh3TQIeAAIBAgICKQAGMjAxNzAyAgQCBQIGAgcCCAIJAgoCCwIMAg0CCAIIAggCCAIIAggCCAIIAggCCAIIAggCCAIIAggCCAIIAgICAwIqc3EAfgAAAAAAAnNxAH4ABP///////////////v////7/////dXEAfgAHAAAABEmLU8l4eHdNAh4AAgECAgIrAAYyMDE3MTECBAIFAgYCBwIIAgkCCgILAgwCDQIIAggCCAIIAggCCAIIAggCCAIIAggCCAIIAggCCAIIAggCAgIDAixzcQB+AAAAAAACc3EAfgAE///////////////+/////v////91cQB+AAcAAAAEMNCqs3h4d00CHgACAQICAi0ABjIwMTcwOQIEAgUCBgIHAggCCQIKAgsCDAINAggCCAIIAggCCAIIAggCCAIIAggCCAIIAggCCAIIAggCCAICAgMCLnNxAH4AAAAAAAJzcQB+AAT///////////////7////+/////3VxAH4ABwAAAARxBllJeHh3TQIeAAIBAgICLwAGMjAxODAxAgQCBQIGAgcCCAIJAgoCCwIMAg0CCAIIAggCCAIIAggCCAIIAggCCAIIAggCCAIIAggCCAIIAgICAwIwc3EAfgAAAAAAAnNxAH4ABP///////////////v////7/////dXEAfgAHAAAABE7u6Np4eHdNAh4AAgECAgIxAAYyMDE3MDUCBAIFAgYCBwIIAgkCCgILAgwCDQIIAggCCAIIAggCCAIIAggCCAIIAggCCAIIAggCCAIIAggCAgIDAjJzcQB+AAAAAAACc3EAfgAE///////////////+/////v////91cQB+AAcAAAAEWf3l8nh4d00CHgACAQICAjMABjIwMTcwNwIEAgUCBgIHAggCCQIKAgsCDAINAggCCAIIAggCCAIIAggCCAIIAggCCAIIAggCCAIIAggCCAICAgMCNHNxAH4AAAAAAAJzcQB+AAT///////////////7////+/////3VxAH4ABwAAAARe1GL4eHh3TQIeAAIBAgICNQAGMjAxNzAzAgQCBQIGAgcCCAIJAgoCCwIMAg0CCAIIAggCCAIIAggCCAIIAggCCAIIAggCCAIIAggCCAIIAgICAwI2c3EAfgAAAAAAAnNxAH4ABP///////////////v////7/////dXEAfgAHAAAABFNjmyZ4eHdcAh4AAjcACTc3MjA2NjYwOAICAicCBAIFAgYCBwIIAgkCOAAGMTkxMDE1AgsCOQACSUQCDQIIAggCCAIIAggCCAIIAggCCAIIAggCCAIIAggCCAIIAggCFQIDAjpzcQB+AAAAAAACc3EAfgAE///////////////+/////v////91cQB+AAcAAAADEpbAeHh3TQIeAAI3AgICOwAGMjAxNjA2AgQCBQIGAgcCCAIJAgoCCwI5Ag0CCAIIAggCCAIIAggCCAIIAggCCAIIAggCCAIIAggCCAIIAhUCAwI8c3EAfgAAAAAAAnNxAH4ABP///////////////v////7/////dXEAfgAHAAAABCsQC1F4eHdNAh4AAjcCAgI9AAYyMDE2MTICBAIFAgYCBwIIAgkCOAILAjkCDQIIAggCCAIIAggCCAIIAggCCAIIAggCCAIIAggCCAIIAggCFQIDAj5zcQB+AAAAAAACc3EAfgAE///////////////+/////v////91cQB+AAcAAAADEn8GeHh3RQIeAAI3AgICPQIEAgUCBgIHAggCCQIKAgsCOQINAggCCAIIAggCCAIIAggCCAIIAggCCAIIAggCCAIIAggCCAIVAgMCP3NxAH4AAAAAAAJzcQB+AAT///////////////7////+/////3VxAH4ABwAAAAQVrLWfeHh3TQIeAAI3AgICQAAGMjAxNjA1AgQCBQIGAgcCCAIJAjgCCwI5Ag0CCAIIAggCCAIIAggCCAIIAggCCAIIAggCCAIIAggCCAIIAhUCAwJBc3EAfgAAAAAAAnNxAH4ABP///////////////v////7/////dXEAfgAHAAAAAxJjf3h4d00CHgACNwICAi0CBAIFAgYCBwIIAgkCQgAGMTkxMDAwAgsCOQINAggCCAIIAggCCAIIAggCCAIIAggCCAIIAggCCAIIAggCCAIVAgMCQ3NxAH4AAAAAAAJzcQB+AAT///////////////7////+AAAAAXVxAH4ABwAAAAQCWhLSeHh3RQIeAAI3AgICIQIEAgUCBgIHAggCCQI4AgsCOQINAggCCAIIAggCCAIIAggCCAIIAggCCAIIAggCCAIIAggCCAIVAgMCRHNxAH4AAAAAAAJzcQB+AAT///////////////7////+AAAAAHVxAH4ABwAAAAB4eHdNAh4AAjcCAgJFAAYyMDE2MDgCBAIFAgYCBwIIAgkCQgILAjkCDQIIAggCCAIIAggCCAIIAggCCAIIAggCCAIIAggCCAIIAggCFQIDAkZzcQB+AAAAAAACc3EAfgAE///////////////+/////v////91cQB+AAcAAAADnrKqeHh3RQIeAAI3AgICMwIEAgUCBgIHAggCCQIKAgsCOQINAggCCAIIAggCCAIIAggCCAIIAggCCAIIAggCCAIIAggCCAIVAgMCR3NxAH4AAAAAAAJzcQB+AAT///////////////7////+/////3VxAH4ABwAAAAQukYUreHh3RQIeAAI3AgICMwIEAgUCBgIHAggCCQI4AgsCOQINAggCCAIIAggCCAIIAggCCAIIAggCCAIIAggCCAIIAggCCAIVAgMCSHNxAH4AAAAAAAJzcQB+AAT///////////////7////+/////3VxAH4ABwAAAAMSmrd4eHdFAh4AAjcCAgIvAgQCBQIGAgcCCAIJAkICCwI5Ag0CCAIIAggCCAIIAggCCAIIAggCCAIIAggCCAIIAggCCAIIAhUCAwJJc3EAfgAAAAAAAnNxAH4ABP///////////////v////7/////dXEAfgAHAAAABBCmiyR4eHdFAh4AAjcCAgI7AgQCBQIGAgcCCAIJAjgCCwI5Ag0CCAIIAggCCAIIAggCCAIIAggCCAIIAggCCAIIAggCCAIIAhUCAwJKc3EAfgAAAAAAAnNxAH4ABP///////////////v////7/////dXEAfgAHAAAAAxJna3h4d00CHgACNwICAksABjIwMTYwNwIEAgUCBgIHAggCCQJCAgsCOQINAggCCAIIAggCCAIIAggCCAIIAggCCAIIAggCCAIIAggCCAIVAgMCTHNxAH4AAAAAAAJzcQB+AAT///////////////7////+/////3VxAH4ABwAAAAQBBpRgeHh3RQIeAAI3AgICJwIEAgUCBgIHAggCCQIKAgsCOQINAggCCAIIAggCCAIIAggCCAIIAggCCAIIAggCCAIIAggCCAIVAgMCTXNxAH4AAAAAAAJzcQB+AAT///////////////7////+/////3VxAH4ABwAAAAQqC0YheHh3RQIeAAI3AgICQAIEAgUCBgIHAggCCQIKAgsCOQINAggCCAIIAggCCAIIAggCCAIIAggCCAIIAggCCAIIAggCCAIVAgMCTnNxAH4AAAAAAAJzcQB+AAT///////////////7////+/////3VxAH4ABwAAAAQmLzLCeHh3RQIeAAI3AgICGwIEAgUCBgIHAggCCQJCAgsCOQINAggCCAIIAggCCAIIAggCCAIIAggCCAIIAggCCAIIAggCCAIVAgMCT3NxAH4AAAAAAAJzcQB+AAT///////////////7////+AAAAAXVxAH4ABwAAAAP/iV54eHdFAh4AAjcCAgIrAgQCBQIGAgcCCAIJAgoCCwI5Ag0CCAIIAggCCAIIAggCCAIIAggCCAIIAggCCAIIAggCCAIIAhUCAwJQc3EAfgAAAAAAAnNxAH4ABP///////////////v////7/////dXEAfgAHAAAABBwjfJB4eHdFAh4AAjcCAgInAgQCBQIGAgcCCAIJAkICCwI5Ag0CCAIIAggCCAIIAggCCAIIAggCCAIIAggCCAIIAggCCAIIAhUCAwJRc3EAfgAAAAAAAnNxAH4ABP///////////////v////7/////dXEAfgAHAAAABAFtStJ4eHdNAh4AAjcCAgJSAAYyMDE2MTACBAIFAgYCBwIIAgkCCgILAjkCDQIIAggCCAIIAggCCAIIAggCCAIIAggCCAIIAggCCAIIAggCFQIDAlNzcQB+AAAAAAACc3EAfgAE///////////////+/////v////91cQB+AAcAAAAENJhHI3h4d0UCHgACNwICAksCBAIFAgYCBwIIAgkCOAILAjkCDQIIAggCCAIIAggCCAIIAggCCAIIAggCCAIIAggCCAIIAggCFQIDAlRzcQB+AAAAAAACc3EAfgAE///////////////+/////v////91cQB+AAcAAAADEmtYeHh3RQIeAAI3AgICAwIEAgUCBgIHAggCCQJCAgsCOQINAggCCAIIAggCCAIIAggCCAIIAggCCAIIAggCCAIIAggCCAIVAgMCVXNxAH4AAAAAAAJzcQB+AAT///////////////7////+/////3VxAH4ABwAAAAQKK9PneHh3RQIeAAI3AgICHQIEAgUCBgIHAggCCQJCAgsCOQINAggCCAIIAggCCAIIAggCCAIIAggCCAIIAggCCAIIAggCCAIVAgMCVnNxAH4AAAAAAAJzcQB+AAT///////////////7////+/////3VxAH4ABwAAAAQUOveDeHh3TQIeAAI3AgICVwAGMjAxNjExAgQCBQIGAgcCCAIJAkICCwI5Ag0CCAIIAggCCAIIAggCCAIIAggCCAIIAggCCAIIAggCCAIIAhUCAwJYc3EAfgAAAAAAAnNxAH4ABP///////////////v////7/////dXEAfgAHAAAABCWQ0ft4eHdNAh4AAjcCAgJZAAYyMDE2MDQCBAIFAgYCBwIIAgkCCgILAjkCDQIIAggCCAIIAggCCAIIAggCCAIIAggCCAIIAggCCAIIAggCFQIDAlpzcQB+AAAAAAACc3EAfgAE///////////////+/////v////91cQB+AAcAAAAEI8Z4/Xh4d0UCHgACNwICAjECBAIFAgYCBwIIAgkCCgILAjkCDQIIAggCCAIIAggCCAIIAggCCAIIAggCCAIIAggCCAIIAggCFQIDAltzcQB+AAAAAAACc3EAfgAE///////////////+/////v////91cQB+AAcAAAAEKiZPC3h4d0UCHgACNwICAiECBAIFAgYCBwIIAgkCQgILAjkCDQIIAggCCAIIAggCCAIIAggCCAIIAggCCAIIAggCCAIIAggCFQIDAlxzcQB+AAAAAAACc3EAfgAE///////////////+/////v////91cQB+AAcAAAAEFreoonh4d0UCHgACNwICAjUCBAIFAgYCBwIIAgkCOAILAjkCDQIIAggCCAIIAggCCAIIAggCCAIIAggCCAIIAggCCAIIAggCFQIDAl1zcQB+AAAAAAACc3EAfgAE///////////////+/////v////91cQB+AAcAAAADEorfeHh3kgIeAAI3AgICXgAGMjAxODA0AgQCBQIGAgcCCAIJAjgCCwI5Ag0CCAIIAggCCAIIAggCCAIIAggCCAIIAggCCAIIAggCCAIIAhUCAwJEAh4AAjcCAgIxAgQCBQIGAgcCCAIJAjgCCwI5Ag0CCAIIAggCCAIIAggCCAIIAggCCAIIAggCCAIIAggCCAIIAhUCAwJfc3EAfgAAAAAAAnNxAH4ABP///////////////v////7/////dXEAfgAHAAAAAxKSynh4d0UCHgACNwICAksCBAIFAgYCBwIIAgkCCgILAjkCDQIIAggCCAIIAggCCAIIAggCCAIIAggCCAIIAggCCAIIAggCFQIDAmBzcQB+AAAAAAACc3EAfgAE///////////////+/////v////91cQB+AAcAAAAELv3gknh4d0UCHgACNwICAlICBAIFAgYCBwIIAgkCOAILAjkCDQIIAggCCAIIAggCCAIIAggCCAIIAggCCAIIAggCCAIIAggCFQIDAmFzcQB+AAAAAAACc3EAfgAE///////////////+/////v////91cQB+AAcAAAADEncleHh3RQIeAAI3AgICWQIEAgUCBgIHAggCCQI4AgsCOQINAggCCAIIAggCCAIIAggCCAIIAggCCAIIAggCCAIIAggCCAIVAgMCYnNxAH4AAAAAAAJzcQB+AAT///////////////7////+/////3VxAH4ABwAAAAMSX5R4eHeKAh4AAjcCAgIrAgQCBQIGAgcCCAIJAjgCCwI5Ag0CCAIIAggCCAIIAggCCAIIAggCCAIIAggCCAIIAggCCAIIAhUCAwJEAh4AAjcCAgIbAgQCBQIGAgcCCAIJAjgCCwI5Ag0CCAIIAggCCAIIAggCCAIIAggCCAIIAggCCAIIAggCCAIIAhUCAwJjc3EAfgAAAAAAAnNxAH4ABP///////////////v////7/////dXEAfgAHAAAAAxKer3h4d4oCHgACNwICAi8CBAIFAgYCBwIIAgkCOAILAjkCDQIIAggCCAIIAggCCAIIAggCCAIIAggCCAIIAggCCAIIAggCFQIDAkQCHgACNwICAkACBAIFAgYCBwIIAgkCQgILAjkCDQIIAggCCAIIAggCCAIIAggCCAIIAggCCAIIAggCCAIIAggCFQIDAmRzcQB+AAAAAAACc3EAfgAE///////////////+/////v////91cQB+AAcAAAAEAc1Kd3h4d0UCHgACNwICAhsCBAIFAgYCBwIIAgkCCgILAjkCDQIIAggCCAIIAggCCAIIAggCCAIIAggCCAIIAggCCAIIAggCFQIDAmVzcQB+AAAAAAACc3EAfgAE///////////////+/////v////91cQB+AAcAAAAENDlU6Hh4d0UCHgACNwICAi8CBAIFAgYCBwIIAgkCCgILAjkCDQIIAggCCAIIAggCCAIIAggCCAIIAggCCAIIAggCCAIIAggCFQIDAmZzcQB+AAAAAAACc3EAfgAE///////////////+/////v////91cQB+AAcAAAAEKSCPhXh4d0UCHgACNwICAiUCBAIFAgYCBwIIAgkCCgILAjkCDQIIAggCCAIIAggCCAIIAggCCAIIAggCCAIIAggCCAIIAggCFQIDAmdzcQB+AAAAAAACc3EAfgAE///////////////+/////v////91cQB+AAcAAAAEKsKx+Hh4d00CHgACNwICAmgABjIwMTYwMwIEAgUCBgIHAggCCQJCAgsCOQINAggCCAIIAggCCAIIAggCCAIIAggCCAIIAggCCAIIAggCCAIVAgMCaXNxAH4AAAAAAAJzcQB+AAT///////////////7////+/////3VxAH4ABwAAAAQC+0uLeHh3RQIeAAI3AgICKQIEAgUCBgIHAggCCQIKAgsCOQINAggCCAIIAggCCAIIAggCCAIIAggCCAIIAggCCAIIAggCCAIVAgMCanNxAH4AAAAAAAJzcQB+AAT///////////////7////+/////3VxAH4ABwAAAAQiCqwxeHh3RQIeAAI3AgICIwIEAgUCBgIHAggCCQJCAgsCOQINAggCCAIIAggCCAIIAggCCAIIAggCCAIIAggCCAIIAggCCAIVAgMCa3NxAH4AAAAAAAJzcQB+AAT///////////////7////+/////3VxAH4ABwAAAAQFBKNBeHh3TQIeAAI3AgICbAAGMjAxODA1AgQCBQIGAgcCCAIJAkICCwI5Ag0CCAIIAggCCAIIAggCCAIIAggCCAIIAggCCAIIAggCCAIIAhUCAwJtc3EAfgAAAAAAAnNxAH4ABP///////////////v////4AAAABdXEAfgAHAAAAAzaltnh4d0UCHgACNwICAh0CBAIFAgYCBwIIAgkCOAILAjkCDQIIAggCCAIIAggCCAIIAggCCAIIAggCCAIIAggCCAIIAggCFQIDAm5zcQB+AAAAAAACc3EAfgAE///////////////+/////v////91cQB+AAcAAAADEoL4eHh3RQIeAAI3AgICNQIEAgUCBgIHAggCCQJCAgsCOQINAggCCAIIAggCCAIIAggCCAIIAggCCAIIAggCCAIIAggCCAIVAgMCb3NxAH4AAAAAAAJzcQB+AAT///////////////7////+/////3VxAH4ABwAAAAQIvUgheHh3RQIeAAI3AgICNQIEAgUCBgIHAggCCQIKAgsCOQINAggCCAIIAggCCAIIAggCCAIIAggCCAIIAggCCAIIAggCCAIVAgMCcHNxAH4AAAAAAAJzcQB+AAT///////////////7////+/////3VxAH4ABwAAAAQmeB9xeHh3RQIeAAI3AgICHwIEAgUCBgIHAggCCQJCAgsCOQINAggCCAIIAggCCAIIAggCCAIIAggCCAIIAggCCAIIAggCCAIVAgMCcXNxAH4AAAAAAAJzcQB+AAT///////////////7////+AAAAAXVxAH4ABwAAAAQGG1pqeHh3TQIeAAI3AgICcgAGMjAxNjAyAgQCBQIGAgcCCAIJAkICCwI5Ag0CCAIIAggCCAIIAggCCAIIAggCCAIIAggCCAIIAggCCAIIAhUCAwJzc3EAfgAAAAAAAnNxAH4ABP///////////////v////7/////dXEAfgAHAAAABARbkhB4eHdFAh4AAjcCAgJeAgQCBQIGAgcCCAIJAgoCCwI5Ag0CCAIIAggCCAIIAggCCAIIAggCCAIIAggCCAIIAggCCAIIAhUCAwJ0c3EAfgAAAAAAAnNxAH4ABP///////////////v////7/////dXEAfgAHAAAABC70FP94eHeKAh4AAjcCAgIDAgQCBQIGAgcCCAIJAjgCCwI5Ag0CCAIIAggCCAIIAggCCAIIAggCCAIIAggCCAIIAggCCAIIAhUCAwJEAh4AAjcCAgIDAgQCBQIGAgcCCAIJAgoCCwI5Ag0CCAIIAggCCAIIAggCCAIIAggCCAIIAggCCAIIAggCCAIIAhUCAwJ1c3EAfgAAAAAAAnNxAH4ABP///////////////v////7/////dXEAfgAHAAAABClGhLZ4eHdNAh4AAjcCAgJ2AAYyMDE2MDkCBAIFAgYCBwIIAgkCCgILAjkCDQIIAggCCAIIAggCCAIIAggCCAIIAggCCAIIAggCCAIIAggCFQIDAndzcQB+AAAAAAACc3EAfgAE///////////////+/////v////91cQB+AAcAAAAEM7yWknh4d0UCHgACNwICAlkCBAIFAgYCBwIIAgkCQgILAjkCDQIIAggCCAIIAggCCAIIAggCCAIIAggCCAIIAggCCAIIAggCFQIDAnhzcQB+AAAAAAACc3EAfgAE///////////////+/////v////91cQB+AAcAAAAEAlAe6Xh4d0UCHgACNwICAl4CBAIFAgYCBwIIAgkCQgILAjkCDQIIAggCCAIIAggCCAIIAggCCAIIAggCCAIIAggCCAIIAggCFQIDAnlzcQB+AAAAAAACc3EAfgAE///////////////+/////v////91cQB+AAcAAAAEATJrz3h4d0UCHgACNwICAnICBAIFAgYCBwIIAgkCCgILAjkCDQIIAggCCAIIAggCCAIIAggCCAIIAggCCAIIAggCCAIIAggCFQIDAnpzcQB+AAAAAAACc3EAfgAE///////////////+/////v////91cQB+AAcAAAAEG7MeXHh4d0UCHgACNwICAnICBAIFAgYCBwIIAgkCOAILAjkCDQIIAggCCAIIAggCCAIIAggCCAIIAggCCAIIAggCCAIIAggCFQIDAntzcQB+AAAAAAACc3EAfgAE///////////////+/////v////91cQB+AAcAAAADEle/eHh3RQIeAAI3AgICdgIEAgUCBgIHAggCCQI4AgsCOQINAggCCAIIAggCCAIIAggCCAIIAggCCAIIAggCCAIIAggCCAIVAgMCfHNxAH4AAAAAAAJzcQB+AAT///////////////7////+/////3VxAH4ABwAAAAMSczV4eHeKAh4AAjcCAgIlAgQCBQIGAgcCCAIJAjgCCwI5Ag0CCAIIAggCCAIIAggCCAIIAggCCAIIAggCCAIIAggCCAIIAhUCAwJEAh4AAjcCAgIrAgQCBQIGAgcCCAIJAkICCwI5Ag0CCAIIAggCCAIIAggCCAIIAggCCAIIAggCCAIIAggCCAIIAhUCAwJ9c3EAfgAAAAAAAnNxAH4ABP///////////////v////7/////dXEAfgAHAAAABB7AdGx4eHdFAh4AAjcCAgJSAgQCBQIGAgcCCAIJAkICCwI5Ag0CCAIIAggCCAIIAggCCAIIAggCCAIIAggCCAIIAggCCAIIAhUCAwJ+c3EAfgAAAAAAAnNxAH4ABP///////////////v////4AAAABdXEAfgAHAAAAA7lyfHh4d0UCHgACNwICAikCBAIFAgYCBwIIAgkCOAILAjkCDQIIAggCCAIIAggCCAIIAggCCAIIAggCCAIIAggCCAIIAggCFQIDAn9zcQB+AAAAAAACc3EAfgAE///////////////+/////v////91cQB+AAcAAAADEobreHh3RQIeAAI3AgICLQIEAgUCBgIHAggCCQIKAgsCOQINAggCCAIIAggCCAIIAggCCAIIAggCCAIIAggCCAIIAggCCAIVAgMCgHNxAH4AAAAAAAJzcQB+AAT///////////////7////+/////3VxAH4ABwAAAAQ5RS7+eHh3RQIeAAI3AgICRQIEAgUCBgIHAggCCQIKAgsCOQINAggCCAIIAggCCAIIAggCCAIIAggCCAIIAggCCAIIAggCCAIVAgMCgXNxAH4AAAAAAAJzcQB+AAT///////////////7////+/////3VxAH4ABwAAAAQx77UZeHh3RQIeAAI3AgICIwIEAgUCBgIHAggCCQI4AgsCOQINAggCCAIIAggCCAIIAggCCAIIAggCCAIIAggCCAIIAggCCAIVAgMCgnNxAH4AAAAAAAJzcQB+AAT///////////////7////+/////3VxAH4ABwAAAAMSjtR4eHdFAh4AAjcCAgIfAgQCBQIGAgcCCAIJAjgCCwI5Ag0CCAIIAggCCAIIAggCCAIIAggCCAIIAggCCAIIAggCCAIIAhUCAwKDc3EAfgAAAAAAAnNxAH4ABP///////////////v////7/////dXEAfgAHAAAAAxKmonh4d0UCHgACNwICAmgCBAIFAgYCBwIIAgkCCgILAjkCDQIIAggCCAIIAggCCAIIAggCCAIIAggCCAIIAggCCAIIAggCFQIDAoRzcQB+AAAAAAACc3EAfgAE///////////////+/////v////91cQB+AAcAAAAEHq4JT3h4d0UCHgACNwICAiUCBAIFAgYCBwIIAgkCQgILAjkCDQIIAggCCAIIAggCCAIIAggCCAIIAggCCAIIAggCCAIIAggCFQIDAoVzcQB+AAAAAAACc3EAfgAE///////////////+/////v////91cQB+AAcAAAAEBOHemXh4d0UCHgACNwICAmgCBAIFAgYCBwIIAgkCOAILAjkCDQIIAggCCAIIAggCCAIIAggCCAIIAggCCAIIAggCCAIIAggCFQIDAoZzcQB+AAAAAAACc3EAfgAE///////////////+/////v////91cQB+AAcAAAADElupeHh3RQIeAAI3AgICLQIEAgUCBgIHAggCCQI4AgsCOQINAggCCAIIAggCCAIIAggCCAIIAggCCAIIAggCCAIIAggCCAIVAgMCh3NxAH4AAAAAAAJzcQB+AAT///////////////7////+/////3VxAH4ABwAAAAMSoqh4eHdFAh4AAjcCAgIzAgQCBQIGAgcCCAIJAkICCwI5Ag0CCAIIAggCCAIIAggCCAIIAggCCAIIAggCCAIIAggCCAIIAhUCAwKIc3EAfgAAAAAAAnNxAH4ABP///////////////v////7/////dXEAfgAHAAAAA064Cnh4d0UCHgACNwICAh8CBAIFAgYCBwIIAgkCCgILAjkCDQIIAggCCAIIAggCCAIIAggCCAIIAggCCAIIAggCCAIIAggCFQIDAolzcQB+AAAAAAACc3EAfgAE///////////////+/////v////91cQB+AAcAAAAEQ0RN4Hh4d0UCHgACNwICAjsCBAIFAgYCBwIIAgkCQgILAjkCDQIIAggCCAIIAggCCAIIAggCCAIIAggCCAIIAggCCAIIAggCFQIDAopzcQB+AAAAAAACc3EAfgAE///////////////+/////v////91cQB+AAcAAAAEAWTK8nh4d0UCHgACNwICAlcCBAIFAgYCBwIIAgkCCgILAjkCDQIIAggCCAIIAggCCAIIAggCCAIIAggCCAIIAggCCAIIAggCFQIDAotzcQB+AAAAAAACc3EAfgAE///////////////+/////v////91cQB+AAcAAAAEC9ESdHh4d0UCHgACNwICAjECBAIFAgYCBwIIAgkCQgILAjkCDQIIAggCCAIIAggCCAIIAggCCAIIAggCCAIIAggCCAIIAggCFQIDAoxzcQB+AAAAAAACc3EAfgAE///////////////+/////v////91cQB+AAcAAAAEAtdnVHh4d0UCHgACNwICAiECBAIFAgYCBwIIAgkCCgILAjkCDQIIAggCCAIIAggCCAIIAggCCAIIAggCCAIIAggCCAIIAggCFQIDAo1zcQB+AAAAAAACc3EAfgAE///////////////+/////v////91cQB+AAcAAAAEJDRt9Hh4d0UCHgACNwICAh0CBAIFAgYCBwIIAgkCCgILAjkCDQIIAggCCAIIAggCCAIIAggCCAIIAggCCAIIAggCCAIIAggCFQIDAo5zcQB+AAAAAAACc3EAfgAE///////////////+/////v////91cQB+AAcAAAAEHbH6THh4d0UCHgACNwICAkUCBAIFAgYCBwIIAgkCOAILAjkCDQIIAggCCAIIAggCCAIIAggCCAIIAggCCAIIAggCCAIIAggCFQIDAo9zcQB+AAAAAAACc3EAfgAE///////////////+/////v////91cQB+AAcAAAADEm9GeHh3RQIeAAI3AgICVwIEAgUCBgIHAggCCQI4AgsCOQINAggCCAIIAggCCAIIAggCCAIIAggCCAIIAggCCAIIAggCCAIVAgMCkHNxAH4AAAAAAAJzcQB+AAT///////////////7////+/////3VxAH4ABwAAAAMSexV4eHdFAh4AAjcCAgIpAgQCBQIGAgcCCAIJAkICCwI5Ag0CCAIIAggCCAIIAggCCAIIAggCCAIIAggCCAIIAggCCAIIAhUCAwKRc3EAfgAAAAAAAnNxAH4ABP///////////////v////7/////dXEAfgAHAAAABA4LHEp4eHeKAh4AAjcCAgJsAgQCBQIGAgcCCAIJAjgCCwI5Ag0CCAIIAggCCAIIAggCCAIIAggCCAIIAggCCAIIAggCCAIIAhUCAwJEAh4AAjcCAgJsAgQCBQIGAgcCCAIJAgoCCwI5Ag0CCAIIAggCCAIIAggCCAIIAggCCAIIAggCCAIIAggCCAIIAhUCAwKSc3EAfgAAAAAAAnNxAH4ABP///////////////v////7/////dXEAfgAHAAAABC/+xlx4eHdFAh4AAjcCAgIjAgQCBQIGAgcCCAIJAgoCCwI5Ag0CCAIIAggCCAIIAggCCAIIAggCCAIIAggCCAIIAggCCAIIAhUCAwKTc3EAfgAAAAAAAnNxAH4ABP///////////////v////7/////dXEAfgAHAAAABCng5RN4eHdFAh4AAjcCAgJ2AgQCBQIGAgcCCAIJAkICCwI5Ag0CCAIIAggCCAIIAggCCAIIAggCCAIIAggCCAIIAggCCAIIAhUCAwKUc3EAfgAAAAAAAnNxAH4ABP///////////////v////7/////dXEAfgAHAAAAAzL3EXh4d0UCHgACNwICAj0CBAIFAgYCBwIIAgkCQgILAjkCDQIIAggCCAIIAggCCAIIAggCCAIIAggCCAIIAggCCAIIAggCFQIDApVzcQB+AAAAAAACc3EAfgAE///////////////+/////v////91cQB+AAcAAAAEHRCpdHh4d1ACHgAClgAJNjU2MDk3OTY4AgICJQIEAgUCBgIHAggCCQJCAgsCDAINAggCCAIIAggCCAIIAggCCAIIAggCCAIIAggCCAIIAggCCAIEAgMCl3NxAH4AAAAAAAJzcQB+AAT///////////////7////+/////3VxAH4ABwAAAAQOU8mMeHh3RQIeAAKWAgICKQIEAgUCBgIHAggCCQJCAgsCDAINAggCCAIIAggCCAIIAggCCAIIAggCCAIIAggCCAIIAggCCAIEAgMCmHNxAH4AAAAAAAJzcQB+AAT///////////////7////+/////3VxAH4ABwAAAAQbRzHTeHh3RQIeAAKWAgICLQIEAgUCBgIHAggCCQJCAgsCDAINAggCCAIIAggCCAIIAggCCAIIAggCCAIIAggCCAIIAggCCAIEAgMCmXNxAH4AAAAAAAJzcQB+AAT///////////////7////+AAAAAXVxAH4ABwAAAAQCjrCgeHh3RQIeAAKWAgICKwIEAgUCBgIHAggCCQJCAgsCDAINAggCCAIIAggCCAIIAggCCAIIAggCCAIIAggCCAIIAggCCAIEAgMCmnNxAH4AAAAAAAJzcQB+AAT///////////////7////+/////3VxAH4ABwAAAAREule8eHh3RQIeAAKWAgICLwIEAgUCBgIHAggCCQJCAgsCDAINAggCCAIIAggCCAIIAggCCAIIAggCCAIIAggCCAIIAggCCAIEAgMCm3NxAH4AAAAAAAJzcQB+AAT///////////////7////+/////3VxAH4ABwAAAAQmcaNXeHh3RQIeAAKWAgICMwIEAgUCBgIHAggCCQJCAgsCDAINAggCCAIIAggCCAIIAggCCAIIAggCCAIIAggCCAIIAggCCAIEAgMCnHNxAH4AAAAAAAJzcQB+AAT///////////////7////+/////3VxAH4ABwAAAAQCCvb0eHh3RQIeAAKWAgICIwIEAgUCBgIHAggCCQJCAgsCDAINAggCCAIIAggCCAIIAggCCAIIAggCCAIIAggCCAIIAggCCAIEAgMCnXNxAH4AAAAAAAJzcQB+AAT///////////////7////+/////3VxAH4ABwAAAAQJ8GpGeHh3RQIeAAKWAgICMQIEAgUCBgIHAggCCQJCAgsCDAINAggCCAIIAggCCAIIAggCCAIIAggCCAIIAggCCAIIAggCCAIEAgMCnnNxAH4AAAAAAAJzcQB+AAT///////////////7////+/////3VxAH4ABwAAAAQGIRiFeHh3RQIeAAKWAgICIQIEAgUCBgIHAggCCQJCAgsCDAINAggCCAIIAggCCAIIAggCCAIIAggCCAIIAggCCAIIAggCCAIEAgMCn3NxAH4AAAAAAAJzcQB+AAT///////////////7////+/////3VxAH4ABwAAAAQ0Sb4jeHh3RQIeAAKWAgICAwIEAgUCBgIHAggCCQJCAgsCDAINAggCCAIIAggCCAIIAggCCAIIAggCCAIIAggCCAIIAggCCAIEAgMCoHNxAH4AAAAAAAJzcQB+AAT///////////////7////+/////3VxAH4ABwAAAAQZYudleHh3RQIeAAKWAgICHQIEAgUCBgIHAggCCQJCAgsCDAINAggCCAIIAggCCAIIAggCCAIIAggCCAIIAggCCAIIAggCCAIEAgMCoXNxAH4AAAAAAAJzcQB+AAT///////////////7////+/////3VxAH4ABwAAAAQo6Ya2eHh3RQIeAAKWAgICHwIEAgUCBgIHAggCCQJCAgsCDAINAggCCAIIAggCCAIIAggCCAIIAggCCAIIAggCCAIIAggCCAIEAgMConNxAH4AAAAAAAJzcQB+AAT///////////////7////+AAAAAXVxAH4ABwAAAAQJDRX9eHh3RQIeAAKWAgICNQIEAgUCBgIHAggCCQJCAgsCDAINAggCCAIIAggCCAIIAggCCAIIAggCCAIIAggCCAIIAggCCAIEAgMCo3NxAH4AAAAAAAJzcQB+AAT///////////////7////+/////3VxAH4ABwAAAAQQ/fIjeHh3RQIeAAKWAgICGwIEAgUCBgIHAggCCQJCAgsCDAINAggCCAIIAggCCAIIAggCCAIIAggCCAIIAggCCAIIAggCCAIEAgMCpHNxAH4AAAAAAAJzcQB+AAT///////////////7////+/////3VxAH4ABwAAAAMylNZ4eHdFAh4AApYCAgInAgQCBQIGAgcCCAIJAkICCwIMAg0CCAIIAggCCAIIAggCCAIIAggCCAIIAggCCAIIAggCCAIIAgQCAwKlc3EAfgAAAAAAAnNxAH4ABP///////////////v////7/////dXEAfgAHAAAABAPdTSB4eHdQAh4AAqYACTcxNjI3MzgyNAICAjsCBAIFAgYCBwIIAgkCQgILAgwCDQIIAggCCAIIAggCCAIIAggCCAIIAggCCAIIAggCCAIIAggCGgIDAqdzcQB+AAAAAAACc3EAfgAE///////////////+/////v////91cQB+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AAT///////////////7////+/////3VxAH4ABwAAAAMSFct4eHeKAh4AAqYCAgIhAgQCBQIGAgcCCAIJAgoCCwIMAg0CCAIIAggCCAIIAggCCAIIAggCCAIIAggCCAIIAggCCAIIAhoCAwIiAh4AAqYCAgI1AgQCBQIGAgcCCAIJAqgCCwIMAg0CCAIIAggCCAIIAggCCAIIAggCCAIIAggCCAIIAggCCAIIAhoCAwKqc3EAfgAAAAAAAnNxAH4ABP///////////////v////7/////dXEAfgAHAAAAAwSrl3h4d0UCHgACpgICAh8CBAIFAgYCBwIIAgkCqAILAgwCDQIIAggCCAIIAggCCAIIAggCCAIIAggCCAIIAggCCAIIAggCGgIDAqtzcQB+AAAAAAACc3EAfgAE///////////////+/////v////91cQB+AAcAAAADA9yreHh3RQIeAAKmAgICWQIEAgUCBgIHAggCCQIKAgsCDAINAggCCAIIAggCCAIIAggCCAIIAggCCAIIAggCCAIIAggCCAIaAgMCrHNxAH4AAAAAAAJzcQB+AAT///////////////7////+/////3VxAH4ABwAAAARIcHiveHh3RQIeAAKmAgICVwIEAgUCBgIHAggCCQIKAgsCDAINAggCCAIIAggCCAIIAggCCAIIAggCCAIIAggCCAIIAggCCAIaAgMCrXNxAH4AAAAAAAJzcQB+AAT///////////////7////+/////3VxAH4ABwAAAAQSVBWqeHh3RQIeAAKmAgICaAIEAgUCBgIHAggCCQKoAgsCDAINAggCCAIIAggCCAIIAggCCAIIAggCCAIIAggCCAIIAggCCAIaAgMCrnNxAH4AAAAAAAJzcQB+AAT///////////////7////+/////3VxAH4ABwAAAAMOg914eHeKAh4AAqYCAgIbAgQCBQIGAgcCCAIJAkICCwIMAg0CCAIIAggCCAIIAggCCAIIAggCCAIIAggCCAIIAggCCAIIAhoCAwKkAh4AAqYCAgJLAgQCBQIGAgcCCAIJAkICCwIMAg0CCAIIAggCCAIIAggCCAIIAggCCAIIAggCCAIIAggCCAIIAhoCAwKvc3EAfgAAAAAAAnNxAH4ABP///////////////v////7/////dXEAfgAHAAAABAM2kpl4eHeKAh4AAqYCAgInAgQCBQIGAgcCCAIJAgoCCwIMAg0CCAIIAggCCAIIAggCCAIIAggCCAIIAggCCAIIAggCCAIIAhoCAwIoAh4AAqYCAgJSAgQCBQIGAgcCCAIJAqgCCwIMAg0CCAIIAggCCAIIAggCCAIIAggCCAIIAggCCAIIAggCCAIIAhoCAwKwc3EAfgAAAAAAAnNxAH4ABP///////////////v////7/////dXEAfgAHAAAAAwU/r3h4d4oCHgACpgICAisCBAIFAgYCBwIIAgkCqAILAgwCDQIIAggCCAIIAggCCAIIAggCCAIIAggCCAIIAggCCAIIAggCGgIDAkQCHgACpgICAkACBAIFAgYCBwIIAgkCCgILAgwCDQIIAggCCAIIAggCCAIIAggCCAIIAggCCAIIAggCCAIIAggCGgIDArFzcQB+AAAAAAACc3EAfgAE///////////////+/////v////91cQB+AAcAAAAETCsLgHh4d0UCHgACpgICAiMCBAIFAgYCBwIIAgkCqAILAgwCDQIIAggCCAIIAggCCAIIAggCCAIIAggCCAIIAggCCAIIAggCGgIDArJzcQB+AAAAAAACc3EAfgAE///////////////+/////v////91cQB+AAcAAAADBHSNeHh3RQIeAAKmAgICPQIEAgUCBgIHAggCCQIKAgsCDAINAggCCAIIAggCCAIIAggCCAIIAggCCAIIAggCCAIIAggCCAIaAgMCs3NxAH4AAAAAAAJzcQB+AAT///////////////7////+/////3VxAH4ABwAAAAQoo9pZeHh3RQIeAAKmAgICMQIEAgUCBgIHAggCCQKoAgsCDAINAggCCAIIAggCCAIIAggCCAIIAggCCAIIAggCCAIIAggCCAIaAgMCtHNxAH4AAAAAAAJzcQB+AAT///////////////7////+/////3VxAH4ABwAAAAMEVit4eHdFAh4AAqYCAgJZAgQCBQIGAgcCCAIJAqgCCwIMAg0CCAIIAggCCAIIAggCCAIIAggCCAIIAggCCAIIAggCCAIIAhoCAwK1c3EAfgAAAAAAAnNxAH4ABP///////////////v////7/////dXEAfgAHAAAAAwzG/nh4d4oCHgACpgICAjUCBAIFAgYCBwIIAgkCCgILAgwCDQIIAggCCAIIAggCCAIIAggCCAIIAggCCAIIAggCCAIIAggCGgIDAjYCHgACpgICAkUCBAIFAgYCBwIIAgkCQgILAgwCDQIIAggCCAIIAggCCAIIAggCCAIIAggCCAIIAggCCAIIAggCGgIDArZzcQB+AAAAAAACc3EAfgAE///////////////+/////v////91cQB+AAcAAAAEAr0/pHh4d4oCHgACpgICAi0CBAIFAgYCBwIIAgkCQgILAgwCDQIIAggCCAIIAggCCAIIAggCCAIIAggCCAIIAggCCAIIAggCGgIDApkCHgACpgICAnYCBAIFAgYCBwIIAgkCqAILAgwCDQIIAggCCAIIAggCCAIIAggCCAIIAggCCAIIAggCCAIIAggCGgIDArdzcQB+AAAAAAACc3EAfgAE///////////////+/////v////91cQB+AAcAAAADB43UeHh3igIeAAKmAgICIwIEAgUCBgIHAggCCQJCAgsCDAINAggCCAIIAggCCAIIAggCCAIIAggCCAIIAggCCAIIAggCCAIaAgMCnQIeAAKmAgICcgIEAgUCBgIHAggCCQIKAgsCDAINAggCCAIIAggCCAIIAggCCAIIAggCCAIIAggCCAIIAggCCAIaAgMCuHNxAH4AAAAAAAJzcQB+AAT///////////////7////+/////3VxAH4ABwAAAAQ3OPVPeHh3RQIeAAKmAgICQAIEAgUCBgIHAggCCQJCAgsCDAINAggCCAIIAggCCAIIAggCCAIIAggCCAIIAggCCAIIAggCCAIaAgMCuXNxAH4AAAAAAAJzcQB+AAT///////////////7////+/////3VxAH4ABwAAAAQENonjeHh3RQIeAAKmAgICVwIEAgUCBgIHAggCCQJCAgsCDAINAggCCAIIAggCCAIIAggCCAIIAggCCAIIAggCCAIIAggCCAIaAgMCunNxAH4AAAAAAAJzcQB+AAT///////////////7////+/////3VxAH4ABwAAAARMQw4VeHh3igIeAAKmAgICIQIEAgUCBgIHAggCCQJCAgsCDAINAggCCAIIAggCCAIIAggCCAIIAggCCAIIAggCCAIIAggCCAIaAgMCnwIeAAKmAgICPQIEAgUCBgIHAggCCQKoAgsCDAINAggCCAIIAggCCAIIAggCCAIIAggCCAIIAggCCAIIAggCCAIaAgMCu3NxAH4AAAAAAAJzcQB+AAT///////////////7////+/////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v////7/////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v////7/////dXEAfgAHAAAAAwT7aHh4d0UCHgACpgICAlICBAIFAgYCBwIIAgkCCgILAgwCDQIIAggCCAIIAggCCAIIAggCCAIIAggCCAIIAggCCAIIAggCGgIDAr5zcQB+AAAAAAACc3EAfgAE///////////////+/////v////91cQB+AAcAAAAEYo3LFnh4d4oCHgACpgICAikCBAIFAgYCBwIIAgkCQgILAgwCDQIIAggCCAIIAggCCAIIAggCCAIIAggCCAIIAggCCAIIAggCGgIDApgCHgACpgICAjsCBAIFAgYCBwIIAgkCqAILAgwCDQIIAggCCAIIAggCCAIIAggCCAIIAggCCAIIAggCCAIIAggCGgIDAr9zcQB+AAAAAAACc3EAfgAE///////////////+/////v////91cQB+AAcAAAADCoBUeHh3igIeAAKmAgICAwIEAgUCBgIHAggCCQIKAgsCDAINAggCCAIIAggCCAIIAggCCAIIAggCCAIIAggCCAIIAggCCAIaAgMCDgIeAAKmAgICcgIEAgUCBgIHAggCCQJCAgsCDAINAggCCAIIAggCCAIIAggCCAIIAggCCAIIAggCCAIIAggCCAIaAgMCwHNxAH4AAAAAAAJzcQB+AAT///////////////7////+/////3VxAH4ABwAAAAQIJf+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AAT///////////////7////+/////3VxAH4ABwAAAAMENDh4eHdFAh4AAqYCAgJFAgQCBQIGAgcCCAIJAgoCCwIMAg0CCAIIAggCCAIIAggCCAIIAggCCAIIAggCCAIIAggCCAIIAhoCAwLCc3EAfgAAAAAAAnNxAH4ABP///////////////v////7/////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v////7/////dXEAfgAHAAAAAwmef3h4d0UCHgACpgICAmgCBAIFAgYCBwIIAgkCQgILAgwCDQIIAggCCAIIAggCCAIIAggCCAIIAggCCAIIAggCCAIIAggCGgIDAsRzcQB+AAAAAAACc3EAfgAE///////////////+/////v////91cQB+AAcAAAAEBeiObnh4d0UCHgACpgICAhsCBAIFAgYCBwIIAgkCqAILAgwCDQIIAggCCAIIAggCCAIIAggCCAIIAggCCAIIAggCCAIIAggCGgIDAsVzcQB+AAAAAAACc3EAfgAE///////////////+/////v////91cQB+AAcAAAADBCUJeHh3igIeAAKmAgICLwIEAgUCBgIHAggCCQKoAgsCDAINAggCCAIIAggCCAIIAggCCAIIAggCCAIIAggCCAIIAggCCAIaAgMCRAIeAAKmAgICdgIEAgUCBgIHAggCCQIKAgsCDAINAggCCAIIAggCCAIIAggCCAIIAggCCAIIAggCCAIIAggCCAIaAgMCxnNxAH4AAAAAAAJzcQB+AAT///////////////7////+/////3VxAH4ABwAAAARhMQgUeHh3igIeAAKmAgICLwIEAgUCBgIHAggCCQJCAgsCDAINAggCCAIIAggCCAIIAggCCAIIAggCCAIIAggCCAIIAggCCAIaAgMCmwIeAAKmAgICUgIEAgUCBgIHAggCCQJCAgsCDAINAggCCAIIAggCCAIIAggCCAIIAggCCAIIAggCCAIIAggCCAIaAgMCx3NxAH4AAAAAAAJzcQB+AAT///////////////7////+/////3VxAH4ABwAAAAO8XLJ4eHdFAh4AAqYCAgJZAgQCBQIGAgcCCAIJAkICCwIMAg0CCAIIAggCCAIIAggCCAIIAggCCAIIAggCCAIIAggCCAIIAhoCAwLIc3EAfgAAAAAAAnNxAH4ABP///////////////v////7/////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v////7/////dXEAfgAHAAAAAwZoK3h4d4oCHgACpgICAgMCBAIFAgYCBwIIAgkCqAILAgwCDQIIAggCCAIIAggCCAIIAggCCAIIAggCCAIIAggCCAIIAggCGgIDAkQCHgACpgICAh0CBAIFAgYCBwIIAgkCqAILAgwCDQIIAggCCAIIAggCCAIIAggCCAIIAggCCAIIAggCCAIIAggCGgIDAspzcQB+AAAAAAACc3EAfgAE///////////////+/////v////91cQB+AAcAAAADBWT/eHh3RQIeAAKmAgICLQIEAgUCBgIHAggCCQKoAgsCDAINAggCCAIIAggCCAIIAggCCAIIAggCCAIIAggCCAIIAggCCAIaAgMCy3NxAH4AAAAAAAJzcQB+AAT///////////////7////+/////3VxAH4ABwAAAAMEDq54eHeKAh4AAqYCAgIhAgQCBQIGAgcCCAIJAqgCCwIMAg0CCAIIAggCCAIIAggCCAIIAggCCAIIAggCCAIIAggCCAIIAhoCAwJEAh4AAqYCAgJFAgQCBQIGAgcCCAIJAqgCCwIMAg0CCAIIAggCCAIIAggCCAIIAggCCAIIAggCCAIIAggCCAIIAhoCAwLMc3EAfgAAAAAAAnNxAH4ABP///////////////v////7/////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AAAAAAACc3EAfgAE///////////////+/////v////91cQB+AAcAAAAEVIhLm3h4d0UCHgACpgICAmgCBAIFAgYCBwIIAgkCCgILAgwCDQIIAggCCAIIAggCCAIIAggCCAIIAggCCAIIAggCCAIIAggCGgIDAs5zcQB+AAAAAAACc3EAfgAE///////////////+/////v////91cQB+AAcAAAAEPftW4nh4d4oCHgACpgICAiMCBAIFAgYCBwIIAgkCCgILAgwCDQIIAggCCAIIAggCCAIIAggCCAIIAggCCAIIAggCCAIIAggCGgIDAiQCHgACpgICAkACBAIFAgYCBwIIAgkCqAILAgwCDQIIAggCCAIIAggCCAIIAggCCAIIAggCCAIIAggCCAIIAggCGgIDAs9zcQB+AAAAAAACc3EAfgAE///////////////+/////v////91cQB+AAcAAAADC4KteHh3RQIeAAKmAgICdgIEAgUCBgIHAggCCQJCAgsCDAINAggCCAIIAggCCAIIAggCCAIIAggCCAIIAggCCAIIAggCCAIaAgMC0HNxAH4AAAAAAAJzcQB+AAT///////////////7////+/////3VxAH4ABwAAAAQCG6dueHh3RQIeAAKmAgICPQIEAgUCBgIHAggCCQJCAgsCDAINAggCCAIIAggCCAIIAggCCAIIAggCCAIIAggCCAIIAggCCAIaAgMC0XNxAH4AAAAAAAJzcQB+AAT///////////////7////+/////3VxAH4ABwAAAAQ7i4i9eHh3RQIeAAKmAgICJwIEAgUCBgIHAggCCQKoAgsCDAINAggCCAIIAggCCAIIAggCCAIIAggCCAIIAggCCAIIAggCCAIaAgMC0nNxAH4AAAAAAAJzcQB+AAT///////////////7////+/////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Ah4AAtYCAgIpAgQCBQIGAgcCCAIJAjgCCwI5Ag0CCAIIAggCCAIIAggCCAIIAggCCAIIAggCCAIIAggCCAIIAhsCAwJ/Ah4AAtYCAgJSAgQCBQIGAgcCCAIJAkICCwI5Ag0CCAIIAggCCAIIAggCCAIIAggCCAIIAggCCAIIAggCCAIIAhsCAwJ+Ah4AAtYCAgIxAgQCBQIGAgcCCAIJAgoCCwI5Ag0CCAIIAggCCAIIAggCCAIIAggCCAIIAggCCAIIAggCCAIIAhsCAwJbAh4AAtYCAgJZAgQCBQIGAgcCCAIJAgoCCwI5Ag0CCAIIAggCCAIIAggCCAIIAggCCAIIAggCCAIIAggCCAIIAhsCAwJaAh4AAtYCAgI9AgQCBQIGAgcCCAIJAgoCCwI5Ag0CCAIIAggCCAIIAggCCAIIAggCCAIIAggCCAIIAggCCAIIAhsCAwI/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AAT///////////////7////+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v////7/////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Ah4AAtsCAgJZAgQCBQIGAgcCCAIJAgoCCwI5Ag0CCAIIAggCCAIIAggCCAIIAggCCAIIAggCCAIIAggCCAIIAh0CAwJaAh4AAtsCAgInAgQCBQIGAgcCCAIJAjgCCwI5Ag0CCAIIAggCCAIIAggCCAIIAggCCAIIAggCCAIIAggCCAIIAh0CAwI6Ah4AAtsCAgI9AgQCBQIGAgcCCAIJAgoCCwI5Ag0CCAIIAggCCAIIAggCCAIIAggCCAIIAggCCAIIAggCCAIIAh0CAwI/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v////7/////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Ah4AAt8CAgIlAgQCBQIGAgcCCAIJAjgCCwI5Ag0CCAIIAggCCAIIAggCCAIIAggCCAIIAggCCAIIAggCCAIIAhcCAwJEAh4AAt8CAgIpAgQCBQIGAgcCCAIJAjgCCwI5Ag0CCAIIAggCCAIIAggCCAIIAggCCAIIAggCCAIIAggCCAIIAhcCAwJ/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AAAAAAACc3EAfgAE///////////////+/////v////91cQB+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AAAAAAACc3EAfgAE///////////////+/////v////91cQB+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AAT///////////////7////+/////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AAT///////////////7////+/////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AAT///////////////7////+/////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AAT///////////////7////+/////3VxAH4ABwAAAAQHGT+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xxe4awand>
</file>

<file path=customXml/item60.xml><?xml version="1.0" encoding="utf-8"?>
<?mso-contentType ?>
<SharedContentType xmlns="Microsoft.SharePoint.Taxonomy.ContentTypeSync" SourceId="015f1b76-b32e-440f-80a7-f0ca4d8a872c" ContentTypeId="0x0101006E56B4D1795A2E4DB2F0B01679ED314A" PreviousValue="true"/>
</file>

<file path=customXml/item61.xml><?xml version="1.0" encoding="utf-8"?>
<?mso-contentType ?>
<FormTemplates xmlns="http://schemas.microsoft.com/sharepoint/v3/contenttype/forms">
  <Display>DocumentLibraryForm</Display>
  <Edit>DocumentLibraryForm</Edit>
  <New>DocumentLibraryForm</New>
</FormTemplates>
</file>

<file path=customXml/item6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2018-08-17T07:00:00+00:00</OpenedDate>
    <SignificantOrder xmlns="dc463f71-b30c-4ab2-9473-d307f9d35888">false</SignificantOrder>
    <Date1 xmlns="dc463f71-b30c-4ab2-9473-d307f9d35888">2018-12-18T08:00:00+00:00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180700</DocketNumber>
    <DelegatedOrder xmlns="dc463f71-b30c-4ab2-9473-d307f9d35888">false</DelegatedOrder>
  </documentManagement>
</p:properties>
</file>

<file path=customXml/item6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7C8840655DF834D9146E3231B1BC14A" ma:contentTypeVersion="76" ma:contentTypeDescription="" ma:contentTypeScope="" ma:versionID="76b820c8eb875b714a0a368c59c6e24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xxe4awand xmlns="http://www.excel4apps.com"><![CDATA[rO0ABXfZCMCtii8ABMk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8.xml><?xml version="1.0" encoding="utf-8"?>
<xxe4awand xmlns="http://www.excel4apps.com"><![CDATA[rO0ABXfZCMCtii8ABKs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AAAAAAACc3EAfgAE///////////////+/////v////91cQB+AAcAAAAEY8+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xxe4awand>
</file>

<file path=customXml/item9.xml><?xml version="1.0" encoding="utf-8"?>
<xxe4awand xmlns="http://www.excel4apps.com"><![CDATA[rO0ABXfbCMCtii8CAgQzBw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BAA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jE4NAICAh4CBAIFAgYCBwIIAgkCCgILAgwCDQIIAggCCAIIAggCCAIIAggCCAIIAggCCAIIAggCCAIIAggCFAIDAh8CHgACiwICAikCBAIFAgYCBwIIAgkCJwILAgwCDQIIAggCCAIIAggCCAIIAggCCAIIAggCCAIIAggCCAIIAggCFAIDAioCHgACiwICAowABjIwMTgxMQIEAgUCBgIHAggCCQIKAgsCDAINAggCCAIIAggCCAIIAggCCAIIAggCCAIIAggCCAIIAggCCAIUAgMCMQIeAAKLAgICPwIEAgUCBgIHAggCCQIcAgsCDAINAggCCAIIAggCCAIIAggCCAIIAggCCAIIAggCCAIIAggCCAIUAgMCQAIeAAKLAgICKwIEAgUCBgIHAggCCQIcAgsCDAINAggCCAIIAggCCAIIAggCCAIIAggCCAIIAggCCAIIAggCCAIUAgMCLAIeAAKLAgICggIEAgUCBgIHAggCCQIcAgsCDAINAggCCAIIAggCCAIIAggCCAIIAggCCAIId6ICCAIIAggCCAIIAhQCAwKGAh4AAosCAgIiAgQCBQIGAgcCCAIJAgoCCwIMAg0CCAIIAggCCAIIAggCCAIIAggCCAIIAggCCAIIAggCCAIIAhQCAwIjAh4AAosCAgKNAAYyMDE4MDgCBAIFAgYCBwIIAgkCJwILAgwCDQIIAggCCAIIAggCCAIIAggCCAIIAggCCAIIAggCCAIIAggCFAIDAo5zcQB+AAAAAAACc3EAfgAE///////////////+/////gAAAAF1cQB+AAcAAAAEAgg8vXh4egAAA4kCHgACiwICAjgCBAIFAgYCBwIIAgkCHAILAgwCDQIIAggCCAIIAggCCAIIAggCCAIIAggCCAIIAggCCAIIAggCFAIDAjkCHgACiwICAikCBAIFAgYCBwIIAgkCHAILAgwCDQIIAggCCAIIAggCCAIIAggCCAIIAggCCAIIAggCCAIIAggCFAIDAi8CHgACiwICAoQCBAIFAgYCBwIIAgkCCgILAgwCDQIIAggCCAIIAggCCAIIAggCCAIIAggCCAIIAggCCAIIAggCFAIDAjECHgACiwICAjUCBAIFAgYCBwIIAgkCJwILAgwCDQIIAggCCAIIAggCCAIIAggCCAIIAggCCAIIAggCCAIIAggCFAIDAjYCHgACiwICAkECBAIFAgYCBwIIAgkCJwILAgwCDQIIAggCCAIIAggCCAIIAggCCAIIAggCCAIIAggCCAIIAggCFAIDAkICHgACiwICAi0CBAIFAgYCBwIIAgkCCgILAgwCDQIIAggCCAIIAggCCAIIAggCCAIIAggCCAIIAggCCAIIAggCFAIDAjcCHgACiwICAoICBAIFAgYCBwIIAgkCJwILAgwCDQIIAggCCAIIAggCCAIIAggCCAIIAggCCAIIAggCCAIIAggCFAIDAogCHgACiwICAjoCBAIFAgYCBwIIAgkCJwILAgwCDQIIAggCCAIIAggCCAIIAggCCAIIAggCCAIIAggCCAIIAggCFAIDAngCHgACiwICAksCBAIFAgYCBwIIAgkCCgILAgwCDQIIAggCCAIIAggCCAIIAggCCAIIAggCCAIIAggCCAIIAggCFAIDAnQCHgACiwICAgMCBAIFAgYCBwIIAgkCHAILAgwCDQIIAggCCAIIAggCCAIIAggCCAIIAggCCAIIAggCCAIIAggCFAIDAnACHgACiwICAo8ABjIwMTgwNwIEAgUCBgIHAggCCQIKAgsCDAINAggCCAIIAggCCAIIAggCCAIIAggCCAIIAggCCAIIAggCCAIUAgMCMQIeAAKLAgICIAIEAgUCBgIHAggCCQIKAgsCDAINAggCCAIIAggCCAIIAggCCAIIAggCCAIIAggCCAIIAggCCAIUAgMCdQIeAAKLAgICjQIEAgUCBgIHAggCCQIcAgsCDAINAggCCAIIAggCCAIIAggCCAIIAggCCAIIAggCCAIIAggCCAIUAgMCkHNxAH4AAAAAAAJzcQB+AAT///////////////7////+/////3VxAH4ABwAAAARvUxbyeHh6AAACsgIeAAKLAgICMAIEAgUCBgIHAggCCQIKAgsCDAINAggCCAIIAggCCAIIAggCCAIIAggCCAIIAggCCAIIAggCCAIUAgMCMQIeAAKLAgICUgIEAgUCBgIHAggCCQIcAgsCDAINAggCCAIIAggCCAIIAggCCAIIAggCCAIIAggCCAIIAggCCAIUAgMCewIeAAKLAgICOAIEAgUCBgIHAggCCQInAgsCDAINAggCCAIIAggCCAIIAggCCAIIAggCCAIIAggCCAIIAggCCAIUAgMCeQIeAAKLAgICJAIEAgUCBgIHAggCCQIcAgsCDAINAggCCAIIAggCCAIIAggCCAIIAggCCAIIAggCCAIIAggCCAIUAgMCfQIeAAKLAgICWAIEAgUCBgIHAggCCQInAgsCDAINAggCCAIIAggCCAIIAggCCAIIAggCCAIIAggCCAIIAggCCAIUAgMCfAIeAAKLAgICSwIEAgUCBgIHAggCCQIcAgsCDAINAggCCAIIAggCCAIIAggCCAIIAggCCAIIAggCCAIIAggCCAIUAgMCZgIeAAKLAgICSAIEAgUCBgIHAggCCQInAgsCDAINAggCCAIIAggCCAIIAggCCAIIAggCCAIIAggCCAIIAggCCAIUAgMCYwIeAAKLAgICQQIEAgUCBgIHAggCCQIKAgsCDAINAggCCAIIAggCCAIIAggCCAIIAggCCAIIAggCCAIIAggCCAIUAgMCYQIeAAKLAgICgAIEAgUCBgIHAggCCQInAgsCDAINAggCCAIIAggCCAIIAggCCAIIAggCCAIIAggCCAIIAggCCAIUAgMCgQIeAAKLAgICjAIEAgUCBgIHAggCCQInAgsCDAINAggCCAIIAggCCAIIAggCCAIIAggCCAIIAggCCAIIAggCCAIUAgMCkXNxAH4AAAAAAAJzcQB+AAT///////////////7////+AAAAAXVxAH4ABwAAAAQEqedkeHh6AAAB6wIeAAKLAgICWAIEAgUCBgIHAggCCQIcAgsCDAINAggCCAIIAggCCAIIAggCCAIIAggCCAIIAggCCAIIAggCCAIUAgMCawIeAAKLAgICIgIEAgUCBgIHAggCCQInAgsCDAINAggCCAIIAggCCAIIAggCCAIIAggCCAIIAggCCAIIAggCCAIUAgMCbQIeAAKLAgIChAIEAgUCBgIHAggCCQInAgsCDAINAggCCAIIAggCCAIIAggCCAIIAggCCAIIAggCCAIIAggCCAIUAgMChQIeAAKLAgICUgIEAgUCBgIHAggCCQIKAgsCDAINAggCCAIIAggCCAIIAggCCAIIAggCCAIIAggCCAIIAggCCAIUAgMCaAIeAAKLAgICNQIEAgUCBgIHAggCCQIKAgsCDAINAggCCAIIAggCCAIIAggCCAIIAggCCAIIAggCCAIIAggCCAIUAgMCMQIeAAKLAgICMAIEAgUCBgIHAggCCQInAgsCDAINAggCCAIIAggCCAIIAggCCAIIAggCCAIIAggCCAIIAggCCAIUAgMCbAIeAAKLAgICkgAGMjAxODEwAgQCBQIGAgcCCAIJAhwCCwIMAg0CCAIIAggCCAIIAggCCAIIAggCCAIIAggCCAIIAggCCAIIAhQCAwKTc3EAfgAAAAAAAnNxAH4ABP///////////////v////7/////dXEAfgAHAAAABHHRmJR4eHoAAAQAAh4AAosCAgJNAgQCBQIGAgcCCAIJAgoCCwIMAg0CCAIIAggCCAIIAggCCAIIAggCCAIIAggCCAIIAggCCAIIAhQCAwJOAh4AAosCAgI9AgQCBQIGAgcCCAIJAhwCCwIMAg0CCAIIAggCCAIIAggCCAIIAggCCAIIAggCCAIIAggCCAIIAhQCAwJHAh4AAosCAgKUAAYyMDE4MDkCBAIFAgYCBwIIAgkCHAILAgwCDQIIAggCCAIIAggCCAIIAggCCAIIAggCCAIIAggCCAIIAggCFAIDApMCHgACiwICAkgCBAIFAgYCBwIIAgkCHAILAgwCDQIIAggCCAIIAggCCAIIAggCCAIIAggCCAIIAggCCAIIAggCFAIDAkkCHgACiwICAoICBAIFAgYCBwIIAgkCCgILAgwCDQIIAggCCAIIAggCCAIIAggCCAIIAggCCAIIAggCCAIIAggCFAIDAjECHgACiwICAksCBAIFAgYCBwIIAgkCJwILAgwCDQIIAggCCAIIAggCCAIIAggCCAIIAggCCAIIAggCCAIIAggCFAIDAkwCHgACiwICAlICBAIFAgYCBwIIAgkCJwILAgwCDQIIAggCCAIIAggCCAIIAggCCAIIAggCCAIIAggCCAIIAggCFAIDAlMCHgACiwICAisCBAIFAgYCBwIIAgkCJwILAgwCDQIIAggCCAIIAggCCAIIAggCCAIIAggCCAIIAggCCAIIAggCFAIDAlECHgACiwICAoACBAIFAgYCBwIIAgkCHAILAgwCDQIIAggCCAIIAggCCAIIAggCCAIIAggCCAIIAggCCAIIAggCFAIDAoMCHgACiwICAlkCBAIFAgYCBwIIAgkCCgILAgwCDQIIAggCCAIIAggCCAIIAggCCAIIAggCCAIIAggCCAIIAggCFAIDAloCHgACiwICAjACBAIFAgYCBwIIAgkCHAILAgwCDQIIAggCCAIIAggCCAIIAggCCAIIAggCCAIIAggCCAIIAggCFAIDAlYCHgACiwICAiYCBAIFAgYCBwIIAgkCCgILAgwCDQIIAggCCAIIAggCCAIIAggCCAIIAggCCAIIAggCCAIIAggCFAIDAlwCHgACiwICAj8CBAIFAgYCBwIIAgkCJwILAgwCDQIIAggCCAIIAggCCAIIAggCCAIIAggCCAIIAggCCAIIAggCFAIDAl8CHgACiwICApICBAIFAgYCBwIIAgkCJwILAgwCDQIIAggCCAIIAggCCAIIAggCCAIIAggCCAIIAggCCAIIAggCFAIDApECHgACiwICAhsCBAIFAgYCBwIIAgkCHAILAgwCDQIIAggCCAIIAggCCAIIAggCCAIIAnoAAAI7CAIIAggCCAIIAggCCAIUAgMCHQIeAAKLAgICgAIEAgUCBgIHAggCCQIKAgsCDAINAggCCAIIAggCCAIIAggCCAIIAggCCAIIAggCCAIIAggCCAIUAgMCMQIeAAKLAgICLQIEAgUCBgIHAggCCQIcAgsCDAINAggCCAIIAggCCAIIAggCCAIIAggCCAIIAggCCAIIAggCCAIUAgMCLgIeAAKLAgICkgIEAgUCBgIHAggCCQIKAgsCDAINAggCCAIIAggCCAIIAggCCAIIAggCCAIIAggCCAIIAggCCAIUAgMCMQIeAAKLAgICIAIEAgUCBgIHAggCCQIcAgsCDAINAggCCAIIAggCCAIIAggCCAIIAggCCAIIAggCCAIIAggCCAIUAgMCIQIeAAKLAgICJAIEAgUCBgIHAggCCQIKAgsCDAINAggCCAIIAggCCAIIAggCCAIIAggCCAIIAggCCAIIAggCCAIUAgMCJQIeAAKLAgICJgIEAgUCBgIHAggCCQInAgsCDAINAggCCAIIAggCCAIIAggCCAIIAggCCAIIAggCCAIIAggCCAIUAgMCKAIeAAKLAgICJgIEAgUCBgIHAggCCQIcAgsCDAINAggCCAIIAggCCAIIAggCCAIIAggCCAIIAggCCAIIAggCCAIUAgMCMgIeAAKLAgICjwIEAgUCBgIHAggCCQIcAgsCDAINAggCCAIIAggCCAIIAggCCAIIAggCCAIIAggCCAIIAggCCAIUAgMClXNxAH4AAAAAAAJzcQB+AAT///////////////7////+/////3VxAH4ABwAAAARjz5oJeHh6AAAEAAIeAAKLAgICPQIEAgUCBgIHAggCCQInAgsCDAINAggCCAIIAggCCAIIAggCCAIIAggCCAIIAggCCAIIAggCCAIUAgMCPgIeAAKLAgIClAIEAgUCBgIHAggCCQInAgsCDAINAggCCAIIAggCCAIIAggCCAIIAggCCAIIAggCCAIIAggCCAIUAgMCkQIeAAKLAgICOgIEAgUCBgIHAggCCQIKAgsCDAINAggCCAIIAggCCAIIAggCCAIIAggCCAIIAggCCAIIAggCCAIUAgMCOwIeAAKLAgICLQIEAgUCBgIHAggCCQInAgsCDAINAggCCAIIAggCCAIIAggCCAIIAggCCAIIAggCCAIIAggCCAIUAgMCdwIeAAKLAgICKwIEAgUCBgIHAggCCQIKAgsCDAINAggCCAIIAggCCAIIAggCCAIIAggCCAIIAggCCAIIAggCCAIUAgMCMQIeAAKLAgICTQIEAgUCBgIHAggCCQInAgsCDAINAggCCAIIAggCCAIIAggCCAIIAggCCAIIAggCCAIIAggCCAIUAgMCcQIeAAKLAgICRQIEAgUCBgIHAggCCQIKAgsCDAINAggCCAIIAggCCAIIAggCCAIIAggCCAIIAggCCAIIAggCCAIUAgMCMQIeAAKLAgICPwIEAgUCBgIHAggCCQIKAgsCDAINAggCCAIIAggCCAIIAggCCAIIAggCCAIIAggCCAIIAggCCAIUAgMCcgIeAAKLAgICIgIEAgUCBgIHAggCCQIcAgsCDAINAggCCAIIAggCCAIIAggCCAIIAggCCAIIAggCCAIIAggCCAIUAgMCcwIeAAKLAgICjAIEAgUCBgIHAggCCQIcAgsCDAINAggCCAIIAggCCAIIAggCCAIIAggCCAIIAggCCAIIAggCCAIUAgMCkwIeAAKLAgICMwIEAgUCBgIHAggCCQIKAgsCDAINAggCCAIIAggCCAIIAggCCAIIAggCCAIIAggCCAIIAggCCAIUAgMCNAIeAAKLAgICTwIEAgUCBgIHAggCCQIcAgsCDAINAggCCAIIAggCCAIIAggCCAIIAggCCAIIAggCCAIIAggCCAIUAgMCdgIeAAKLAgIChAIEAgUCBgIHAggCCQIcAgsCDAINAggCCAIIAggCCAIIAggCCAIIAggCCAIIAggCCAIIAggCCAIUAgMChwIeAAKLAgICWQIEAgUCBgIHAggCCQInAgsCDAINAggCCAIIAggCCAIIAggCCAIIAggCCAIIAggCCAIIAggCCAIUAgMCegIeAAKLAgICSAIEAgUCBgIHAggCCQIKAgsCDAINAggCCAIIAggCCAIIAggCCAIIAggCCAIIAggCCAJ6AAAEAAgCCAIIAhQCAwJ+Ah4AAosCAgJFAgQCBQIGAgcCCAIJAhwCCwIMAg0CCAIIAggCCAIIAggCCAIIAggCCAIIAggCCAIIAggCCAIIAhQCAwJnAh4AAosCAgJNAgQCBQIGAgcCCAIJAhwCCwIMAg0CCAIIAggCCAIIAggCCAIIAggCCAIIAggCCAIIAggCCAIIAhQCAwJkAh4AAosCAgKUAgQCBQIGAgcCCAIJAgoCCwIMAg0CCAIIAggCCAIIAggCCAIIAggCCAIIAggCCAIIAggCCAIIAhQCAwIxAh4AAosCAgIDAgQCBQIGAgcCCAIJAicCCwIMAg0CCAIIAggCCAIIAggCCAIIAggCCAIIAggCCAIIAggCCAIIAhQCAwJlAh4AAosCAgIeAgQCBQIGAgcCCAIJAicCCwIMAg0CCAIIAggCCAIIAggCCAIIAggCCAIIAggCCAIIAggCCAIIAhQCAwJiAh4AAosCAgI9AgQCBQIGAgcCCAIJAgoCCwIMAg0CCAIIAggCCAIIAggCCAIIAggCCAIIAggCCAIIAggCCAIIAhQCAwJgAh4AAosCAgIkAgQCBQIGAgcCCAIJAicCCwIMAg0CCAIIAggCCAIIAggCCAIIAggCCAIIAggCCAIIAggCCAIIAhQCAwJvAh4AAosCAgI4AgQCBQIGAgcCCAIJAgoCCwIMAg0CCAIIAggCCAIIAggCCAIIAggCCAIIAggCCAIIAggCCAIIAhQCAwJUAh4AAosCAgJPAgQCBQIGAgcCCAIJAgoCCwIMAg0CCAIIAggCCAIIAggCCAIIAggCCAIIAggCCAIIAggCCAIIAhQCAwJpAh4AAosCAgJZAgQCBQIGAgcCCAIJAhwCCwIMAg0CCAIIAggCCAIIAggCCAIIAggCCAIIAggCCAIIAggCCAIIAhQCAwJuAh4AAosCAgIzAgQCBQIGAgcCCAIJAicCCwIMAg0CCAIIAggCCAIIAggCCAIIAggCCAIIAggCCAIIAggCCAIIAhQCAwJqAh4AAosCAgIbAgQCBQIGAgcCCAIJAgoCCwIMAg0CCAIIAggCCAIIAggCCAIIAggCCAIIAggCCAIIAggCCAIIAhQCAwI8Ah4AAosCAgIeAgQCBQIGAgcCCAIJAhwCCwIMAg0CCAIIAggCCAIIAggCCAIIAggCCAIIAggCCAIIAggCCAIIAhQCAwJKAh4AAosCAgIbAgQCBQIGAgcCCAIJAicCCwIMAg0CCAIIAggCCAIIAggCCAIIAggCCAIIAggCCAIIAggCCAIIAhQCAwJEAh4AAosCAgJBAgQCBQIGAgcCCAIJAhwCCwIMAg0CCAIIAggCCAIIAggCCAIIAgh6AAACPgIIAggCCAIIAggCCAIIAggCFAIDAkMCHgACiwICAk8CBAIFAgYCBwIIAgkCJwILAgwCDQIIAggCCAIIAggCCAIIAggCCAIIAggCCAIIAggCCAIIAggCFAIDAlACHgACiwICAkUCBAIFAgYCBwIIAgkCJwILAgwCDQIIAggCCAIIAggCCAIIAggCCAIIAggCCAIIAggCCAIIAggCFAIDAkYCHgACiwICAlgCBAIFAgYCBwIIAgkCCgILAgwCDQIIAggCCAIIAggCCAIIAggCCAIIAggCCAIIAggCCAIIAggCFAIDAjECHgACiwICAjMCBAIFAgYCBwIIAgkCHAILAgwCDQIIAggCCAIIAggCCAIIAggCCAIIAggCCAIIAggCCAIIAggCFAIDAl0CHgACiwICAiACBAIFAgYCBwIIAgkCJwILAgwCDQIIAggCCAIIAggCCAIIAggCCAIIAggCCAIIAggCCAIIAggCFAIDAl4CHgACiwICAo0CBAIFAgYCBwIIAgkCCgILAgwCDQIIAggCCAIIAggCCAIIAggCCAIIAggCCAIIAggCCAIIAggCFAIDAjECHgACiwICAjoCBAIFAgYCBwIIAgkCHAILAgwCDQIIAggCCAIIAggCCAIIAggCCAIIAggCCAIIAggCCAIIAggCFAIDAlsCHgACiwICAo8CBAIFAgYCBwIIAgkCJwILAgwCDQIIAggCCAIIAggCCAIIAggCCAIIAggCCAIIAggCCAIIAggCFAIDApZzcQB+AAAAAAACc3EAfgAE///////////////+/////gAAAAF1cQB+AAcAAAADCUlQeHh6AAABIwIeAAKLAgICNQIEAgUCBgIHAggCCQIcAgsCDAINAggCCAIIAggCCAIIAggCCAIIAggCCAIIAggCCAIIAggCCAIUAgMCVQIeAAKLAgICAwIEAgUCBgIHAggCCQIKAgsCDAINAggCCAIIAggCCAIIAggCCAIIAggCCAIIAggCCAIIAggCCAIUAgMCDgIeAAKLAgICKQIEAgUCBgIHAggCCQIKAgsCDAINAggCCAIIAggCCAIIAggCCAIIAggCCAIIAggCCAIIAggCCAIUAgMCVwIeAAKXAAk4NDU2NDYyNjQCAgI/AgQCBQIGAgcCCAIJAicCCwKYAAJJRAINAggCCAIIAggCCAIIAggCCAIIAggCCAIIAggCCAIIAggCCAIjAgMCmXNxAH4AAAAAAAJzcQB+AAT///////////////7////+/////3VxAH4ABwAAAAQBbUrSeHh3RQIeAAKXAgICMwIEAgUCBgIHAggCCQIcAgsCmAINAggCCAIIAggCCAIIAggCCAIIAggCCAIIAggCCAIIAggCCAIjAgMCmnNxAH4AAAAAAAJzcQB+AAT///////////////7////+/////3VxAH4ABwAAAAQ0mEcjeHh3TQIeAAKXAgICIgIEAgUCBgIHAggCCQKbAAYxOTEwMTUCCwKYAg0CCAIIAggCCAIIAggCCAIIAggCCAIIAggCCAIIAggCCAIIAiMCAwKcc3EAfgAAAAAAAnNxAH4ABP///////////////v////7/////dXEAfgAHAAAAAxJbqXh4d0UCHgAClwICAisCBAIFAgYCBwIIAgkCJwILApgCDQIIAggCCAIIAggCCAIIAggCCAIIAggCCAIIAggCCAIIAggCIwIDAp1zcQB+AAAAAAACc3EAfgAE///////////////+/////v////91cQB+AAcAAAAEFreoonh4d0UCHgAClwICAjoCBAIFAgYCBwIIAgkCHAILApgCDQIIAggCCAIIAggCCAIIAggCCAIIAggCCAIIAggCCAIIAggCIwIDAp5zcQB+AAAAAAACc3EAfgAE///////////////+/////v////91cQB+AAcAAAAEI8Z4/Xh4d0UCHgAClwICAgMCBAIFAgYCBwIIAgkCHAILApgCDQIIAggCCAIIAggCCAIIAggCCAIIAggCCAIIAggCCAIIAggCIwIDAp9zcQB+AAAAAAACc3EAfgAE///////////////+/////v////91cQB+AAcAAAAEQ0RN4Hh4d0UCHgAClwICAikCBAIFAgYCBwIIAgkCJwILApgCDQIIAggCCAIIAggCCAIIAggCCAIIAggCCAIIAggCCAIIAggCIwIDAqBzcQB+AAAAAAACc3EAfgAE///////////////+/////v////91cQB+AAcAAAAEAWTK8nh4d0UCHgAClwICAh4CBAIFAgYCBwIIAgkCmwILApgCDQIIAggCCAIIAggCCAIIAggCCAIIAggCCAIIAggCCAIIAggCIwIDAqFzcQB+AAAAAAACc3EAfgAE///////////////+/////v////91cQB+AAcAAAADEorfeHh3RQIeAAKXAgICAwIEAgUCBgIHAggCCQKbAgsCmAINAggCCAIIAggCCAIIAggCCAIIAggCCAIIAggCCAIIAggCCAIjAgMConNxAH4AAAAAAAJzcQB+AAT///////////////7////+/////3VxAH4ABwAAAAMSpqJ4eHdFAh4AApcCAgIbAgQCBQIGAgcCCAIJAicCCwKYAg0CCAIIAggCCAIIAggCCAIIAggCCAIIAggCCAIIAggCCAIIAiMCAwKjc3EAfgAAAAAAAnNxAH4ABP///////////////v////7/////dXEAfgAHAAAABCWQ0ft4eHdFAh4AApcCAgItAgQCBQIGAgcCCAIJAhwCCwKYAg0CCAIIAggCCAIIAggCCAIIAggCCAIIAggCCAIIAggCCAIIAiMCAwKkc3EAfgAAAAAAAnNxAH4ABP///////////////v////7/////dXEAfgAHAAAABComTwt4eHdFAh4AApcCAgJIAgQCBQIGAgcCCAIJAhwCCwKYAg0CCAIIAggCCAIIAggCCAIIAggCCAIIAggCCAIIAggCCAIIAiMCAwKlc3EAfgAAAAAAAnNxAH4ABP///////////////v////7/////dXEAfgAHAAAABBuzHlx4eHdFAh4AApcCAgImAgQCBQIGAgcCCAIJAicCCwKYAg0CCAIIAggCCAIIAggCCAIIAggCCAIIAggCCAIIAggCCAIIAiMCAwKmc3EAfgAAAAAAAnNxAH4ABP///////////////v////7/////dXEAfgAHAAAAA064Cnh4d0UCHgAClwICAkgCBAIFAgYCBwIIAgkCmwILApgCDQIIAggCCAIIAggCCAIIAggCCAIIAggCCAIIAggCCAIIAggCIwIDAqdzcQB+AAAAAAACc3EAfgAE///////////////+/////v////91cQB+AAcAAAADEle/eHh3RQIeAAKXAgICWQIEAgUCBgIHAggCCQKbAgsCmAINAggCCAIIAggCCAIIAggCCAIIAggCCAIIAggCCAIIAggCCAIjAgMCqHNxAH4AAAAAAAJzcQB+AAT///////////////7////+/////3VxAH4ABwAAAAMShut4eHdFAh4AApcCAgJBAgQCBQIGAgcCCAIJAicCCwKYAg0CCAIIAggCCAIIAggCCAIIAggCCAIIAggCCAIIAggCCAIIAiMCAwKpc3EAfgAAAAAAAnNxAH4ABP///////////////v////4AAAABdXEAfgAHAAAAA/+JXnh4d0UCHgAClwICAjACBAIFAgYCBwIIAgkCJwILApgCDQIIAggCCAIIAggCCAIIAggCCAIIAggCCAIIAggCCAIIAggCIwIDAqpzcQB+AAAAAAACc3EAfgAE///////////////+/////v////91cQB+AAcAAAAEHsB0bHh4d0UCHgAClwICAiACBAIFAgYCBwIIAgkCHAILApgCDQIIAggCCAIIAggCCAIIAggCCAIIAggCCAIIAggCCAIIAggCIwIDAqtzcQB+AAAAAAACc3EAfgAE///////////////+/////v////91cQB+AAcAAAAEJi8ywnh4d0UCHgAClwICAj0CBAIFAgYCBwIIAgkCJwILApgCDQIIAggCCAIIAggCCAIIAggCCAIIAggCCAIIAggCCAIIAggCIwIDAqxzcQB+AAAAAAACc3EAfgAE///////////////+/////v////91cQB+AAcAAAAEAQaUYHh4d0UCHgAClwICAiICBAIFAgYCBwIIAgkCJwILApgCDQIIAggCCAIIAggCCAIIAggCCAIIAggCCAIIAggCCAIIAggCIwIDAq1zcQB+AAAAAAACc3EAfgAE///////////////+/////v////91cQB+AAcAAAAEAvtLi3h4d0UCHgAClwICAjMCBAIFAgYCBwIIAgkCJwILApgCDQIIAggCCAIIAggCCAIIAggCCAIIAggCCAIIAggCCAIIAggCIwIDAq5zcQB+AAAAAAACc3EAfgAE///////////////+/////gAAAAF1cQB+AAcAAAADuXJ8eHh3RQIeAAKXAgICPwIEAgUCBgIHAggCCQIcAgsCmAINAggCCAIIAggCCAIIAggCCAIIAggCCAIIAggCCAIIAggCCAIjAgMCr3NxAH4AAAAAAAJzcQB+AAT///////////////7////+/////3VxAH4ABwAAAAQqC0YheHh3RQIeAAKXAgICOAIEAgUCBgIHAggCCQIcAgsCmAINAggCCAIIAggCCAIIAggCCAIIAggCCAIIAggCCAIIAggCCAIjAgMCsHNxAH4AAAAAAAJzcQB+AAT///////////////7////+/////3VxAH4ABwAAAAQVrLWfeHh3RQIeAAKXAgICJAIEAgUCBgIHAggCCQInAgsCmAINAggCCAIIAggCCAIIAggCCAIIAggCCAIIAggCCAIIAggCCAIjAgMCsXNxAH4AAAAAAAJzcQB+AAT///////////////7////+/////3VxAH4ABwAAAAQFBKNBeHh3RQIeAAKXAgICOAIEAgUCBgIHAggCCQKbAgsCmAINAggCCAIIAggCCAIIAggCCAIIAggCCAIIAggCCAIIAggCCAIjAgMCsnNxAH4AAAAAAAJzcQB+AAT///////////////7////+/////3VxAH4ABwAAAAMSfwZ4eHdFAh4AApcCAgJPAgQCBQIGAgcCCAIJAicCCwKYAg0CCAIIAggCCAIIAggCCAIIAggCCAIIAggCCAIIAggCCAIIAiMCAwKzc3EAfgAAAAAAAnNxAH4ABP///////////////v////4AAAABdXEAfgAHAAAABAJaEtJ4eHdFAh4AApcCAgJSAgQCBQIGAgcCCAIJAicCCwKYAg0CCAIIAggCCAIIAggCCAIIAggCCAIIAggCCAIIAggCCAIIAiMCAwK0c3EAfgAAAAAAAnNxAH4ABP///////////////v////7/////dXEAfgAHAAAAA56yqnh4d0UCHgAClwICAkgCBAIFAgYCBwIIAgkCJwILApgCDQIIAggCCAIIAggCCAIIAggCCAIIAggCCAIIAggCCAIIAggCIwIDArVzcQB+AAAAAAACc3EAfgAE///////////////+/////v////91cQB+AAcAAAAEBFuSEHh4d0UCHgAClwICAh4CBAIFAgYCBwIIAgkCHAILApgCDQIIAggCCAIIAggCCAIIAggCCAIIAggCCAIIAggCCAIIAggCIwIDArZzcQB+AAAAAAACc3EAfgAE///////////////+/////v////91cQB+AAcAAAAEJngfcXh4d0UCHgAClwICAi0CBAIFAgYCBwIIAgkCmwILApgCDQIIAggCCAIIAggCCAIIAggCCAIIAggCCAIIAggCCAIIAggCIwIDArdzcQB+AAAAAAACc3EAfgAE///////////////+/////v////91cQB+AAcAAAADEpLKeHh3RQIeAAKXAgICOgIEAgUCBgIHAggCCQKbAgsCmAINAggCCAIIAggCCAIIAggCCAIIAggCCAIIAggCCAIIAggCCAIjAgMCuHNxAH4AAAAAAAJzcQB+AAT///////////////7////+/////3VxAH4ABwAAAAMSX5R4eHdFAh4AApcCAgI9AgQCBQIGAgcCCAIJAhwCCwKYAg0CCAIIAggCCAIIAggCCAIIAggCCAIIAggCCAIIAggCCAIIAiMCAwK5c3EAfgAAAAAAAnNxAH4ABP///////////////v////7/////dXEAfgAHAAAABC794JJ4eHdFAh4AApcCAgIzAgQCBQIGAgcCCAIJApsCCwKYAg0CCAIIAggCCAIIAggCCAIIAggCCAIIAggCCAIIAggCCAIIAiMCAwK6c3EAfgAAAAAAAnNxAH4ABP///////////////v////7/////dXEAfgAHAAAAAxJ3JXh4d88CHgAClwICAjUCBAIFAgYCBwIIAgkCmwILApgCDQIIAggCCAIIAggCCAIIAggCCAIIAggCCAIIAggCCAIIAggCIwIDAjECHgAClwICAjACBAIFAgYCBwIIAgkCmwILApgCDQIIAggCCAIIAggCCAIIAggCCAIIAggCCAIIAggCCAIIAggCIwIDAjECHgAClwICAkECBAIFAgYCBwIIAgkCmwILApgCDQIIAggCCAIIAggCCAIIAggCCAIIAggCCAIIAggCCAIIAggCIwIDArtzcQB+AAAAAAACc3EAfgAE///////////////+/////v////91cQB+AAcAAAADEp6veHh3RQIeAAKXAgICIAIEAgUCBgIHAggCCQInAgsCmAINAggCCAIIAggCCAIIAggCCAIIAggCCAIIAggCCAIIAggCCAIjAgMCvHNxAH4AAAAAAAJzcQB+AAT///////////////7////+/////3VxAH4ABwAAAAQBzUp3eHh3RQIeAAKXAgICMAIEAgUCBgIHAggCCQIcAgsCmAINAggCCAIIAggCCAIIAggCCAIIAggCCAIIAggCCAIIAggCCAIjAgMCvXNxAH4AAAAAAAJzcQB+AAT///////////////7////+/////3VxAH4ABwAAAAQcI3yQeHh3RQIeAAKXAgICQQIEAgUCBgIHAggCCQIcAgsCmAINAggCCAIIAggCCAIIAggCCAIIAggCCAIIAggCCAIIAggCCAIjAgMCvnNxAH4AAAAAAAJzcQB+AAT///////////////7////+/////3VxAH4ABwAAAAQ0OVToeHh3RQIeAAKXAgICUgIEAgUCBgIHAggCCQIcAgsCmAINAggCCAIIAggCCAIIAggCCAIIAggCCAIIAggCCAIIAggCCAIjAgMCv3NxAH4AAAAAAAJzcQB+AAT///////////////7////+/////3VxAH4ABwAAAAQx77UZeHh3RQIeAAKXAgICNQIEAgUCBgIHAggCCQIcAgsCmAINAggCCAIIAggCCAIIAggCCAIIAggCCAIIAggCCAIIAggCCAIjAgMCwHNxAH4AAAAAAAJzcQB+AAT///////////////7////+/////3VxAH4ABwAAAAQpII+FeHh3RQIeAAKXAgICPQIEAgUCBgIHAggCCQKbAgsCmAINAggCCAIIAggCCAIIAggCCAIIAggCCAIIAggCCAIIAggCCAIjAgMCwXNxAH4AAAAAAAJzcQB+AAT///////////////7////+/////3VxAH4ABwAAAAMSa1h4eHdFAh4AApcCAgJLAgQCBQIGAgcCCAIJAicCCwKYAg0CCAIIAggCCAIIAggCCAIIAggCCAIIAggCCAIIAggCCAIIAiMCAwLCc3EAfgAAAAAAAnNxAH4ABP///////////////v////7/////dXEAfgAHAAAABBQ694N4eHdFAh4AApcCAgJPAgQCBQIGAgcCCAIJApsCCwKYAg0CCAIIAggCCAIIAggCCAIIAggCCAIIAggCCAIIAggCCAIIAiMCAwLDc3EAfgAAAAAAAnNxAH4ABP///////////////v////7/////dXEAfgAHAAAAAxKiqHh4d0UCHgAClwICAlICBAIFAgYCBwIIAgkCmwILApgCDQIIAggCCAIIAggCCAIIAggCCAIIAggCCAIIAggCCAIIAggCIwIDAsRzcQB+AAAAAAACc3EAfgAE///////////////+/////v////91cQB+AAcAAAADEm9GeHh3RQIeAAKXAgICTwIEAgUCBgIHAggCCQIcAgsCmAINAggCCAIIAggCCAIIAggCCAIIAggCCAIIAggCCAIIAggCCAIjAgMCxXNxAH4AAAAAAAJzcQB+AAT///////////////7////+/////3VxAH4ABwAAAAQ5RS7+eHh3RQIeAAKXAgICTQIEAgUCBgIHAggCCQIcAgsCmAINAggCCAIIAggCCAIIAggCCAIIAggCCAIIAggCCAIIAggCCAIjAgMCxnNxAH4AAAAAAAJzcQB+AAT///////////////7////+/////3VxAH4ABwAAAAQzvJaSeHh3RQIeAAKXAgICHgIEAgUCBgIHAggCCQInAgsCmAINAggCCAIIAggCCAIIAggCCAIIAggCCAIIAggCCAIIAggCCAIjAgMCx3NxAH4AAAAAAAJzcQB+AAT///////////////7////+/////3VxAH4ABwAAAAQIvUgheHh3RQIeAAKXAgICKQIEAgUCBgIHAggCCQKbAgsCmAINAggCCAIIAggCCAIIAggCCAIIAggCCAIIAggCCAIIAggCCAIjAgMCyHNxAH4AAAAAAAJzcQB+AAT///////////////7////+/////3VxAH4ABwAAAAMSZ2t4eHdFAh4AApcCAgI1AgQCBQIGAgcCCAIJAicCCwKYAg0CCAIIAggCCAIIAggCCAIIAggCCAIIAggCCAIIAggCCAIIAiMCAwLJc3EAfgAAAAAAAnNxAH4ABP///////////////v////7/////dXEAfgAHAAAABBCmiyR4eHdFAh4AApcCAgJNAgQCBQIGAgcCCAIJApsCCwKYAg0CCAIIAggCCAIIAggCCAIIAggCCAIIAggCCAIIAggCCAIIAiMCAwLKc3EAfgAAAAAAAnNxAH4ABP///////////////v////7/////dXEAfgAHAAAAAxJzNXh4d0UCHgAClwICAlkCBAIFAgYCBwIIAgkCHAILApgCDQIIAggCCAIIAggCCAIIAggCCAIIAggCCAIIAggCCAIIAggCIwIDAstzcQB+AAAAAAACc3EAfgAE///////////////+/////v////91cQB+AAcAAAAEIgqsMXh4d0UCHgAClwICAiACBAIFAgYCBwIIAgkCmwILApgCDQIIAggCCAIIAggCCAIIAggCCAIIAggCCAIIAggCCAIIAggCIwIDAsxzcQB+AAAAAAACc3EAfgAE///////////////+/////v////91cQB+AAcAAAADEmN/eHh3RQIeAAKXAgICPwIEAgUCBgIHAggCCQKbAgsCmAINAggCCAIIAggCCAIIAggCCAIIAggCCAIIAggCCAIIAggCCAIjAgMCzXNxAH4AAAAAAAJzcQB+AAT///////////////7////+/////3VxAH4ABwAAAAMSlsB4eHdFAh4AApcCAgIbAgQCBQIGAgcCCAIJApsCCwKYAg0CCAIIAggCCAIIAggCCAIIAggCCAIIAggCCAIIAggCCAIIAiMCAwLOc3EAfgAAAAAAAnNxAH4ABP///////////////v////7/////dXEAfgAHAAAAAxJ7FXh4d4oCHgAClwICAisCBAIFAgYCBwIIAgkCmwILApgCDQIIAggCCAIIAggCCAIIAggCCAIIAggCCAIIAggCCAIIAggCIwIDAjECHgAClwICAikCBAIFAgYCBwIIAgkCHAILApgCDQIIAggCCAIIAggCCAIIAggCCAIIAggCCAIIAggCCAIIAggCIwIDAs9zcQB+AAAAAAACc3EAfgAE///////////////+/////v////91cQB+AAcAAAAEKxALUXh4d0UCHgAClwICAgMCBAIFAgYCBwIIAgkCJwILApgCDQIIAggCCAIIAggCCAIIAggCCAIIAggCCAIIAggCCAIIAggCIwIDAtBzcQB+AAAAAAACc3EAfgAE///////////////+/////gAAAAF1cQB+AAcAAAAEBhtaanh4d0UCHgAClwICAiYCBAIFAgYCBwIIAgkCmwILApgCDQIIAggCCAIIAggCCAIIAggCCAIIAggCCAIIAggCCAIIAggCIwIDAtFzcQB+AAAAAAACc3EAfgAE///////////////+/////v////91cQB+AAcAAAADEpq3eHh3RQIeAAKXAgICSwIEAgUCBgIHAggCCQKbAgsCmAINAggCCAIIAggCCAIIAggCCAIIAggCCAIIAggCCAIIAggCCAIjAgMC0nNxAH4AAAAAAAJzcQB+AAT///////////////7////+/////3VxAH4ABwAAAAMSgvh4eHdFAh4AApcCAgImAgQCBQIGAgcCCAIJAhwCCwKYAg0CCAIIAggCCAIIAggCCAIIAggCCAIIAggCCAIIAggCCAIIAiMCAwLTc3EAfgAAAAAAAnNxAH4ABP///////////////v////7/////dXEAfgAHAAAABC6RhSt4eHdFAh4AApcCAgJLAgQCBQIGAgcCCAIJAhwCCwKYAg0CCAIIAggCCAIIAggCCAIIAggCCAIIAggCCAIIAggCCAIIAiMCAwLUc3EAfgAAAAAAAnNxAH4ABP///////////////v////7/////dXEAfgAHAAAABB2x+kx4eHdFAh4AApcCAgIbAgQCBQIGAgcCCAIJAhwCCwKYAg0CCAIIAggCCAIIAggCCAIIAggCCAIIAggCCAIIAggCCAIIAiMCAwLVc3EAfgAAAAAAAnNxAH4ABP///////////////v////7/////dXEAfgAHAAAABAvREnR4eHdFAh4AApcCAgItAgQCBQIGAgcCCAIJAicCCwKYAg0CCAIIAggCCAIIAggCCAIIAggCCAIIAggCCAIIAggCCAIIAiMCAwLWc3EAfgAAAAAAAnNxAH4ABP///////////////v////7/////dXEAfgAHAAAABALXZ1R4eHdFAh4AApcCAgIrAgQCBQIGAgcCCAIJAhwCCwKYAg0CCAIIAggCCAIIAggCCAIIAggCCAIIAggCCAIIAggCCAIIAiMCAwLXc3EAfgAAAAAAAnNxAH4ABP///////////////v////7/////dXEAfgAHAAAABCQ0bfR4eHdFAh4AApcCAgI6AgQCBQIGAgcCCAIJAicCCwKYAg0CCAIIAggCCAIIAggCCAIIAggCCAIIAggCCAIIAggCCAIIAiMCAwLYc3EAfgAAAAAAAnNxAH4ABP///////////////v////7/////dXEAfgAHAAAABAJQHul4eHdFAh4AApcCAgJZAgQCBQIGAgcCCAIJAicCCwKYAg0CCAIIAggCCAIIAggCCAIIAggCCAIIAggCCAIIAggCCAIIAiMCAwLZc3EAfgAAAAAAAnNxAH4ABP///////////////v////7/////dXEAfgAHAAAABA4LHEp4eHdFAh4AApcCAgIiAgQCBQIGAgcCCAIJAhwCCwKYAg0CCAIIAggCCAIIAggCCAIIAggCCAIIAggCCAIIAggCCAIIAiMCAwLac3EAfgAAAAAAAnNxAH4ABP///////////////v////7/////dXEAfgAHAAAABB6uCU94eHdFAh4AApcCAgIkAgQCBQIGAgcCCAIJApsCCwKYAg0CCAIIAggCCAIIAggCCAIIAggCCAIIAggCCAIIAggCCAIIAiMCAwLbc3EAfgAAAAAAAnNxAH4ABP///////////////v////7/////dXEAfgAHAAAAAxKO1Hh4d0UCHgAClwICAk0CBAIFAgYCBwIIAgkCJwILApgCDQIIAggCCAIIAggCCAIIAggCCAIIAggCCAIIAggCCAIIAggCIwIDAtxzcQB+AAAAAAACc3EAfgAE///////////////+/////v////91cQB+AAcAAAADMvcReHh3RQIeAAKXAgICJAIEAgUCBgIHAggCCQIcAgsCmAINAggCCAIIAggCCAIIAggCCAIIAggCCAIIAggCCAIIAggCCAIjAgMC3XNxAH4AAAAAAAJzcQB+AAT///////////////7////+/////3VxAH4ABwAAAAQp4OUTeHh3RQIeAAKXAgICOAIEAgUCBgIHAggCCQInAgsCmAINAggCCAIIAggCCAIIAggCCAIIAggCCAIIAggCCAIIAggCCAIjAgMC3nNxAH4AAAAAAAJzcQB+AAT///////////////7////+/////3VxAH4ABwAAAAQdEKl0eHh6AAAEAAIeAALfAAk5ODg1NTAxMDQCAgI/AgQCBQIGAgcCCAIJAicCCwIMAg0CCAIIAggCCAIIAggCCAIIAggCCAIIAggCCAIIAggCCAIIAgECAwJfAh4AAt8CAgJLAgQCBQIGAgcCCAIJAgoCCwIMAg0CCAIIAggCCAIIAggCCAIIAggCCAIIAggCCAIIAggCCAIIAgECAwJ0Ah4AAt8CAgIrAgQCBQIGAgcCCAIJAicCCwIMAg0CCAIIAggCCAIIAggCCAIIAggCCAIIAggCCAIIAggCCAIIAgECAwJRAh4AAt8CAgI6AgQCBQIGAgcCCAIJAicCCwIMAg0CCAIIAggCCAIIAggCCAIIAggCCAIIAggCCAIIAggCCAIIAgECAwJ4Ah4AAt8CAgIDAgQCBQIGAgcCCAIJAhwCCwIMAg0CCAIIAggCCAIIAggCCAIIAggCCAIIAggCCAIIAggCCAIIAgECAwJwAh4AAt8CAgKNAgQCBQIGAgcCCAIJAicCCwIMAg0CCAIIAggCCAIIAggCCAIIAggCCAIIAggCCAIIAggCCAIIAgECAwKOAh4AAt8CAgIpAgQCBQIGAgcCCAIJAicCCwIMAg0CCAIIAggCCAIIAggCCAIIAggCCAIIAggCCAIIAggCCAIIAgECAwIqAh4AAt8CAgKCAgQCBQIGAgcCCAIJAhwCCwIMAg0CCAIIAggCCAIIAggCCAIIAggCCAIIAggCCAIIAggCCAIIAgECAwKGAh4AAt8CAgJIAgQCBQIGAgcCCAIJAhwCCwIMAg0CCAIIAggCCAIIAggCCAIIAggCCAIIAggCCAIIAggCCAIIAgECAwJJAh4AAt8CAgI1AgQCBQIGAgcCCAIJAgoCCwIMAg0CCAIIAggCCAIIAggCCAIIAggCCAIIAggCCAIIAggCCAIIAgECAwIxAh4AAt8CAgIkAgQCBQIGAgcCCAIJAicCCwIMAg0CCAIIAggCCAIIAggCCAIIAggCCAIIAggCCAIIAggCCAIIAgECAwJvAh4AAt8CAgJSAgQCBQIGAgcCCAIJAgoCCwIMAg0CCAIIAggCCAIIAggCCAIIAggCCAIIAggCCAIIAggCCAIIAgECAwJoAh4AAt8CAgKSAgQCBQIGAgcCCAIJAhwCCwIMAg0CCAIIAggCCAIIAggCCAIIAggCCAIIAggCCAIIAggCCAIIAgECAwKTAh4AAt8CAgI/AgQCBQIGAgcCCAIJAhwCCwIMAg0CCAIIAggCCAIIAggCCAIIAggCCAIIAggCCAIIAggCCAIIAgECAwJAAh4AAt8CAgJZAgQCBQIGAgcCCAIJAhwCCwIMAg0CCAIIAggCCAIIAggCCAIIAgh6AAAEAAIIAggCCAIIAggCCAIIAggCAQIDAm4CHgAC3wICAjMCBAIFAgYCBwIIAgkCJwILAgwCDQIIAggCCAIIAggCCAIIAggCCAIIAggCCAIIAggCCAIIAggCAQIDAmoCHgAC3wICAkECBAIFAgYCBwIIAgkCJwILAgwCDQIIAggCCAIIAggCCAIIAggCCAIIAggCCAIIAggCCAIIAggCAQIDAkICHgAC3wICAgMCBAIFAgYCBwIIAgkCJwILAgwCDQIIAggCCAIIAggCCAIIAggCCAIIAggCCAIIAggCCAIIAggCAQIDAmUCHgAC3wICAkUCBAIFAgYCBwIIAgkCHAILAgwCDQIIAggCCAIIAggCCAIIAggCCAIIAggCCAIIAggCCAIIAggCAQIDAmcCHgAC3wICAo0CBAIFAgYCBwIIAgkCHAILAgwCDQIIAggCCAIIAggCCAIIAggCCAIIAggCCAIIAggCCAIIAggCAQIDApACHgAC3wICAikCBAIFAgYCBwIIAgkCHAILAgwCDQIIAggCCAIIAggCCAIIAggCCAIIAggCCAIIAggCCAIIAggCAQIDAi8CHgAC3wICAisCBAIFAgYCBwIIAgkCHAILAgwCDQIIAggCCAIIAggCCAIIAggCCAIIAggCCAIIAggCCAIIAggCAQIDAiwCHgAC3wICAoICBAIFAgYCBwIIAgkCJwILAgwCDQIIAggCCAIIAggCCAIIAggCCAIIAggCCAIIAggCCAIIAggCAQIDAogCHgAC3wICAh4CBAIFAgYCBwIIAgkCCgILAgwCDQIIAggCCAIIAggCCAIIAggCCAIIAggCCAIIAggCCAIIAggCAQIDAh8CHgAC3wICAlkCBAIFAgYCBwIIAgkCJwILAgwCDQIIAggCCAIIAggCCAIIAggCCAIIAggCCAIIAggCCAIIAggCAQIDAnoCHgAC3wICAo8CBAIFAgYCBwIIAgkCCgILAgwCDQIIAggCCAIIAggCCAIIAggCCAIIAggCCAIIAggCCAIIAggCAQIDAjECHgAC3wICAiQCBAIFAgYCBwIIAgkCHAILAgwCDQIIAggCCAIIAggCCAIIAggCCAIIAggCCAIIAggCCAIIAggCAQIDAn0CHgAC3wICAjgCBAIFAgYCBwIIAgkCJwILAgwCDQIIAggCCAIIAggCCAIIAggCCAIIAggCCAIIAggCCAIIAggCAQIDAnkCHgAC3wICAjgCBAIFAgYCBwIIAgkCCgILAgwCDQIIAggCCAIIAggCCAIIAggCCAIIAggCCAIIAggCCAIIAggCAQIDAlQCHgAC3wICAiACBAIFAgYCBwIIAgkCCgILAgwCDQIIAggCCAJ6AAAEAAgCCAIIAggCCAIIAggCCAIIAggCCAIIAggCCAIBAgMCdQIeAALfAgICRQIEAgUCBgIHAggCCQInAgsCDAINAggCCAIIAggCCAIIAggCCAIIAggCCAIIAggCCAIIAggCCAIBAgMCRgIeAALfAgICjQIEAgUCBgIHAggCCQIKAgsCDAINAggCCAIIAggCCAIIAggCCAIIAggCCAIIAggCCAIIAggCCAIBAgMCMQIeAALfAgICTwIEAgUCBgIHAggCCQIcAgsCDAINAggCCAIIAggCCAIIAggCCAIIAggCCAIIAggCCAIIAggCCAIBAgMCdgIeAALfAgICLQIEAgUCBgIHAggCCQIKAgsCDAINAggCCAIIAggCCAIIAggCCAIIAggCCAIIAggCCAIIAggCCAIBAgMCNwIeAALfAgICNQIEAgUCBgIHAggCCQInAgsCDAINAggCCAIIAggCCAIIAggCCAIIAggCCAIIAggCCAIIAggCCAIBAgMCNgIeAALfAgICTQIEAgUCBgIHAggCCQIcAgsCDAINAggCCAIIAggCCAIIAggCCAIIAggCCAIIAggCCAIIAggCCAIBAgMCZAIeAALfAgICMAIEAgUCBgIHAggCCQIKAgsCDAINAggCCAIIAggCCAIIAggCCAIIAggCCAIIAggCCAIIAggCCAIBAgMCMQIeAALfAgIClAIEAgUCBgIHAggCCQIKAgsCDAINAggCCAIIAggCCAIIAggCCAIIAggCCAIIAggCCAIIAggCCAIBAgMCMQIeAALfAgICGwIEAgUCBgIHAggCCQIKAgsCDAINAggCCAIIAggCCAIIAggCCAIIAggCCAIIAggCCAIIAggCCAIBAgMCPAIeAALfAgICJAIEAgUCBgIHAggCCQIKAgsCDAINAggCCAIIAggCCAIIAggCCAIIAggCCAIIAggCCAIIAggCCAIBAgMCJQIeAALfAgICjwIEAgUCBgIHAggCCQIcAgsCDAINAggCCAIIAggCCAIIAggCCAIIAggCCAIIAggCCAIIAggCCAIBAgMClQIeAALfAgICAwIEAgUCBgIHAggCCQIKAgsCDAINAggCCAIIAggCCAIIAggCCAIIAggCCAIIAggCCAIIAggCCAIBAgMCDgIeAALfAgICHgIEAgUCBgIHAggCCQInAgsCDAINAggCCAIIAggCCAIIAggCCAIIAggCCAIIAggCCAIIAggCCAIBAgMCYgIeAALfAgICOgIEAgUCBgIHAggCCQIcAgsCDAINAggCCAIIAggCCAIIAggCCAIIAggCCAIIAggCCAIIAggCCAIBAgMCWwIeAALfAgICTwIEAgUCBgIHAggCCQInAgt6AAAEAAIMAg0CCAIIAggCCAIIAggCCAIIAggCCAIIAggCCAIIAggCCAIIAgECAwJQAh4AAt8CAgIpAgQCBQIGAgcCCAIJAgoCCwIMAg0CCAIIAggCCAIIAggCCAIIAggCCAIIAggCCAIIAggCCAIIAgECAwJXAh4AAt8CAgI1AgQCBQIGAgcCCAIJAhwCCwIMAg0CCAIIAggCCAIIAggCCAIIAggCCAIIAggCCAIIAggCCAIIAgECAwJVAh4AAt8CAgIzAgQCBQIGAgcCCAIJAhwCCwIMAg0CCAIIAggCCAIIAggCCAIIAggCCAIIAggCCAIIAggCCAIIAgECAwJdAh4AAt8CAgJYAgQCBQIGAgcCCAIJAgoCCwIMAg0CCAIIAggCCAIIAggCCAIIAggCCAIIAggCCAIIAggCCAIIAgECAwIxAh4AAt8CAgIgAgQCBQIGAgcCCAIJAicCCwIMAg0CCAIIAggCCAIIAggCCAIIAggCCAIIAggCCAIIAggCCAIIAgECAwJeAh4AAt8CAgJBAgQCBQIGAgcCCAIJAhwCCwIMAg0CCAIIAggCCAIIAggCCAIIAggCCAIIAggCCAIIAggCCAIIAgECAwJDAh4AAt8CAgKEAgQCBQIGAgcCCAIJAhwCCwIMAg0CCAIIAggCCAIIAggCCAIIAggCCAIIAggCCAIIAggCCAIIAgECAwKHAh4AAt8CAgIiAgQCBQIGAgcCCAIJAhwCCwIMAg0CCAIIAggCCAIIAggCCAIIAggCCAIIAggCCAIIAggCCAIIAgECAwJzAh4AAt8CAgJZAgQCBQIGAgcCCAIJAgoCCwIMAg0CCAIIAggCCAIIAggCCAIIAggCCAIIAggCCAIIAggCCAIIAgECAwJaAh4AAt8CAgKPAgQCBQIGAgcCCAIJAicCCwIMAg0CCAIIAggCCAIIAggCCAIIAggCCAIIAggCCAIIAggCCAIIAgECAwKWAh4AAt8CAgJFAgQCBQIGAgcCCAIJAgoCCwIMAg0CCAIIAggCCAIIAggCCAIIAggCCAIIAggCCAIIAggCCAIIAgECAwIxAh4AAt8CAgKMAgQCBQIGAgcCCAIJAhwCCwIMAg0CCAIIAggCCAIIAggCCAIIAggCCAIIAggCCAIIAggCCAIIAgECAwKTAh4AAt8CAgIeAgQCBQIGAgcCCAIJAhwCCwIMAg0CCAIIAggCCAIIAggCCAIIAggCCAIIAggCCAIIAggCCAIIAgECAwJKAh4AAt8CAgItAgQCBQIGAgcCCAIJAhwCCwIMAg0CCAIIAggCCAIIAggCCAIIAggCCAIIAggCCAIIAggCCAIIAgECAwIuAh4AAt8CAgIbAgQCBQJ6AAAEAAYCBwIIAgkCJwILAgwCDQIIAggCCAIIAggCCAIIAggCCAIIAggCCAIIAggCCAIIAggCAQIDAkQCHgAC3wICAiYCBAIFAgYCBwIIAgkCJwILAgwCDQIIAggCCAIIAggCCAIIAggCCAIIAggCCAIIAggCCAIIAggCAQIDAigCHgAC3wICAjACBAIFAgYCBwIIAgkCJwILAgwCDQIIAggCCAIIAggCCAIIAggCCAIIAggCCAIIAggCCAIIAggCAQIDAmwCHgAC3wICAiACBAIFAgYCBwIIAgkCHAILAgwCDQIIAggCCAIIAggCCAIIAggCCAIIAggCCAIIAggCCAIIAggCAQIDAiECHgAC3wICAiICBAIFAgYCBwIIAgkCJwILAgwCDQIIAggCCAIIAggCCAIIAggCCAIIAggCCAIIAggCCAIIAggCAQIDAm0CHgAC3wICAj0CBAIFAgYCBwIIAgkCJwILAgwCDQIIAggCCAIIAggCCAIIAggCCAIIAggCCAIIAggCCAIIAggCAQIDAj4CHgAC3wICAowCBAIFAgYCBwIIAgkCJwILAgwCDQIIAggCCAIIAggCCAIIAggCCAIIAggCCAIIAggCCAIIAggCAQIDApECHgAC3wICAlgCBAIFAgYCBwIIAgkCHAILAgwCDQIIAggCCAIIAggCCAIIAggCCAIIAggCCAIIAggCCAIIAggCAQIDAmsCHgAC3wICApQCBAIFAgYCBwIIAgkCJwILAgwCDQIIAggCCAIIAggCCAIIAggCCAIIAggCCAIIAggCCAIIAggCAQIDApECHgAC3wICAjMCBAIFAgYCBwIIAgkCCgILAgwCDQIIAggCCAIIAggCCAIIAggCCAIIAggCCAIIAggCCAIIAggCAQIDAjQCHgAC3wICAk8CBAIFAgYCBwIIAgkCCgILAgwCDQIIAggCCAIIAggCCAIIAggCCAIIAggCCAIIAggCCAIIAggCAQIDAmkCHgAC3wICAj0CBAIFAgYCBwIIAgkCCgILAgwCDQIIAggCCAIIAggCCAIIAggCCAIIAggCCAIIAggCCAIIAggCAQIDAmACHgAC3wICAoACBAIFAgYCBwIIAgkCCgILAgwCDQIIAggCCAIIAggCCAIIAggCCAIIAggCCAIIAggCCAIIAggCAQIDAjECHgAC3wICAksCBAIFAgYCBwIIAgkCHAILAgwCDQIIAggCCAIIAggCCAIIAggCCAIIAggCCAIIAggCCAIIAggCAQIDAmYCHgAC3wICAiYCBAIFAgYCBwIIAgkCHAILAgwCDQIIAggCCAIIAggCCAIIAggCCAIIAggCCAIIAggCCAIIAggCAQIDAjICHgB6AAAEAALfAgICLQIEAgUCBgIHAggCCQInAgsCDAINAggCCAIIAggCCAIIAggCCAIIAggCCAIIAggCCAIIAggCCAIBAgMCdwIeAALfAgICGwIEAgUCBgIHAggCCQIcAgsCDAINAggCCAIIAggCCAIIAggCCAIIAggCCAIIAggCCAIIAggCCAIBAgMCHQIeAALfAgICWAIEAgUCBgIHAggCCQInAgsCDAINAggCCAIIAggCCAIIAggCCAIIAggCCAIIAggCCAIIAggCCAIBAgMCfAIeAALfAgICSAIEAgUCBgIHAggCCQIKAgsCDAINAggCCAIIAggCCAIIAggCCAIIAggCCAIIAggCCAIIAggCCAIBAgMCfgIeAALfAgICkgIEAgUCBgIHAggCCQIKAgsCDAINAggCCAIIAggCCAIIAggCCAIIAggCCAIIAggCCAIIAggCCAIBAgMCMQIeAALfAgICTQIEAgUCBgIHAggCCQInAgsCDAINAggCCAIIAggCCAIIAggCCAIIAggCCAIIAggCCAIIAggCCAIBAgMCcQIeAALfAgICSwIEAgUCBgIHAggCCQInAgsCDAINAggCCAIIAggCCAIIAggCCAIIAggCCAIIAggCCAIIAggCCAIBAgMCTAIeAALfAgICPwIEAgUCBgIHAggCCQIKAgsCDAINAggCCAIIAggCCAIIAggCCAIIAggCCAIIAggCCAIIAggCCAIBAgMCcgIeAALfAgICUgIEAgUCBgIHAggCCQIcAgsCDAINAggCCAIIAggCCAIIAggCCAIIAggCCAIIAggCCAIIAggCCAIBAgMCewIeAALfAgICOgIEAgUCBgIHAggCCQIKAgsCDAINAggCCAIIAggCCAIIAggCCAIIAggCCAIIAggCCAIIAggCCAIBAgMCOwIeAALfAgICggIEAgUCBgIHAggCCQIKAgsCDAINAggCCAIIAggCCAIIAggCCAIIAggCCAIIAggCCAIIAggCCAIBAgMCMQIeAALfAgICKwIEAgUCBgIHAggCCQIKAgsCDAINAggCCAIIAggCCAIIAggCCAIIAggCCAIIAggCCAIIAggCCAIBAgMCMQIeAALfAgICQQIEAgUCBgIHAggCCQIKAgsCDAINAggCCAIIAggCCAIIAggCCAIIAggCCAIIAggCCAIIAggCCAIBAgMCYQIeAALfAgICgAIEAgUCBgIHAggCCQInAgsCDAINAggCCAIIAggCCAIIAggCCAIIAggCCAIIAggCCAIIAggCCAIBAgMCgQIeAALfAgIChAIEAgUCBgIHAggCCQIKAgsCDAINAggCCAIIAggCCAIIAggCCAIIAggCCAIIAggCCAIIAgh6AAAD2QIIAgECAwIxAh4AAt8CAgIiAgQCBQIGAgcCCAIJAgoCCwIMAg0CCAIIAggCCAIIAggCCAIIAggCCAIIAggCCAIIAggCCAIIAgECAwIjAh4AAt8CAgI4AgQCBQIGAgcCCAIJAhwCCwIMAg0CCAIIAggCCAIIAggCCAIIAggCCAIIAggCCAIIAggCCAIIAgECAwI5Ah4AAt8CAgKEAgQCBQIGAgcCCAIJAicCCwIMAg0CCAIIAggCCAIIAggCCAIIAggCCAIIAggCCAIIAggCCAIIAgECAwKFAh4AAt8CAgJIAgQCBQIGAgcCCAIJAicCCwIMAg0CCAIIAggCCAIIAggCCAIIAggCCAIIAggCCAIIAggCCAIIAgECAwJjAh4AAt8CAgKMAgQCBQIGAgcCCAIJAgoCCwIMAg0CCAIIAggCCAIIAggCCAIIAggCCAIIAggCCAIIAggCCAIIAgECAwIxAh4AAt8CAgJSAgQCBQIGAgcCCAIJAicCCwIMAg0CCAIIAggCCAIIAggCCAIIAggCCAIIAggCCAIIAggCCAIIAgECAwJTAh4AAt8CAgKAAgQCBQIGAgcCCAIJAhwCCwIMAg0CCAIIAggCCAIIAggCCAIIAggCCAIIAggCCAIIAggCCAIIAgECAwKDAh4AAt8CAgJNAgQCBQIGAgcCCAIJAgoCCwIMAg0CCAIIAggCCAIIAggCCAIIAggCCAIIAggCCAIIAggCCAIIAgECAwJOAh4AAt8CAgImAgQCBQIGAgcCCAIJAgoCCwIMAg0CCAIIAggCCAIIAggCCAIIAggCCAIIAggCCAIIAggCCAIIAgECAwJcAh4AAt8CAgKSAgQCBQIGAgcCCAIJAicCCwIMAg0CCAIIAggCCAIIAggCCAIIAggCCAIIAggCCAIIAggCCAIIAgECAwKRAh4AAt8CAgKUAgQCBQIGAgcCCAIJAhwCCwIMAg0CCAIIAggCCAIIAggCCAIIAggCCAIIAggCCAIIAggCCAIIAgECAwKTAh4AAt8CAgI9AgQCBQIGAgcCCAIJAhwCCwIMAg0CCAIIAggCCAIIAggCCAIIAggCCAIIAggCCAIIAggCCAIIAgECAwJHAh4AAt8CAgIwAgQCBQIGAgcCCAIJAhwCCwIMAg0CCAIIAggCCAIIAggCCAIIAggCCAIIAggCCAIIAggCCAIIAgECAwJWAh4AAuAACTg1NjM0NzQ3MgICAlgCBAIFAgYCBwIIAgkCJwILApgCDQIIAggCCAIIAggCCAIIAggCCAIIAggCCAIIAggCCAIIAggCBQIDAuFzcQB+AAAAAAACc3EAfgAE///////////////+/////v////91cQB+AAcAAAAEBOHemXh4d4oCHgAC4AICAlkCBAIFAgYCBwIIAgkCJwILApgCDQIIAggCCAIIAggCCAIIAggCCAIIAggCCAIIAggCCAIIAggCBQIDAtkCHgAC4AICAoQCBAIFAgYCBwIIAgkCJwILApgCDQIIAggCCAIIAggCCAIIAggCCAIIAggCCAIIAggCCAIIAggCBQIDAuJzcQB+AAAAAAACc3EAfgAE///////////////+/////gAAAAF1cQB+AAcAAAADNqW2eHh6AAACbQIeAALgAgICNQIEAgUCBgIHAggCCQInAgsCmAINAggCCAIIAggCCAIIAggCCAIIAggCCAIIAggCCAIIAggCCAIFAgMCyQIeAALgAgICSwIEAgUCBgIHAggCCQInAgsCmAINAggCCAIIAggCCAIIAggCCAIIAggCCAIIAggCCAIIAggCCAIFAgMCwgIeAALgAgICTwIEAgUCBgIHAggCCQInAgsCmAINAggCCAIIAggCCAIIAggCCAIIAggCCAIIAggCCAIIAggCCAIFAgMCswIeAALgAgICLQIEAgUCBgIHAggCCQInAgsCmAINAggCCAIIAggCCAIIAggCCAIIAggCCAIIAggCCAIIAggCCAIFAgMC1gIeAALgAgICKwIEAgUCBgIHAggCCQInAgsCmAINAggCCAIIAggCCAIIAggCCAIIAggCCAIIAggCCAIIAggCCAIFAgMCnQIeAALgAgICJgIEAgUCBgIHAggCCQInAgsCmAINAggCCAIIAggCCAIIAggCCAIIAggCCAIIAggCCAIIAggCCAIFAgMCpgIeAALgAgICAwIEAgUCBgIHAggCCQInAgsCmAINAggCCAIIAggCCAIIAggCCAIIAggCCAIIAggCCAIIAggCCAIFAgMC0AIeAALgAgICHgIEAgUCBgIHAggCCQInAgsCmAINAggCCAIIAggCCAIIAggCCAIIAggCCAIIAggCCAIIAggCCAIFAgMCxwIeAALgAgICgAIEAgUCBgIHAggCCQInAgsCmAINAggCCAIIAggCCAIIAggCCAIIAggCCAIIAggCCAIIAggCCAIFAgMC43NxAH4AAAAAAAJzcQB+AAT///////////////7////+/////3VxAH4ABwAAAAQBMmvPeHh3RQIeAALgAgICRQIEAgUCBgIHAggCCQInAgsCmAINAggCCAIIAggCCAIIAggCCAIIAggCCAIIAggCCAIIAggCCAIFAgMC5HNxAH4AAAAAAAJzcQB+AAT///////////////7////+/////3VxAH4ABwAAAAQKK9PneHh3RQIeAALgAgICggIEAgUCBgIHAggCCQInAgsCmAINAggCCAIIAggCCAIIAggCCAIIAggCCAIIAggCCAIIAggCCAIFAgMC5XNxAH4AAAAAAAJzcQB+AAT///////////////7////+AAAAAXVxAH4ABwAAAAQBo3C7eHh6AAAEAAIeAALgAgICPwIEAgUCBgIHAggCCQInAgsCmAINAggCCAIIAggCCAIIAggCCAIIAggCCAIIAggCCAIIAggCCAIFAgMCmQIeAALgAgICMAIEAgUCBgIHAggCCQInAgsCmAINAggCCAIIAggCCAIIAggCCAIIAggCCAIIAggCCAIIAggCCAIFAgMCqgIeAALgAgICQQIEAgUCBgIHAggCCQInAgsCmAINAggCCAIIAggCCAIIAggCCAIIAggCCAIIAggCCAIIAggCCAIFAgMCqQIeAALgAgICJAIEAgUCBgIHAggCCQInAgsCmAINAggCCAIIAggCCAIIAggCCAIIAggCCAIIAggCCAIIAggCCAIFAgMCsQIeAALmAAoxMjE2MTM3NjQ4AgICHgIEAgUCBgIHAggCCQIcAgsCDAINAggCCAIIAggCCAIIAggCCAIIAggCCAIIAggCCAIIAggCCAIaAgMCSgIeAALmAgICMwIEAgUCBgIHAggCCQInAgsCDAINAggCCAIIAggCCAIIAggCCAIIAggCCAIIAggCCAIIAggCCAIaAgMCagIeAALmAgICOgIEAgUCBgIHAggCCQInAgsCDAINAggCCAIIAggCCAIIAggCCAIIAggCCAIIAggCCAIIAggCCAIaAgMCeAIeAALmAgICSAIEAgUCBgIHAggCCQIcAgsCDAINAggCCAIIAggCCAIIAggCCAIIAggCCAIIAggCCAIIAggCCAIaAgMCSQIeAALmAgICNQIEAgUCBgIHAggCCQIKAgsCDAINAggCCAIIAggCCAIIAggCCAIIAggCCAIIAggCCAIIAggCCAIaAgMCMQIeAALmAgICSwIEAgUCBgIHAggCCQIKAgsCDAINAggCCAIIAggCCAIIAggCCAIIAggCCAIIAggCCAIIAggCCAIaAgMCdAIeAALmAgICIgIEAgUCBgIHAggCCQInAgsCDAINAggCCAIIAggCCAIIAggCCAIIAggCCAIIAggCCAIIAggCCAIaAgMCbQIeAALmAgIChAIEAgUCBgIHAggCCQInAgsCDAINAggCCAIIAggCCAIIAggCCAIIAggCCAIIAggCCAIIAggCCAIaAgMChQIeAALmAgICTwIEAgUCBgIHAggCCQIKAgsCDAINAggCCAIIAggCCAIIAggCCAIIAggCCAIIAggCCAIIAggCCAIaAgMCaQIeAALmAgICWAIEAgUCBgIHAggCCQIcAgsCDAINAggCCAIIAggCCAIIAggCCAIIAggCCAIIAggCCAIIAggCCAIaAgMCawIeAALmAgICMAIEAgUCBgIHAggCCQInAgsCDAINAggCCAIIAggCCAIIAggCCAJ6AAAEAAgCCAIIAggCCAIIAggCCAIIAhoCAwJsAh4AAuYCAgJSAgQCBQIGAgcCCAIJAgoCCwIMAg0CCAIIAggCCAIIAggCCAIIAggCCAIIAggCCAIIAggCCAIIAhoCAwJoAh4AAuYCAgIkAgQCBQIGAgcCCAIJAicCCwIMAg0CCAIIAggCCAIIAggCCAIIAggCCAIIAggCCAIIAggCCAIIAhoCAwJvAh4AAuYCAgIiAgQCBQIGAgcCCAIJAhwCCwIMAg0CCAIIAggCCAIIAggCCAIIAggCCAIIAggCCAIIAggCCAIIAhoCAwJzAh4AAuYCAgKEAgQCBQIGAgcCCAIJAhwCCwIMAg0CCAIIAggCCAIIAggCCAIIAggCCAIIAggCCAIIAggCCAIIAhoCAwKHAh4AAuYCAgIkAgQCBQIGAgcCCAIJAhwCCwIMAg0CCAIIAggCCAIIAggCCAIIAggCCAIIAggCCAIIAggCCAIIAhoCAwJ9Ah4AAuYCAgIgAgQCBQIGAgcCCAIJAicCCwIMAg0CCAIIAggCCAIIAggCCAIIAggCCAIIAggCCAIIAggCCAIIAhoCAwJeAh4AAuYCAgIbAgQCBQIGAgcCCAIJAicCCwIMAg0CCAIIAggCCAIIAggCCAIIAggCCAIIAggCCAIIAggCCAIIAhoCAwJEAh4AAuYCAgJYAgQCBQIGAgcCCAIJAgoCCwIMAg0CCAIIAggCCAIIAggCCAIIAggCCAIIAggCCAIIAggCCAIIAhoCAwIxAh4AAuYCAgJFAgQCBQIGAgcCCAIJAgoCCwIMAg0CCAIIAggCCAIIAggCCAIIAggCCAIIAggCCAIIAggCCAIIAhoCAwIxAh4AAuYCAgIDAgQCBQIGAgcCCAIJAhwCCwIMAg0CCAIIAggCCAIIAggCCAIIAggCCAIIAggCCAIIAggCCAIIAhoCAwJwAh4AAuYCAgIzAgQCBQIGAgcCCAIJAhwCCwIMAg0CCAIIAggCCAIIAggCCAIIAggCCAIIAggCCAIIAggCCAIIAhoCAwJdAh4AAuYCAgJZAgQCBQIGAgcCCAIJAgoCCwIMAg0CCAIIAggCCAIIAggCCAIIAggCCAIIAggCCAIIAggCCAIIAhoCAwJaAh4AAuYCAgIrAgQCBQIGAgcCCAIJAicCCwIMAg0CCAIIAggCCAIIAggCCAIIAggCCAIIAggCCAIIAggCCAIIAhoCAwJRAh4AAuYCAgKAAgQCBQIGAgcCCAIJAhwCCwIMAg0CCAIIAggCCAIIAggCCAIIAggCCAIIAggCCAIIAggCCAIIAhoCAwKDAh4AAuYCAgItAgQCBQIGAgcCCAIJAicCCwIMAg0CCAIIAgh6AAAEAAIIAggCCAIIAggCCAIIAggCCAIIAggCCAIIAggCGgIDAncCHgAC5gICAk0CBAIFAgYCBwIIAgkCCgILAgwCDQIIAggCCAIIAggCCAIIAggCCAIIAggCCAIIAggCCAIIAggCGgIDAk4CHgAC5gICAi0CBAIFAgYCBwIIAgkCHAILAgwCDQIIAggCCAIIAggCCAIIAggCCAIIAggCCAIIAggCCAIIAggCGgIDAi4CHgAC5gICAk0CBAIFAgYCBwIIAgkCHAILAgwCDQIIAggCCAIIAggCCAIIAggCCAIIAggCCAIIAggCCAIIAggCGgIDAmQCHgAC5gICAjoCBAIFAgYCBwIIAgkCHAILAgwCDQIIAggCCAIIAggCCAIIAggCCAIIAggCCAIIAggCCAIIAggCGgIDAlsCHgAC5gICAjUCBAIFAgYCBwIIAgkCHAILAgwCDQIIAggCCAIIAggCCAIIAggCCAIIAggCCAIIAggCCAIIAggCGgIDAlUCHgAC5gICAjACBAIFAgYCBwIIAgkCHAILAgwCDQIIAggCCAIIAggCCAIIAggCCAIIAggCCAIIAggCCAIIAggCGgIDAlYCHgAC5gICAiYCBAIFAgYCBwIIAgkCCgILAgwCDQIIAggCCAIIAggCCAIIAggCCAIIAggCCAIIAggCCAIIAggCGgIDAlwCHgAC5gICAgMCBAIFAgYCBwIIAgkCCgILAgwCDQIIAggCCAIIAggCCAIIAggCCAIIAggCCAIIAggCCAIIAggCGgIDAg4CHgAC5gICAikCBAIFAgYCBwIIAgkCCgILAgwCDQIIAggCCAIIAggCCAIIAggCCAIIAggCCAIIAggCCAIIAggCGgIDAlcCHgAC5gICAj8CBAIFAgYCBwIIAgkCJwILAgwCDQIIAggCCAIIAggCCAIIAggCCAIIAggCCAIIAggCCAIIAggCGgIDAl8CHgAC5gICAkECBAIFAgYCBwIIAgkCJwILAgwCDQIIAggCCAIIAggCCAIIAggCCAIIAggCCAIIAggCCAIIAggCGgIDAkICHgAC5gICAj0CBAIFAgYCBwIIAgkCJwILAgwCDQIIAggCCAIIAggCCAIIAggCCAIIAggCCAIIAggCCAIIAggCGgIDAj4CHgAC5gICAiQCBAIFAgYCBwIIAgkCCgILAgwCDQIIAggCCAIIAggCCAIIAggCCAIIAggCCAIIAggCCAIIAggCGgIDAiUCHgAC5gICAlkCBAIFAgYCBwIIAgkCHAILAgwCDQIIAggCCAIIAggCCAIIAggCCAIIAggCCAIIAggCCAIIAggCGgIDAm4CHgAC5gICAjgCBAIFAgYCBwIIAgkCHAJ6AAAEAAsCDAINAggCCAIIAggCCAIIAggCCAIIAggCCAIIAggCCAIIAggCCAIaAgMCOQIeAALmAgIChAIEAgUCBgIHAggCCQIKAgsCDAINAggCCAIIAggCCAIIAggCCAIIAggCCAIIAggCCAIIAggCCAIaAgMCMQIeAALmAgICSAIEAgUCBgIHAggCCQInAgsCDAINAggCCAIIAggCCAIIAggCCAIIAggCCAIIAggCCAIIAggCCAIaAgMCYwIeAALmAgICgAIEAgUCBgIHAggCCQInAgsCDAINAggCCAIIAggCCAIIAggCCAIIAggCCAIIAggCCAIIAggCCAIaAgMCgQIeAALmAgICHgIEAgUCBgIHAggCCQInAgsCDAINAggCCAIIAggCCAIIAggCCAIIAggCCAIIAggCCAIIAggCCAIaAgMCYgIeAALmAgICIgIEAgUCBgIHAggCCQIKAgsCDAINAggCCAIIAggCCAIIAggCCAIIAggCCAIIAggCCAIIAggCCAIaAgMCIwIeAALmAgICNQIEAgUCBgIHAggCCQInAgsCDAINAggCCAIIAggCCAIIAggCCAIIAggCCAIIAggCCAIIAggCCAIaAgMCNgIeAALmAgICLQIEAgUCBgIHAggCCQIKAgsCDAINAggCCAIIAggCCAIIAggCCAIIAggCCAIIAggCCAIIAggCCAIaAgMCNwIeAALmAgICUgIEAgUCBgIHAggCCQInAgsCDAINAggCCAIIAggCCAIIAggCCAIIAggCCAIIAggCCAIIAggCCAIaAgMCUwIeAALmAgICKQIEAgUCBgIHAggCCQIcAgsCDAINAggCCAIIAggCCAIIAggCCAIIAggCCAIIAggCCAIIAggCCAIaAgMCLwIeAALmAgICQQIEAgUCBgIHAggCCQIcAgsCDAINAggCCAIIAggCCAIIAggCCAIIAggCCAIIAggCCAIIAggCCAIaAgMCQwIeAALmAgICTQIEAgUCBgIHAggCCQInAgsCDAINAggCCAIIAggCCAIIAggCCAIIAggCCAIIAggCCAIIAggCCAIaAgMCcQIeAALmAgICKwIEAgUCBgIHAggCCQIKAgsCDAINAggCCAIIAggCCAIIAggCCAIIAggCCAIIAggCCAIIAggCCAIaAgMCMQIeAALmAgICGwIEAgUCBgIHAggCCQIKAgsCDAINAggCCAIIAggCCAIIAggCCAIIAggCCAIIAggCCAIIAggCCAIaAgMCPAIeAALmAgICOgIEAgUCBgIHAggCCQIKAgsCDAINAggCCAIIAggCCAIIAggCCAIIAggCCAIIAggCCAIIAggCCAIaAgMCOwIeAALmAgICRQIEAgV6AAAEAAIGAgcCCAIJAicCCwIMAg0CCAIIAggCCAIIAggCCAIIAggCCAIIAggCCAIIAggCCAIIAhoCAwJGAh4AAuYCAgI/AgQCBQIGAgcCCAIJAgoCCwIMAg0CCAIIAggCCAIIAggCCAIIAggCCAIIAggCCAIIAggCCAIIAhoCAwJyAh4AAuYCAgI9AgQCBQIGAgcCCAIJAhwCCwIMAg0CCAIIAggCCAIIAggCCAIIAggCCAIIAggCCAIIAggCCAIIAhoCAwJHAh4AAuYCAgImAgQCBQIGAgcCCAIJAhwCCwIMAg0CCAIIAggCCAIIAggCCAIIAggCCAIIAggCCAIIAggCCAIIAhoCAwIyAh4AAuYCAgI4AgQCBQIGAgcCCAIJAgoCCwIMAg0CCAIIAggCCAIIAggCCAIIAggCCAIIAggCCAIIAggCCAIIAhoCAwJUAh4AAuYCAgJPAgQCBQIGAgcCCAIJAicCCwIMAg0CCAIIAggCCAIIAggCCAIIAggCCAIIAggCCAIIAggCCAIIAhoCAwJQAh4AAuYCAgJLAgQCBQIGAgcCCAIJAicCCwIMAg0CCAIIAggCCAIIAggCCAIIAggCCAIIAggCCAIIAggCCAIIAhoCAwJMAh4AAuYCAgIgAgQCBQIGAgcCCAIJAgoCCwIMAg0CCAIIAggCCAIIAggCCAIIAggCCAIIAggCCAIIAggCCAIIAhoCAwJ1Ah4AAuYCAgIpAgQCBQIGAgcCCAIJAicCCwIMAg0CCAIIAggCCAIIAggCCAIIAggCCAIIAggCCAIIAggCCAIIAhoCAwIqAh4AAuYCAgIeAgQCBQIGAgcCCAIJAgoCCwIMAg0CCAIIAggCCAIIAggCCAIIAggCCAIIAggCCAIIAggCCAIIAhoCAwIfAh4AAuYCAgKAAgQCBQIGAgcCCAIJAgoCCwIMAg0CCAIIAggCCAIIAggCCAIIAggCCAIIAggCCAIIAggCCAIIAhoCAwIxAh4AAuYCAgIbAgQCBQIGAgcCCAIJAhwCCwIMAg0CCAIIAggCCAIIAggCCAIIAggCCAIIAggCCAIIAggCCAIIAhoCAwIdAh4AAuYCAgIrAgQCBQIGAgcCCAIJAhwCCwIMAg0CCAIIAggCCAIIAggCCAIIAggCCAIIAggCCAIIAggCCAIIAhoCAwIsAh4AAuYCAgI4AgQCBQIGAgcCCAIJAicCCwIMAg0CCAIIAggCCAIIAggCCAIIAggCCAIIAggCCAIIAggCCAIIAhoCAwJ5Ah4AAuYCAgJYAgQCBQIGAgcCCAIJAicCCwIMAg0CCAIIAggCCAIIAggCCAIIAggCCAIIAggCCAIIAggCCAIIAhoCAwJ8Ah56AAAEAAAC5gICAlkCBAIFAgYCBwIIAgkCJwILAgwCDQIIAggCCAIIAggCCAIIAggCCAIIAggCCAIIAggCCAIIAggCGgIDAnoCHgAC5gICAkgCBAIFAgYCBwIIAgkCCgILAgwCDQIIAggCCAIIAggCCAIIAggCCAIIAggCCAIIAggCCAIIAggCGgIDAn4CHgAC5gICAgMCBAIFAgYCBwIIAgkCJwILAgwCDQIIAggCCAIIAggCCAIIAggCCAIIAggCCAIIAggCCAIIAggCGgIDAmUCHgAC5gICAiACBAIFAgYCBwIIAgkCHAILAgwCDQIIAggCCAIIAggCCAIIAggCCAIIAggCCAIIAggCCAIIAggCGgIDAiECHgAC5gICAj8CBAIFAgYCBwIIAgkCHAILAgwCDQIIAggCCAIIAggCCAIIAggCCAIIAggCCAIIAggCCAIIAggCGgIDAkACHgAC5gICAlICBAIFAgYCBwIIAgkCHAILAgwCDQIIAggCCAIIAggCCAIIAggCCAIIAggCCAIIAggCCAIIAggCGgIDAnsCHgAC5gICAjMCBAIFAgYCBwIIAgkCCgILAgwCDQIIAggCCAIIAggCCAIIAggCCAIIAggCCAIIAggCCAIIAggCGgIDAjQCHgAC5gICAk8CBAIFAgYCBwIIAgkCHAILAgwCDQIIAggCCAIIAggCCAIIAggCCAIIAggCCAIIAggCCAIIAggCGgIDAnYCHgAC5gICAksCBAIFAgYCBwIIAgkCHAILAgwCDQIIAggCCAIIAggCCAIIAggCCAIIAggCCAIIAggCCAIIAggCGgIDAmYCHgAC5gICAjACBAIFAgYCBwIIAgkCCgILAgwCDQIIAggCCAIIAggCCAIIAggCCAIIAggCCAIIAggCCAIIAggCGgIDAjECHgAC5gICAkECBAIFAgYCBwIIAgkCCgILAgwCDQIIAggCCAIIAggCCAIIAggCCAIIAggCCAIIAggCCAIIAggCGgIDAmECHgAC5gICAkUCBAIFAgYCBwIIAgkCHAILAgwCDQIIAggCCAIIAggCCAIIAggCCAIIAggCCAIIAggCCAIIAggCGgIDAmcCHgAC5gICAiYCBAIFAgYCBwIIAgkCJwILAgwCDQIIAggCCAIIAggCCAIIAggCCAIIAggCCAIIAggCCAIIAggCGgIDAigCHgAC5gICAj0CBAIFAgYCBwIIAgkCCgILAgwCDQIIAggCCAIIAggCCAIIAggCCAIIAggCCAIIAggCCAIIAggCGgIDAmACHgAC5wAKMTIxNjEzOTk2OAICAgMCBAIFAgYCBwIIAgkCJwILAgwCDQIIAggCCAIIAggCCAIIAggCCAJ6AAAEAAgCCAIIAggCCAIIAggCCAIcAgMCZQIeAALnAgICIgIEAgUCBgIHAggCCQInAgsCDAINAggCCAIIAggCCAIIAggCCAIIAggCCAIIAggCCAIIAggCCAIcAgMCbQIeAALnAgICWQIEAgUCBgIHAggCCQIcAgsCDAINAggCCAIIAggCCAIIAggCCAIIAggCCAIIAggCCAIIAggCCAIcAgMCbgIeAALnAgICHgIEAgUCBgIHAggCCQInAgsCDAINAggCCAIIAggCCAIIAggCCAIIAggCCAIIAggCCAIIAggCCAIcAgMCYgIeAALnAgICPQIEAgUCBgIHAggCCQIKAgsCDAINAggCCAIIAggCCAIIAggCCAIIAggCCAIIAggCCAIIAggCCAIcAgMCYAIeAALnAgICSAIEAgUCBgIHAggCCQInAgsCDAINAggCCAIIAggCCAIIAggCCAIIAggCCAIIAggCCAIIAggCCAIcAgMCYwIeAALnAgICgAIEAgUCBgIHAggCCQInAgsCDAINAggCCAIIAggCCAIIAggCCAIIAggCCAIIAggCCAIIAggCCAIcAgMCgQIeAALnAgICQQIEAgUCBgIHAggCCQIKAgsCDAINAggCCAIIAggCCAIIAggCCAIIAggCCAIIAggCCAIIAggCCAIcAgMCYQIeAALnAgICNQIEAgUCBgIHAggCCQIKAgsCDAINAggCCAIIAggCCAIIAggCCAIIAggCCAIIAggCCAIIAggCCAIcAgMCMQIeAALnAgICRQIEAgUCBgIHAggCCQIcAgsCDAINAggCCAIIAggCCAIIAggCCAIIAggCCAIIAggCCAIIAggCCAIcAgMCZwIeAALnAgICMAIEAgUCBgIHAggCCQInAgsCDAINAggCCAIIAggCCAIIAggCCAIIAggCCAIIAggCCAIIAggCCAIcAgMCbAIeAALnAgICTQIEAgUCBgIHAggCCQIcAgsCDAINAggCCAIIAggCCAIIAggCCAIIAggCCAIIAggCCAIIAggCCAIcAgMCZAIeAALnAgICSAIEAgUCBgIHAggCCQIcAgsCDAINAggCCAIIAggCCAIIAggCCAIIAggCCAIIAggCCAIIAggCCAIcAgMCSQIeAALnAgICgAIEAgUCBgIHAggCCQIcAgsCDAINAggCCAIIAggCCAIIAggCCAIIAggCCAIIAggCCAIIAggCCAIcAgMCgwIeAALnAgICOgIEAgUCBgIHAggCCQInAgsCDAINAggCCAIIAggCCAIIAggCCAIIAggCCAIIAggCCAIIAggCCAIcAgMCeAIeAALnAgICHgIEAgUCBgIHAggCCQIcAgsCDAINAggCCAIIAgh6AAAEAAIIAggCCAIIAggCCAIIAggCCAIIAggCCAIIAhwCAwJKAh4AAucCAgIzAgQCBQIGAgcCCAIJAicCCwIMAg0CCAIIAggCCAIIAggCCAIIAggCCAIIAggCCAIIAggCCAIIAhwCAwJqAh4AAucCAgIDAgQCBQIGAgcCCAIJAhwCCwIMAg0CCAIIAggCCAIIAggCCAIIAggCCAIIAggCCAIIAggCCAIIAhwCAwJwAh4AAucCAgJLAgQCBQIGAgcCCAIJAgoCCwIMAg0CCAIIAggCCAIIAggCCAIIAggCCAIIAggCCAIIAggCCAIIAhwCAwJ0Ah4AAucCAgJFAgQCBQIGAgcCCAIJAgoCCwIMAg0CCAIIAggCCAIIAggCCAIIAggCCAIIAggCCAIIAggCCAIIAhwCAwIxAh4AAucCAgJPAgQCBQIGAgcCCAIJAgoCCwIMAg0CCAIIAggCCAIIAggCCAIIAggCCAIIAggCCAIIAggCCAIIAhwCAwJpAh4AAucCAgJSAgQCBQIGAgcCCAIJAgoCCwIMAg0CCAIIAggCCAIIAggCCAIIAggCCAIIAggCCAIIAggCCAIIAhwCAwJoAh4AAucCAgIkAgQCBQIGAgcCCAIJAicCCwIMAg0CCAIIAggCCAIIAggCCAIIAggCCAIIAggCCAIIAggCCAIIAhwCAwJvAh4AAucCAgJYAgQCBQIGAgcCCAIJAhwCCwIMAg0CCAIIAggCCAIIAggCCAIIAggCCAIIAggCCAIIAggCCAIIAhwCAwJrAh4AAucCAgIiAgQCBQIGAgcCCAIJAhwCCwIMAg0CCAIIAggCCAIIAggCCAIIAggCCAIIAggCCAIIAggCCAIIAhwCAwJzAh4AAucCAgJPAgQCBQIGAgcCCAIJAhwCCwIMAg0CCAIIAggCCAIIAggCCAIIAggCCAIIAggCCAIIAggCCAIIAhwCAwJ2Ah4AAucCAgJNAgQCBQIGAgcCCAIJAicCCwIMAg0CCAIIAggCCAIIAggCCAIIAggCCAIIAggCCAIIAggCCAIIAhwCAwJxAh4AAucCAgIkAgQCBQIGAgcCCAIJAhwCCwIMAg0CCAIIAggCCAIIAggCCAIIAggCCAIIAggCCAIIAggCCAIIAhwCAwJ9Ah4AAucCAgItAgQCBQIGAgcCCAIJAicCCwIMAg0CCAIIAggCCAIIAggCCAIIAggCCAIIAggCCAIIAggCCAIIAhwCAwJ3Ah4AAucCAgIgAgQCBQIGAgcCCAIJAgoCCwIMAg0CCAIIAggCCAIIAggCCAIIAggCCAIIAggCCAIIAggCCAIIAhwCAwJ1Ah4AAucCAgI/AgQCBQIGAgcCCAIJAgoCCwJ6AAAEAAwCDQIIAggCCAIIAggCCAIIAggCCAIIAggCCAIIAggCCAIIAggCHAIDAnICHgAC5wICAiYCBAIFAgYCBwIIAgkCJwILAgwCDQIIAggCCAIIAggCCAIIAggCCAIIAggCCAIIAggCCAIIAggCHAIDAigCHgAC5wICAikCBAIFAgYCBwIIAgkCJwILAgwCDQIIAggCCAIIAggCCAIIAggCCAIIAggCCAIIAggCCAIIAggCHAIDAioCHgAC5wICAkgCBAIFAgYCBwIIAgkCCgILAgwCDQIIAggCCAIIAggCCAIIAggCCAIIAggCCAIIAggCCAIIAggCHAIDAn4CHgAC5wICAisCBAIFAgYCBwIIAgkCHAILAgwCDQIIAggCCAIIAggCCAIIAggCCAIIAggCCAIIAggCCAIIAggCHAIDAiwCHgAC5wICAoACBAIFAgYCBwIIAgkCCgILAgwCDQIIAggCCAIIAggCCAIIAggCCAIIAggCCAIIAggCCAIIAggCHAIDAjECHgAC5wICAksCBAIFAgYCBwIIAgkCHAILAgwCDQIIAggCCAIIAggCCAIIAggCCAIIAggCCAIIAggCCAIIAggCHAIDAmYCHgAC5wICAjgCBAIFAgYCBwIIAgkCJwILAgwCDQIIAggCCAIIAggCCAIIAggCCAIIAggCCAIIAggCCAIIAggCHAIDAnkCHgAC5wICAlkCBAIFAgYCBwIIAgkCJwILAgwCDQIIAggCCAIIAggCCAIIAggCCAIIAggCCAIIAggCCAIIAggCHAIDAnoCHgAC5wICAlICBAIFAgYCBwIIAgkCHAILAgwCDQIIAggCCAIIAggCCAIIAggCCAIIAggCCAIIAggCCAIIAggCHAIDAnsCHgAC5wICAhsCBAIFAgYCBwIIAgkCHAILAgwCDQIIAggCCAIIAggCCAIIAggCCAIIAggCCAIIAggCCAIIAggCHAIDAh0CHgAC5wICAh4CBAIFAgYCBwIIAgkCCgILAgwCDQIIAggCCAIIAggCCAIIAggCCAIIAggCCAIIAggCCAIIAggCHAIDAh8CHgAC5wICAlgCBAIFAgYCBwIIAgkCJwILAgwCDQIIAggCCAIIAggCCAIIAggCCAIIAggCCAIIAggCCAIIAggCHAIDAnwCHgAC5wICAiICBAIFAgYCBwIIAgkCCgILAgwCDQIIAggCCAIIAggCCAIIAggCCAIIAggCCAIIAggCCAIIAggCHAIDAiMCHgAC5wICAiQCBAIFAgYCBwIIAgkCCgILAgwCDQIIAggCCAIIAggCCAIIAggCCAIIAggCCAIIAggCCAIIAggCHAIDAiUCHgAC5wICAkECBAIFAgZ6AAAEAAIHAggCCQInAgsCDAINAggCCAIIAggCCAIIAggCCAIIAggCCAIIAggCCAIIAggCCAIcAgMCQgIeAALnAgICOAIEAgUCBgIHAggCCQIcAgsCDAINAggCCAIIAggCCAIIAggCCAIIAggCCAIIAggCCAIIAggCCAIcAgMCOQIeAALnAgICPQIEAgUCBgIHAggCCQInAgsCDAINAggCCAIIAggCCAIIAggCCAIIAggCCAIIAggCCAIIAggCCAIcAgMCPgIeAALnAgICPwIEAgUCBgIHAggCCQIcAgsCDAINAggCCAIIAggCCAIIAggCCAIIAggCCAIIAggCCAIIAggCCAIcAgMCQAIeAALnAgICMAIEAgUCBgIHAggCCQIKAgsCDAINAggCCAIIAggCCAIIAggCCAIIAggCCAIIAggCCAIIAggCCAIcAgMCMQIeAALnAgICMwIEAgUCBgIHAggCCQIKAgsCDAINAggCCAIIAggCCAIIAggCCAIIAggCCAIIAggCCAIIAggCCAIcAgMCNAIeAALnAgICIAIEAgUCBgIHAggCCQIcAgsCDAINAggCCAIIAggCCAIIAggCCAIIAggCCAIIAggCCAIIAggCCAIcAgMCIQIeAALnAgICTwIEAgUCBgIHAggCCQInAgsCDAINAggCCAIIAggCCAIIAggCCAIIAggCCAIIAggCCAIIAggCCAIcAgMCUAIeAALnAgICLQIEAgUCBgIHAggCCQIKAgsCDAINAggCCAIIAggCCAIIAggCCAIIAggCCAIIAggCCAIIAggCCAIcAgMCNwIeAALnAgICOgIEAgUCBgIHAggCCQIKAgsCDAINAggCCAIIAggCCAIIAggCCAIIAggCCAIIAggCCAIIAggCCAIcAgMCOwIeAALnAgICJgIEAgUCBgIHAggCCQIcAgsCDAINAggCCAIIAggCCAIIAggCCAIIAggCCAIIAggCCAIIAggCCAIcAgMCMgIeAALnAgICUgIEAgUCBgIHAggCCQInAgsCDAINAggCCAIIAggCCAIIAggCCAIIAggCCAIIAggCCAIIAggCCAIcAgMCUwIeAALnAgICGwIEAgUCBgIHAggCCQIKAgsCDAINAggCCAIIAggCCAIIAggCCAIIAggCCAIIAggCCAIIAggCCAIcAgMCPAIeAALnAgICKQIEAgUCBgIHAggCCQIcAgsCDAINAggCCAIIAggCCAIIAggCCAIIAggCCAIIAggCCAIIAggCCAIcAgMCLwIeAALnAgICNQIEAgUCBgIHAggCCQInAgsCDAINAggCCAIIAggCCAIIAggCCAIIAggCCAIIAggCCAIIAggCCAIcAgMCNgIeAAJ6AAAEAOcCAgIrAgQCBQIGAgcCCAIJAgoCCwIMAg0CCAIIAggCCAIIAggCCAIIAggCCAIIAggCCAIIAggCCAIIAhwCAwIxAh4AAucCAgI/AgQCBQIGAgcCCAIJAicCCwIMAg0CCAIIAggCCAIIAggCCAIIAggCCAIIAggCCAIIAggCCAIIAhwCAwJfAh4AAucCAgI4AgQCBQIGAgcCCAIJAgoCCwIMAg0CCAIIAggCCAIIAggCCAIIAggCCAIIAggCCAIIAggCCAIIAhwCAwJUAh4AAucCAgJYAgQCBQIGAgcCCAIJAgoCCwIMAg0CCAIIAggCCAIIAggCCAIIAggCCAIIAggCCAIIAggCCAIIAhwCAwIxAh4AAucCAgIwAgQCBQIGAgcCCAIJAhwCCwIMAg0CCAIIAggCCAIIAggCCAIIAggCCAIIAggCCAIIAggCCAIIAhwCAwJWAh4AAucCAgIgAgQCBQIGAgcCCAIJAicCCwIMAg0CCAIIAggCCAIIAggCCAIIAggCCAIIAggCCAIIAggCCAIIAhwCAwJeAh4AAucCAgIbAgQCBQIGAgcCCAIJAicCCwIMAg0CCAIIAggCCAIIAggCCAIIAggCCAIIAggCCAIIAggCCAIIAhwCAwJEAh4AAucCAgIzAgQCBQIGAgcCCAIJAhwCCwIMAg0CCAIIAggCCAIIAggCCAIIAggCCAIIAggCCAIIAggCCAIIAhwCAwJdAh4AAucCAgI9AgQCBQIGAgcCCAIJAhwCCwIMAg0CCAIIAggCCAIIAggCCAIIAggCCAIIAggCCAIIAggCCAIIAhwCAwJHAh4AAucCAgIrAgQCBQIGAgcCCAIJAicCCwIMAg0CCAIIAggCCAIIAggCCAIIAggCCAIIAggCCAIIAggCCAIIAhwCAwJRAh4AAucCAgJLAgQCBQIGAgcCCAIJAicCCwIMAg0CCAIIAggCCAIIAggCCAIIAggCCAIIAggCCAIIAggCCAIIAhwCAwJMAh4AAucCAgJNAgQCBQIGAgcCCAIJAgoCCwIMAg0CCAIIAggCCAIIAggCCAIIAggCCAIIAggCCAIIAggCCAIIAhwCAwJOAh4AAucCAgJFAgQCBQIGAgcCCAIJAicCCwIMAg0CCAIIAggCCAIIAggCCAIIAggCCAIIAggCCAIIAggCCAIIAhwCAwJGAh4AAucCAgJZAgQCBQIGAgcCCAIJAgoCCwIMAg0CCAIIAggCCAIIAggCCAIIAggCCAIIAggCCAIIAggCCAIIAhwCAwJaAh4AAucCAgI6AgQCBQIGAgcCCAIJAhwCCwIMAg0CCAIIAggCCAIIAggCCAIIAggCCAIIAggCCAIIAggCCAJ6AAAB9QgCHAIDAlsCHgAC5wICAi0CBAIFAgYCBwIIAgkCHAILAgwCDQIIAggCCAIIAggCCAIIAggCCAIIAggCCAIIAggCCAIIAggCHAIDAi4CHgAC5wICAkECBAIFAgYCBwIIAgkCHAILAgwCDQIIAggCCAIIAggCCAIIAggCCAIIAggCCAIIAggCCAIIAggCHAIDAkMCHgAC5wICAjUCBAIFAgYCBwIIAgkCHAILAgwCDQIIAggCCAIIAggCCAIIAggCCAIIAggCCAIIAggCCAIIAggCHAIDAlUCHgAC5wICAikCBAIFAgYCBwIIAgkCCgILAgwCDQIIAggCCAIIAggCCAIIAggCCAIIAggCCAIIAggCCAIIAggCHAIDAlcCHgAC5wICAiYCBAIFAgYCBwIIAgkCCgILAgwCDQIIAggCCAIIAggCCAIIAggCCAIIAggCCAIIAggCCAIIAggCHAIDAlwCHgAC5wICAgMCBAIFAgYCBwIIAgkCCgILAgwCDQIIAggCCAIIAggCCAIIAggCCAIIAggCCAIIAggCCAIIAggCHAIDAg4CHgAC6AAJOTg3MzEwNTY4AgICggIEAgUCBgIHAggCCQIcAgsCmAINAggCCAIIAggCCAIIAggCCAIIAggCCAIIAggCCAIIAggCCAIDAgMC6XNxAH4AAAAAAAJzcQB+AAT///////////////7////+/////3VxAH4ABwAAAAQw8IEoeHh3igIeAALoAgICNQIEAgUCBgIHAggCCQIcAgsCmAINAggCCAIIAggCCAIIAggCCAIIAggCCAIIAggCCAIIAggCCAIDAgMCwAIeAALoAgICWAIEAgUCBgIHAggCCQIcAgsCmAINAggCCAIIAggCCAIIAggCCAIIAggCCAIIAggCCAIIAggCCAIDAgMC6nNxAH4AAAAAAAJzcQB+AAT///////////////7////+/////3VxAH4ABwAAAAQqwrH4eHh6AAABngIeAALoAgICPwIEAgUCBgIHAggCCQIcAgsCmAINAggCCAIIAggCCAIIAggCCAIIAggCCAIIAggCCAIIAggCCAIDAgMCrwIeAALoAgICWQIEAgUCBgIHAggCCQIcAgsCmAINAggCCAIIAggCCAIIAggCCAIIAggCCAIIAggCCAIIAggCCAIDAgMCywIeAALoAgICMAIEAgUCBgIHAggCCQIcAgsCmAINAggCCAIIAggCCAIIAggCCAIIAggCCAIIAggCCAIIAggCCAIDAgMCvQIeAALoAgICJAIEAgUCBgIHAggCCQIcAgsCmAINAggCCAIIAggCCAIIAggCCAIIAggCCAIIAggCCAIIAggCCAIDAgMC3QIeAALoAgICQQIEAgUCBgIHAggCCQIcAgsCmAINAggCCAIIAggCCAIIAggCCAIIAggCCAIIAggCCAIIAggCCAIDAgMCvgIeAALoAgIChAIEAgUCBgIHAggCCQIcAgsCmAINAggCCAIIAggCCAIIAggCCAIIAggCCAIIAggCCAIIAggCCAIDAgMC63NxAH4AAAAAAAJzcQB+AAT///////////////7////+/////3VxAH4ABwAAAAQv/sZceHh3RQIeAALoAgICRQIEAgUCBgIHAggCCQIcAgsCmAINAggCCAIIAggCCAIIAggCCAIIAggCCAIIAggCCAIIAggCCAIDAgMC7HNxAH4AAAAAAAJzcQB+AAT///////////////7////+/////3VxAH4ABwAAAAQpRoS2eHh3RQIeAALoAgICgAIEAgUCBgIHAggCCQIcAgsCmAINAggCCAIIAggCCAIIAggCCAIIAggCCAIIAggCCAIIAggCCAIDAgMC7XNxAH4AAAAAAAJzcQB+AAT///////////////7////+/////3VxAH4ABwAAAAQu9BT/eHh6AAAEAAIeAALoAgICSwIEAgUCBgIHAggCCQIcAgsCmAINAggCCAIIAggCCAIIAggCCAIIAggCCAIIAggCCAIIAggCCAIDAgMC1AIeAALoAgICAwIEAgUCBgIHAggCCQIcAgsCmAINAggCCAIIAggCCAIIAggCCAIIAggCCAIIAggCCAIIAggCCAIDAgMCnwIeAALoAgICLQIEAgUCBgIHAggCCQIcAgsCmAINAggCCAIIAggCCAIIAggCCAIIAggCCAIIAggCCAIIAggCCAIDAgMCpAIeAALoAgICKwIEAgUCBgIHAggCCQIcAgsCmAINAggCCAIIAggCCAIIAggCCAIIAggCCAIIAggCCAIIAggCCAIDAgMC1wIeAALoAgICTwIEAgUCBgIHAggCCQIcAgsCmAINAggCCAIIAggCCAIIAggCCAIIAggCCAIIAggCCAIIAggCCAIDAgMCxQIeAALoAgICHgIEAgUCBgIHAggCCQIcAgsCmAINAggCCAIIAggCCAIIAggCCAIIAggCCAIIAggCCAIIAggCCAIDAgMCtgIeAALoAgICJgIEAgUCBgIHAggCCQIcAgsCmAINAggCCAIIAggCCAIIAggCCAIIAggCCAIIAggCCAIIAggCCAIDAgMC0wIeAALuAAoxMjE2MTQ0NjA4AgICKQIEAgUCBgIHAggCCQIKAgsCDAINAggCCAIIAggCCAIIAggCCAIIAggCCAIIAggCCAIIAggCCAIgAgMCVwIeAALuAgICJgIEAgUCBgIHAggCCQIKAgsCDAINAggCCAIIAggCCAIIAggCCAIIAggCCAIIAggCCAIIAggCCAIgAgMCXAIeAALuAgICTQIEAgUCBgIHAggCCQIcAgsCDAINAggCCAIIAggCCAIIAggCCAIIAggCCAIIAggCCAIIAggCCAIgAgMCZAIeAALuAgICTwIEAgUCBgIHAggCCQIcAgsCDAINAggCCAIIAggCCAIIAggCCAIIAggCCAIIAggCCAIIAggCCAIgAgMCdgIeAALuAgICUgIEAgUCBgIHAggCCQIcAgsCDAINAggCCAIIAggCCAIIAggCCAIIAggCCAIIAggCCAIIAggCCAIgAgMCewIeAALuAgICSwIEAgUCBgIHAggCCQIcAgsCDAINAggCCAIIAggCCAIIAggCCAIIAggCCAIIAggCCAIIAggCCAIgAgMCZgIeAALuAgICRQIEAgUCBgIHAggCCQIcAgsCDAINAggCCAIIAggCCAIIAggCCAIIAggCCAIIAggCCAIIAggCCAIgAgMCZwIeAALuAgICOAIEAgUCBgIHAggCCQIKAgsCDAINAggCCAIIAggCCAIIAggCCAJ6AAAEAAgCCAIIAggCCAIIAggCCAIIAiACAwJUAh4AAu4CAgI9AgQCBQIGAgcCCAIJAgoCCwIMAg0CCAIIAggCCAIIAggCCAIIAggCCAIIAggCCAIIAggCCAIIAiACAwJgAh4AAu4CAgIeAgQCBQIGAgcCCAIJAicCCwIMAg0CCAIIAggCCAIIAggCCAIIAggCCAIIAggCCAIIAggCCAIIAiACAwJiAh4AAu4CAgJIAgQCBQIGAgcCCAIJAicCCwIMAg0CCAIIAggCCAIIAggCCAIIAggCCAIIAggCCAIIAggCCAIIAiACAwJjAh4AAu4CAgIgAgQCBQIGAgcCCAIJAgoCCwIMAg0CCAIIAggCCAIIAggCCAIIAggCCAIIAggCCAIIAggCCAIIAiACAwJ1Ah4AAu4CAgJFAgQCBQIGAgcCCAIJAicCCwIMAg0CCAIIAggCCAIIAggCCAIIAggCCAIIAggCCAIIAggCCAIIAiACAwJGAh4AAu4CAgI/AgQCBQIGAgcCCAIJAgoCCwIMAg0CCAIIAggCCAIIAggCCAIIAggCCAIIAggCCAIIAggCCAIIAiACAwJyAh4AAu4CAgJLAgQCBQIGAgcCCAIJAicCCwIMAg0CCAIIAggCCAIIAggCCAIIAggCCAIIAggCCAIIAggCCAIIAiACAwJMAh4AAu4CAgI9AgQCBQIGAgcCCAIJAhwCCwIMAg0CCAIIAggCCAIIAggCCAIIAggCCAIIAggCCAIIAggCCAIIAiACAwJHAh4AAu4CAgJBAgQCBQIGAgcCCAIJAhwCCwIMAg0CCAIIAggCCAIIAggCCAIIAggCCAIIAggCCAIIAggCCAIIAiACAwJDAh4AAu4CAgI1AgQCBQIGAgcCCAIJAhwCCwIMAg0CCAIIAggCCAIIAggCCAIIAggCCAIIAggCCAIIAggCCAIIAiACAwJVAh4AAu4CAgJNAgQCBQIGAgcCCAIJAicCCwIMAg0CCAIIAggCCAIIAggCCAIIAggCCAIIAggCCAIIAggCCAIIAiACAwJxAh4AAu4CAgJZAgQCBQIGAgcCCAIJAicCCwIMAg0CCAIIAggCCAIIAggCCAIIAggCCAIIAggCCAIIAggCCAIIAiACAwJ6Ah4AAu4CAgIwAgQCBQIGAgcCCAIJAicCCwIMAg0CCAIIAggCCAIIAggCCAIIAggCCAIIAggCCAIIAggCCAIIAiACAwJsAh4AAu4CAgIzAgQCBQIGAgcCCAIJAicCCwIMAg0CCAIIAggCCAIIAggCCAIIAggCCAIIAggCCAIIAggCCAIIAiACAwJqAh4AAu4CAgIpAgQCBQIGAgcCCAIJAhwCCwIMAg0CCAIIAgh6AAAEAAIIAggCCAIIAggCCAIIAggCCAIIAggCCAIIAggCIAIDAi8CHgAC7gICAjUCBAIFAgYCBwIIAgkCJwILAgwCDQIIAggCCAIIAggCCAIIAggCCAIIAggCCAIIAggCCAIIAggCIAIDAjYCHgAC7gICAk8CBAIFAgYCBwIIAgkCCgILAgwCDQIIAggCCAIIAggCCAIIAggCCAIIAggCCAIIAggCCAIIAggCIAIDAmkCHgAC7gICAi0CBAIFAgYCBwIIAgkCJwILAgwCDQIIAggCCAIIAggCCAIIAggCCAIIAggCCAIIAggCCAIIAggCIAIDAncCHgAC7gICAjoCBAIFAgYCBwIIAgkCJwILAgwCDQIIAggCCAIIAggCCAIIAggCCAIIAggCCAIIAggCCAIIAggCIAIDAngCHgAC7gICAkUCBAIFAgYCBwIIAgkCCgILAgwCDQIIAggCCAIIAggCCAIIAggCCAIIAggCCAIIAggCCAIIAggCIAIDAjECHgAC7gICAiYCBAIFAgYCBwIIAgkCHAILAgwCDQIIAggCCAIIAggCCAIIAggCCAIIAggCCAIIAggCCAIIAggCIAIDAjICHgAC7gICAiICBAIFAgYCBwIIAgkCCgILAgwCDQIIAggCCAIIAggCCAIIAggCCAIIAggCCAIIAggCCAIIAggCIAIDAiMCHgAC7gICAgMCBAIFAgYCBwIIAgkCHAILAgwCDQIIAggCCAIIAggCCAIIAggCCAIIAggCCAIIAggCCAIIAggCIAIDAnACHgAC7gICAj0CBAIFAgYCBwIIAgkCJwILAgwCDQIIAggCCAIIAggCCAIIAggCCAIIAggCCAIIAggCCAIIAggCIAIDAj4CHgAC7gICAkECBAIFAgYCBwIIAgkCJwILAgwCDQIIAggCCAIIAggCCAIIAggCCAIIAggCCAIIAggCCAIIAggCIAIDAkICHgAC7gICAiQCBAIFAgYCBwIIAgkCCgILAgwCDQIIAggCCAIIAggCCAIIAggCCAIIAggCCAIIAggCCAIIAggCIAIDAiUCHgAC7gICAksCBAIFAgYCBwIIAgkCCgILAgwCDQIIAggCCAIIAggCCAIIAggCCAIIAggCCAIIAggCCAIIAggCIAIDAnQCHgAC7gICAjgCBAIFAgYCBwIIAgkCHAILAgwCDQIIAggCCAIIAggCCAIIAggCCAIIAggCCAIIAggCCAIIAggCIAIDAjkCHgAC7gICAhsCBAIFAgYCBwIIAgkCCgILAgwCDQIIAggCCAIIAggCCAIIAggCCAIIAggCCAIIAggCCAIIAggCIAIDAjwCHgAC7gICAisCBAIFAgYCBwIIAgkCCgJ6AAAEAAsCDAINAggCCAIIAggCCAIIAggCCAIIAggCCAIIAggCCAIIAggCCAIgAgMCMQIeAALuAgICWQIEAgUCBgIHAggCCQIcAgsCDAINAggCCAIIAggCCAIIAggCCAIIAggCCAIIAggCCAIIAggCCAIgAgMCbgIeAALuAgICUgIEAgUCBgIHAggCCQIKAgsCDAINAggCCAIIAggCCAIIAggCCAIIAggCCAIIAggCCAIIAggCCAIgAgMCaAIeAALuAgICLQIEAgUCBgIHAggCCQIcAgsCDAINAggCCAIIAggCCAIIAggCCAIIAggCCAIIAggCCAIIAggCCAIgAgMCLgIeAALuAgICOgIEAgUCBgIHAggCCQIcAgsCDAINAggCCAIIAggCCAIIAggCCAIIAggCCAIIAggCCAIIAggCCAIgAgMCWwIeAALuAgICHgIEAgUCBgIHAggCCQIKAgsCDAINAggCCAIIAggCCAIIAggCCAIIAggCCAIIAggCCAIIAggCCAIgAgMCHwIeAALuAgICGwIEAgUCBgIHAggCCQIcAgsCDAINAggCCAIIAggCCAIIAggCCAIIAggCCAIIAggCCAIIAggCCAIgAgMCHQIeAALuAgICMwIEAgUCBgIHAggCCQIcAgsCDAINAggCCAIIAggCCAIIAggCCAIIAggCCAIIAggCCAIIAggCCAIgAgMCXQIeAALuAgICKwIEAgUCBgIHAggCCQIcAgsCDAINAggCCAIIAggCCAIIAggCCAIIAggCCAIIAggCCAIIAggCCAIgAgMCLAIeAALuAgICWQIEAgUCBgIHAggCCQIKAgsCDAINAggCCAIIAggCCAIIAggCCAIIAggCCAIIAggCCAIIAggCCAIgAgMCWgIeAALuAgICJgIEAgUCBgIHAggCCQInAgsCDAINAggCCAIIAggCCAIIAggCCAIIAggCCAIIAggCCAIIAggCCAIgAgMCKAIeAALuAgICKQIEAgUCBgIHAggCCQInAgsCDAINAggCCAIIAggCCAIIAggCCAIIAggCCAIIAggCCAIIAggCCAIgAgMCKgIeAALuAgICAwIEAgUCBgIHAggCCQIKAgsCDAINAggCCAIIAggCCAIIAggCCAIIAggCCAIIAggCCAIIAggCCAIgAgMCDgIeAALuAgICIgIEAgUCBgIHAggCCQIcAgsCDAINAggCCAIIAggCCAIIAggCCAIIAggCCAIIAggCCAIIAggCCAIgAgMCcwIeAALuAgICMAIEAgUCBgIHAggCCQIcAgsCDAINAggCCAIIAggCCAIIAggCCAIIAggCCAIIAggCCAIIAggCCAIgAgMCVgIeAALuAgICSAIEAgV6AAAEAAIGAgcCCAIJAgoCCwIMAg0CCAIIAggCCAIIAggCCAIIAggCCAIIAggCCAIIAggCCAIIAiACAwJ+Ah4AAu4CAgI4AgQCBQIGAgcCCAIJAicCCwIMAg0CCAIIAggCCAIIAggCCAIIAggCCAIIAggCCAIIAggCCAIIAiACAwJ5Ah4AAu4CAgIgAgQCBQIGAgcCCAIJAicCCwIMAg0CCAIIAggCCAIIAggCCAIIAggCCAIIAggCCAIIAggCCAIIAiACAwJeAh4AAu4CAgI/AgQCBQIGAgcCCAIJAicCCwIMAg0CCAIIAggCCAIIAggCCAIIAggCCAIIAggCCAIIAggCCAIIAiACAwJfAh4AAu4CAgIkAgQCBQIGAgcCCAIJAhwCCwIMAg0CCAIIAggCCAIIAggCCAIIAggCCAIIAggCCAIIAggCCAIIAiACAwJ9Ah4AAu4CAgJPAgQCBQIGAgcCCAIJAicCCwIMAg0CCAIIAggCCAIIAggCCAIIAggCCAIIAggCCAIIAggCCAIIAiACAwJQAh4AAu4CAgJSAgQCBQIGAgcCCAIJAicCCwIMAg0CCAIIAggCCAIIAggCCAIIAggCCAIIAggCCAIIAggCCAIIAiACAwJTAh4AAu4CAgI6AgQCBQIGAgcCCAIJAgoCCwIMAg0CCAIIAggCCAIIAggCCAIIAggCCAIIAggCCAIIAggCCAIIAiACAwI7Ah4AAu4CAgJIAgQCBQIGAgcCCAIJAhwCCwIMAg0CCAIIAggCCAIIAggCCAIIAggCCAIIAggCCAIIAggCCAIIAiACAwJJAh4AAu4CAgI1AgQCBQIGAgcCCAIJAgoCCwIMAg0CCAIIAggCCAIIAggCCAIIAggCCAIIAggCCAIIAggCCAIIAiACAwIxAh4AAu4CAgIwAgQCBQIGAgcCCAIJAgoCCwIMAg0CCAIIAggCCAIIAggCCAIIAggCCAIIAggCCAIIAggCCAIIAiACAwIxAh4AAu4CAgItAgQCBQIGAgcCCAIJAgoCCwIMAg0CCAIIAggCCAIIAggCCAIIAggCCAIIAggCCAIIAggCCAIIAiACAwI3Ah4AAu4CAgJNAgQCBQIGAgcCCAIJAgoCCwIMAg0CCAIIAggCCAIIAggCCAIIAggCCAIIAggCCAIIAggCCAIIAiACAwJOAh4AAu4CAgIeAgQCBQIGAgcCCAIJAhwCCwIMAg0CCAIIAggCCAIIAggCCAIIAggCCAIIAggCCAIIAggCCAIIAiACAwJKAh4AAu4CAgIzAgQCBQIGAgcCCAIJAgoCCwIMAg0CCAIIAggCCAIIAggCCAIIAggCCAIIAggCCAIIAggCCAIIAiACAwI0Ah56AAAEAAAC7gICAisCBAIFAgYCBwIIAgkCJwILAgwCDQIIAggCCAIIAggCCAIIAggCCAIIAggCCAIIAggCCAIIAggCIAIDAlECHgAC7gICAgMCBAIFAgYCBwIIAgkCJwILAgwCDQIIAggCCAIIAggCCAIIAggCCAIIAggCCAIIAggCCAIIAggCIAIDAmUCHgAC7gICAhsCBAIFAgYCBwIIAgkCJwILAgwCDQIIAggCCAIIAggCCAIIAggCCAIIAggCCAIIAggCCAIIAggCIAIDAkQCHgAC7gICAj8CBAIFAgYCBwIIAgkCHAILAgwCDQIIAggCCAIIAggCCAIIAggCCAIIAggCCAIIAggCCAIIAggCIAIDAkACHgAC7gICAkECBAIFAgYCBwIIAgkCCgILAgwCDQIIAggCCAIIAggCCAIIAggCCAIIAggCCAIIAggCCAIIAggCIAIDAmECHgAC7gICAiACBAIFAgYCBwIIAgkCHAILAgwCDQIIAggCCAIIAggCCAIIAggCCAIIAggCCAIIAggCCAIIAggCIAIDAiECHgAC7gICAiICBAIFAgYCBwIIAgkCJwILAgwCDQIIAggCCAIIAggCCAIIAggCCAIIAggCCAIIAggCCAIIAggCIAIDAm0CHgAC7gICAiQCBAIFAgYCBwIIAgkCJwILAgwCDQIIAggCCAIIAggCCAIIAggCCAIIAggCCAIIAggCCAIIAggCIAIDAm8CHgAC7wAJNzEzNzUxNzg0AgICSwIEAgUCBgIHAggCCQIcAgsCDAINAggCCAIIAggCCAIIAggCCAIIAggCCAIIAggCCAIIAggCCAISAgMCZgIeAALvAgICHgIEAgUCBgIHAggCCQInAgsCDAINAggCCAIIAggCCAIIAggCCAIIAggCCAIIAggCCAIIAggCCAISAgMCYgIeAALvAgICPQIEAgUCBgIHAggCCQIKAgsCDAINAggCCAIIAggCCAIIAggCCAIIAggCCAIIAggCCAIIAggCCAISAgMCYAIeAALvAgICWAIEAgUCBgIHAggCCQInAgsCDAINAggCCAIIAggCCAIIAggCCAIIAggCCAIIAggCCAIIAggCCAISAgMCfAIeAALvAgICJgIEAgUCBgIHAggCCQIKAgsCDAINAggCCAIIAggCCAIIAggCCAIIAggCCAIIAggCCAIIAggCCAISAgMCXAIeAALvAgICUgIEAgUCBgIHAggCCQIcAgsCDAINAggCCAIIAggCCAIIAggCCAIIAggCCAIIAggCCAIIAggCCAISAgMCewIeAALvAgICNQIEAgUCBgIHAggCCQIcAgsCDAINAggCCAIIAggCCAIIAggCCAIIAgh6AAAEAAIIAggCCAIIAggCCAIIAhICAwJVAh4AAu8CAgIgAgQCBQIGAgcCCAIJAgoCCwIMAg0CCAIIAggCCAIIAggCCAIIAggCCAIIAggCCAIIAggCCAIIAhICAwJ1Ah4AAu8CAgJBAgQCBQIGAgcCCAIJAhwCCwIMAg0CCAIIAggCCAIIAggCCAIIAggCCAIIAggCCAIIAggCCAIIAhICAwJDAh4AAu8CAgKPAgQCBQIGAgcCCAIJAgoCCwIMAg0CCAIIAggCCAIIAggCCAIIAggCCAIIAggCCAIIAggCCAIIAhICAwIxAh4AAu8CAgIeAgQCBQIGAgcCCAIJAhwCCwIMAg0CCAIIAggCCAIIAggCCAIIAggCCAIIAggCCAIIAggCCAIIAhICAwJKAh4AAu8CAgJNAgQCBQIGAgcCCAIJAgoCCwIMAg0CCAIIAggCCAIIAggCCAIIAggCCAIIAggCCAIIAggCCAIIAhICAwJOAh4AAu8CAgJLAgQCBQIGAgcCCAIJAicCCwIMAg0CCAIIAggCCAIIAggCCAIIAggCCAIIAggCCAIIAggCCAIIAhICAwJMAh4AAu8CAgJSAgQCBQIGAgcCCAIJAicCCwIMAg0CCAIIAggCCAIIAggCCAIIAggCCAIIAggCCAIIAggCCAIIAhICAwJTAh4AAu8CAgIbAgQCBQIGAgcCCAIJAicCCwIMAg0CCAIIAggCCAIIAggCCAIIAggCCAIIAggCCAIIAggCCAIIAhICAwJEAh4AAu8CAgItAgQCBQIGAgcCCAIJAgoCCwIMAg0CCAIIAggCCAIIAggCCAIIAggCCAIIAggCCAIIAggCCAIIAhICAwI3Ah4AAu8CAgIiAgQCBQIGAgcCCAIJAicCCwIMAg0CCAIIAggCCAIIAggCCAIIAggCCAIIAggCCAIIAggCCAIIAhICAwJtAh4AAu8CAgKEAgQCBQIGAgcCCAIJAicCCwIMAg0CCAIIAggCCAIIAggCCAIIAggCCAIIAggCCAIIAggCCAIIAhICAwKFAh4AAu8CAgIwAgQCBQIGAgcCCAIJAgoCCwIMAg0CCAIIAggCCAIIAggCCAIIAggCCAIIAggCCAIIAggCCAIIAhICAwIxAh4AAu8CAgKMAgQCBQIGAgcCCAIJAicCCwIMAg0CCAIIAggCCAIIAggCCAIIAggCCAIIAggCCAIIAggCCAIIAhICAwKRAh4AAu8CAgI/AgQCBQIGAgcCCAIJAhwCCwIMAg0CCAIIAggCCAIIAggCCAIIAggCCAIIAggCCAIIAggCCAIIAhICAwJAAh4AAu8CAgKUAgQCBQIGAgcCCAIJAgoCCwIMAg0CCAIIAggCCAJ6AAAEAAgCCAIIAggCCAIIAggCCAIIAggCCAIIAggCEgIDAjECHgAC7wICAhsCBAIFAgYCBwIIAgkCHAILAgwCDQIIAggCCAIIAggCCAIIAggCCAIIAggCCAIIAggCCAIIAggCEgIDAh0CHgAC7wICAo0CBAIFAgYCBwIIAgkCJwILAgwCDQIIAggCCAIIAggCCAIIAggCCAIIAggCCAIIAggCCAIIAggCEgIDAo4CHgAC7wICAkgCBAIFAgYCBwIIAgkCCgILAgwCDQIIAggCCAIIAggCCAIIAggCCAIIAggCCAIIAggCCAIIAggCEgIDAn4CHgAC7wICApQCBAIFAgYCBwIIAgkCJwILAgwCDQIIAggCCAIIAggCCAIIAggCCAIIAggCCAIIAggCCAIIAggCEgIDApECHgAC7wICAi0CBAIFAgYCBwIIAgkCHAILAgwCDQIIAggCCAIIAggCCAIIAggCCAIIAggCCAIIAggCCAIIAggCEgIDAi4CHgAC7wICAikCBAIFAgYCBwIIAgkCJwILAgwCDQIIAggCCAIIAggCCAIIAggCCAIIAggCCAIIAggCCAIIAggCEgIDAioCHgAC7wICAoACBAIFAgYCBwIIAgkCCgILAgwCDQIIAggCCAIIAggCCAIIAggCCAIIAggCCAIIAggCCAIIAggCEgIDAjECHgAC7wICAowCBAIFAgYCBwIIAgkCCgILAgwCDQIIAggCCAIIAggCCAIIAggCCAIIAggCCAIIAggCCAIIAggCEgIDAjECHgAC7wICAlkCBAIFAgYCBwIIAgkCCgILAgwCDQIIAggCCAIIAggCCAIIAggCCAIIAggCCAIIAggCCAIIAggCEgIDAloCHgAC7wICAj8CBAIFAgYCBwIIAgkCJwILAgwCDQIIAggCCAIIAggCCAIIAggCCAIIAggCCAIIAggCCAIIAggCEgIDAl8CHgAC7wICAo0CBAIFAgYCBwIIAgkCHAILAgwCDQIIAggCCAIIAggCCAIIAggCCAIIAggCCAIIAggCCAIIAggCEgIDApACHgAC7wICAiQCBAIFAgYCBwIIAgkCHAILAgwCDQIIAggCCAIIAggCCAIIAggCCAIIAggCCAIIAggCCAIIAggCEgIDAn0CHgAC7wICAjACBAIFAgYCBwIIAgkCHAILAgwCDQIIAggCCAIIAggCCAIIAggCCAIIAggCCAIIAggCCAIIAggCEgIDAlYCHgAC7wICAjgCBAIFAgYCBwIIAgkCJwILAgwCDQIIAggCCAIIAggCCAIIAggCCAIIAggCCAIIAggCCAIIAggCEgIDAnkCHgAC7wICApICBAIFAgYCBwIIAgkCCgILAgx6AAAEAAINAggCCAIIAggCCAIIAggCCAIIAggCCAIIAggCCAIIAggCCAISAgMCMQIeAALvAgICLQIEAgUCBgIHAggCCQInAgsCDAINAggCCAIIAggCCAIIAggCCAIIAggCCAIIAggCCAIIAggCCAISAgMCdwIeAALvAgICKwIEAgUCBgIHAggCCQIKAgsCDAINAggCCAIIAggCCAIIAggCCAIIAggCCAIIAggCCAIIAggCCAISAgMCMQIeAALvAgICSwIEAgUCBgIHAggCCQIKAgsCDAINAggCCAIIAggCCAIIAggCCAIIAggCCAIIAggCCAIIAggCCAISAgMCdAIeAALvAgIClAIEAgUCBgIHAggCCQIcAgsCDAINAggCCAIIAggCCAIIAggCCAIIAggCCAIIAggCCAIIAggCCAISAgMCkwIeAALvAgICAwIEAgUCBgIHAggCCQIcAgsCDAINAggCCAIIAggCCAIIAggCCAIIAggCCAIIAggCCAIIAggCCAISAgMCcAIeAALvAgICKQIEAgUCBgIHAggCCQIcAgsCDAINAggCCAIIAggCCAIIAggCCAIIAggCCAIIAggCCAIIAggCCAISAgMCLwIeAALvAgICWAIEAgUCBgIHAggCCQIcAgsCDAINAggCCAIIAggCCAIIAggCCAIIAggCCAIIAggCCAIIAggCCAISAgMCawIeAALvAgICOAIEAgUCBgIHAggCCQIcAgsCDAINAggCCAIIAggCCAIIAggCCAIIAggCCAIIAggCCAIIAggCCAISAgMCOQIeAALvAgICIgIEAgUCBgIHAggCCQIKAgsCDAINAggCCAIIAggCCAIIAggCCAIIAggCCAIIAggCCAIIAggCCAISAgMCIwIeAALvAgICUgIEAgUCBgIHAggCCQIKAgsCDAINAggCCAIIAggCCAIIAggCCAIIAggCCAIIAggCCAIIAggCCAISAgMCaAIeAALvAgICMAIEAgUCBgIHAggCCQInAgsCDAINAggCCAIIAggCCAIIAggCCAIIAggCCAIIAggCCAIIAggCCAISAgMCbAIeAALvAgICPQIEAgUCBgIHAggCCQInAgsCDAINAggCCAIIAggCCAIIAggCCAIIAggCCAIIAggCCAIIAggCCAISAgMCPgIeAALvAgICgAIEAgUCBgIHAggCCQInAgsCDAINAggCCAIIAggCCAIIAggCCAIIAggCCAIIAggCCAIIAggCCAISAgMCgQIeAALvAgIChAIEAgUCBgIHAggCCQIKAgsCDAINAggCCAIIAggCCAIIAggCCAIIAggCCAIIAggCCAIIAggCCAISAgMCMQIeAALvAgICTQIEAgUCBgJ6AAAEAAcCCAIJAhwCCwIMAg0CCAIIAggCCAIIAggCCAIIAggCCAIIAggCCAIIAggCCAIIAhICAwJkAh4AAu8CAgKSAgQCBQIGAgcCCAIJAicCCwIMAg0CCAIIAggCCAIIAggCCAIIAggCCAIIAggCCAIIAggCCAIIAhICAwKRAh4AAu8CAgJFAgQCBQIGAgcCCAIJAhwCCwIMAg0CCAIIAggCCAIIAggCCAIIAggCCAIIAggCCAIIAggCCAIIAhICAwJnAh4AAu8CAgJIAgQCBQIGAgcCCAIJAicCCwIMAg0CCAIIAggCCAIIAggCCAIIAggCCAIIAggCCAIIAggCCAIIAhICAwJjAh4AAu8CAgKNAgQCBQIGAgcCCAIJAgoCCwIMAg0CCAIIAggCCAIIAggCCAIIAggCCAIIAggCCAIIAggCCAIIAhICAwIxAh4AAu8CAgI4AgQCBQIGAgcCCAIJAgoCCwIMAg0CCAIIAggCCAIIAggCCAIIAggCCAIIAggCCAIIAggCCAIIAhICAwJUAh4AAu8CAgJZAgQCBQIGAgcCCAIJAicCCwIMAg0CCAIIAggCCAIIAggCCAIIAggCCAIIAggCCAIIAggCCAIIAhICAwJ6Ah4AAu8CAgIpAgQCBQIGAgcCCAIJAgoCCwIMAg0CCAIIAggCCAIIAggCCAIIAggCCAIIAggCCAIIAggCCAIIAhICAwJXAh4AAu8CAgJNAgQCBQIGAgcCCAIJAicCCwIMAg0CCAIIAggCCAIIAggCCAIIAggCCAIIAggCCAIIAggCCAIIAhICAwJxAh4AAu8CAgJFAgQCBQIGAgcCCAIJAicCCwIMAg0CCAIIAggCCAIIAggCCAIIAggCCAIIAggCCAIIAggCCAIIAhICAwJGAh4AAu8CAgI/AgQCBQIGAgcCCAIJAgoCCwIMAg0CCAIIAggCCAIIAggCCAIIAggCCAIIAggCCAIIAggCCAIIAhICAwJyAh4AAu8CAgI9AgQCBQIGAgcCCAIJAhwCCwIMAg0CCAIIAggCCAIIAggCCAIIAggCCAIIAggCCAIIAggCCAIIAhICAwJHAh4AAu8CAgKAAgQCBQIGAgcCCAIJAhwCCwIMAg0CCAIIAggCCAIIAggCCAIIAggCCAIIAggCCAIIAggCCAIIAhICAwKDAh4AAu8CAgI6AgQCBQIGAgcCCAIJAgoCCwIMAg0CCAIIAggCCAIIAggCCAIIAggCCAIIAggCCAIIAggCCAIIAhICAwI7Ah4AAu8CAgJPAgQCBQIGAgcCCAIJAicCCwIMAg0CCAIIAggCCAIIAggCCAIIAggCCAIIAggCCAIIAggCCAIIAhICAwJQAh4AAu96AAAEAAICAisCBAIFAgYCBwIIAgkCJwILAgwCDQIIAggCCAIIAggCCAIIAggCCAIIAggCCAIIAggCCAIIAggCEgIDAlECHgAC7wICAkgCBAIFAgYCBwIIAgkCHAILAgwCDQIIAggCCAIIAggCCAIIAggCCAIIAggCCAIIAggCCAIIAggCEgIDAkkCHgAC7wICAoICBAIFAgYCBwIIAgkCCgILAgwCDQIIAggCCAIIAggCCAIIAggCCAIIAggCCAIIAggCCAIIAggCEgIDAjECHgAC7wICAk8CBAIFAgYCBwIIAgkCHAILAgwCDQIIAggCCAIIAggCCAIIAggCCAIIAggCCAIIAggCCAIIAggCEgIDAnYCHgAC7wICAgMCBAIFAgYCBwIIAgkCJwILAgwCDQIIAggCCAIIAggCCAIIAggCCAIIAggCCAIIAggCCAIIAggCEgIDAmUCHgAC7wICAjMCBAIFAgYCBwIIAgkCCgILAgwCDQIIAggCCAIIAggCCAIIAggCCAIIAggCCAIIAggCCAIIAggCEgIDAjQCHgAC7wICAiQCBAIFAgYCBwIIAgkCJwILAgwCDQIIAggCCAIIAggCCAIIAggCCAIIAggCCAIIAggCCAIIAggCEgIDAm8CHgAC7wICAo8CBAIFAgYCBwIIAgkCHAILAgwCDQIIAggCCAIIAggCCAIIAggCCAIIAggCCAIIAggCCAIIAggCEgIDApUCHgAC7wICAiACBAIFAgYCBwIIAgkCHAILAgwCDQIIAggCCAIIAggCCAIIAggCCAIIAggCCAIIAggCCAIIAggCEgIDAiECHgAC7wICApICBAIFAgYCBwIIAgkCHAILAgwCDQIIAggCCAIIAggCCAIIAggCCAIIAggCCAIIAggCCAIIAggCEgIDApMCHgAC7wICAkECBAIFAgYCBwIIAgkCCgILAgwCDQIIAggCCAIIAggCCAIIAggCCAIIAggCCAIIAggCCAIIAggCEgIDAmECHgAC7wICAjUCBAIFAgYCBwIIAgkCCgILAgwCDQIIAggCCAIIAggCCAIIAggCCAIIAggCCAIIAggCCAIIAggCEgIDAjECHgAC7wICAisCBAIFAgYCBwIIAgkCHAILAgwCDQIIAggCCAIIAggCCAIIAggCCAIIAggCCAIIAggCCAIIAggCEgIDAiwCHgAC7wICAh4CBAIFAgYCBwIIAgkCCgILAgwCDQIIAggCCAIIAggCCAIIAggCCAIIAggCCAIIAggCCAIIAggCEgIDAh8CHgAC7wICAiYCBAIFAgYCBwIIAgkCJwILAgwCDQIIAggCCAIIAggCCAIIAggCCAIIAggCCAIIAggCCAIIAgh6AAAEAAISAgMCKAIeAALvAgICggIEAgUCBgIHAggCCQIcAgsCDAINAggCCAIIAggCCAIIAggCCAIIAggCCAIIAggCCAIIAggCCAISAgMChgIeAALvAgICOgIEAgUCBgIHAggCCQIcAgsCDAINAggCCAIIAggCCAIIAggCCAIIAggCCAIIAggCCAIIAggCCAISAgMCWwIeAALvAgICAwIEAgUCBgIHAggCCQIKAgsCDAINAggCCAIIAggCCAIIAggCCAIIAggCCAIIAggCCAIIAggCCAISAgMCDgIeAALvAgICIAIEAgUCBgIHAggCCQInAgsCDAINAggCCAIIAggCCAIIAggCCAIIAggCCAIIAggCCAIIAggCCAISAgMCXgIeAALvAgICMwIEAgUCBgIHAggCCQIcAgsCDAINAggCCAIIAggCCAIIAggCCAIIAggCCAIIAggCCAIIAggCCAISAgMCXQIeAALvAgICjwIEAgUCBgIHAggCCQInAgsCDAINAggCCAIIAggCCAIIAggCCAIIAggCCAIIAggCCAIIAggCCAISAgMClgIeAALvAgIChAIEAgUCBgIHAggCCQIcAgsCDAINAggCCAIIAggCCAIIAggCCAIIAggCCAIIAggCCAIIAggCCAISAgMChwIeAALvAgICIgIEAgUCBgIHAggCCQIcAgsCDAINAggCCAIIAggCCAIIAggCCAIIAggCCAIIAggCCAIIAggCCAISAgMCcwIeAALvAgICWAIEAgUCBgIHAggCCQIKAgsCDAINAggCCAIIAggCCAIIAggCCAIIAggCCAIIAggCCAIIAggCCAISAgMCMQIeAALvAgICOgIEAgUCBgIHAggCCQInAgsCDAINAggCCAIIAggCCAIIAggCCAIIAggCCAIIAggCCAIIAggCCAISAgMCeAIeAALvAgICggIEAgUCBgIHAggCCQInAgsCDAINAggCCAIIAggCCAIIAggCCAIIAggCCAIIAggCCAIIAggCCAISAgMCiAIeAALvAgICjAIEAgUCBgIHAggCCQIcAgsCDAINAggCCAIIAggCCAIIAggCCAIIAggCCAIIAggCCAIIAggCCAISAgMCkwIeAALvAgICGwIEAgUCBgIHAggCCQIKAgsCDAINAggCCAIIAggCCAIIAggCCAIIAggCCAIIAggCCAIIAggCCAISAgMCPAIeAALvAgICNQIEAgUCBgIHAggCCQInAgsCDAINAggCCAIIAggCCAIIAggCCAIIAggCCAIIAggCCAIIAggCCAISAgMCNgIeAALvAgICJgIEAgUCBgIHAggCCQIcAgsCDAINAggCCAIIAggCCAIIAggCCAIIAggCCAJ6AAAEAAgCCAIIAggCCAIIAhICAwIyAh4AAu8CAgJFAgQCBQIGAgcCCAIJAgoCCwIMAg0CCAIIAggCCAIIAggCCAIIAggCCAIIAggCCAIIAggCCAIIAhICAwIxAh4AAu8CAgJZAgQCBQIGAgcCCAIJAhwCCwIMAg0CCAIIAggCCAIIAggCCAIIAggCCAIIAggCCAIIAggCCAIIAhICAwJuAh4AAu8CAgIkAgQCBQIGAgcCCAIJAgoCCwIMAg0CCAIIAggCCAIIAggCCAIIAggCCAIIAggCCAIIAggCCAIIAhICAwIlAh4AAu8CAgJPAgQCBQIGAgcCCAIJAgoCCwIMAg0CCAIIAggCCAIIAggCCAIIAggCCAIIAggCCAIIAggCCAIIAhICAwJpAh4AAu8CAgJBAgQCBQIGAgcCCAIJAicCCwIMAg0CCAIIAggCCAIIAggCCAIIAggCCAIIAggCCAIIAggCCAIIAhICAwJCAh4AAu8CAgIzAgQCBQIGAgcCCAIJAicCCwIMAg0CCAIIAggCCAIIAggCCAIIAggCCAIIAggCCAIIAggCCAIIAhICAwJqAh4AAvAACTU4MDEyODUwNAICAlkCBAIFAgYCBwIIAgkCJwILAgwCDQIIAggCCAIIAggCCAIIAggCCAIIAggCCAIIAggCCAIIAggCFgIDAnoCHgAC8AICAikCBAIFAgYCBwIIAgkCCgILAgwCDQIIAggCCAIIAggCCAIIAggCCAIIAggCCAIIAggCCAIIAggCFgIDAlcCHgAC8AICAk8CBAIFAgYCBwIIAgkCHAILAgwCDQIIAggCCAIIAggCCAIIAggCCAIIAggCCAIIAggCCAIIAggCFgIDAnYCHgAC8AICAo0CBAIFAgYCBwIIAgkCCgILAgwCDQIIAggCCAIIAggCCAIIAggCCAIIAggCCAIIAggCCAIIAggCFgIDAjECHgAC8AICAk0CBAIFAgYCBwIIAgkCHAILAgwCDQIIAggCCAIIAggCCAIIAggCCAIIAggCCAIIAggCCAIIAggCFgIDAmQCHgAC8AICAjgCBAIFAgYCBwIIAgkCCgILAgwCDQIIAggCCAIIAggCCAIIAggCCAIIAggCCAIIAggCCAIIAggCFgIDAlQCHgAC8AICAkUCBAIFAgYCBwIIAgkCHAILAgwCDQIIAggCCAIIAggCCAIIAggCCAIIAggCCAIIAggCCAIIAggCFgIDAmcCHgAC8AICAkUCBAIFAgYCBwIIAgkCJwILAgwCDQIIAggCCAIIAggCCAIIAggCCAIIAggCCAIIAggCCAIIAggCFgIDAkYCHgAC8AICAj8CBAIFAgYCBwIIAgkCCgILAgwCDQJ6AAAEAAgCCAIIAggCCAIIAggCCAIIAggCCAIIAggCCAIIAggCCAIWAgMCcgIeAALwAgICTQIEAgUCBgIHAggCCQInAgsCDAINAggCCAIIAggCCAIIAggCCAIIAggCCAIIAggCCAIIAggCCAIWAgMCcQIeAALwAgICSAIEAgUCBgIHAggCCQInAgsCDAINAggCCAIIAggCCAIIAggCCAIIAggCCAIIAggCCAIIAggCCAIWAgMCYwIeAALwAgICPQIEAgUCBgIHAggCCQIcAgsCDAINAggCCAIIAggCCAIIAggCCAIIAggCCAIIAggCCAIIAggCCAIWAgMCRwIeAALwAgIClAIEAgUCBgIHAggCCQIcAgsCDAINAggCCAIIAggCCAIIAggCCAIIAggCCAIIAggCCAIIAggCCAIWAgMCkwIeAALwAgICkgIEAgUCBgIHAggCCQInAgsCDAINAggCCAIIAggCCAIIAggCCAIIAggCCAIIAggCCAIIAggCCAIWAgMCkQIeAALwAgICNQIEAgUCBgIHAggCCQIKAgsCDAINAggCCAIIAggCCAIIAggCCAIIAggCCAIIAggCCAIIAggCCAIWAgMCMQIeAALwAgICMwIEAgUCBgIHAggCCQIKAgsCDAINAggCCAIIAggCCAIIAggCCAIIAggCCAIIAggCCAIIAggCCAIWAgMCNAIeAALwAgICkgIEAgUCBgIHAggCCQIcAgsCDAINAggCCAIIAggCCAIIAggCCAIIAggCCAIIAggCCAIIAggCCAIWAgMCkwIeAALwAgICggIEAgUCBgIHAggCCQIKAgsCDAINAggCCAIIAggCCAIIAggCCAIIAggCCAIIAggCCAIIAggCCAIWAgMCMQIeAALwAgICgAIEAgUCBgIHAggCCQIcAgsCDAINAggCCAIIAggCCAIIAggCCAIIAggCCAIIAggCCAIIAggCCAIWAgMCgwIeAALwAgICAwIEAgUCBgIHAggCCQInAgsCDAINAggCCAIIAggCCAIIAggCCAIIAggCCAIIAggCCAIIAggCCAIWAgMCZQIeAALwAgICTwIEAgUCBgIHAggCCQInAgsCDAINAggCCAIIAggCCAIIAggCCAIIAggCCAIIAggCCAIIAggCCAIWAgMCUAIeAALwAgICQQIEAgUCBgIHAggCCQIKAgsCDAINAggCCAIIAggCCAIIAggCCAIIAggCCAIIAggCCAIIAggCCAIWAgMCYQIeAALwAgICjwIEAgUCBgIHAggCCQIcAgsCDAINAggCCAIIAggCCAIIAggCCAIIAggCCAIIAggCCAIIAggCCAIWAgMClQIeAALwAgICIAIEAgUCBgIHAgh6AAAEAAIJAhwCCwIMAg0CCAIIAggCCAIIAggCCAIIAggCCAIIAggCCAIIAggCCAIIAhYCAwIhAh4AAvACAgIrAgQCBQIGAgcCCAIJAicCCwIMAg0CCAIIAggCCAIIAggCCAIIAggCCAIIAggCCAIIAggCCAIIAhYCAwJRAh4AAvACAgJIAgQCBQIGAgcCCAIJAhwCCwIMAg0CCAIIAggCCAIIAggCCAIIAggCCAIIAggCCAIIAggCCAIIAhYCAwJJAh4AAvACAgI6AgQCBQIGAgcCCAIJAgoCCwIMAg0CCAIIAggCCAIIAggCCAIIAggCCAIIAggCCAIIAggCCAIIAhYCAwI7Ah4AAvACAgIkAgQCBQIGAgcCCAIJAicCCwIMAg0CCAIIAggCCAIIAggCCAIIAggCCAIIAggCCAIIAggCCAIIAhYCAwJvAh4AAvACAgIzAgQCBQIGAgcCCAIJAhwCCwIMAg0CCAIIAggCCAIIAggCCAIIAggCCAIIAggCCAIIAggCCAIIAhYCAwJdAh4AAvACAgJYAgQCBQIGAgcCCAIJAgoCCwIMAg0CCAIIAggCCAIIAggCCAIIAggCCAIIAggCCAIIAggCCAIIAhYCAwIxAh4AAvACAgI6AgQCBQIGAgcCCAIJAhwCCwIMAg0CCAIIAggCCAIIAggCCAIIAggCCAIIAggCCAIIAggCCAIIAhYCAwJbAh4AAvACAgImAgQCBQIGAgcCCAIJAicCCwIMAg0CCAIIAggCCAIIAggCCAIIAggCCAIIAggCCAIIAggCCAIIAhYCAwIoAh4AAvACAgIiAgQCBQIGAgcCCAIJAhwCCwIMAg0CCAIIAggCCAIIAggCCAIIAggCCAIIAggCCAIIAggCCAIIAhYCAwJzAh4AAvACAgKCAgQCBQIGAgcCCAIJAhwCCwIMAg0CCAIIAggCCAIIAggCCAIIAggCCAIIAggCCAIIAggCCAIIAhYCAwKGAh4AAvACAgIDAgQCBQIGAgcCCAIJAgoCCwIMAg0CCAIIAggCCAIIAggCCAIIAggCCAIIAggCCAIIAggCCAIIAhYCAwIOAh4AAvACAgIrAgQCBQIGAgcCCAIJAhwCCwIMAg0CCAIIAggCCAIIAggCCAIIAggCCAIIAggCCAIIAggCCAIIAhYCAwIsAh4AAvACAgIgAgQCBQIGAgcCCAIJAicCCwIMAg0CCAIIAggCCAIIAggCCAIIAggCCAIIAggCCAIIAggCCAIIAhYCAwJeAh4AAvACAgKPAgQCBQIGAgcCCAIJAicCCwIMAg0CCAIIAggCCAIIAggCCAIIAggCCAIIAggCCAIIAggCCAIIAhYCAwKWAh4AAvACAgJ6AAAEAB4CBAIFAgYCBwIIAgkCCgILAgwCDQIIAggCCAIIAggCCAIIAggCCAIIAggCCAIIAggCCAIIAggCFgIDAh8CHgAC8AICAoQCBAIFAgYCBwIIAgkCHAILAgwCDQIIAggCCAIIAggCCAIIAggCCAIIAggCCAIIAggCCAIIAggCFgIDAocCHgAC8AICAiYCBAIFAgYCBwIIAgkCHAILAgwCDQIIAggCCAIIAggCCAIIAggCCAIIAggCCAIIAggCCAIIAggCFgIDAjICHgAC8AICAjMCBAIFAgYCBwIIAgkCJwILAgwCDQIIAggCCAIIAggCCAIIAggCCAIIAggCCAIIAggCCAIIAggCFgIDAmoCHgAC8AICAlkCBAIFAgYCBwIIAgkCHAILAgwCDQIIAggCCAIIAggCCAIIAggCCAIIAggCCAIIAggCCAIIAggCFgIDAm4CHgAC8AICAiQCBAIFAgYCBwIIAgkCCgILAgwCDQIIAggCCAIIAggCCAIIAggCCAIIAggCCAIIAggCCAIIAggCFgIDAiUCHgAC8AICAoICBAIFAgYCBwIIAgkCJwILAgwCDQIIAggCCAIIAggCCAIIAggCCAIIAggCCAIIAggCCAIIAggCFgIDAogCHgAC8AICAowCBAIFAgYCBwIIAgkCHAILAgwCDQIIAggCCAIIAggCCAIIAggCCAIIAggCCAIIAggCCAIIAggCFgIDApMCHgAC8AICAkUCBAIFAgYCBwIIAgkCCgILAgwCDQIIAggCCAIIAggCCAIIAggCCAIIAggCCAIIAggCCAIIAggCFgIDAjECHgAC8AICAjoCBAIFAgYCBwIIAgkCJwILAgwCDQIIAggCCAIIAggCCAIIAggCCAIIAggCCAIIAggCCAIIAggCFgIDAngCHgAC8AICAhsCBAIFAgYCBwIIAgkCCgILAgwCDQIIAggCCAIIAggCCAIIAggCCAIIAggCCAIIAggCCAIIAggCFgIDAjwCHgAC8AICAjUCBAIFAgYCBwIIAgkCJwILAgwCDQIIAggCCAIIAggCCAIIAggCCAIIAggCCAIIAggCCAIIAggCFgIDAjYCHgAC8AICAkECBAIFAgYCBwIIAgkCJwILAgwCDQIIAggCCAIIAggCCAIIAggCCAIIAggCCAIIAggCCAIIAggCFgIDAkICHgAC8AICAk8CBAIFAgYCBwIIAgkCCgILAgwCDQIIAggCCAIIAggCCAIIAggCCAIIAggCCAIIAggCCAIIAggCFgIDAmkCHgAC8AICAlgCBAIFAgYCBwIIAgkCJwILAgwCDQIIAggCCAIIAggCCAIIAggCCAIIAggCCAIIAggCCAIIAggCFgJ6AAAEAAMCfAIeAALwAgICJgIEAgUCBgIHAggCCQIKAgsCDAINAggCCAIIAggCCAIIAggCCAIIAggCCAIIAggCCAIIAggCCAIWAgMCXAIeAALwAgICNQIEAgUCBgIHAggCCQIcAgsCDAINAggCCAIIAggCCAIIAggCCAIIAggCCAIIAggCCAIIAggCCAIWAgMCVQIeAALwAgICUgIEAgUCBgIHAggCCQIcAgsCDAINAggCCAIIAggCCAIIAggCCAIIAggCCAIIAggCCAIIAggCCAIWAgMCewIeAALwAgICSwIEAgUCBgIHAggCCQInAgsCDAINAggCCAIIAggCCAIIAggCCAIIAggCCAIIAggCCAIIAggCCAIWAgMCTAIeAALwAgICIAIEAgUCBgIHAggCCQIKAgsCDAINAggCCAIIAggCCAIIAggCCAIIAggCCAIIAggCCAIIAggCCAIWAgMCdQIeAALwAgICHgIEAgUCBgIHAggCCQInAgsCDAINAggCCAIIAggCCAIIAggCCAIIAggCCAIIAggCCAIIAggCCAIWAgMCYgIeAALwAgICPQIEAgUCBgIHAggCCQIKAgsCDAINAggCCAIIAggCCAIIAggCCAIIAggCCAIIAggCCAIIAggCCAIWAgMCYAIeAALwAgICjwIEAgUCBgIHAggCCQIKAgsCDAINAggCCAIIAggCCAIIAggCCAIIAggCCAIIAggCCAIIAggCCAIWAgMCMQIeAALwAgICSwIEAgUCBgIHAggCCQIcAgsCDAINAggCCAIIAggCCAIIAggCCAIIAggCCAIIAggCCAIIAggCCAIWAgMCZgIeAALwAgICQQIEAgUCBgIHAggCCQIcAgsCDAINAggCCAIIAggCCAIIAggCCAIIAggCCAIIAggCCAIIAggCCAIWAgMCQwIeAALwAgICMAIEAgUCBgIHAggCCQIKAgsCDAINAggCCAIIAggCCAIIAggCCAIIAggCCAIIAggCCAIIAggCCAIWAgMCMQIeAALwAgICIgIEAgUCBgIHAggCCQInAgsCDAINAggCCAIIAggCCAIIAggCCAIIAggCCAIIAggCCAIIAggCCAIWAgMCbQIeAALwAgICUgIEAgUCBgIHAggCCQInAgsCDAINAggCCAIIAggCCAIIAggCCAIIAggCCAIIAggCCAIIAggCCAIWAgMCUwIeAALwAgICHgIEAgUCBgIHAggCCQIcAgsCDAINAggCCAIIAggCCAIIAggCCAIIAggCCAIIAggCCAIIAggCCAIWAgMCSgIeAALwAgICTQIEAgUCBgIHAggCCQIKAgsCDAINAggCCAIIAggCCAIIAggCCAIIAggCCAIIAgh6AAAEAAIIAggCCAIIAhYCAwJOAh4AAvACAgKMAgQCBQIGAgcCCAIJAicCCwIMAg0CCAIIAggCCAIIAggCCAIIAggCCAIIAggCCAIIAggCCAIIAhYCAwKRAh4AAvACAgKUAgQCBQIGAgcCCAIJAgoCCwIMAg0CCAIIAggCCAIIAggCCAIIAggCCAIIAggCCAIIAggCCAIIAhYCAwIxAh4AAvACAgIbAgQCBQIGAgcCCAIJAicCCwIMAg0CCAIIAggCCAIIAggCCAIIAggCCAIIAggCCAIIAggCCAIIAhYCAwJEAh4AAvACAgI/AgQCBQIGAgcCCAIJAhwCCwIMAg0CCAIIAggCCAIIAggCCAIIAggCCAIIAggCCAIIAggCCAIIAhYCAwJAAh4AAvACAgItAgQCBQIGAgcCCAIJAgoCCwIMAg0CCAIIAggCCAIIAggCCAIIAggCCAIIAggCCAIIAggCCAIIAhYCAwI3Ah4AAvACAgKEAgQCBQIGAgcCCAIJAicCCwIMAg0CCAIIAggCCAIIAggCCAIIAggCCAIIAggCCAIIAggCCAIIAhYCAwKFAh4AAvACAgI4AgQCBQIGAgcCCAIJAicCCwIMAg0CCAIIAggCCAIIAggCCAIIAggCCAIIAggCCAIIAggCCAIIAhYCAwJ5Ah4AAvACAgItAgQCBQIGAgcCCAIJAhwCCwIMAg0CCAIIAggCCAIIAggCCAIIAggCCAIIAggCCAIIAggCCAIIAhYCAwIuAh4AAvACAgKSAgQCBQIGAgcCCAIJAgoCCwIMAg0CCAIIAggCCAIIAggCCAIIAggCCAIIAggCCAIIAggCCAIIAhYCAwIxAh4AAvACAgIpAgQCBQIGAgcCCAIJAicCCwIMAg0CCAIIAggCCAIIAggCCAIIAggCCAIIAggCCAIIAggCCAIIAhYCAwIqAh4AAvACAgIwAgQCBQIGAgcCCAIJAhwCCwIMAg0CCAIIAggCCAIIAggCCAIIAggCCAIIAggCCAIIAggCCAIIAhYCAwJWAh4AAvACAgKNAgQCBQIGAgcCCAIJAicCCwIMAg0CCAIIAggCCAIIAggCCAIIAggCCAIIAggCCAIIAggCCAIIAhYCAwKOAh4AAvACAgJZAgQCBQIGAgcCCAIJAgoCCwIMAg0CCAIIAggCCAIIAggCCAIIAggCCAIIAggCCAIIAggCCAIIAhYCAwJaAh4AAvACAgKMAgQCBQIGAgcCCAIJAgoCCwIMAg0CCAIIAggCCAIIAggCCAIIAggCCAIIAggCCAIIAggCCAIIAhYCAwIxAh4AAvACAgKAAgQCBQIGAgcCCAIJAgoCCwIMAg0CCAIIAggCCAIIAggCCAJ6AAAEAAgCCAIIAggCCAIIAggCCAIIAggCFgIDAjECHgAC8AICAiQCBAIFAgYCBwIIAgkCHAILAgwCDQIIAggCCAIIAggCCAIIAggCCAIIAggCCAIIAggCCAIIAggCFgIDAn0CHgAC8AICAj8CBAIFAgYCBwIIAgkCJwILAgwCDQIIAggCCAIIAggCCAIIAggCCAIIAggCCAIIAggCCAIIAggCFgIDAl8CHgAC8AICAkgCBAIFAgYCBwIIAgkCCgILAgwCDQIIAggCCAIIAggCCAIIAggCCAIIAggCCAIIAggCCAIIAggCFgIDAn4CHgAC8AICAhsCBAIFAgYCBwIIAgkCHAILAgwCDQIIAggCCAIIAggCCAIIAggCCAIIAggCCAIIAggCCAIIAggCFgIDAh0CHgAC8AICAikCBAIFAgYCBwIIAgkCHAILAgwCDQIIAggCCAIIAggCCAIIAggCCAIIAggCCAIIAggCCAIIAggCFgIDAi8CHgAC8AICAo0CBAIFAgYCBwIIAgkCHAILAgwCDQIIAggCCAIIAggCCAIIAggCCAIIAggCCAIIAggCCAIIAggCFgIDApACHgAC8AICAoQCBAIFAgYCBwIIAgkCCgILAgwCDQIIAggCCAIIAggCCAIIAggCCAIIAggCCAIIAggCCAIIAggCFgIDAjECHgAC8AICAiICBAIFAgYCBwIIAgkCCgILAgwCDQIIAggCCAIIAggCCAIIAggCCAIIAggCCAIIAggCCAIIAggCFgIDAiMCHgAC8AICAjgCBAIFAgYCBwIIAgkCHAILAgwCDQIIAggCCAIIAggCCAIIAggCCAIIAggCCAIIAggCCAIIAggCFgIDAjkCHgAC8AICAi0CBAIFAgYCBwIIAgkCJwILAgwCDQIIAggCCAIIAggCCAIIAggCCAIIAggCCAIIAggCCAIIAggCFgIDAncCHgAC8AICAoACBAIFAgYCBwIIAgkCJwILAgwCDQIIAggCCAIIAggCCAIIAggCCAIIAggCCAIIAggCCAIIAggCFgIDAoECHgAC8AICAksCBAIFAgYCBwIIAgkCCgILAgwCDQIIAggCCAIIAggCCAIIAggCCAIIAggCCAIIAggCCAIIAggCFgIDAnQCHgAC8AICAj0CBAIFAgYCBwIIAgkCJwILAgwCDQIIAggCCAIIAggCCAIIAggCCAIIAggCCAIIAggCCAIIAggCFgIDAj4CHgAC8AICAgMCBAIFAgYCBwIIAgkCHAILAgwCDQIIAggCCAIIAggCCAIIAggCCAIIAggCCAIIAggCCAIIAggCFgIDAnACHgAC8AICAlgCBAIFAgYCBwIIAgkCHAILAgwCDQIIAgh6AAAEAAIIAggCCAIIAggCCAIIAggCCAIIAggCCAIIAggCCAIWAgMCawIeAALwAgICMAIEAgUCBgIHAggCCQInAgsCDAINAggCCAIIAggCCAIIAggCCAIIAggCCAIIAggCCAIIAggCCAIWAgMCbAIeAALwAgIClAIEAgUCBgIHAggCCQInAgsCDAINAggCCAIIAggCCAIIAggCCAIIAggCCAIIAggCCAIIAggCCAIWAgMCkQIeAALwAgICKwIEAgUCBgIHAggCCQIKAgsCDAINAggCCAIIAggCCAIIAggCCAIIAggCCAIIAggCCAIIAggCCAIWAgMCMQIeAALwAgICUgIEAgUCBgIHAggCCQIKAgsCDAINAggCCAIIAggCCAIIAggCCAIIAggCCAIIAggCCAIIAggCCAIWAgMCaAIeAALxAAk1ODAxMjczNDQCAgKMAgQCBQIGAgcCCAIJApsCCwKYAg0CCAIIAggCCAIIAggCCAIIAggCCAIIAggCCAIIAggCCAIIAhUCAwIxAh4AAvECAgKEAgQCBQIGAgcCCAIJApsCCwKYAg0CCAIIAggCCAIIAggCCAIIAggCCAIIAggCCAIIAggCCAIIAhUCAwIxAh4AAvECAgI/AgQCBQIGAgcCCAIJAicCCwKYAg0CCAIIAggCCAIIAggCCAIIAggCCAIIAggCCAIIAggCCAIIAhUCAwKZAh4AAvECAgIiAgQCBQIGAgcCCAIJApsCCwKYAg0CCAIIAggCCAIIAggCCAIIAggCCAIIAggCCAIIAggCCAIIAhUCAwKcAh4AAvECAgIkAgQCBQIGAgcCCAIJAhwCCwKYAg0CCAIIAggCCAIIAggCCAIIAggCCAIIAggCCAIIAggCCAIIAhUCAwLdAh4AAvECAgIzAgQCBQIGAgcCCAIJAhwCCwKYAg0CCAIIAggCCAIIAggCCAIIAggCCAIIAggCCAIIAggCCAIIAhUCAwKaAh4AAvECAgI4AgQCBQIGAgcCCAIJAicCCwKYAg0CCAIIAggCCAIIAggCCAIIAggCCAIIAggCCAIIAggCCAIIAhUCAwLeAh4AAvECAgIwAgQCBQIGAgcCCAIJApsCCwKYAg0CCAIIAggCCAIIAggCCAIIAggCCAIIAggCCAIIAggCCAIIAhUCAwIxAh4AAvECAgI6AgQCBQIGAgcCCAIJAicCCwKYAg0CCAIIAggCCAIIAggCCAIIAggCCAIIAggCCAIIAggCCAIIAhUCAwLYAh4AAvECAgKCAgQCBQIGAgcCCAIJAicCCwKYAg0CCAIIAggCCAIIAggCCAIIAggCCAIIAggCCAIIAggCCAIIAhUCAwLlAh4AAvECAgKAAgR6AAACYgIFAgYCBwIIAgkCHAILApgCDQIIAggCCAIIAggCCAIIAggCCAIIAggCCAIIAggCCAIIAggCFQIDAu0CHgAC8QICAisCBAIFAgYCBwIIAgkCJwILApgCDQIIAggCCAIIAggCCAIIAggCCAIIAggCCAIIAggCCAIIAggCFQIDAp0CHgAC8QICAgMCBAIFAgYCBwIIAgkCHAILApgCDQIIAggCCAIIAggCCAIIAggCCAIIAggCCAIIAggCCAIIAggCFQIDAp8CHgAC8QICAkgCBAIFAgYCBwIIAgkCHAILApgCDQIIAggCCAIIAggCCAIIAggCCAIIAggCCAIIAggCCAIIAggCFQIDAqUCHgAC8QICAh4CBAIFAgYCBwIIAgkCmwILApgCDQIIAggCCAIIAggCCAIIAggCCAIIAggCCAIIAggCCAIIAggCFQIDAqECHgAC8QICAo8CBAIFAgYCBwIIAgkCmwILApgCDQIIAggCCAIIAggCCAIIAggCCAIIAggCCAIIAggCCAIIAggCFQIDAjECHgAC8QICAiACBAIFAgYCBwIIAgkCmwILApgCDQIIAggCCAIIAggCCAIIAggCCAIIAggCCAIIAggCCAIIAggCFQIDAswCHgAC8QICAgMCBAIFAgYCBwIIAgkCJwILApgCDQIIAggCCAIIAggCCAIIAggCCAIIAggCCAIIAggCCAIIAggCFQIDAtACHgAC8QICAo0CBAIFAgYCBwIIAgkCHAILApgCDQIIAggCCAIIAggCCAIIAggCCAIIAggCCAIIAggCCAIIAggCFQIDAvJzcQB+AAAAAAACc3EAfgAE///////////////+/////v////91cQB+AAcAAAAEO/PRJHh4d88CHgAC8QICAiQCBAIFAgYCBwIIAgkCJwILApgCDQIIAggCCAIIAggCCAIIAggCCAIIAggCCAIIAggCCAIIAggCFQIDArECHgAC8QICAj8CBAIFAgYCBwIIAgkCHAILApgCDQIIAggCCAIIAggCCAIIAggCCAIIAggCCAIIAggCCAIIAggCFQIDAq8CHgAC8QICApICBAIFAgYCBwIIAgkCHAILApgCDQIIAggCCAIIAggCCAIIAggCCAIIAggCCAIIAggCCAIIAggCFQIDAvNzcQB+AAAAAAACc3EAfgAE///////////////+/////v////91cQB+AAcAAAAEPiM+uHh4d4oCHgAC8QICAisCBAIFAgYCBwIIAgkCHAILApgCDQIIAggCCAIIAggCCAIIAggCCAIIAggCCAIIAggCCAIIAggCFQIDAtcCHgAC8QICAo0CBAIFAgYCBwIIAgkCJwILApgCDQIIAggCCAIIAggCCAIIAggCCAIIAggCCAIIAggCCAIIAggCFQIDAvRzcQB+AAAAAAACc3EAfgAE///////////////+/////gAAAAF1cQB+AAcAAAAEA+4zBnh4egAABAACHgAC8QICAkUCBAIFAgYCBwIIAgkCHAILApgCDQIIAggCCAIIAggCCAIIAggCCAIIAggCCAIIAggCCAIIAggCFQIDAuwCHgAC8QICAlICBAIFAgYCBwIIAgkCmwILApgCDQIIAggCCAIIAggCCAIIAggCCAIIAggCCAIIAggCCAIIAggCFQIDAsQCHgAC8QICAhsCBAIFAgYCBwIIAgkCmwILApgCDQIIAggCCAIIAggCCAIIAggCCAIIAggCCAIIAggCCAIIAggCFQIDAs4CHgAC8QICAikCBAIFAgYCBwIIAgkCJwILApgCDQIIAggCCAIIAggCCAIIAggCCAIIAggCCAIIAggCCAIIAggCFQIDAqACHgAC8QICAksCBAIFAgYCBwIIAgkCmwILApgCDQIIAggCCAIIAggCCAIIAggCCAIIAggCCAIIAggCCAIIAggCFQIDAtICHgAC8QICAlICBAIFAgYCBwIIAgkCHAILApgCDQIIAggCCAIIAggCCAIIAggCCAIIAggCCAIIAggCCAIIAggCFQIDAr8CHgAC8QICAk8CBAIFAgYCBwIIAgkCHAILApgCDQIIAggCCAIIAggCCAIIAggCCAIIAggCCAIIAggCCAIIAggCFQIDAsUCHgAC8QICApQCBAIFAgYCBwIIAgkCmwILApgCDQIIAggCCAIIAggCCAIIAggCCAIIAggCCAIIAggCCAIIAggCFQIDAjECHgAC8QICAjUCBAIFAgYCBwIIAgkCHAILApgCDQIIAggCCAIIAggCCAIIAggCCAIIAggCCAIIAggCCAIIAggCFQIDAsACHgAC8QICAlkCBAIFAgYCBwIIAgkCJwILApgCDQIIAggCCAIIAggCCAIIAggCCAIIAggCCAIIAggCCAIIAggCFQIDAtkCHgAC8QICAk0CBAIFAgYCBwIIAgkCJwILApgCDQIIAggCCAIIAggCCAIIAggCCAIIAggCCAIIAggCCAIIAggCFQIDAtwCHgAC8QICAkUCBAIFAgYCBwIIAgkCJwILApgCDQIIAggCCAIIAggCCAIIAggCCAIIAggCCAIIAggCCAIIAggCFQIDAuQCHgAC8QICAj0CBAIFAgYCBwIIAgkCmwILApgCDQIIAggCCAIIAggCCAIIAggCCAIIAggCCAIIAggCCAIIAggCFQIDAsECHgAC8QICAkECBAIFAgYCBwIIAgkCHAILApgCDQIIAggCCAIIAggCCAIIAggCCAIIAggCCAIIAggCCAIIAggCFQIDAr4CHgAC8QICAikCBAIFAgYCBwIIAgkCmwILApgCDQIIAggCCAIIAggCCAIIAggCCAIIAggCCAIIAggCegAABAAIAggCCAIVAgMCyAIeAALxAgICjQIEAgUCBgIHAggCCQKbAgsCmAINAggCCAIIAggCCAIIAggCCAIIAggCCAIIAggCCAIIAggCCAIVAgMCMQIeAALxAgICTwIEAgUCBgIHAggCCQInAgsCmAINAggCCAIIAggCCAIIAggCCAIIAggCCAIIAggCCAIIAggCCAIVAgMCswIeAALxAgICJgIEAgUCBgIHAggCCQIcAgsCmAINAggCCAIIAggCCAIIAggCCAIIAggCCAIIAggCCAIIAggCCAIVAgMC0wIeAALxAgICNQIEAgUCBgIHAggCCQInAgsCmAINAggCCAIIAggCCAIIAggCCAIIAggCCAIIAggCCAIIAggCCAIVAgMCyQIeAALxAgICWQIEAgUCBgIHAggCCQIcAgsCmAINAggCCAIIAggCCAIIAggCCAIIAggCCAIIAggCCAIIAggCCAIVAgMCywIeAALxAgICQQIEAgUCBgIHAggCCQInAgsCmAINAggCCAIIAggCCAIIAggCCAIIAggCCAIIAggCCAIIAggCCAIVAgMCqQIeAALxAgICWAIEAgUCBgIHAggCCQKbAgsCmAINAggCCAIIAggCCAIIAggCCAIIAggCCAIIAggCCAIIAggCCAIVAgMCMQIeAALxAgICMwIEAgUCBgIHAggCCQInAgsCmAINAggCCAIIAggCCAIIAggCCAIIAggCCAIIAggCCAIIAggCCAIVAgMCrgIeAALxAgICOAIEAgUCBgIHAggCCQKbAgsCmAINAggCCAIIAggCCAIIAggCCAIIAggCCAIIAggCCAIIAggCCAIVAgMCsgIeAALxAgICTQIEAgUCBgIHAggCCQIcAgsCmAINAggCCAIIAggCCAIIAggCCAIIAggCCAIIAggCCAIIAggCCAIVAgMCxgIeAALxAgICggIEAgUCBgIHAggCCQIcAgsCmAINAggCCAIIAggCCAIIAggCCAIIAggCCAIIAggCCAIIAggCCAIVAgMC6QIeAALxAgICHgIEAgUCBgIHAggCCQInAgsCmAINAggCCAIIAggCCAIIAggCCAIIAggCCAIIAggCCAIIAggCCAIVAgMCxwIeAALxAgICOgIEAgUCBgIHAggCCQIcAgsCmAINAggCCAIIAggCCAIIAggCCAIIAggCCAIIAggCCAIIAggCCAIVAgMCngIeAALxAgICLQIEAgUCBgIHAggCCQKbAgsCmAINAggCCAIIAggCCAIIAggCCAIIAggCCAIIAggCCAIIAggCCAIVAgMCtwIeAALxAgICIAIEAgUCBgIHAggCCQInAgsCmAINAggCCAIIAggCCAIIAggCCAIId1sCCAIIAggCCAIIAggCCAIIAhUCAwK8Ah4AAvECAgKPAgQCBQIGAgcCCAIJAicCCwKYAg0CCAIIAggCCAIIAggCCAIIAggCCAIIAggCCAIIAggCCAIIAhUCAwL1c3EAfgAAAAAAAnNxAH4ABP///////////////v////4AAAABdXEAfgAHAAAABALUOOx4eHoAAAPGAh4AAvECAgKEAgQCBQIGAgcCCAIJAhwCCwKYAg0CCAIIAggCCAIIAggCCAIIAggCCAIIAggCCAIIAggCCAIIAhUCAwLrAh4AAvECAgIzAgQCBQIGAgcCCAIJApsCCwKYAg0CCAIIAggCCAIIAggCCAIIAggCCAIIAggCCAIIAggCCAIIAhUCAwK6Ah4AAvECAgIkAgQCBQIGAgcCCAIJApsCCwKYAg0CCAIIAggCCAIIAggCCAIIAggCCAIIAggCCAIIAggCCAIIAhUCAwLbAh4AAvECAgIwAgQCBQIGAgcCCAIJAhwCCwKYAg0CCAIIAggCCAIIAggCCAIIAggCCAIIAggCCAIIAggCCAIIAhUCAwK9Ah4AAvECAgIiAgQCBQIGAgcCCAIJAhwCCwKYAg0CCAIIAggCCAIIAggCCAIIAggCCAIIAggCCAIIAggCCAIIAhUCAwLaAh4AAvECAgItAgQCBQIGAgcCCAIJAicCCwKYAg0CCAIIAggCCAIIAggCCAIIAggCCAIIAggCCAIIAggCCAIIAhUCAwLWAh4AAvECAgKSAgQCBQIGAgcCCAIJApsCCwKYAg0CCAIIAggCCAIIAggCCAIIAggCCAIIAggCCAIIAggCCAIIAhUCAwIxAh4AAvECAgIeAgQCBQIGAgcCCAIJAhwCCwKYAg0CCAIIAggCCAIIAggCCAIIAggCCAIIAggCCAIIAggCCAIIAhUCAwK2Ah4AAvECAgKMAgQCBQIGAgcCCAIJAhwCCwKYAg0CCAIIAggCCAIIAggCCAIIAggCCAIIAggCCAIIAggCCAIIAhUCAwLzAh4AAvECAgIwAgQCBQIGAgcCCAIJAicCCwKYAg0CCAIIAggCCAIIAggCCAIIAggCCAIIAggCCAIIAggCCAIIAhUCAwKqAh4AAvECAgIbAgQCBQIGAgcCCAIJAicCCwKYAg0CCAIIAggCCAIIAggCCAIIAggCCAIIAggCCAIIAggCCAIIAhUCAwKjAh4AAvECAgJIAgQCBQIGAgcCCAIJApsCCwKYAg0CCAIIAggCCAIIAggCCAIIAggCCAIIAggCCAIIAggCCAIIAhUCAwKnAh4AAvECAgKAAgQCBQIGAgcCCAIJApsCCwKYAg0CCAIIAggCCAIIAggCCAIIAggCCAIIAggCCAIIAggCCAIIAhUCAwIxAh4AAvECAgKUAgQCBQIGAgcCCAIJAicCCwKYAg0CCAIIAggCCAIIAggCCAIIAggCCAIIAggCCAIIAggCCAIIAhUCAwL2c3EAfgAAAAAAAnNxAH4ABP///////////////v////4AAAABdXEAfgAHAAAABAV5RUJ4eHoAAAGeAh4AAvECAgIDAgQCBQIGAgcCCAIJApsCCwKYAg0CCAIIAggCCAIIAggCCAIIAggCCAIIAggCCAIIAggCCAIIAhUCAwKiAh4AAvECAgI/AgQCBQIGAgcCCAIJApsCCwKYAg0CCAIIAggCCAIIAggCCAIIAggCCAIIAggCCAIIAggCCAIIAhUCAwLNAh4AAvECAgIiAgQCBQIGAgcCCAIJAicCCwKYAg0CCAIIAggCCAIIAggCCAIIAggCCAIIAggCCAIIAggCCAIIAhUCAwKtAh4AAvECAgKEAgQCBQIGAgcCCAIJAicCCwKYAg0CCAIIAggCCAIIAggCCAIIAggCCAIIAggCCAIIAggCCAIIAhUCAwLiAh4AAvECAgKMAgQCBQIGAgcCCAIJAicCCwKYAg0CCAIIAggCCAIIAggCCAIIAggCCAIIAggCCAIIAggCCAIIAhUCAwL2Ah4AAvECAgKPAgQCBQIGAgcCCAIJAhwCCwKYAg0CCAIIAggCCAIIAggCCAIIAggCCAIIAggCCAIIAggCCAIIAhUCAwL3c3EAfgAAAAAAAnNxAH4ABP///////////////v////7/////dXEAfgAHAAAABDWm++V4eHoAAAQAAh4AAvECAgIgAgQCBQIGAgcCCAIJAhwCCwKYAg0CCAIIAggCCAIIAggCCAIIAggCCAIIAggCCAIIAggCCAIIAhUCAwKrAh4AAvECAgIbAgQCBQIGAgcCCAIJAhwCCwKYAg0CCAIIAggCCAIIAggCCAIIAggCCAIIAggCCAIIAggCCAIIAhUCAwLVAh4AAvECAgJLAgQCBQIGAgcCCAIJAhwCCwKYAg0CCAIIAggCCAIIAggCCAIIAggCCAIIAggCCAIIAggCCAIIAhUCAwLUAh4AAvECAgImAgQCBQIGAgcCCAIJAicCCwKYAg0CCAIIAggCCAIIAggCCAIIAggCCAIIAggCCAIIAggCCAIIAhUCAwKmAh4AAvECAgJFAgQCBQIGAgcCCAIJApsCCwKYAg0CCAIIAggCCAIIAggCCAIIAggCCAIIAggCCAIIAggCCAIIAhUCAwIxAh4AAvECAgJYAgQCBQIGAgcCCAIJAicCCwKYAg0CCAIIAggCCAIIAggCCAIIAggCCAIIAggCCAIIAggCCAIIAhUCAwLhAh4AAvECAgJPAgQCBQIGAgcCCAIJApsCCwKYAg0CCAIIAggCCAIIAggCCAIIAggCCAIIAggCCAIIAggCCAIIAhUCAwLDAh4AAvECAgIrAgQCBQIGAgcCCAIJApsCCwKYAg0CCAIIAggCCAIIAggCCAIIAggCCAIIAggCCAIIAggCCAIIAhUCAwIxAh4AAvECAgJLAgQCBQIGAgcCCAIJAicCCwKYAg0CCAIIAggCCAIIAggCCAIIAggCCAIIAggCCAIIAggCCAIIAhUCAwLCAh4AAvECAgJBAgQCBQIGAgcCCAIJApsCCwKYAg0CCAIIAggCCAIIAggCCAIIAggCCAIIAggCCAIIAggCCAIIAhUCAwK7Ah4AAvECAgI9AgQCBQIGAgcCCAIJAhwCCwKYAg0CCAIIAggCCAIIAggCCAIIAggCCAIIAggCCAIIAggCCAIIAhUCAwK5Ah4AAvECAgJSAgQCBQIGAgcCCAIJAicCCwKYAg0CCAIIAggCCAIIAggCCAIIAggCCAIIAggCCAIIAggCCAIIAhUCAwK0Ah4AAvECAgIpAgQCBQIGAgcCCAIJAhwCCwKYAg0CCAIIAggCCAIIAggCCAIIAggCCAIIAggCCAIIAggCCAIIAhUCAwLPAh4AAvECAgImAgQCBQIGAgcCCAIJApsCCwKYAg0CCAIIAggCCAIIAggCCAIIAggCCAIIAggCCAIIAggCCAIIAhUCAwLRAh4AAvECAgJYAgQCBQIGAgcCCAIJAhwCCwKYAg0CCAIIAggCCAIIAggCCAIIAggCCAIIAggCCAIIAnoAAAQACAIIAggCFQIDAuoCHgAC8QICAjgCBAIFAgYCBwIIAgkCHAILApgCDQIIAggCCAIIAggCCAIIAggCCAIIAggCCAIIAggCCAIIAggCFQIDArACHgAC8QICAlkCBAIFAgYCBwIIAgkCmwILApgCDQIIAggCCAIIAggCCAIIAggCCAIIAggCCAIIAggCCAIIAggCFQIDAqgCHgAC8QICAj0CBAIFAgYCBwIIAgkCJwILApgCDQIIAggCCAIIAggCCAIIAggCCAIIAggCCAIIAggCCAIIAggCFQIDAqwCHgAC8QICAk0CBAIFAgYCBwIIAgkCmwILApgCDQIIAggCCAIIAggCCAIIAggCCAIIAggCCAIIAggCCAIIAggCFQIDAsoCHgAC8QICAoACBAIFAgYCBwIIAgkCJwILApgCDQIIAggCCAIIAggCCAIIAggCCAIIAggCCAIIAggCCAIIAggCFQIDAuMCHgAC8QICAoICBAIFAgYCBwIIAgkCmwILApgCDQIIAggCCAIIAggCCAIIAggCCAIIAggCCAIIAggCCAIIAggCFQIDAjECHgAC8QICApICBAIFAgYCBwIIAgkCJwILApgCDQIIAggCCAIIAggCCAIIAggCCAIIAggCCAIIAggCCAIIAggCFQIDAvYCHgAC8QICAjoCBAIFAgYCBwIIAgkCmwILApgCDQIIAggCCAIIAggCCAIIAggCCAIIAggCCAIIAggCCAIIAggCFQIDArgCHgAC8QICAjUCBAIFAgYCBwIIAgkCmwILApgCDQIIAggCCAIIAggCCAIIAggCCAIIAggCCAIIAggCCAIIAggCFQIDAjECHgAC8QICApQCBAIFAgYCBwIIAgkCHAILApgCDQIIAggCCAIIAggCCAIIAggCCAIIAggCCAIIAggCCAIIAggCFQIDAvMCHgAC8QICAi0CBAIFAgYCBwIIAgkCHAILApgCDQIIAggCCAIIAggCCAIIAggCCAIIAggCCAIIAggCCAIIAggCFQIDAqQCHgAC8QICAkgCBAIFAgYCBwIIAgkCJwILApgCDQIIAggCCAIIAggCCAIIAggCCAIIAggCCAIIAggCCAIIAggCFQIDArUCHgAC+AAJNTgwMTI1MDI0AgICKwIEAgUCBgIHAggCCQIcAgsCmAINAggCCAIIAggCCAIIAggCCAIIAggCCAIIAggCCAIIAggCCAITAgMC1wIeAAL4AgICLQIEAgUCBgIHAggCCQKbAgsCmAINAggCCAIIAggCCAIIAggCCAIIAggCCAIIAggCCAIIAggCCAITAgMCtwIeAAL4AgICggIEAgUCBgIHAggCCQIcAgsCmAINAggCCAIIAnoAAAQACAIIAggCCAIIAggCCAIIAggCCAIIAggCCAIIAhMCAwLpAh4AAvgCAgIpAgQCBQIGAgcCCAIJAicCCwKYAg0CCAIIAggCCAIIAggCCAIIAggCCAIIAggCCAIIAggCCAIIAhMCAwKgAh4AAvgCAgIbAgQCBQIGAgcCCAIJApsCCwKYAg0CCAIIAggCCAIIAggCCAIIAggCCAIIAggCCAIIAggCCAIIAhMCAwLOAh4AAvgCAgI6AgQCBQIGAgcCCAIJAhwCCwKYAg0CCAIIAggCCAIIAggCCAIIAggCCAIIAggCCAIIAggCCAIIAhMCAwKeAh4AAvgCAgI/AgQCBQIGAgcCCAIJAicCCwKYAg0CCAIIAggCCAIIAggCCAIIAggCCAIIAggCCAIIAggCCAIIAhMCAwKZAh4AAvgCAgIkAgQCBQIGAgcCCAIJAhwCCwKYAg0CCAIIAggCCAIIAggCCAIIAggCCAIIAggCCAIIAggCCAIIAhMCAwLdAh4AAvgCAgKMAgQCBQIGAgcCCAIJApsCCwKYAg0CCAIIAggCCAIIAggCCAIIAggCCAIIAggCCAIIAggCCAIIAhMCAwIxAh4AAvgCAgKEAgQCBQIGAgcCCAIJApsCCwKYAg0CCAIIAggCCAIIAggCCAIIAggCCAIIAggCCAIIAggCCAIIAhMCAwIxAh4AAvgCAgIrAgQCBQIGAgcCCAIJAicCCwKYAg0CCAIIAggCCAIIAggCCAIIAggCCAIIAggCCAIIAggCCAIIAhMCAwKdAh4AAvgCAgKNAgQCBQIGAgcCCAIJAhwCCwKYAg0CCAIIAggCCAIIAggCCAIIAggCCAIIAggCCAIIAggCCAIIAhMCAwLyAh4AAvgCAgI4AgQCBQIGAgcCCAIJAicCCwKYAg0CCAIIAggCCAIIAggCCAIIAggCCAIIAggCCAIIAggCCAIIAhMCAwLeAh4AAvgCAgIwAgQCBQIGAgcCCAIJApsCCwKYAg0CCAIIAggCCAIIAggCCAIIAggCCAIIAggCCAIIAggCCAIIAhMCAwIxAh4AAvgCAgIiAgQCBQIGAgcCCAIJApsCCwKYAg0CCAIIAggCCAIIAggCCAIIAggCCAIIAggCCAIIAggCCAIIAhMCAwKcAh4AAvgCAgKCAgQCBQIGAgcCCAIJAicCCwKYAg0CCAIIAggCCAIIAggCCAIIAggCCAIIAggCCAIIAggCCAIIAhMCAwLlAh4AAvgCAgIzAgQCBQIGAgcCCAIJAhwCCwKYAg0CCAIIAggCCAIIAggCCAIIAggCCAIIAggCCAIIAggCCAIIAhMCAwKaAh4AAvgCAgI6AgQCBQIGAgcCCAIJAicCC3oAAAQAApgCDQIIAggCCAIIAggCCAIIAggCCAIIAggCCAIIAggCCAIIAggCEwIDAtgCHgAC+AICAiYCBAIFAgYCBwIIAgkCmwILApgCDQIIAggCCAIIAggCCAIIAggCCAIIAggCCAIIAggCCAIIAggCEwIDAtECHgAC+AICAkECBAIFAgYCBwIIAgkCHAILApgCDQIIAggCCAIIAggCCAIIAggCCAIIAggCCAIIAggCCAIIAggCEwIDAr4CHgAC+AICAlgCBAIFAgYCBwIIAgkCmwILApgCDQIIAggCCAIIAggCCAIIAggCCAIIAggCCAIIAggCCAIIAggCEwIDAjECHgAC+AICAgMCBAIFAgYCBwIIAgkCHAILApgCDQIIAggCCAIIAggCCAIIAggCCAIIAggCCAIIAggCCAIIAggCEwIDAp8CHgAC+AICAjUCBAIFAgYCBwIIAgkCJwILApgCDQIIAggCCAIIAggCCAIIAggCCAIIAggCCAIIAggCCAIIAggCEwIDAskCHgAC+AICAikCBAIFAgYCBwIIAgkCHAILApgCDQIIAggCCAIIAggCCAIIAggCCAIIAggCCAIIAggCCAIIAggCEwIDAs8CHgAC+AICAlkCBAIFAgYCBwIIAgkCHAILApgCDQIIAggCCAIIAggCCAIIAggCCAIIAggCCAIIAggCCAIIAggCEwIDAssCHgAC+AICAkECBAIFAgYCBwIIAgkCJwILApgCDQIIAggCCAIIAggCCAIIAggCCAIIAggCCAIIAggCCAIIAggCEwIDAqkCHgAC+AICAjMCBAIFAgYCBwIIAgkCJwILApgCDQIIAggCCAIIAggCCAIIAggCCAIIAggCCAIIAggCCAIIAggCEwIDAq4CHgAC+AICAoACBAIFAgYCBwIIAgkCJwILApgCDQIIAggCCAIIAggCCAIIAggCCAIIAggCCAIIAggCCAIIAggCEwIDAuMCHgAC+AICAjgCBAIFAgYCBwIIAgkCHAILApgCDQIIAggCCAIIAggCCAIIAggCCAIIAggCCAIIAggCCAIIAggCEwIDArACHgAC+AICAh4CBAIFAgYCBwIIAgkCJwILApgCDQIIAggCCAIIAggCCAIIAggCCAIIAggCCAIIAggCCAIIAggCEwIDAscCHgAC+AICAkUCBAIFAgYCBwIIAgkCHAILApgCDQIIAggCCAIIAggCCAIIAggCCAIIAggCCAIIAggCCAIIAggCEwIDAuwCHgAC+AICAlgCBAIFAgYCBwIIAgkCJwILApgCDQIIAggCCAIIAggCCAIIAggCCAIIAggCCAIIAggCCAIIAggCEwIDAuECHgAC+AICAksCBAIFAnoAAAQABgIHAggCCQKbAgsCmAINAggCCAIIAggCCAIIAggCCAIIAggCCAIIAggCCAIIAggCCAITAgMC0gIeAAL4AgICUgIEAgUCBgIHAggCCQKbAgsCmAINAggCCAIIAggCCAIIAggCCAIIAggCCAIIAggCCAIIAggCCAITAgMCxAIeAAL4AgICNQIEAgUCBgIHAggCCQIcAgsCmAINAggCCAIIAggCCAIIAggCCAIIAggCCAIIAggCCAIIAggCCAITAgMCwAIeAAL4AgIClAIEAgUCBgIHAggCCQKbAgsCmAINAggCCAIIAggCCAIIAggCCAIIAggCCAIIAggCCAIIAggCCAITAgMCMQIeAAL4AgICPQIEAgUCBgIHAggCCQKbAgsCmAINAggCCAIIAggCCAIIAggCCAIIAggCCAIIAggCCAIIAggCCAITAgMCwQIeAAL4AgICRQIEAgUCBgIHAggCCQInAgsCmAINAggCCAIIAggCCAIIAggCCAIIAggCCAIIAggCCAIIAggCCAITAgMC5AIeAAL4AgICkgIEAgUCBgIHAggCCQKbAgsCmAINAggCCAIIAggCCAIIAggCCAIIAggCCAIIAggCCAIIAggCCAITAgMCMQIeAAL4AgICHgIEAgUCBgIHAggCCQIcAgsCmAINAggCCAIIAggCCAIIAggCCAIIAggCCAIIAggCCAIIAggCCAITAgMCtgIeAAL4AgICgAIEAgUCBgIHAggCCQKbAgsCmAINAggCCAIIAggCCAIIAggCCAIIAggCCAIIAggCCAIIAggCCAITAgMCMQIeAAL4AgICGwIEAgUCBgIHAggCCQInAgsCmAINAggCCAIIAggCCAIIAggCCAIIAggCCAIIAggCCAIIAggCCAITAgMCowIeAAL4AgICSAIEAgUCBgIHAggCCQKbAgsCmAINAggCCAIIAggCCAIIAggCCAIIAggCCAIIAggCCAIIAggCCAITAgMCpwIeAAL4AgICTwIEAgUCBgIHAggCCQIcAgsCmAINAggCCAIIAggCCAIIAggCCAIIAggCCAIIAggCCAIIAggCCAITAgMCxQIeAAL4AgICPwIEAgUCBgIHAggCCQKbAgsCmAINAggCCAIIAggCCAIIAggCCAIIAggCCAIIAggCCAIIAggCCAITAgMCzQIeAAL4AgICAwIEAgUCBgIHAggCCQInAgsCmAINAggCCAIIAggCCAIIAggCCAIIAggCCAIIAggCCAIIAggCCAITAgMC0AIeAAL4AgICJAIEAgUCBgIHAggCCQInAgsCmAINAggCCAIIAggCCAIIAggCCAIIAggCCAIIAggCCAIIAggCCAITAgMCsQIeAHoAAAQAAvgCAgIgAgQCBQIGAgcCCAIJAhwCCwKYAg0CCAIIAggCCAIIAggCCAIIAggCCAIIAggCCAIIAggCCAIIAhMCAwKrAh4AAvgCAgKNAgQCBQIGAgcCCAIJAicCCwKYAg0CCAIIAggCCAIIAggCCAIIAggCCAIIAggCCAIIAggCCAIIAhMCAwL0Ah4AAvgCAgImAgQCBQIGAgcCCAIJAicCCwKYAg0CCAIIAggCCAIIAggCCAIIAggCCAIIAggCCAIIAggCCAIIAhMCAwKmAh4AAvgCAgItAgQCBQIGAgcCCAIJAhwCCwKYAg0CCAIIAggCCAIIAggCCAIIAggCCAIIAggCCAIIAggCCAIIAhMCAwKkAh4AAvgCAgKCAgQCBQIGAgcCCAIJApsCCwKYAg0CCAIIAggCCAIIAggCCAIIAggCCAIIAggCCAIIAggCCAIIAhMCAwIxAh4AAvgCAgKPAgQCBQIGAgcCCAIJAhwCCwKYAg0CCAIIAggCCAIIAggCCAIIAggCCAIIAggCCAIIAggCCAIIAhMCAwL3Ah4AAvgCAgIrAgQCBQIGAgcCCAIJApsCCwKYAg0CCAIIAggCCAIIAggCCAIIAggCCAIIAggCCAIIAggCCAIIAhMCAwIxAh4AAvgCAgKUAgQCBQIGAgcCCAIJAicCCwKYAg0CCAIIAggCCAIIAggCCAIIAggCCAIIAggCCAIIAggCCAIIAhMCAwL2Ah4AAvgCAgI6AgQCBQIGAgcCCAIJApsCCwKYAg0CCAIIAggCCAIIAggCCAIIAggCCAIIAggCCAIIAggCCAIIAhMCAwK4Ah4AAvgCAgIbAgQCBQIGAgcCCAIJAhwCCwKYAg0CCAIIAggCCAIIAggCCAIIAggCCAIIAggCCAIIAggCCAIIAhMCAwLVAh4AAvgCAgKPAgQCBQIGAgcCCAIJAicCCwKYAg0CCAIIAggCCAIIAggCCAIIAggCCAIIAggCCAIIAggCCAIIAhMCAwL1Ah4AAvgCAgIgAgQCBQIGAgcCCAIJAicCCwKYAg0CCAIIAggCCAIIAggCCAIIAggCCAIIAggCCAIIAggCCAIIAhMCAwK8Ah4AAvgCAgIDAgQCBQIGAgcCCAIJApsCCwKYAg0CCAIIAggCCAIIAggCCAIIAggCCAIIAggCCAIIAggCCAIIAhMCAwKiAh4AAvgCAgIwAgQCBQIGAgcCCAIJAhwCCwKYAg0CCAIIAggCCAIIAggCCAIIAggCCAIIAggCCAIIAggCCAIIAhMCAwK9Ah4AAvgCAgKEAgQCBQIGAgcCCAIJAhwCCwKYAg0CCAIIAggCCAIIAggCCAIIAggCCAIIAggCCAIIAggCCHoAAAQAAggCEwIDAusCHgAC+AICAk8CBAIFAgYCBwIIAgkCJwILApgCDQIIAggCCAIIAggCCAIIAggCCAIIAggCCAIIAggCCAIIAggCEwIDArMCHgAC+AICAiQCBAIFAgYCBwIIAgkCmwILApgCDQIIAggCCAIIAggCCAIIAggCCAIIAggCCAIIAggCCAIIAggCEwIDAtsCHgAC+AICAjMCBAIFAgYCBwIIAgkCmwILApgCDQIIAggCCAIIAggCCAIIAggCCAIIAggCCAIIAggCCAIIAggCEwIDAroCHgAC+AICAiICBAIFAgYCBwIIAgkCHAILApgCDQIIAggCCAIIAggCCAIIAggCCAIIAggCCAIIAggCCAIIAggCEwIDAtoCHgAC+AICAi0CBAIFAgYCBwIIAgkCJwILApgCDQIIAggCCAIIAggCCAIIAggCCAIIAggCCAIIAggCCAIIAggCEwIDAtYCHgAC+AICApQCBAIFAgYCBwIIAgkCHAILApgCDQIIAggCCAIIAggCCAIIAggCCAIIAggCCAIIAggCCAIIAggCEwIDAvMCHgAC+AICAjACBAIFAgYCBwIIAgkCJwILApgCDQIIAggCCAIIAggCCAIIAggCCAIIAggCCAIIAggCCAIIAggCEwIDAqoCHgAC+AICAowCBAIFAgYCBwIIAgkCHAILApgCDQIIAggCCAIIAggCCAIIAggCCAIIAggCCAIIAggCCAIIAggCEwIDAvMCHgAC+AICAo0CBAIFAgYCBwIIAgkCmwILApgCDQIIAggCCAIIAggCCAIIAggCCAIIAggCCAIIAggCCAIIAggCEwIDAjECHgAC+AICAiYCBAIFAgYCBwIIAgkCHAILApgCDQIIAggCCAIIAggCCAIIAggCCAIIAggCCAIIAggCCAIIAggCEwIDAtMCHgAC+AICAikCBAIFAgYCBwIIAgkCmwILApgCDQIIAggCCAIIAggCCAIIAggCCAIIAggCCAIIAggCCAIIAggCEwIDAsgCHgAC+AICAlgCBAIFAgYCBwIIAgkCHAILApgCDQIIAggCCAIIAggCCAIIAggCCAIIAggCCAIIAggCCAIIAggCEwIDAuoCHgAC+AICAj0CBAIFAgYCBwIIAgkCJwILApgCDQIIAggCCAIIAggCCAIIAggCCAIIAggCCAIIAggCCAIIAggCEwIDAqwCHgAC+AICAk0CBAIFAgYCBwIIAgkCmwILApgCDQIIAggCCAIIAggCCAIIAggCCAIIAggCCAIIAggCCAIIAggCEwIDAsoCHgAC+AICAjgCBAIFAgYCBwIIAgkCmwILApgCDQIIAggCCAIIAggCCAIIAggCCAIIAnoAAAQACAIIAggCCAIIAggCCAITAgMCsgIeAAL4AgICWQIEAgUCBgIHAggCCQKbAgsCmAINAggCCAIIAggCCAIIAggCCAIIAggCCAIIAggCCAIIAggCCAITAgMCqAIeAAL4AgICTQIEAgUCBgIHAggCCQIcAgsCmAINAggCCAIIAggCCAIIAggCCAIIAggCCAIIAggCCAIIAggCCAITAgMCxgIeAAL4AgICkgIEAgUCBgIHAggCCQInAgsCmAINAggCCAIIAggCCAIIAggCCAIIAggCCAIIAggCCAIIAggCCAITAgMC9gIeAAL4AgICSAIEAgUCBgIHAggCCQInAgsCmAINAggCCAIIAggCCAIIAggCCAIIAggCCAIIAggCCAIIAggCCAITAgMCtQIeAAL4AgICSwIEAgUCBgIHAggCCQIcAgsCmAINAggCCAIIAggCCAIIAggCCAIIAggCCAIIAggCCAIIAggCCAITAgMC1AIeAAL4AgICNQIEAgUCBgIHAggCCQKbAgsCmAINAggCCAIIAggCCAIIAggCCAIIAggCCAIIAggCCAIIAggCCAITAgMCMQIeAAL4AgICWQIEAgUCBgIHAggCCQInAgsCmAINAggCCAIIAggCCAIIAggCCAIIAggCCAIIAggCCAIIAggCCAITAgMC2QIeAAL4AgICTwIEAgUCBgIHAggCCQKbAgsCmAINAggCCAIIAggCCAIIAggCCAIIAggCCAIIAggCCAIIAggCCAITAgMCwwIeAAL4AgICUgIEAgUCBgIHAggCCQIcAgsCmAINAggCCAIIAggCCAIIAggCCAIIAggCCAIIAggCCAIIAggCCAITAgMCvwIeAAL4AgICQQIEAgUCBgIHAggCCQKbAgsCmAINAggCCAIIAggCCAIIAggCCAIIAggCCAIIAggCCAIIAggCCAITAgMCuwIeAAL4AgICSwIEAgUCBgIHAggCCQInAgsCmAINAggCCAIIAggCCAIIAggCCAIIAggCCAIIAggCCAIIAggCCAITAgMCwgIeAAL4AgICTQIEAgUCBgIHAggCCQInAgsCmAINAggCCAIIAggCCAIIAggCCAIIAggCCAIIAggCCAIIAggCCAITAgMC3AIeAAL4AgICPQIEAgUCBgIHAggCCQIcAgsCmAINAggCCAIIAggCCAIIAggCCAIIAggCCAIIAggCCAIIAggCCAITAgMCuQIeAAL4AgICgAIEAgUCBgIHAggCCQIcAgsCmAINAggCCAIIAggCCAIIAggCCAIIAggCCAIIAggCCAIIAggCCAITAgMC7QIeAAL4AgICkgIEAgUCBgIHAggCCQIcAgsCmAINAggCCAIIAggCCHoAAAQAAggCCAIIAggCCAIIAggCCAIIAggCCAIIAhMCAwLzAh4AAvgCAgJSAgQCBQIGAgcCCAIJAicCCwKYAg0CCAIIAggCCAIIAggCCAIIAggCCAIIAggCCAIIAggCCAIIAhMCAwK0Ah4AAvgCAgIeAgQCBQIGAgcCCAIJApsCCwKYAg0CCAIIAggCCAIIAggCCAIIAggCCAIIAggCCAIIAggCCAIIAhMCAwKhAh4AAvgCAgKEAgQCBQIGAgcCCAIJAicCCwKYAg0CCAIIAggCCAIIAggCCAIIAggCCAIIAggCCAIIAggCCAIIAhMCAwLiAh4AAvgCAgJIAgQCBQIGAgcCCAIJAhwCCwKYAg0CCAIIAggCCAIIAggCCAIIAggCCAIIAggCCAIIAggCCAIIAhMCAwKlAh4AAvgCAgIgAgQCBQIGAgcCCAIJApsCCwKYAg0CCAIIAggCCAIIAggCCAIIAggCCAIIAggCCAIIAggCCAIIAhMCAwLMAh4AAvgCAgIiAgQCBQIGAgcCCAIJAicCCwKYAg0CCAIIAggCCAIIAggCCAIIAggCCAIIAggCCAIIAggCCAIIAhMCAwKtAh4AAvgCAgKPAgQCBQIGAgcCCAIJApsCCwKYAg0CCAIIAggCCAIIAggCCAIIAggCCAIIAggCCAIIAggCCAIIAhMCAwIxAh4AAvgCAgJFAgQCBQIGAgcCCAIJApsCCwKYAg0CCAIIAggCCAIIAggCCAIIAggCCAIIAggCCAIIAggCCAIIAhMCAwIxAh4AAvgCAgI/AgQCBQIGAgcCCAIJAhwCCwKYAg0CCAIIAggCCAIIAggCCAIIAggCCAIIAggCCAIIAggCCAIIAhMCAwKvAh4AAvgCAgKMAgQCBQIGAgcCCAIJAicCCwKYAg0CCAIIAggCCAIIAggCCAIIAggCCAIIAggCCAIIAggCCAIIAhMCAwL2Ah4AAvkACjEyMTYxNDM0NDgCAgIiAgQCBQIGAgcCCAIJApsCCwKYAg0CCAIIAggCCAIIAggCCAIIAggCCAIIAggCCAIIAggCCAIIAh8CAwKcAh4AAvkCAgIkAgQCBQIGAgcCCAIJApsCCwKYAg0CCAIIAggCCAIIAggCCAIIAggCCAIIAggCCAIIAggCCAIIAh8CAwLbAh4AAvkCAgIzAgQCBQIGAgcCCAIJAhwCCwKYAg0CCAIIAggCCAIIAggCCAIIAggCCAIIAggCCAIIAggCCAIIAh8CAwKaAh4AAvkCAgIwAgQCBQIGAgcCCAIJAhwCCwKYAg0CCAIIAggCCAIIAggCCAIIAggCCAIIAggCCAIIAggCCAIIAh8CAwK9Ah4AAvkCAgItAgQCBQIGAnoAAAQABwIIAgkCHAILApgCDQIIAggCCAIIAggCCAIIAggCCAIIAggCCAIIAggCCAIIAggCHwIDAqQCHgAC+QICAjgCBAIFAgYCBwIIAgkCJwILApgCDQIIAggCCAIIAggCCAIIAggCCAIIAggCCAIIAggCCAIIAggCHwIDAt4CHgAC+QICAiACBAIFAgYCBwIIAgkCJwILApgCDQIIAggCCAIIAggCCAIIAggCCAIIAggCCAIIAggCCAIIAggCHwIDArwCHgAC+QICAjACBAIFAgYCBwIIAgkCmwILApgCDQIIAggCCAIIAggCCAIIAggCCAIIAggCCAIIAggCCAIIAggCHwIDAjECHgAC+QICAiQCBAIFAgYCBwIIAgkCHAILApgCDQIIAggCCAIIAggCCAIIAggCCAIIAggCCAIIAggCCAIIAggCHwIDAt0CHgAC+QICAiICBAIFAgYCBwIIAgkCHAILApgCDQIIAggCCAIIAggCCAIIAggCCAIIAggCCAIIAggCCAIIAggCHwIDAtoCHgAC+QICAiYCBAIFAgYCBwIIAgkCJwILApgCDQIIAggCCAIIAggCCAIIAggCCAIIAggCCAIIAggCCAIIAggCHwIDAqYCHgAC+QICAjMCBAIFAgYCBwIIAgkCmwILApgCDQIIAggCCAIIAggCCAIIAggCCAIIAggCCAIIAggCCAIIAggCHwIDAroCHgAC+QICAgMCBAIFAgYCBwIIAgkCHAILApgCDQIIAggCCAIIAggCCAIIAggCCAIIAggCCAIIAggCCAIIAggCHwIDAp8CHgAC+QICAh4CBAIFAgYCBwIIAgkCmwILApgCDQIIAggCCAIIAggCCAIIAggCCAIIAggCCAIIAggCCAIIAggCHwIDAqECHgAC+QICAi0CBAIFAgYCBwIIAgkCJwILApgCDQIIAggCCAIIAggCCAIIAggCCAIIAggCCAIIAggCCAIIAggCHwIDAtYCHgAC+QICAisCBAIFAgYCBwIIAgkCJwILApgCDQIIAggCCAIIAggCCAIIAggCCAIIAggCCAIIAggCCAIIAggCHwIDAp0CHgAC+QICAhsCBAIFAgYCBwIIAgkCJwILApgCDQIIAggCCAIIAggCCAIIAggCCAIIAggCCAIIAggCCAIIAggCHwIDAqMCHgAC+QICAj8CBAIFAgYCBwIIAgkCHAILApgCDQIIAggCCAIIAggCCAIIAggCCAIIAggCCAIIAggCCAIIAggCHwIDAq8CHgAC+QICAh4CBAIFAgYCBwIIAgkCHAILApgCDQIIAggCCAIIAggCCAIIAggCCAIIAggCCAIIAggCCAIIAggCHwIDArYCHgAC+XoAAAQAAgICPQIEAgUCBgIHAggCCQInAgsCmAINAggCCAIIAggCCAIIAggCCAIIAggCCAIIAggCCAIIAggCCAIfAgMCrAIeAAL5AgICOgIEAgUCBgIHAggCCQInAgsCmAINAggCCAIIAggCCAIIAggCCAIIAggCCAIIAggCCAIIAggCCAIfAgMC2AIeAAL5AgICMAIEAgUCBgIHAggCCQInAgsCmAINAggCCAIIAggCCAIIAggCCAIIAggCCAIIAggCCAIIAggCCAIfAgMCqgIeAAL5AgICAwIEAgUCBgIHAggCCQKbAgsCmAINAggCCAIIAggCCAIIAggCCAIIAggCCAIIAggCCAIIAggCCAIfAgMCogIeAAL5AgICSAIEAgUCBgIHAggCCQIcAgsCmAINAggCCAIIAggCCAIIAggCCAIIAggCCAIIAggCCAIIAggCCAIfAgMCpQIeAAL5AgICQQIEAgUCBgIHAggCCQInAgsCmAINAggCCAIIAggCCAIIAggCCAIIAggCCAIIAggCCAIIAggCCAIfAgMCqQIeAAL5AgICSAIEAgUCBgIHAggCCQKbAgsCmAINAggCCAIIAggCCAIIAggCCAIIAggCCAIIAggCCAIIAggCCAIfAgMCpwIeAAL5AgICWAIEAgUCBgIHAggCCQIcAgsCmAINAggCCAIIAggCCAIIAggCCAIIAggCCAIIAggCCAIIAggCCAIfAgMC6gIeAAL5AgICWQIEAgUCBgIHAggCCQKbAgsCmAINAggCCAIIAggCCAIIAggCCAIIAggCCAIIAggCCAIIAggCCAIfAgMCqAIeAAL5AgICWQIEAgUCBgIHAggCCQIcAgsCmAINAggCCAIIAggCCAIIAggCCAIIAggCCAIIAggCCAIIAggCCAIfAgMCywIeAAL5AgICUgIEAgUCBgIHAggCCQInAgsCmAINAggCCAIIAggCCAIIAggCCAIIAggCCAIIAggCCAIIAggCCAIfAgMCtAIeAAL5AgICWAIEAgUCBgIHAggCCQKbAgsCmAINAggCCAIIAggCCAIIAggCCAIIAggCCAIIAggCCAIIAggCCAIfAgMCMQIeAAL5AgICMwIEAgUCBgIHAggCCQInAgsCmAINAggCCAIIAggCCAIIAggCCAIIAggCCAIIAggCCAIIAggCCAIfAgMCrgIeAAL5AgICTwIEAgUCBgIHAggCCQInAgsCmAINAggCCAIIAggCCAIIAggCCAIIAggCCAIIAggCCAIIAggCCAIfAgMCswIeAAL5AgICTQIEAgUCBgIHAggCCQKbAgsCmAINAggCCAIIAggCCAIIAggCCAIIAggCCAIIAggCCAIIAggCCHoAAAQAAh8CAwLKAh4AAvkCAgI4AgQCBQIGAgcCCAIJAhwCCwKYAg0CCAIIAggCCAIIAggCCAIIAggCCAIIAggCCAIIAggCCAIIAh8CAwKwAh4AAvkCAgI4AgQCBQIGAgcCCAIJApsCCwKYAg0CCAIIAggCCAIIAggCCAIIAggCCAIIAggCCAIIAggCCAIIAh8CAwKyAh4AAvkCAgI9AgQCBQIGAgcCCAIJAhwCCwKYAg0CCAIIAggCCAIIAggCCAIIAggCCAIIAggCCAIIAggCCAIIAh8CAwK5Ah4AAvkCAgJBAgQCBQIGAgcCCAIJAhwCCwKYAg0CCAIIAggCCAIIAggCCAIIAggCCAIIAggCCAIIAggCCAIIAh8CAwK+Ah4AAvkCAgItAgQCBQIGAgcCCAIJApsCCwKYAg0CCAIIAggCCAIIAggCCAIIAggCCAIIAggCCAIIAggCCAIIAh8CAwK3Ah4AAvkCAgIeAgQCBQIGAgcCCAIJAicCCwKYAg0CCAIIAggCCAIIAggCCAIIAggCCAIIAggCCAIIAggCCAIIAh8CAwLHAh4AAvkCAgJIAgQCBQIGAgcCCAIJAicCCwKYAg0CCAIIAggCCAIIAggCCAIIAggCCAIIAggCCAIIAggCCAIIAh8CAwK1Ah4AAvkCAgI1AgQCBQIGAgcCCAIJApsCCwKYAg0CCAIIAggCCAIIAggCCAIIAggCCAIIAggCCAIIAggCCAIIAh8CAwIxAh4AAvkCAgI6AgQCBQIGAgcCCAIJAhwCCwKYAg0CCAIIAggCCAIIAggCCAIIAggCCAIIAggCCAIIAggCCAIIAh8CAwKeAh4AAvkCAgI/AgQCBQIGAgcCCAIJAicCCwKYAg0CCAIIAggCCAIIAggCCAIIAggCCAIIAggCCAIIAggCCAIIAh8CAwKZAh4AAvkCAgI6AgQCBQIGAgcCCAIJApsCCwKYAg0CCAIIAggCCAIIAggCCAIIAggCCAIIAggCCAIIAggCCAIIAh8CAwK4Ah4AAvkCAgJSAgQCBQIGAgcCCAIJAhwCCwKYAg0CCAIIAggCCAIIAggCCAIIAggCCAIIAggCCAIIAggCCAIIAh8CAwK/Ah4AAvkCAgJZAgQCBQIGAgcCCAIJAicCCwKYAg0CCAIIAggCCAIIAggCCAIIAggCCAIIAggCCAIIAggCCAIIAh8CAwLZAh4AAvkCAgI1AgQCBQIGAgcCCAIJAhwCCwKYAg0CCAIIAggCCAIIAggCCAIIAggCCAIIAggCCAIIAggCCAIIAh8CAwLAAh4AAvkCAgJPAgQCBQIGAgcCCAIJAhwCCwKYAg0CCAIIAggCCAIIAggCCAIIAggCCAIIAnoAAAQACAIIAggCCAIIAggCHwIDAsUCHgAC+QICAj0CBAIFAgYCBwIIAgkCmwILApgCDQIIAggCCAIIAggCCAIIAggCCAIIAggCCAIIAggCCAIIAggCHwIDAsECHgAC+QICAkECBAIFAgYCBwIIAgkCmwILApgCDQIIAggCCAIIAggCCAIIAggCCAIIAggCCAIIAggCCAIIAggCHwIDArsCHgAC+QICAksCBAIFAgYCBwIIAgkCJwILApgCDQIIAggCCAIIAggCCAIIAggCCAIIAggCCAIIAggCCAIIAggCHwIDAsICHgAC+QICAk0CBAIFAgYCBwIIAgkCHAILApgCDQIIAggCCAIIAggCCAIIAggCCAIIAggCCAIIAggCCAIIAggCHwIDAsYCHgAC+QICAkUCBAIFAgYCBwIIAgkCJwILApgCDQIIAggCCAIIAggCCAIIAggCCAIIAggCCAIIAggCCAIIAggCHwIDAuQCHgAC+QICAiYCBAIFAgYCBwIIAgkCmwILApgCDQIIAggCCAIIAggCCAIIAggCCAIIAggCCAIIAggCCAIIAggCHwIDAtECHgAC+QICAikCBAIFAgYCBwIIAgkCmwILApgCDQIIAggCCAIIAggCCAIIAggCCAIIAggCCAIIAggCCAIIAggCHwIDAsgCHgAC+QICAjUCBAIFAgYCBwIIAgkCJwILApgCDQIIAggCCAIIAggCCAIIAggCCAIIAggCCAIIAggCCAIIAggCHwIDAskCHgAC+QICAikCBAIFAgYCBwIIAgkCHAILApgCDQIIAggCCAIIAggCCAIIAggCCAIIAggCCAIIAggCCAIIAggCHwIDAs8CHgAC+QICAiQCBAIFAgYCBwIIAgkCJwILApgCDQIIAggCCAIIAggCCAIIAggCCAIIAggCCAIIAggCCAIIAggCHwIDArECHgAC+QICAj8CBAIFAgYCBwIIAgkCmwILApgCDQIIAggCCAIIAggCCAIIAggCCAIIAggCCAIIAggCCAIIAggCHwIDAs0CHgAC+QICAiYCBAIFAgYCBwIIAgkCHAILApgCDQIIAggCCAIIAggCCAIIAggCCAIIAggCCAIIAggCCAIIAggCHwIDAtMCHgAC+QICAiICBAIFAgYCBwIIAgkCJwILApgCDQIIAggCCAIIAggCCAIIAggCCAIIAggCCAIIAggCCAIIAggCHwIDAq0CHgAC+QICAgMCBAIFAgYCBwIIAgkCJwILApgCDQIIAggCCAIIAggCCAIIAggCCAIIAggCCAIIAggCCAIIAggCHwIDAtACHgAC+QICAkUCBAIFAgYCBwIIAgkCmwILApgCDQIIAggCCAIIAggCCHoAAAQAAggCCAIIAggCCAIIAggCCAIIAggCCAIfAgMCMQIeAAL5AgICIAIEAgUCBgIHAggCCQKbAgsCmAINAggCCAIIAggCCAIIAggCCAIIAggCCAIIAggCCAIIAggCCAIfAgMCzAIeAAL5AgICIAIEAgUCBgIHAggCCQIcAgsCmAINAggCCAIIAggCCAIIAggCCAIIAggCCAIIAggCCAIIAggCCAIfAgMCqwIeAAL5AgICRQIEAgUCBgIHAggCCQIcAgsCmAINAggCCAIIAggCCAIIAggCCAIIAggCCAIIAggCCAIIAggCCAIfAgMC7AIeAAL5AgICKwIEAgUCBgIHAggCCQIcAgsCmAINAggCCAIIAggCCAIIAggCCAIIAggCCAIIAggCCAIIAggCCAIfAgMC1wIeAAL5AgICTQIEAgUCBgIHAggCCQInAgsCmAINAggCCAIIAggCCAIIAggCCAIIAggCCAIIAggCCAIIAggCCAIfAgMC3AIeAAL5AgICSwIEAgUCBgIHAggCCQIcAgsCmAINAggCCAIIAggCCAIIAggCCAIIAggCCAIIAggCCAIIAggCCAIfAgMC1AIeAAL5AgICKQIEAgUCBgIHAggCCQInAgsCmAINAggCCAIIAggCCAIIAggCCAIIAggCCAIIAggCCAIIAggCCAIfAgMCoAIeAAL5AgICTwIEAgUCBgIHAggCCQKbAgsCmAINAggCCAIIAggCCAIIAggCCAIIAggCCAIIAggCCAIIAggCCAIfAgMCwwIeAAL5AgICSwIEAgUCBgIHAggCCQKbAgsCmAINAggCCAIIAggCCAIIAggCCAIIAggCCAIIAggCCAIIAggCCAIfAgMC0gIeAAL5AgICKwIEAgUCBgIHAggCCQKbAgsCmAINAggCCAIIAggCCAIIAggCCAIIAggCCAIIAggCCAIIAggCCAIfAgMCMQIeAAL5AgICGwIEAgUCBgIHAggCCQIcAgsCmAINAggCCAIIAggCCAIIAggCCAIIAggCCAIIAggCCAIIAggCCAIfAgMC1QIeAAL5AgICUgIEAgUCBgIHAggCCQKbAgsCmAINAggCCAIIAggCCAIIAggCCAIIAggCCAIIAggCCAIIAggCCAIfAgMCxAIeAAL5AgICGwIEAgUCBgIHAggCCQKbAgsCmAINAggCCAIIAggCCAIIAggCCAIIAggCCAIIAggCCAIIAggCCAIfAgMCzgIeAAL5AgICWAIEAgUCBgIHAggCCQInAgsCmAINAggCCAIIAggCCAIIAggCCAIIAggCCAIIAggCCAIIAggCCAIfAgMC4QIeAAL6AAk4NDU2NDM5NDQCAgIiAgQCBQIGAgcCCHoAAAQAAgkCJwILApgCDQIIAggCCAIIAggCCAIIAggCCAIIAggCCAIIAggCCAIIAggCIQIDAq0CHgAC+gICAjACBAIFAgYCBwIIAgkCJwILApgCDQIIAggCCAIIAggCCAIIAggCCAIIAggCCAIIAggCCAIIAggCIQIDAqoCHgAC+gICAiQCBAIFAgYCBwIIAgkCJwILApgCDQIIAggCCAIIAggCCAIIAggCCAIIAggCCAIIAggCCAIIAggCIQIDArECHgAC+gICAlkCBAIFAgYCBwIIAgkCHAILApgCDQIIAggCCAIIAggCCAIIAggCCAIIAggCCAIIAggCCAIIAggCIQIDAssCHgAC+gICAjMCBAIFAgYCBwIIAgkCJwILApgCDQIIAggCCAIIAggCCAIIAggCCAIIAggCCAIIAggCCAIIAggCIQIDAq4CHgAC+gICAlkCBAIFAgYCBwIIAgkCmwILApgCDQIIAggCCAIIAggCCAIIAggCCAIIAggCCAIIAggCCAIIAggCIQIDAqgCHgAC+gICAgMCBAIFAgYCBwIIAgkCHAILApgCDQIIAggCCAIIAggCCAIIAggCCAIIAggCCAIIAggCCAIIAggCIQIDAp8CHgAC+gICAkgCBAIFAgYCBwIIAgkCmwILApgCDQIIAggCCAIIAggCCAIIAggCCAIIAggCCAIIAggCCAIIAggCIQIDAqcCHgAC+gICAh4CBAIFAgYCBwIIAgkCmwILApgCDQIIAggCCAIIAggCCAIIAggCCAIIAggCCAIIAggCCAIIAggCIQIDAqECHgAC+gICAhsCBAIFAgYCBwIIAgkCJwILApgCDQIIAggCCAIIAggCCAIIAggCCAIIAggCCAIIAggCCAIIAggCIQIDAqMCHgAC+gICAisCBAIFAgYCBwIIAgkCJwILApgCDQIIAggCCAIIAggCCAIIAggCCAIIAggCCAIIAggCCAIIAggCIQIDAp0CHgAC+gICAi0CBAIFAgYCBwIIAgkCJwILApgCDQIIAggCCAIIAggCCAIIAggCCAIIAggCCAIIAggCCAIIAggCIQIDAtYCHgAC+gICAgMCBAIFAgYCBwIIAgkCmwILApgCDQIIAggCCAIIAggCCAIIAggCCAIIAggCCAIIAggCCAIIAggCIQIDAqICHgAC+gICAkgCBAIFAgYCBwIIAgkCHAILApgCDQIIAggCCAIIAggCCAIIAggCCAIIAggCCAIIAggCCAIIAggCIQIDAqUCHgAC+gICAh4CBAIFAgYCBwIIAgkCHAILApgCDQIIAggCCAIIAggCCAIIAggCCAIIAggCCAIIAggCCAIIAggCIQIDArYCHgAC+gICAnoAAAQAOgIEAgUCBgIHAggCCQInAgsCmAINAggCCAIIAggCCAIIAggCCAIIAggCCAIIAggCCAIIAggCCAIhAgMC2AIeAAL6AgICPwIEAgUCBgIHAggCCQInAgsCmAINAggCCAIIAggCCAIIAggCCAIIAggCCAIIAggCCAIIAggCCAIhAgMCmQIeAAL6AgICNQIEAgUCBgIHAggCCQIcAgsCmAINAggCCAIIAggCCAIIAggCCAIIAggCCAIIAggCCAIIAggCCAIhAgMCwAIeAAL6AgICNQIEAgUCBgIHAggCCQKbAgsCmAINAggCCAIIAggCCAIIAggCCAIIAggCCAIIAggCCAIIAggCCAIhAgMCMQIeAAL6AgICPQIEAgUCBgIHAggCCQKbAgsCmAINAggCCAIIAggCCAIIAggCCAIIAggCCAIIAggCCAIIAggCCAIhAgMCwQIeAAL6AgICIAIEAgUCBgIHAggCCQInAgsCmAINAggCCAIIAggCCAIIAggCCAIIAggCCAIIAggCCAIIAggCCAIhAgMCvAIeAAL6AgICMwIEAgUCBgIHAggCCQKbAgsCmAINAggCCAIIAggCCAIIAggCCAIIAggCCAIIAggCCAIIAggCCAIhAgMCugIeAAL6AgICMwIEAgUCBgIHAggCCQIcAgsCmAINAggCCAIIAggCCAIIAggCCAIIAggCCAIIAggCCAIIAggCCAIhAgMCmgIeAAL6AgICMAIEAgUCBgIHAggCCQIcAgsCmAINAggCCAIIAggCCAIIAggCCAIIAggCCAIIAggCCAIIAggCCAIhAgMCvQIeAAL6AgICMAIEAgUCBgIHAggCCQKbAgsCmAINAggCCAIIAggCCAIIAggCCAIIAggCCAIIAggCCAIIAggCCAIhAgMCMQIeAAL6AgICTQIEAgUCBgIHAggCCQIcAgsCmAINAggCCAIIAggCCAIIAggCCAIIAggCCAIIAggCCAIIAggCCAIhAgMCxgIeAAL6AgICQQIEAgUCBgIHAggCCQKbAgsCmAINAggCCAIIAggCCAIIAggCCAIIAggCCAIIAggCCAIIAggCCAIhAgMCuwIeAAL6AgICTQIEAgUCBgIHAggCCQKbAgsCmAINAggCCAIIAggCCAIIAggCCAIIAggCCAIIAggCCAIIAggCCAIhAgMCygIeAAL6AgICQQIEAgUCBgIHAggCCQIcAgsCmAINAggCCAIIAggCCAIIAggCCAIIAggCCAIIAggCCAIIAggCCAIhAgMCvgIeAAL6AgICSAIEAgUCBgIHAggCCQInAgsCmAINAggCCAIIAggCCAIIAggCCAIIAggCCAIIAggCCAIIAggCCAIhAnoAAAQAAwK1Ah4AAvoCAgIeAgQCBQIGAgcCCAIJAicCCwKYAg0CCAIIAggCCAIIAggCCAIIAggCCAIIAggCCAIIAggCCAIIAiECAwLHAh4AAvoCAgItAgQCBQIGAgcCCAIJApsCCwKYAg0CCAIIAggCCAIIAggCCAIIAggCCAIIAggCCAIIAggCCAIIAiECAwK3Ah4AAvoCAgI6AgQCBQIGAgcCCAIJApsCCwKYAg0CCAIIAggCCAIIAggCCAIIAggCCAIIAggCCAIIAggCCAIIAiECAwK4Ah4AAvoCAgItAgQCBQIGAgcCCAIJAhwCCwKYAg0CCAIIAggCCAIIAggCCAIIAggCCAIIAggCCAIIAggCCAIIAiECAwKkAh4AAvoCAgI6AgQCBQIGAgcCCAIJAhwCCwKYAg0CCAIIAggCCAIIAggCCAIIAggCCAIIAggCCAIIAggCCAIIAiECAwKeAh4AAvoCAgIpAgQCBQIGAgcCCAIJAhwCCwKYAg0CCAIIAggCCAIIAggCCAIIAggCCAIIAggCCAIIAggCCAIIAiECAwLPAh4AAvoCAgImAgQCBQIGAgcCCAIJAhwCCwKYAg0CCAIIAggCCAIIAggCCAIIAggCCAIIAggCCAIIAggCCAIIAiECAwLTAh4AAvoCAgJSAgQCBQIGAgcCCAIJAicCCwKYAg0CCAIIAggCCAIIAggCCAIIAggCCAIIAggCCAIIAggCCAIIAiECAwK0Ah4AAvoCAgI4AgQCBQIGAgcCCAIJApsCCwKYAg0CCAIIAggCCAIIAggCCAIIAggCCAIIAggCCAIIAggCCAIIAiECAwKyAh4AAvoCAgJPAgQCBQIGAgcCCAIJAicCCwKYAg0CCAIIAggCCAIIAggCCAIIAggCCAIIAggCCAIIAggCCAIIAiECAwKzAh4AAvoCAgI4AgQCBQIGAgcCCAIJAhwCCwKYAg0CCAIIAggCCAIIAggCCAIIAggCCAIIAggCCAIIAggCCAIIAiECAwKwAh4AAvoCAgIgAgQCBQIGAgcCCAIJApsCCwKYAg0CCAIIAggCCAIIAggCCAIIAggCCAIIAggCCAIIAggCCAIIAiECAwLMAh4AAvoCAgI9AgQCBQIGAgcCCAIJAicCCwKYAg0CCAIIAggCCAIIAggCCAIIAggCCAIIAggCCAIIAggCCAIIAiECAwKsAh4AAvoCAgI/AgQCBQIGAgcCCAIJApsCCwKYAg0CCAIIAggCCAIIAggCCAIIAggCCAIIAggCCAIIAggCCAIIAiECAwLNAh4AAvoCAgI9AgQCBQIGAgcCCAIJAhwCCwKYAg0CCAIIAggCCAIIAggCCAIIAggCCAIIAggCCHoAAAQAAggCCAIIAggCIQIDArkCHgAC+gICAiACBAIFAgYCBwIIAgkCHAILApgCDQIIAggCCAIIAggCCAIIAggCCAIIAggCCAIIAggCCAIIAggCIQIDAqsCHgAC+gICAj8CBAIFAgYCBwIIAgkCHAILApgCDQIIAggCCAIIAggCCAIIAggCCAIIAggCCAIIAggCCAIIAggCIQIDAq8CHgAC+gICAkUCBAIFAgYCBwIIAgkCJwILApgCDQIIAggCCAIIAggCCAIIAggCCAIIAggCCAIIAggCCAIIAggCIQIDAuQCHgAC+gICAksCBAIFAgYCBwIIAgkCJwILApgCDQIIAggCCAIIAggCCAIIAggCCAIIAggCCAIIAggCCAIIAggCIQIDAsICHgAC+gICAkECBAIFAgYCBwIIAgkCJwILApgCDQIIAggCCAIIAggCCAIIAggCCAIIAggCCAIIAggCCAIIAggCIQIDAqkCHgAC+gICAiYCBAIFAgYCBwIIAgkCmwILApgCDQIIAggCCAIIAggCCAIIAggCCAIIAggCCAIIAggCCAIIAggCIQIDAtECHgAC+gICAikCBAIFAgYCBwIIAgkCmwILApgCDQIIAggCCAIIAggCCAIIAggCCAIIAggCCAIIAggCCAIIAggCIQIDAsgCHgAC+gICAjUCBAIFAgYCBwIIAgkCJwILApgCDQIIAggCCAIIAggCCAIIAggCCAIIAggCCAIIAggCCAIIAggCIQIDAskCHgAC+gICAjgCBAIFAgYCBwIIAgkCJwILApgCDQIIAggCCAIIAggCCAIIAggCCAIIAggCCAIIAggCCAIIAggCIQIDAt4CHgAC+gICAiICBAIFAgYCBwIIAgkCmwILApgCDQIIAggCCAIIAggCCAIIAggCCAIIAggCCAIIAggCCAIIAggCIQIDApwCHgAC+gICAiYCBAIFAgYCBwIIAgkCJwILApgCDQIIAggCCAIIAggCCAIIAggCCAIIAggCCAIIAggCCAIIAggCIQIDAqYCHgAC+gICAlkCBAIFAgYCBwIIAgkCJwILApgCDQIIAggCCAIIAggCCAIIAggCCAIIAggCCAIIAggCCAIIAggCIQIDAtkCHgAC+gICAiQCBAIFAgYCBwIIAgkCHAILApgCDQIIAggCCAIIAggCCAIIAggCCAIIAggCCAIIAggCCAIIAggCIQIDAt0CHgAC+gICAiQCBAIFAgYCBwIIAgkCmwILApgCDQIIAggCCAIIAggCCAIIAggCCAIIAggCCAIIAggCCAIIAggCIQIDAtsCHgAC+gICAiICBAIFAgYCBwIIAgkCHAILApgCDQIIAggCCAIIAggCCAIIAnoAAAQACAIIAggCCAIIAggCCAIIAggCCAIhAgMC2gIeAAL6AgICGwIEAgUCBgIHAggCCQKbAgsCmAINAggCCAIIAggCCAIIAggCCAIIAggCCAIIAggCCAIIAggCCAIhAgMCzgIeAAL6AgICTQIEAgUCBgIHAggCCQInAgsCmAINAggCCAIIAggCCAIIAggCCAIIAggCCAIIAggCCAIIAggCCAIhAgMC3AIeAAL6AgICRQIEAgUCBgIHAggCCQKbAgsCmAINAggCCAIIAggCCAIIAggCCAIIAggCCAIIAggCCAIIAggCCAIhAgMCMQIeAAL6AgICAwIEAgUCBgIHAggCCQInAgsCmAINAggCCAIIAggCCAIIAggCCAIIAggCCAIIAggCCAIIAggCCAIhAgMC0AIeAAL6AgICRQIEAgUCBgIHAggCCQIcAgsCmAINAggCCAIIAggCCAIIAggCCAIIAggCCAIIAggCCAIIAggCCAIhAgMC7AIeAAL6AgICKQIEAgUCBgIHAggCCQInAgsCmAINAggCCAIIAggCCAIIAggCCAIIAggCCAIIAggCCAIIAggCCAIhAgMCoAIeAAL6AgICTwIEAgUCBgIHAggCCQKbAgsCmAINAggCCAIIAggCCAIIAggCCAIIAggCCAIIAggCCAIIAggCCAIhAgMCwwIeAAL6AgICKwIEAgUCBgIHAggCCQKbAgsCmAINAggCCAIIAggCCAIIAggCCAIIAggCCAIIAggCCAIIAggCCAIhAgMCMQIeAAL6AgICUgIEAgUCBgIHAggCCQIcAgsCmAINAggCCAIIAggCCAIIAggCCAIIAggCCAIIAggCCAIIAggCCAIhAgMCvwIeAAL6AgICTwIEAgUCBgIHAggCCQIcAgsCmAINAggCCAIIAggCCAIIAggCCAIIAggCCAIIAggCCAIIAggCCAIhAgMCxQIeAAL6AgICUgIEAgUCBgIHAggCCQKbAgsCmAINAggCCAIIAggCCAIIAggCCAIIAggCCAIIAggCCAIIAggCCAIhAgMCxAIeAAL6AgICSwIEAgUCBgIHAggCCQIcAgsCmAINAggCCAIIAggCCAIIAggCCAIIAggCCAIIAggCCAIIAggCCAIhAgMC1AIeAAL6AgICGwIEAgUCBgIHAggCCQIcAgsCmAINAggCCAIIAggCCAIIAggCCAIIAggCCAIIAggCCAIIAggCCAIhAgMC1QIeAAL6AgICSwIEAgUCBgIHAggCCQKbAgsCmAINAggCCAIIAggCCAIIAggCCAIIAggCCAIIAggCCAIIAggCCAIhAgMC0gIeAAL6AgICKwIEAgUCBgIHAggCCQIcAgsCmAINAggCCHoAAAQAAggCCAIIAggCCAIIAggCCAIIAggCCAIIAggCCAIIAiECAwLXAh4AAvsACTU4MDEzMTk4NAICAiACBAIFAgYCBwIIAgkCJwILApgCDQIIAggCCAIIAggCCAIIAggCCAIIAggCCAIIAggCCAIIAggCGQIDArwCHgAC+wICAj8CBAIFAgYCBwIIAgkCJwILApgCDQIIAggCCAIIAggCCAIIAggCCAIIAggCCAIIAggCCAIIAggCGQIDApkCHgAC+wICAgMCBAIFAgYCBwIIAgkCmwILApgCDQIIAggCCAIIAggCCAIIAggCCAIIAggCCAIIAggCCAIIAggCGQIDAqICHgAC+wICAjACBAIFAgYCBwIIAgkCHAILApgCDQIIAggCCAIIAggCCAIIAggCCAIIAggCCAIIAggCCAIIAggCGQIDAr0CHgAC+wICAiQCBAIFAgYCBwIIAgkCHAILApgCDQIIAggCCAIIAggCCAIIAggCCAIIAggCCAIIAggCCAIIAggCGQIDAt0CHgAC+wICAoQCBAIFAgYCBwIIAgkCHAILApgCDQIIAggCCAIIAggCCAIIAggCCAIIAggCCAIIAggCCAIIAggCGQIDAusCHgAC+wICAoQCBAIFAgYCBwIIAgkCmwILApgCDQIIAggCCAIIAggCCAIIAggCCAIIAggCCAIIAggCCAIIAggCGQIDAjECHgAC+wICAhsCBAIFAgYCBwIIAgkCJwILApgCDQIIAggCCAIIAggCCAIIAggCCAIIAggCCAIIAggCCAIIAggCGQIDAqMCHgAC+wICAgMCBAIFAgYCBwIIAgkCHAILApgCDQIIAggCCAIIAggCCAIIAggCCAIIAggCCAIIAggCCAIIAggCGQIDAp8CHgAC+wICAh4CBAIFAgYCBwIIAgkCmwILApgCDQIIAggCCAIIAggCCAIIAggCCAIIAggCCAIIAggCCAIIAggCGQIDAqECHgAC+wICAjoCBAIFAgYCBwIIAgkCHAILApgCDQIIAggCCAIIAggCCAIIAggCCAIIAggCCAIIAggCCAIIAggCGQIDAp4CHgAC+wICAkgCBAIFAgYCBwIIAgkCmwILApgCDQIIAggCCAIIAggCCAIIAggCCAIIAggCCAIIAggCCAIIAggCGQIDAqcCHgAC+wICAisCBAIFAgYCBwIIAgkCHAILApgCDQIIAggCCAIIAggCCAIIAggCCAIIAggCCAIIAggCCAIIAggCGQIDAtcCHgAC+wICAi0CBAIFAgYCBwIIAgkCmwILApgCDQIIAggCCAIIAggCCAIIAggCCAIIAggCCAIIAggCCAIIAggCGQIDArcCHgAC+wICAjACBHoAAAQAAgUCBgIHAggCCQInAgsCmAINAggCCAIIAggCCAIIAggCCAIIAggCCAIIAggCCAIIAggCCAIZAgMCqgIeAAL7AgICJgIEAgUCBgIHAggCCQInAgsCmAINAggCCAIIAggCCAIIAggCCAIIAggCCAIIAggCCAIIAggCCAIZAgMCpgIeAAL7AgICggIEAgUCBgIHAggCCQIcAgsCmAINAggCCAIIAggCCAIIAggCCAIIAggCCAIIAggCCAIIAggCCAIZAgMC6QIeAAL7AgICKQIEAgUCBgIHAggCCQInAgsCmAINAggCCAIIAggCCAIIAggCCAIIAggCCAIIAggCCAIIAggCCAIZAgMCoAIeAAL7AgICLQIEAgUCBgIHAggCCQIcAgsCmAINAggCCAIIAggCCAIIAggCCAIIAggCCAIIAggCCAIIAggCCAIZAgMCpAIeAAL7AgICWAIEAgUCBgIHAggCCQKbAgsCmAINAggCCAIIAggCCAIIAggCCAIIAggCCAIIAggCCAIIAggCCAIZAgMCMQIeAAL7AgICggIEAgUCBgIHAggCCQKbAgsCmAINAggCCAIIAggCCAIIAggCCAIIAggCCAIIAggCCAIIAggCCAIZAgMCMQIeAAL7AgICIAIEAgUCBgIHAggCCQIcAgsCmAINAggCCAIIAggCCAIIAggCCAIIAggCCAIIAggCCAIIAggCCAIZAgMCqwIeAAL7AgICPwIEAgUCBgIHAggCCQIcAgsCmAINAggCCAIIAggCCAIIAggCCAIIAggCCAIIAggCCAIIAggCCAIZAgMCrwIeAAL7AgICMwIEAgUCBgIHAggCCQInAgsCmAINAggCCAIIAggCCAIIAggCCAIIAggCCAIIAggCCAIIAggCCAIZAgMCrgIeAAL7AgICWQIEAgUCBgIHAggCCQKbAgsCmAINAggCCAIIAggCCAIIAggCCAIIAggCCAIIAggCCAIIAggCCAIZAgMCqAIeAAL7AgICPwIEAgUCBgIHAggCCQKbAgsCmAINAggCCAIIAggCCAIIAggCCAIIAggCCAIIAggCCAIIAggCCAIZAgMCzQIeAAL7AgICIgIEAgUCBgIHAggCCQInAgsCmAINAggCCAIIAggCCAIIAggCCAIIAggCCAIIAggCCAIIAggCCAIZAgMCrQIeAAL7AgICJAIEAgUCBgIHAggCCQInAgsCmAINAggCCAIIAggCCAIIAggCCAIIAggCCAIIAggCCAIIAggCCAIZAgMCsQIeAAL7AgICUgIEAgUCBgIHAggCCQInAgsCmAINAggCCAIIAggCCAIIAggCCAIIAggCCAIIAggCCAIIAggCCAIZAgMCtHoAAAQAAh4AAvsCAgKEAgQCBQIGAgcCCAIJAicCCwKYAg0CCAIIAggCCAIIAggCCAIIAggCCAIIAggCCAIIAggCCAIIAhkCAwLiAh4AAvsCAgJIAgQCBQIGAgcCCAIJAhwCCwKYAg0CCAIIAggCCAIIAggCCAIIAggCCAIIAggCCAIIAggCCAIIAhkCAwKlAh4AAvsCAgI6AgQCBQIGAgcCCAIJApsCCwKYAg0CCAIIAggCCAIIAggCCAIIAggCCAIIAggCCAIIAggCCAIIAhkCAwK4Ah4AAvsCAgKAAgQCBQIGAgcCCAIJAhwCCwKYAg0CCAIIAggCCAIIAggCCAIIAggCCAIIAggCCAIIAggCCAIIAhkCAwLtAh4AAvsCAgIeAgQCBQIGAgcCCAIJAhwCCwKYAg0CCAIIAggCCAIIAggCCAIIAggCCAIIAggCCAIIAggCCAIIAhkCAwK2Ah4AAvsCAgJBAgQCBQIGAgcCCAIJAhwCCwKYAg0CCAIIAggCCAIIAggCCAIIAggCCAIIAggCCAIIAggCCAIIAhkCAwK+Ah4AAvsCAgI1AgQCBQIGAgcCCAIJApsCCwKYAg0CCAIIAggCCAIIAggCCAIIAggCCAIIAggCCAIIAggCCAIIAhkCAwIxAh4AAvsCAgKAAgQCBQIGAgcCCAIJApsCCwKYAg0CCAIIAggCCAIIAggCCAIIAggCCAIIAggCCAIIAggCCAIIAhkCAwIxAh4AAvsCAgJPAgQCBQIGAgcCCAIJAicCCwKYAg0CCAIIAggCCAIIAggCCAIIAggCCAIIAggCCAIIAggCCAIIAhkCAwKzAh4AAvsCAgIrAgQCBQIGAgcCCAIJAicCCwKYAg0CCAIIAggCCAIIAggCCAIIAggCCAIIAggCCAIIAggCCAIIAhkCAwKdAh4AAvsCAgJLAgQCBQIGAgcCCAIJAicCCwKYAg0CCAIIAggCCAIIAggCCAIIAggCCAIIAggCCAIIAggCCAIIAhkCAwLCAh4AAvsCAgIwAgQCBQIGAgcCCAIJApsCCwKYAg0CCAIIAggCCAIIAggCCAIIAggCCAIIAggCCAIIAggCCAIIAhkCAwIxAh4AAvsCAgIzAgQCBQIGAgcCCAIJAhwCCwKYAg0CCAIIAggCCAIIAggCCAIIAggCCAIIAggCCAIIAggCCAIIAhkCAwKaAh4AAvsCAgIzAgQCBQIGAgcCCAIJApsCCwKYAg0CCAIIAggCCAIIAggCCAIIAggCCAIIAggCCAIIAggCCAIIAhkCAwK6Ah4AAvsCAgI9AgQCBQIGAgcCCAIJAhwCCwKYAg0CCAIIAggCCAIIAggCCAIIAggCCAIIAggCCAIIAnoAAAQACAIIAggCGQIDArkCHgAC+wICAkUCBAIFAgYCBwIIAgkCJwILApgCDQIIAggCCAIIAggCCAIIAggCCAIIAggCCAIIAggCCAIIAggCGQIDAuQCHgAC+wICAj0CBAIFAgYCBwIIAgkCmwILApgCDQIIAggCCAIIAggCCAIIAggCCAIIAggCCAIIAggCCAIIAggCGQIDAsECHgAC+wICAkECBAIFAgYCBwIIAgkCmwILApgCDQIIAggCCAIIAggCCAIIAggCCAIIAggCCAIIAggCCAIIAggCGQIDArsCHgAC+wICAk8CBAIFAgYCBwIIAgkCHAILApgCDQIIAggCCAIIAggCCAIIAggCCAIIAggCCAIIAggCCAIIAggCGQIDAsUCHgAC+wICAjUCBAIFAgYCBwIIAgkCHAILApgCDQIIAggCCAIIAggCCAIIAggCCAIIAggCCAIIAggCCAIIAggCGQIDAsACHgAC+wICAlgCBAIFAgYCBwIIAgkCJwILApgCDQIIAggCCAIIAggCCAIIAggCCAIIAggCCAIIAggCCAIIAggCGQIDAuECHgAC+wICAlkCBAIFAgYCBwIIAgkCJwILApgCDQIIAggCCAIIAggCCAIIAggCCAIIAggCCAIIAggCCAIIAggCGQIDAtkCHgAC+wICAk8CBAIFAgYCBwIIAgkCmwILApgCDQIIAggCCAIIAggCCAIIAggCCAIIAggCCAIIAggCCAIIAggCGQIDAsMCHgAC+wICAlICBAIFAgYCBwIIAgkCHAILApgCDQIIAggCCAIIAggCCAIIAggCCAIIAggCCAIIAggCCAIIAggCGQIDAr8CHgAC+wICAlICBAIFAgYCBwIIAgkCmwILApgCDQIIAggCCAIIAggCCAIIAggCCAIIAggCCAIIAggCCAIIAggCGQIDAsQCHgAC+wICAk0CBAIFAgYCBwIIAgkCHAILApgCDQIIAggCCAIIAggCCAIIAggCCAIIAggCCAIIAggCCAIIAggCGQIDAsYCHgAC+wICAkgCBAIFAgYCBwIIAgkCJwILApgCDQIIAggCCAIIAggCCAIIAggCCAIIAggCCAIIAggCCAIIAggCGQIDArUCHgAC+wICAkUCBAIFAgYCBwIIAgkCHAILApgCDQIIAggCCAIIAggCCAIIAggCCAIIAggCCAIIAggCCAIIAggCGQIDAuwCHgAC+wICAksCBAIFAgYCBwIIAgkCHAILApgCDQIIAggCCAIIAggCCAIIAggCCAIIAggCCAIIAggCCAIIAggCGQIDAtQCHgAC+wICAjgCBAIFAgYCBwIIAgkCmwILApgCDQIIAggCCAIIAggCCAIIAggCCHoAAAQAAggCCAIIAggCCAIIAggCCAIZAgMCsgIeAAL7AgICHgIEAgUCBgIHAggCCQInAgsCmAINAggCCAIIAggCCAIIAggCCAIIAggCCAIIAggCCAIIAggCCAIZAgMCxwIeAAL7AgICgAIEAgUCBgIHAggCCQInAgsCmAINAggCCAIIAggCCAIIAggCCAIIAggCCAIIAggCCAIIAggCCAIZAgMC4wIeAAL7AgICTQIEAgUCBgIHAggCCQKbAgsCmAINAggCCAIIAggCCAIIAggCCAIIAggCCAIIAggCCAIIAggCCAIZAgMCygIeAAL7AgICIAIEAgUCBgIHAggCCQKbAgsCmAINAggCCAIIAggCCAIIAggCCAIIAggCCAIIAggCCAIIAggCCAIZAgMCzAIeAAL7AgICOAIEAgUCBgIHAggCCQIcAgsCmAINAggCCAIIAggCCAIIAggCCAIIAggCCAIIAggCCAIIAggCCAIZAgMCsAIeAAL7AgICWQIEAgUCBgIHAggCCQIcAgsCmAINAggCCAIIAggCCAIIAggCCAIIAggCCAIIAggCCAIIAggCCAIZAgMCywIeAAL7AgICWAIEAgUCBgIHAggCCQIcAgsCmAINAggCCAIIAggCCAIIAggCCAIIAggCCAIIAggCCAIIAggCCAIZAgMC6gIeAAL7AgICPQIEAgUCBgIHAggCCQInAgsCmAINAggCCAIIAggCCAIIAggCCAIIAggCCAIIAggCCAIIAggCCAIZAgMCrAIeAAL7AgICAwIEAgUCBgIHAggCCQInAgsCmAINAggCCAIIAggCCAIIAggCCAIIAggCCAIIAggCCAIIAggCCAIZAgMC0AIeAAL7AgICQQIEAgUCBgIHAggCCQInAgsCmAINAggCCAIIAggCCAIIAggCCAIIAggCCAIIAggCCAIIAggCCAIZAgMCqQIeAAL7AgICRQIEAgUCBgIHAggCCQKbAgsCmAINAggCCAIIAggCCAIIAggCCAIIAggCCAIIAggCCAIIAggCCAIZAgMCMQIeAAL7AgICJgIEAgUCBgIHAggCCQIcAgsCmAINAggCCAIIAggCCAIIAggCCAIIAggCCAIIAggCCAIIAggCCAIZAgMC0wIeAAL7AgICKwIEAgUCBgIHAggCCQKbAgsCmAINAggCCAIIAggCCAIIAggCCAIIAggCCAIIAggCCAIIAggCCAIZAgMCMQIeAAL7AgICSwIEAgUCBgIHAggCCQKbAgsCmAINAggCCAIIAggCCAIIAggCCAIIAggCCAIIAggCCAIIAggCCAIZAgMC0gIeAAL7AgICNQIEAgUCBgIHAggCCQInAgsCmAINAggCCAIIAnoAAAQACAIIAggCCAIIAggCCAIIAggCCAIIAggCCAIIAhkCAwLJAh4AAvsCAgIbAgQCBQIGAgcCCAIJAhwCCwKYAg0CCAIIAggCCAIIAggCCAIIAggCCAIIAggCCAIIAggCCAIIAhkCAwLVAh4AAvsCAgIbAgQCBQIGAgcCCAIJApsCCwKYAg0CCAIIAggCCAIIAggCCAIIAggCCAIIAggCCAIIAggCCAIIAhkCAwLOAh4AAvsCAgIpAgQCBQIGAgcCCAIJAhwCCwKYAg0CCAIIAggCCAIIAggCCAIIAggCCAIIAggCCAIIAggCCAIIAhkCAwLPAh4AAvsCAgIpAgQCBQIGAgcCCAIJApsCCwKYAg0CCAIIAggCCAIIAggCCAIIAggCCAIIAggCCAIIAggCCAIIAhkCAwLIAh4AAvsCAgItAgQCBQIGAgcCCAIJAicCCwKYAg0CCAIIAggCCAIIAggCCAIIAggCCAIIAggCCAIIAggCCAIIAhkCAwLWAh4AAvsCAgI6AgQCBQIGAgcCCAIJAicCCwKYAg0CCAIIAggCCAIIAggCCAIIAggCCAIIAggCCAIIAggCCAIIAhkCAwLYAh4AAvsCAgImAgQCBQIGAgcCCAIJApsCCwKYAg0CCAIIAggCCAIIAggCCAIIAggCCAIIAggCCAIIAggCCAIIAhkCAwLRAh4AAvsCAgJNAgQCBQIGAgcCCAIJAicCCwKYAg0CCAIIAggCCAIIAggCCAIIAggCCAIIAggCCAIIAggCCAIIAhkCAwLcAh4AAvsCAgI4AgQCBQIGAgcCCAIJAicCCwKYAg0CCAIIAggCCAIIAggCCAIIAggCCAIIAggCCAIIAggCCAIIAhkCAwLeAh4AAvsCAgIkAgQCBQIGAgcCCAIJApsCCwKYAg0CCAIIAggCCAIIAggCCAIIAggCCAIIAggCCAIIAggCCAIIAhkCAwLbAh4AAvsCAgIiAgQCBQIGAgcCCAIJAhwCCwKYAg0CCAIIAggCCAIIAggCCAIIAggCCAIIAggCCAIIAggCCAIIAhkCAwLaAh4AAvsCAgKCAgQCBQIGAgcCCAIJAicCCwKYAg0CCAIIAggCCAIIAggCCAIIAggCCAIIAggCCAIIAggCCAIIAhkCAwLlAh4AAvsCAgIiAgQCBQIGAgcCCAIJApsCCwKYAg0CCAIIAggCCAIIAggCCAIIAggCCAIIAggCCAIIAggCCAIIAhkCAwKcAh4AAvwACjEyMTYxNDExMjgCAgIbAgQCBQIGAgcCCAIJAhwCCwKYAg0CCAIIAggCCAIIAggCCAIIAggCCAIIAggCCAIIAggCCAIIAh0CAwLVAh4AAvwCAgI6AgQCBXoAAAQAAgYCBwIIAgkCmwILApgCDQIIAggCCAIIAggCCAIIAggCCAIIAggCCAIIAggCCAIIAggCHQIDArgCHgAC/AICAj8CBAIFAgYCBwIIAgkCHAILApgCDQIIAggCCAIIAggCCAIIAggCCAIIAggCCAIIAggCCAIIAggCHQIDAq8CHgAC/AICAiACBAIFAgYCBwIIAgkCHAILApgCDQIIAggCCAIIAggCCAIIAggCCAIIAggCCAIIAggCCAIIAggCHQIDAqsCHgAC/AICAisCBAIFAgYCBwIIAgkCmwILApgCDQIIAggCCAIIAggCCAIIAggCCAIIAggCCAIIAggCCAIIAggCHQIDAjECHgAC/AICAisCBAIFAgYCBwIIAgkCHAILApgCDQIIAggCCAIIAggCCAIIAggCCAIIAggCCAIIAggCCAIIAggCHQIDAtcCHgAC/AICAi0CBAIFAgYCBwIIAgkCmwILApgCDQIIAggCCAIIAggCCAIIAggCCAIIAggCCAIIAggCCAIIAggCHQIDArcCHgAC/AICAkECBAIFAgYCBwIIAgkCJwILApgCDQIIAggCCAIIAggCCAIIAggCCAIIAggCCAIIAggCCAIIAggCHQIDAqkCHgAC/AICAj0CBAIFAgYCBwIIAgkCJwILApgCDQIIAggCCAIIAggCCAIIAggCCAIIAggCCAIIAggCCAIIAggCHQIDAqwCHgAC/AICAjoCBAIFAgYCBwIIAgkCHAILApgCDQIIAggCCAIIAggCCAIIAggCCAIIAggCCAIIAggCCAIIAggCHQIDAp4CHgAC/AICAhsCBAIFAgYCBwIIAgkCmwILApgCDQIIAggCCAIIAggCCAIIAggCCAIIAggCCAIIAggCCAIIAggCHQIDAs4CHgAC/AICAjMCBAIFAgYCBwIIAgkCHAILApgCDQIIAggCCAIIAggCCAIIAggCCAIIAggCCAIIAggCCAIIAggCHQIDApoCHgAC/AICAjACBAIFAgYCBwIIAgkCHAILApgCDQIIAggCCAIIAggCCAIIAggCCAIIAggCCAIIAggCCAIIAggCHQIDAr0CHgAC/AICAiICBAIFAgYCBwIIAgkCmwILApgCDQIIAggCCAIIAggCCAIIAggCCAIIAggCCAIIAggCCAIIAggCHQIDApwCHgAC/AICAiACBAIFAgYCBwIIAgkCJwILApgCDQIIAggCCAIIAggCCAIIAggCCAIIAggCCAIIAggCCAIIAggCHQIDArwCHgAC/AICAikCBAIFAgYCBwIIAgkCHAILApgCDQIIAggCCAIIAggCCAIIAggCCAIIAggCCAIIAggCCAIIAggCHQIDAs8CHnoAAAQAAAL8AgICUgIEAgUCBgIHAggCCQInAgsCmAINAggCCAIIAggCCAIIAggCCAIIAggCCAIIAggCCAIIAggCCAIdAgMCtAIeAAL8AgICOAIEAgUCBgIHAggCCQInAgsCmAINAggCCAIIAggCCAIIAggCCAIIAggCCAIIAggCCAIIAggCCAIdAgMC3gIeAAL8AgICJgIEAgUCBgIHAggCCQIcAgsCmAINAggCCAIIAggCCAIIAggCCAIIAggCCAIIAggCCAIIAggCCAIdAgMC0wIeAAL8AgICAwIEAgUCBgIHAggCCQKbAgsCmAINAggCCAIIAggCCAIIAggCCAIIAggCCAIIAggCCAIIAggCCAIdAgMCogIeAAL8AgICJAIEAgUCBgIHAggCCQKbAgsCmAINAggCCAIIAggCCAIIAggCCAIIAggCCAIIAggCCAIIAggCCAIdAgMC2wIeAAL8AgICMAIEAgUCBgIHAggCCQKbAgsCmAINAggCCAIIAggCCAIIAggCCAIIAggCCAIIAggCCAIIAggCCAIdAgMCMQIeAAL8AgICMwIEAgUCBgIHAggCCQKbAgsCmAINAggCCAIIAggCCAIIAggCCAIIAggCCAIIAggCCAIIAggCCAIdAgMCugIeAAL8AgICIgIEAgUCBgIHAggCCQIcAgsCmAINAggCCAIIAggCCAIIAggCCAIIAggCCAIIAggCCAIIAggCCAIdAgMC2gIeAAL8AgICgAIEAgUCBgIHAggCCQKbAgsCmAINAggCCAIIAggCCAIIAggCCAIIAggCCAIIAggCCAIIAggCCAIdAgMCMQIeAAL8AgICKwIEAgUCBgIHAggCCQInAgsCmAINAggCCAIIAggCCAIIAggCCAIIAggCCAIIAggCCAIIAggCCAIdAgMCnQIeAAL8AgICTwIEAgUCBgIHAggCCQInAgsCmAINAggCCAIIAggCCAIIAggCCAIIAggCCAIIAggCCAIIAggCCAIdAgMCswIeAAL8AgICSAIEAgUCBgIHAggCCQKbAgsCmAINAggCCAIIAggCCAIIAggCCAIIAggCCAIIAggCCAIIAggCCAIdAgMCpwIeAAL8AgICTQIEAgUCBgIHAggCCQInAgsCmAINAggCCAIIAggCCAIIAggCCAIIAggCCAIIAggCCAIIAggCCAIdAgMC3AIeAAL8AgICGwIEAgUCBgIHAggCCQInAgsCmAINAggCCAIIAggCCAIIAggCCAIIAggCCAIIAggCCAIIAggCCAIdAgMCowIeAAL8AgICSAIEAgUCBgIHAggCCQIcAgsCmAINAggCCAIIAggCCAIIAggCCAIIAggCCAIIAggCCAIIAnoAAAQACAIIAh0CAwKlAh4AAvwCAgIeAgQCBQIGAgcCCAIJAhwCCwKYAg0CCAIIAggCCAIIAggCCAIIAggCCAIIAggCCAIIAggCCAIIAh0CAwK2Ah4AAvwCAgIeAgQCBQIGAgcCCAIJApsCCwKYAg0CCAIIAggCCAIIAggCCAIIAggCCAIIAggCCAIIAggCCAIIAh0CAwKhAh4AAvwCAgIkAgQCBQIGAgcCCAIJAhwCCwKYAg0CCAIIAggCCAIIAggCCAIIAggCCAIIAggCCAIIAggCCAIIAh0CAwLdAh4AAvwCAgIkAgQCBQIGAgcCCAIJAicCCwKYAg0CCAIIAggCCAIIAggCCAIIAggCCAIIAggCCAIIAggCCAIIAh0CAwKxAh4AAvwCAgIiAgQCBQIGAgcCCAIJAicCCwKYAg0CCAIIAggCCAIIAggCCAIIAggCCAIIAggCCAIIAggCCAIIAh0CAwKtAh4AAvwCAgJSAgQCBQIGAgcCCAIJAhwCCwKYAg0CCAIIAggCCAIIAggCCAIIAggCCAIIAggCCAIIAggCCAIIAh0CAwK/Ah4AAvwCAgJPAgQCBQIGAgcCCAIJAhwCCwKYAg0CCAIIAggCCAIIAggCCAIIAggCCAIIAggCCAIIAggCCAIIAh0CAwLFAh4AAvwCAgIgAgQCBQIGAgcCCAIJApsCCwKYAg0CCAIIAggCCAIIAggCCAIIAggCCAIIAggCCAIIAggCCAIIAh0CAwLMAh4AAvwCAgJPAgQCBQIGAgcCCAIJApsCCwKYAg0CCAIIAggCCAIIAggCCAIIAggCCAIIAggCCAIIAggCCAIIAh0CAwLDAh4AAvwCAgI/AgQCBQIGAgcCCAIJApsCCwKYAg0CCAIIAggCCAIIAggCCAIIAggCCAIIAggCCAIIAggCCAIIAh0CAwLNAh4AAvwCAgJFAgQCBQIGAgcCCAIJApsCCwKYAg0CCAIIAggCCAIIAggCCAIIAggCCAIIAggCCAIIAggCCAIIAh0CAwIxAh4AAvwCAgIDAgQCBQIGAgcCCAIJAicCCwKYAg0CCAIIAggCCAIIAggCCAIIAggCCAIIAggCCAIIAggCCAIIAh0CAwLQAh4AAvwCAgIpAgQCBQIGAgcCCAIJAicCCwKYAg0CCAIIAggCCAIIAggCCAIIAggCCAIIAggCCAIIAggCCAIIAh0CAwKgAh4AAvwCAgImAgQCBQIGAgcCCAIJAicCCwKYAg0CCAIIAggCCAIIAggCCAIIAggCCAIIAggCCAIIAggCCAIIAh0CAwKmAh4AAvwCAgJIAgQCBQIGAgcCCAIJAicCCwKYAg0CCAIIAggCCAIIAggCCAIIAggCCHoAAAQAAggCCAIIAggCCAIIAggCHQIDArUCHgAC/AICAkUCBAIFAgYCBwIIAgkCHAILApgCDQIIAggCCAIIAggCCAIIAggCCAIIAggCCAIIAggCCAIIAggCHQIDAuwCHgAC/AICAksCBAIFAgYCBwIIAgkCHAILApgCDQIIAggCCAIIAggCCAIIAggCCAIIAggCCAIIAggCCAIIAggCHQIDAtQCHgAC/AICAoACBAIFAgYCBwIIAgkCJwILApgCDQIIAggCCAIIAggCCAIIAggCCAIIAggCCAIIAggCCAIIAggCHQIDAuMCHgAC/AICAk0CBAIFAgYCBwIIAgkCHAILApgCDQIIAggCCAIIAggCCAIIAggCCAIIAggCCAIIAggCCAIIAggCHQIDAsYCHgAC/AICAksCBAIFAgYCBwIIAgkCmwILApgCDQIIAggCCAIIAggCCAIIAggCCAIIAggCCAIIAggCCAIIAggCHQIDAtICHgAC/AICAjUCBAIFAgYCBwIIAgkCmwILApgCDQIIAggCCAIIAggCCAIIAggCCAIIAggCCAIIAggCCAIIAggCHQIDAjECHgAC/AICAlICBAIFAgYCBwIIAgkCmwILApgCDQIIAggCCAIIAggCCAIIAggCCAIIAggCCAIIAggCCAIIAggCHQIDAsQCHgAC/AICAlgCBAIFAgYCBwIIAgkCJwILApgCDQIIAggCCAIIAggCCAIIAggCCAIIAggCCAIIAggCCAIIAggCHQIDAuECHgAC/AICAlkCBAIFAgYCBwIIAgkCJwILApgCDQIIAggCCAIIAggCCAIIAggCCAIIAggCCAIIAggCCAIIAggCHQIDAtkCHgAC/AICAlgCBAIFAgYCBwIIAgkCHAILApgCDQIIAggCCAIIAggCCAIIAggCCAIIAggCCAIIAggCCAIIAggCHQIDAuoCHgAC/AICAjUCBAIFAgYCBwIIAgkCHAILApgCDQIIAggCCAIIAggCCAIIAggCCAIIAggCCAIIAggCCAIIAggCHQIDAsACHgAC/AICAkECBAIFAgYCBwIIAgkCmwILApgCDQIIAggCCAIIAggCCAIIAggCCAIIAggCCAIIAggCCAIIAggCHQIDArsCHgAC/AICAkUCBAIFAgYCBwIIAgkCJwILApgCDQIIAggCCAIIAggCCAIIAggCCAIIAggCCAIIAggCCAIIAggCHQIDAuQCHgAC/AICAj0CBAIFAgYCBwIIAgkCmwILApgCDQIIAggCCAIIAggCCAIIAggCCAIIAggCCAIIAggCCAIIAggCHQIDAsECHgAC/AICAoACBAIFAgYCBwIIAgkCHAILApgCDQIIAggCCAIIAnoAAAQACAIIAggCCAIIAggCCAIIAggCCAIIAggCCAIdAgMC7QIeAAL8AgICLQIEAgUCBgIHAggCCQInAgsCmAINAggCCAIIAggCCAIIAggCCAIIAggCCAIIAggCCAIIAggCCAIdAgMC1gIeAAL8AgICSwIEAgUCBgIHAggCCQInAgsCmAINAggCCAIIAggCCAIIAggCCAIIAggCCAIIAggCCAIIAggCCAIdAgMCwgIeAAL8AgICPQIEAgUCBgIHAggCCQIcAgsCmAINAggCCAIIAggCCAIIAggCCAIIAggCCAIIAggCCAIIAggCCAIdAgMCuQIeAAL8AgICQQIEAgUCBgIHAggCCQIcAgsCmAINAggCCAIIAggCCAIIAggCCAIIAggCCAIIAggCCAIIAggCCAIdAgMCvgIeAAL8AgICOgIEAgUCBgIHAggCCQInAgsCmAINAggCCAIIAggCCAIIAggCCAIIAggCCAIIAggCCAIIAggCCAIdAgMC2AIeAAL8AgICAwIEAgUCBgIHAggCCQIcAgsCmAINAggCCAIIAggCCAIIAggCCAIIAggCCAIIAggCCAIIAggCCAIdAgMCnwIeAAL8AgICJgIEAgUCBgIHAggCCQKbAgsCmAINAggCCAIIAggCCAIIAggCCAIIAggCCAIIAggCCAIIAggCCAIdAgMC0QIeAAL8AgICNQIEAgUCBgIHAggCCQInAgsCmAINAggCCAIIAggCCAIIAggCCAIIAggCCAIIAggCCAIIAggCCAIdAgMCyQIeAAL8AgICMAIEAgUCBgIHAggCCQInAgsCmAINAggCCAIIAggCCAIIAggCCAIIAggCCAIIAggCCAIIAggCCAIdAgMCqgIeAAL8AgICMwIEAgUCBgIHAggCCQInAgsCmAINAggCCAIIAggCCAIIAggCCAIIAggCCAIIAggCCAIIAggCCAIdAgMCrgIeAAL8AgICWAIEAgUCBgIHAggCCQKbAgsCmAINAggCCAIIAggCCAIIAggCCAIIAggCCAIIAggCCAIIAggCCAIdAgMCMQIeAAL8AgICKQIEAgUCBgIHAggCCQKbAgsCmAINAggCCAIIAggCCAIIAggCCAIIAggCCAIIAggCCAIIAggCCAIdAgMCyAIeAAL8AgICPwIEAgUCBgIHAggCCQInAgsCmAINAggCCAIIAggCCAIIAggCCAIIAggCCAIIAggCCAIIAggCCAIdAgMCmQIeAAL8AgICOAIEAgUCBgIHAggCCQIcAgsCmAINAggCCAIIAggCCAIIAggCCAIIAggCCAIIAggCCAIIAggCCAIdAgMCsAIeAAL8AgICWQIEAgUCBgIHAggCCQIcAgsCmHoAAAQAAg0CCAIIAggCCAIIAggCCAIIAggCCAIIAggCCAIIAggCCAIIAh0CAwLLAh4AAvwCAgJZAgQCBQIGAgcCCAIJApsCCwKYAg0CCAIIAggCCAIIAggCCAIIAggCCAIIAggCCAIIAggCCAIIAh0CAwKoAh4AAvwCAgItAgQCBQIGAgcCCAIJAhwCCwKYAg0CCAIIAggCCAIIAggCCAIIAggCCAIIAggCCAIIAggCCAIIAh0CAwKkAh4AAvwCAgJNAgQCBQIGAgcCCAIJApsCCwKYAg0CCAIIAggCCAIIAggCCAIIAggCCAIIAggCCAIIAggCCAIIAh0CAwLKAh4AAvwCAgI4AgQCBQIGAgcCCAIJApsCCwKYAg0CCAIIAggCCAIIAggCCAIIAggCCAIIAggCCAIIAggCCAIIAh0CAwKyAh4AAvwCAgIeAgQCBQIGAgcCCAIJAicCCwKYAg0CCAIIAggCCAIIAggCCAIIAggCCAIIAggCCAIIAggCCAIIAh0CAwLHAh4AAv0ACjEyMTYxMzg4MDgCAgJLAgQCBQIGAgcCCAIJApsCCwKYAg0CCAIIAggCCAIIAggCCAIIAggCCAIIAggCCAIIAggCCAIIAhsCAwLSAh4AAv0CAgJFAgQCBQIGAgcCCAIJApsCCwKYAg0CCAIIAggCCAIIAggCCAIIAggCCAIIAggCCAIIAggCCAIIAhsCAwIxAh4AAv0CAgIeAgQCBQIGAgcCCAIJAicCCwKYAg0CCAIIAggCCAIIAggCCAIIAggCCAIIAggCCAIIAggCCAIIAhsCAwLHAh4AAv0CAgJYAgQCBQIGAgcCCAIJAhwCCwKYAg0CCAIIAggCCAIIAggCCAIIAggCCAIIAggCCAIIAggCCAIIAhsCAwLqAh4AAv0CAgIDAgQCBQIGAgcCCAIJAicCCwKYAg0CCAIIAggCCAIIAggCCAIIAggCCAIIAggCCAIIAggCCAIIAhsCAwLQAh4AAv0CAgKEAgQCBQIGAgcCCAIJAicCCwKYAg0CCAIIAggCCAIIAggCCAIIAggCCAIIAggCCAIIAggCCAIIAhsCAwLiAh4AAv0CAgIkAgQCBQIGAgcCCAIJAicCCwKYAg0CCAIIAggCCAIIAggCCAIIAggCCAIIAggCCAIIAggCCAIIAhsCAwKxAh4AAv0CAgJLAgQCBQIGAgcCCAIJAhwCCwKYAg0CCAIIAggCCAIIAggCCAIIAggCCAIIAggCCAIIAggCCAIIAhsCAwLUAh4AAv0CAgJIAgQCBQIGAgcCCAIJAicCCwKYAg0CCAIIAggCCAIIAggCCAIIAggCCAIIAggCCAIIAggCCAIIAhsCAwK1Ah4AAnoAAAQA/QICAlICBAIFAgYCBwIIAgkCmwILApgCDQIIAggCCAIIAggCCAIIAggCCAIIAggCCAIIAggCCAIIAggCGwIDAsQCHgAC/QICAh4CBAIFAgYCBwIIAgkCHAILApgCDQIIAggCCAIIAggCCAIIAggCCAIIAggCCAIIAggCCAIIAggCGwIDArYCHgAC/QICAlkCBAIFAgYCBwIIAgkCJwILApgCDQIIAggCCAIIAggCCAIIAggCCAIIAggCCAIIAggCCAIIAggCGwIDAtkCHgAC/QICAoACBAIFAgYCBwIIAgkCHAILApgCDQIIAggCCAIIAggCCAIIAggCCAIIAggCCAIIAggCCAIIAggCGwIDAu0CHgAC/QICAi0CBAIFAgYCBwIIAgkCJwILApgCDQIIAggCCAIIAggCCAIIAggCCAIIAggCCAIIAggCCAIIAggCGwIDAtYCHgAC/QICAjUCBAIFAgYCBwIIAgkCmwILApgCDQIIAggCCAIIAggCCAIIAggCCAIIAggCCAIIAggCCAIIAggCGwIDAjECHgAC/QICAjUCBAIFAgYCBwIIAgkCHAILApgCDQIIAggCCAIIAggCCAIIAggCCAIIAggCCAIIAggCCAIIAggCGwIDAsACHgAC/QICAkECBAIFAgYCBwIIAgkCmwILApgCDQIIAggCCAIIAggCCAIIAggCCAIIAggCCAIIAggCCAIIAggCGwIDArsCHgAC/QICAiACBAIFAgYCBwIIAgkCJwILApgCDQIIAggCCAIIAggCCAIIAggCCAIIAggCCAIIAggCCAIIAggCGwIDArwCHgAC/QICAj8CBAIFAgYCBwIIAgkCJwILApgCDQIIAggCCAIIAggCCAIIAggCCAIIAggCCAIIAggCCAIIAggCGwIDApkCHgAC/QICAjoCBAIFAgYCBwIIAgkCJwILApgCDQIIAggCCAIIAggCCAIIAggCCAIIAggCCAIIAggCCAIIAggCGwIDAtgCHgAC/QICAgMCBAIFAgYCBwIIAgkCHAILApgCDQIIAggCCAIIAggCCAIIAggCCAIIAggCCAIIAggCCAIIAggCGwIDAp8CHgAC/QICAiYCBAIFAgYCBwIIAgkCmwILApgCDQIIAggCCAIIAggCCAIIAggCCAIIAggCCAIIAggCCAIIAggCGwIDAtECHgAC/QICAgMCBAIFAgYCBwIIAgkCmwILApgCDQIIAggCCAIIAggCCAIIAggCCAIIAggCCAIIAggCCAIIAggCGwIDAqICHgAC/QICAikCBAIFAgYCBwIIAgkCmwILApgCDQIIAggCCAIIAggCCAIIAggCCAIIAggCCAIIAggCCAIIAnoAAAQACAIbAgMCyAIeAAL9AgICOgIEAgUCBgIHAggCCQIcAgsCmAINAggCCAIIAggCCAIIAggCCAIIAggCCAIIAggCCAIIAggCCAIbAgMCngIeAAL9AgICNQIEAgUCBgIHAggCCQInAgsCmAINAggCCAIIAggCCAIIAggCCAIIAggCCAIIAggCCAIIAggCCAIbAgMCyQIeAAL9AgICWQIEAgUCBgIHAggCCQKbAgsCmAINAggCCAIIAggCCAIIAggCCAIIAggCCAIIAggCCAIIAggCCAIbAgMCqAIeAAL9AgICMwIEAgUCBgIHAggCCQInAgsCmAINAggCCAIIAggCCAIIAggCCAIIAggCCAIIAggCCAIIAggCCAIbAgMCrgIeAAL9AgICLQIEAgUCBgIHAggCCQIcAgsCmAINAggCCAIIAggCCAIIAggCCAIIAggCCAIIAggCCAIIAggCCAIbAgMCpAIeAAL9AgICWAIEAgUCBgIHAggCCQKbAgsCmAINAggCCAIIAggCCAIIAggCCAIIAggCCAIIAggCCAIIAggCCAIbAgMCMQIeAAL9AgICMAIEAgUCBgIHAggCCQInAgsCmAINAggCCAIIAggCCAIIAggCCAIIAggCCAIIAggCCAIIAggCCAIbAgMCqgIeAAL9AgICgAIEAgUCBgIHAggCCQInAgsCmAINAggCCAIIAggCCAIIAggCCAIIAggCCAIIAggCCAIIAggCCAIbAgMC4wIeAAL9AgICWQIEAgUCBgIHAggCCQIcAgsCmAINAggCCAIIAggCCAIIAggCCAIIAggCCAIIAggCCAIIAggCCAIbAgMCywIeAAL9AgICOAIEAgUCBgIHAggCCQIcAgsCmAINAggCCAIIAggCCAIIAggCCAIIAggCCAIIAggCCAIIAggCCAIbAgMCsAIeAAL9AgICOAIEAgUCBgIHAggCCQKbAgsCmAINAggCCAIIAggCCAIIAggCCAIIAggCCAIIAggCCAIIAggCCAIbAgMCsgIeAAL9AgICTQIEAgUCBgIHAggCCQKbAgsCmAINAggCCAIIAggCCAIIAggCCAIIAggCCAIIAggCCAIIAggCCAIbAgMCygIeAAL9AgICTQIEAgUCBgIHAggCCQIcAgsCmAINAggCCAIIAggCCAIIAggCCAIIAggCCAIIAggCCAIIAggCCAIbAgMCxgIeAAL9AgICPQIEAgUCBgIHAggCCQInAgsCmAINAggCCAIIAggCCAIIAggCCAIIAggCCAIIAggCCAIIAggCCAIbAgMCrAIeAAL9AgICQQIEAgUCBgIHAggCCQInAgsCmAINAggCCAIIAggCCAIIAggCCAIIAggCCHoAAAQAAggCCAIIAggCCAIIAhsCAwKpAh4AAv0CAgIrAgQCBQIGAgcCCAIJApsCCwKYAg0CCAIIAggCCAIIAggCCAIIAggCCAIIAggCCAIIAggCCAIIAhsCAwIxAh4AAv0CAgIbAgQCBQIGAgcCCAIJApsCCwKYAg0CCAIIAggCCAIIAggCCAIIAggCCAIIAggCCAIIAggCCAIIAhsCAwLOAh4AAv0CAgI/AgQCBQIGAgcCCAIJAhwCCwKYAg0CCAIIAggCCAIIAggCCAIIAggCCAIIAggCCAIIAggCCAIIAhsCAwKvAh4AAv0CAgItAgQCBQIGAgcCCAIJApsCCwKYAg0CCAIIAggCCAIIAggCCAIIAggCCAIIAggCCAIIAggCCAIIAhsCAwK3Ah4AAv0CAgI6AgQCBQIGAgcCCAIJApsCCwKYAg0CCAIIAggCCAIIAggCCAIIAggCCAIIAggCCAIIAggCCAIIAhsCAwK4Ah4AAv0CAgIrAgQCBQIGAgcCCAIJAhwCCwKYAg0CCAIIAggCCAIIAggCCAIIAggCCAIIAggCCAIIAggCCAIIAhsCAwLXAh4AAv0CAgImAgQCBQIGAgcCCAIJAhwCCwKYAg0CCAIIAggCCAIIAggCCAIIAggCCAIIAggCCAIIAggCCAIIAhsCAwLTAh4AAv0CAgIbAgQCBQIGAgcCCAIJAhwCCwKYAg0CCAIIAggCCAIIAggCCAIIAggCCAIIAggCCAIIAggCCAIIAhsCAwLVAh4AAv0CAgIpAgQCBQIGAgcCCAIJAhwCCwKYAg0CCAIIAggCCAIIAggCCAIIAggCCAIIAggCCAIIAggCCAIIAhsCAwLPAh4AAv0CAgIwAgQCBQIGAgcCCAIJApsCCwKYAg0CCAIIAggCCAIIAggCCAIIAggCCAIIAggCCAIIAggCCAIIAhsCAwIxAh4AAv0CAgIzAgQCBQIGAgcCCAIJApsCCwKYAg0CCAIIAggCCAIIAggCCAIIAggCCAIIAggCCAIIAggCCAIIAhsCAwK6Ah4AAv0CAgJSAgQCBQIGAgcCCAIJAicCCwKYAg0CCAIIAggCCAIIAggCCAIIAggCCAIIAggCCAIIAggCCAIIAhsCAwK0Ah4AAv0CAgJPAgQCBQIGAgcCCAIJAicCCwKYAg0CCAIIAggCCAIIAggCCAIIAggCCAIIAggCCAIIAggCCAIIAhsCAwKzAh4AAv0CAgKEAgQCBQIGAgcCCAIJApsCCwKYAg0CCAIIAggCCAIIAggCCAIIAggCCAIIAggCCAIIAggCCAIIAhsCAwIxAh4AAv0CAgIzAgQCBQIGAgcCCAIJAhwCCwKYAg0CCAIIAggCCAIIAnoAAAQACAIIAggCCAIIAggCCAIIAggCCAIIAggCGwIDApoCHgAC/QICAiICBAIFAgYCBwIIAgkCmwILApgCDQIIAggCCAIIAggCCAIIAggCCAIIAggCCAIIAggCCAIIAggCGwIDApwCHgAC/QICAiQCBAIFAgYCBwIIAgkCmwILApgCDQIIAggCCAIIAggCCAIIAggCCAIIAggCCAIIAggCCAIIAggCGwIDAtsCHgAC/QICAjACBAIFAgYCBwIIAgkCHAILApgCDQIIAggCCAIIAggCCAIIAggCCAIIAggCCAIIAggCCAIIAggCGwIDAr0CHgAC/QICAkECBAIFAgYCBwIIAgkCHAILApgCDQIIAggCCAIIAggCCAIIAggCCAIIAggCCAIIAggCCAIIAggCGwIDAr4CHgAC/QICAjgCBAIFAgYCBwIIAgkCJwILApgCDQIIAggCCAIIAggCCAIIAggCCAIIAggCCAIIAggCCAIIAggCGwIDAt4CHgAC/QICAj0CBAIFAgYCBwIIAgkCHAILApgCDQIIAggCCAIIAggCCAIIAggCCAIIAggCCAIIAggCCAIIAggCGwIDArkCHgAC/QICAiICBAIFAgYCBwIIAgkCHAILApgCDQIIAggCCAIIAggCCAIIAggCCAIIAggCCAIIAggCCAIIAggCGwIDAtoCHgAC/QICAj0CBAIFAgYCBwIIAgkCmwILApgCDQIIAggCCAIIAggCCAIIAggCCAIIAggCCAIIAggCCAIIAggCGwIDAsECHgAC/QICAkUCBAIFAgYCBwIIAgkCJwILApgCDQIIAggCCAIIAggCCAIIAggCCAIIAggCCAIIAggCCAIIAggCGwIDAuQCHgAC/QICAhsCBAIFAgYCBwIIAgkCJwILApgCDQIIAggCCAIIAggCCAIIAggCCAIIAggCCAIIAggCCAIIAggCGwIDAqMCHgAC/QICAiQCBAIFAgYCBwIIAgkCHAILApgCDQIIAggCCAIIAggCCAIIAggCCAIIAggCCAIIAggCCAIIAggCGwIDAt0CHgAC/QICAk0CBAIFAgYCBwIIAgkCJwILApgCDQIIAggCCAIIAggCCAIIAggCCAIIAggCCAIIAggCCAIIAggCGwIDAtwCHgAC/QICAoACBAIFAgYCBwIIAgkCmwILApgCDQIIAggCCAIIAggCCAIIAggCCAIIAggCCAIIAggCCAIIAggCGwIDAjECHgAC/QICAksCBAIFAgYCBwIIAgkCJwILApgCDQIIAggCCAIIAggCCAIIAggCCAIIAggCCAIIAggCCAIIAggCGwIDAsICHgAC/QICAoQCBAIFAgYCBwIIAgkCHAILApgCDXoAAAQAAggCCAIIAggCCAIIAggCCAIIAggCCAIIAggCCAIIAggCCAIbAgMC6wIeAAL9AgICKwIEAgUCBgIHAggCCQInAgsCmAINAggCCAIIAggCCAIIAggCCAIIAggCCAIIAggCCAIIAggCCAIbAgMCnQIeAAL9AgICTwIEAgUCBgIHAggCCQIcAgsCmAINAggCCAIIAggCCAIIAggCCAIIAggCCAIIAggCCAIIAggCCAIbAgMCxQIeAAL9AgICHgIEAgUCBgIHAggCCQKbAgsCmAINAggCCAIIAggCCAIIAggCCAIIAggCCAIIAggCCAIIAggCCAIbAgMCoQIeAAL9AgICWAIEAgUCBgIHAggCCQInAgsCmAINAggCCAIIAggCCAIIAggCCAIIAggCCAIIAggCCAIIAggCCAIbAgMC4QIeAAL9AgICSAIEAgUCBgIHAggCCQKbAgsCmAINAggCCAIIAggCCAIIAggCCAIIAggCCAIIAggCCAIIAggCCAIbAgMCpwIeAAL9AgICSAIEAgUCBgIHAggCCQIcAgsCmAINAggCCAIIAggCCAIIAggCCAIIAggCCAIIAggCCAIIAggCCAIbAgMCpQIeAAL9AgICUgIEAgUCBgIHAggCCQIcAgsCmAINAggCCAIIAggCCAIIAggCCAIIAggCCAIIAggCCAIIAggCCAIbAgMCvwIeAAL9AgICTwIEAgUCBgIHAggCCQKbAgsCmAINAggCCAIIAggCCAIIAggCCAIIAggCCAIIAggCCAIIAggCCAIbAgMCwwIeAAL9AgICKQIEAgUCBgIHAggCCQInAgsCmAINAggCCAIIAggCCAIIAggCCAIIAggCCAIIAggCCAIIAggCCAIbAgMCoAIeAAL9AgICJgIEAgUCBgIHAggCCQInAgsCmAINAggCCAIIAggCCAIIAggCCAIIAggCCAIIAggCCAIIAggCCAIbAgMCpgIeAAL9AgICIgIEAgUCBgIHAggCCQInAgsCmAINAggCCAIIAggCCAIIAggCCAIIAggCCAIIAggCCAIIAggCCAIbAgMCrQIeAAL9AgICRQIEAgUCBgIHAggCCQIcAgsCmAINAggCCAIIAggCCAIIAggCCAIIAggCCAIIAggCCAIIAggCCAIbAgMC7AIeAAL9AgICPwIEAgUCBgIHAggCCQKbAgsCmAINAggCCAIIAggCCAIIAggCCAIIAggCCAIIAggCCAIIAggCCAIbAgMCzQIeAAL9AgICIAIEAgUCBgIHAggCCQKbAgsCmAINAggCCAIIAggCCAIIAggCCAIIAggCCAIIAggCCAIIAggCCAIbAgMCzAIeAAL9AgICIAIEAgUCBgIHAneMCAIJAhwCCwKYAg0CCAIIAggCCAIIAggCCAIIAggCCAIIAggCCAIIAggCCAIIAhsCAwKrAh4AAv4ACTg0MzkzOTQ4OAICAv8ABjIwMTMxMgIEAgUCBgIHAggCCQIKAgsCDAINAggCCAIIAggCCAIIAggCCAIIAggCCAIIAggCCAIIAggCCAIqAgMEAAFzcQB+AAAAAAACc3EAfgAE///////////////+/////v////91cQB+AAcAAAADFOXkeHh6AAAEAAIeAAQBAQAJODQ1NjQ1MTA0AgICQQIEAgUCBgIHAggCCQIKAgsCDAINAggCCAIIAggCCAIIAggCCAIIAggCCAIIAggCCAIIAggCCAIiAgMCYQIeAAQBAQICAh4CBAIFAgYCBwIIAgkCJwILAgwCDQIIAggCCAIIAggCCAIIAggCCAIIAggCCAIIAggCCAIIAggCIgIDAmICHgAEAQECAgI9AgQCBQIGAgcCCAIJAgoCCwIMAg0CCAIIAggCCAIIAggCCAIIAggCCAIIAggCCAIIAggCCAIIAiICAwJgAh4ABAEBAgICSAIEAgUCBgIHAggCCQInAgsCDAINAggCCAIIAggCCAIIAggCCAIIAggCCAIIAggCCAIIAggCCAIiAgMCYwIeAAQBAQICAksCBAIFAgYCBwIIAgkCHAILAgwCDQIIAggCCAIIAggCCAIIAggCCAIIAggCCAIIAggCCAIIAggCIgIDAmYCHgAEAQECAgJNAgQCBQIGAgcCCAIJAhwCCwIMAg0CCAIIAggCCAIIAggCCAIIAggCCAIIAggCCAIIAggCCAIIAiICAwJkAh4ABAEBAgICAwIEAgUCBgIHAggCCQInAgsCDAINAggCCAIIAggCCAIIAggCCAIIAggCCAIIAggCCAIIAggCCAIiAgMCZQIeAAQBAQICAjUCBAIFAgYCBwIIAgkCHAILAgwCDQIIAggCCAIIAggCCAIIAggCCAIIAggCCAIIAggCCAIIAggCIgIDAlUCHgAEAQECAgJZAgQCBQIGAgcCCAIJAicCCwIMAg0CCAIIAggCCAIIAggCCAIIAggCCAIIAggCCAIIAggCCAIIAiICAwJ6Ah4ABAEBAgICKQIEAgUCBgIHAggCCQIKAgsCDAINAggCCAIIAggCCAIIAggCCAIIAggCCAIIAggCCAIIAggCCAIiAgMCVwIeAAQBAQICAiYCBAIFAgYCBwIIAgkCCgILAgwCDQIIAggCCAIIAggCCAIIAggCCAIIAggCCAIIAggCCAIIAggCIgIDAlwCHgAEAQECAgJPAgQCBQIGAgcCCAIJAhwCCwIMAg0CCAIIAggCCAIIAggCCAIIAggCCAIIAggCCAIIAggCCAIIAiICAwJ2Ah4ABAEBAgICUgIEAgUCBgIHAggCCQIcAgsCDAINAggCCAIIAggCCAIIAggCCAIIAggCCAIIAggCCAIIAggCCAIiAgMCewIeAAQBAQICAj0CBAIFAgYCBwIIAgkCHAILAgwCDQIIAggCCAIIAggCCAIIAggCCAIIAggCCAIIAggCCAIIAggCIgIDAkcCHgAEAQECAgIrAgQCBQIGAgcCCAIJAicCCwIMAg0CCAJ6AAAEAAgCCAIIAggCCAIIAggCCAIIAggCCAIIAggCCAIIAggCIgIDAlECHgAEAQECAgIbAgQCBQIGAgcCCAIJAicCCwIMAg0CCAIIAggCCAIIAggCCAIIAggCCAIIAggCCAIIAggCCAIIAiICAwJEAh4ABAEBAgICQQIEAgUCBgIHAggCCQIcAgsCDAINAggCCAIIAggCCAIIAggCCAIIAggCCAIIAggCCAIIAggCCAIiAgMCQwIeAAQBAQICAh4CBAIFAgYCBwIIAgkCHAILAgwCDQIIAggCCAIIAggCCAIIAggCCAIIAggCCAIIAggCCAIIAggCIgIDAkoCHgAEAQECAgJZAgQCBQIGAgcCCAIJAgoCCwIMAg0CCAIIAggCCAIIAggCCAIIAggCCAIIAggCCAIIAggCCAIIAiICAwJaAh4ABAEBAgICTwIEAgUCBgIHAggCCQInAgsCDAINAggCCAIIAggCCAIIAggCCAIIAggCCAIIAggCCAIIAggCCAIiAgMCUAIeAAQBAQICAksCBAIFAgYCBwIIAgkCJwILAgwCDQIIAggCCAIIAggCCAIIAggCCAIIAggCCAIIAggCCAIIAggCIgIDAkwCHgAEAQECAgJNAgQCBQIGAgcCCAIJAgoCCwIMAg0CCAIIAggCCAIIAggCCAIIAggCCAIIAggCCAIIAggCCAIIAiICAwJOAh4ABAEBAgICOAIEAgUCBgIHAggCCQIKAgsCDAINAggCCAIIAggCCAIIAggCCAIIAggCCAIIAggCCAIIAggCCAIiAgMCVAIeAAQBAQICAjUCBAIFAgYCBwIIAgkCCgILAgwCDQIIAggCCAIIAggCCAIIAggCCAIIAggCCAIIAggCCAIIAggCIgIDAjECHgAEAQECAgIwAgQCBQIGAgcCCAIJAgoCCwIMAg0CCAIIAggCCAIIAggCCAIIAggCCAIIAggCCAIIAggCCAIIAiICAwIxAh4ABAEBAgICIgIEAgUCBgIHAggCCQInAgsCDAINAggCCAIIAggCCAIIAggCCAIIAggCCAIIAggCCAIIAggCCAIiAgMCbQIeAAQBAQICAlICBAIFAgYCBwIIAgkCJwILAgwCDQIIAggCCAIIAggCCAIIAggCCAIIAggCCAIIAggCCAIIAggCIgIDAlMCHgAEAQECAgJIAgQCBQIGAgcCCAIJAhwCCwIMAg0CCAIIAggCCAIIAggCCAIIAggCCAIIAggCCAIIAggCCAIIAiICAwJJAh4ABAEBAgICLQIEAgUCBgIHAggCCQIKAgsCDAINAggCCAIIAggCCAIIAggCCAIIAggCCAIIAggCCAIIAggCCAIiAgMCNwIeAAQBAQJ6AAAEAAICJAIEAgUCBgIHAggCCQInAgsCDAINAggCCAIIAggCCAIIAggCCAIIAggCCAIIAggCCAIIAggCCAIiAgMCbwIeAAQBAQICAjoCBAIFAgYCBwIIAgkCCgILAgwCDQIIAggCCAIIAggCCAIIAggCCAIIAggCCAIIAggCCAIIAggCIgIDAjsCHgAEAQECAgIDAgQCBQIGAgcCCAIJAgoCCwIMAg0CCAIIAggCCAIIAggCCAIIAggCCAIIAggCCAIIAggCCAIIAiICAwIOAh4ABAEBAgICIAIEAgUCBgIHAggCCQIcAgsCDAINAggCCAIIAggCCAIIAggCCAIIAggCCAIIAggCCAIIAggCCAIiAgMCIQIeAAQBAQICAisCBAIFAgYCBwIIAgkCHAILAgwCDQIIAggCCAIIAggCCAIIAggCCAIIAggCCAIIAggCCAIIAggCIgIDAiwCHgAEAQECAgI9AgQCBQIGAgcCCAIJAicCCwIMAg0CCAIIAggCCAIIAggCCAIIAggCCAIIAggCCAIIAggCCAIIAiICAwI+Ah4ABAEBAgICPwIEAgUCBgIHAggCCQIcAgsCDAINAggCCAIIAggCCAIIAggCCAIIAggCCAIIAggCCAIIAggCCAIiAgMCQAIeAAQBAQICAiICBAIFAgYCBwIIAgkCCgILAgwCDQIIAggCCAIIAggCCAIIAggCCAIIAggCCAIIAggCCAIIAggCIgIDAiMCHgAEAQECAgIkAgQCBQIGAgcCCAIJAgoCCwIMAg0CCAIIAggCCAIIAggCCAIIAggCCAIIAggCCAIIAggCCAIIAiICAwIlAh4ABAEBAgICJgIEAgUCBgIHAggCCQInAgsCDAINAggCCAIIAggCCAIIAggCCAIIAggCCAIIAggCCAIIAggCCAIiAgMCKAIeAAQBAQICAikCBAIFAgYCBwIIAgkCJwILAgwCDQIIAggCCAIIAggCCAIIAggCCAIIAggCCAIIAggCCAIIAggCIgIDAioCHgAEAQECAgI4AgQCBQIGAgcCCAIJAhwCCwIMAg0CCAIIAggCCAIIAggCCAIIAggCCAIIAggCCAIIAggCCAIIAiICAwI5Ah4ABAEBAgICOAIEAgUCBgIHAggCCQInAgsCDAINAggCCAIIAggCCAIIAggCCAIIAggCCAIIAggCCAIIAggCCAIiAgMCeQIeAAQBAQICAjMCBAIFAgYCBwIIAgkCCgILAgwCDQIIAggCCAIIAggCCAIIAggCCAIIAggCCAIIAggCCAIIAggCIgIDAjQCHgAEAQECAgIzAgQCBQIGAgcCCAIJAhwCCwIMAg0CCAIIAggCCAIIAggCCAIIAggCCAJ6AAAEAAgCCAIIAggCCAIIAggCIgIDAl0CHgAEAQECAgItAgQCBQIGAgcCCAIJAhwCCwIMAg0CCAIIAggCCAIIAggCCAIIAggCCAIIAggCCAIIAggCCAIIAiICAwIuAh4ABAEBAgICOgIEAgUCBgIHAggCCQIcAgsCDAINAggCCAIIAggCCAIIAggCCAIIAggCCAIIAggCCAIIAggCCAIiAgMCWwIeAAQBAQICAjACBAIFAgYCBwIIAgkCHAILAgwCDQIIAggCCAIIAggCCAIIAggCCAIIAggCCAIIAggCCAIIAggCIgIDAlYCHgAEAQECAgIgAgQCBQIGAgcCCAIJAicCCwIMAg0CCAIIAggCCAIIAggCCAIIAggCCAIIAggCCAIIAggCCAIIAiICAwJeAh4ABAEBAgICPwIEAgUCBgIHAggCCQInAgsCDAINAggCCAIIAggCCAIIAggCCAIIAggCCAIIAggCCAIIAggCCAIiAgMCXwIeAAQBAQICAh4CBAIFAgYCBwIIAgkCCgILAgwCDQIIAggCCAIIAggCCAIIAggCCAIIAggCCAIIAggCCAIIAggCIgIDAh8CHgAEAQECAgIbAgQCBQIGAgcCCAIJAhwCCwIMAg0CCAIIAggCCAIIAggCCAIIAggCCAIIAggCCAIIAggCCAIIAiICAwIdAh4ABAEBAgICSAIEAgUCBgIHAggCCQIKAgsCDAINAggCCAIIAggCCAIIAggCCAIIAggCCAIIAggCCAIIAggCCAIiAgMCfgIeAAQBAQICAgMCBAIFAgYCBwIIAgkCHAILAgwCDQIIAggCCAIIAggCCAIIAggCCAIIAggCCAIIAggCCAIIAggCIgIDAnACHgAEAQECAgJNAgQCBQIGAgcCCAIJAicCCwIMAg0CCAIIAggCCAIIAggCCAIIAggCCAIIAggCCAIIAggCCAIIAiICAwJxAh4ABAEBAgICSwIEAgUCBgIHAggCCQIKAgsCDAINAggCCAIIAggCCAIIAggCCAIIAggCCAIIAggCCAIIAggCCAIiAgMCdAIeAAQBAQICAjoCBAIFAgYCBwIIAgkCJwILAgwCDQIIAggCCAIIAggCCAIIAggCCAIIAggCCAIIAggCCAIIAggCIgIDAngCHgAEAQECAgIkAgQCBQIGAgcCCAIJAhwCCwIMAg0CCAIIAggCCAIIAggCCAIIAggCCAIIAggCCAIIAggCCAIIAiICAwJ9Ah4ABAEBAgICIgIEAgUCBgIHAggCCQIcAgsCDAINAggCCAIIAggCCAIIAggCCAIIAggCCAIIAggCCAIIAggCCAIiAgMCcwIeAAQBAQICAj8CBAIFAgYCBwIIAgkCCgJ6AAAEAAsCDAINAggCCAIIAggCCAIIAggCCAIIAggCCAIIAggCCAIIAggCCAIiAgMCcgIeAAQBAQICAi0CBAIFAgYCBwIIAgkCJwILAgwCDQIIAggCCAIIAggCCAIIAggCCAIIAggCCAIIAggCCAIIAggCIgIDAncCHgAEAQECAgIgAgQCBQIGAgcCCAIJAgoCCwIMAg0CCAIIAggCCAIIAggCCAIIAggCCAIIAggCCAIIAggCCAIIAiICAwJ1Ah4ABAEBAgICJgIEAgUCBgIHAggCCQIcAgsCDAINAggCCAIIAggCCAIIAggCCAIIAggCCAIIAggCCAIIAggCCAIiAgMCMgIeAAQBAQICAikCBAIFAgYCBwIIAgkCHAILAgwCDQIIAggCCAIIAggCCAIIAggCCAIIAggCCAIIAggCCAIIAggCIgIDAi8CHgAEAQECAgJPAgQCBQIGAgcCCAIJAgoCCwIMAg0CCAIIAggCCAIIAggCCAIIAggCCAIIAggCCAIIAggCCAIIAiICAwJpAh4ABAEBAgICMwIEAgUCBgIHAggCCQInAgsCDAINAggCCAIIAggCCAIIAggCCAIIAggCCAIIAggCCAIIAggCCAIiAgMCagIeAAQBAQICAlkCBAIFAgYCBwIIAgkCHAILAgwCDQIIAggCCAIIAggCCAIIAggCCAIIAggCCAIIAggCCAIIAggCIgIDAm4CHgAEAQECAgI1AgQCBQIGAgcCCAIJAicCCwIMAg0CCAIIAggCCAIIAggCCAIIAggCCAIIAggCCAIIAggCCAIIAiICAwI2Ah4ABAEBAgICMAIEAgUCBgIHAggCCQInAgsCDAINAggCCAIIAggCCAIIAggCCAIIAggCCAIIAggCCAIIAggCCAIiAgMCbAIeAAQBAQICAhsCBAIFAgYCBwIIAgkCCgILAgwCDQIIAggCCAIIAggCCAIIAggCCAIIAggCCAIIAggCCAIIAggCIgIDAjwCHgAEAQECAgIrAgQCBQIGAgcCCAIJAgoCCwIMAg0CCAIIAggCCAIIAggCCAIIAggCCAIIAggCCAIIAggCCAIIAiICAwIxAh4ABAEBAgICQQIEAgUCBgIHAggCCQInAgsCDAINAggCCAIIAggCCAIIAggCCAIIAggCCAIIAggCCAIIAggCCAIiAgMCQgIeAAQBAQICAlICBAIFAgYCBwIIAgkCCgILAgwCDQIIAggCCAIIAggCCAIIAggCCAIIAggCCAIIAggCCAIIAggCIgIDAmgCHgAEAgEACTk4ODU1MTI2NAICAikCBAIFAgYCBwIIAgkCHAILApgCDQIIAggCCAIIAggCCAIIAggCCAIIAggCCAIIAgh6AAAEAAIIAggCCAACAwLPAh4ABAIBAgICjQIEAgUCBgIHAggCCQIcAgsCmAINAggCCAIIAggCCAIIAggCCAIIAggCCAIIAggCCAIIAggCCAACAwLyAh4ABAIBAgICUgIEAgUCBgIHAggCCQInAgsCmAINAggCCAIIAggCCAIIAggCCAIIAggCCAIIAggCCAIIAggCCAACAwK0Ah4ABAIBAgICjwIEAgUCBgIHAggCCQKbAgsCmAINAggCCAIIAggCCAIIAggCCAIIAggCCAIIAggCCAIIAggCCAACAwIxAh4ABAIBAgICJgIEAgUCBgIHAggCCQKbAgsCmAINAggCCAIIAggCCAIIAggCCAIIAggCCAIIAggCCAIIAggCCAACAwLRAh4ABAIBAgICGwIEAgUCBgIHAggCCQKbAgsCmAINAggCCAIIAggCCAIIAggCCAIIAggCCAIIAggCCAIIAggCCAACAwLOAh4ABAIBAgICNQIEAgUCBgIHAggCCQInAgsCmAINAggCCAIIAggCCAIIAggCCAIIAggCCAIIAggCCAIIAggCCAACAwLJAh4ABAIBAgICSwIEAgUCBgIHAggCCQInAgsCmAINAggCCAIIAggCCAIIAggCCAIIAggCCAIIAggCCAIIAggCCAACAwLCAh4ABAIBAgICQQIEAgUCBgIHAggCCQIcAgsCmAINAggCCAIIAggCCAIIAggCCAIIAggCCAIIAggCCAIIAggCCAACAwK+Ah4ABAIBAgIClAIEAgUCBgIHAggCCQKbAgsCmAINAggCCAIIAggCCAIIAggCCAIIAggCCAIIAggCCAIIAggCCAACAwIxAh4ABAIBAgICPQIEAgUCBgIHAggCCQKbAgsCmAINAggCCAIIAggCCAIIAggCCAIIAggCCAIIAggCCAIIAggCCAACAwLBAh4ABAIBAgICTwIEAgUCBgIHAggCCQKbAgsCmAINAggCCAIIAggCCAIIAggCCAIIAggCCAIIAggCCAIIAggCCAACAwLDAh4ABAIBAgIChAIEAgUCBgIHAggCCQKbAgsCmAINAggCCAIIAggCCAIIAggCCAIIAggCCAIIAggCCAIIAggCCAACAwIxAh4ABAIBAgICOAIEAgUCBgIHAggCCQInAgsCmAINAggCCAIIAggCCAIIAggCCAIIAggCCAIIAggCCAIIAggCCAACAwLeAh4ABAIBAgICKQIEAgUCBgIHAggCCQInAgsCmAINAggCCAIIAggCCAIIAggCCAIIAggCCAIIAggCCAIIAggCCAACAwKgAh4ABAIBAgICUgIEAgUCBgIHAggCCQIcAgsCmAINAggCCAIIAggCCAIIAggCCAJ6AAAEAAgCCAIIAggCCAIIAggCCAIIAAIDAr8CHgAEAgECAgJYAgQCBQIGAgcCCAIJAicCCwKYAg0CCAIIAggCCAIIAggCCAIIAggCCAIIAggCCAIIAggCCAIIAAIDAuECHgAEAgECAgI/AgQCBQIGAgcCCAIJAhwCCwKYAg0CCAIIAggCCAIIAggCCAIIAggCCAIIAggCCAIIAggCCAIIAAIDAq8CHgAEAgECAgJFAgQCBQIGAgcCCAIJApsCCwKYAg0CCAIIAggCCAIIAggCCAIIAggCCAIIAggCCAIIAggCCAIIAAIDAjECHgAEAgECAgJLAgQCBQIGAgcCCAIJAhwCCwKYAg0CCAIIAggCCAIIAggCCAIIAggCCAIIAggCCAIIAggCCAIIAAIDAtQCHgAEAgECAgIrAgQCBQIGAgcCCAIJAhwCCwKYAg0CCAIIAggCCAIIAggCCAIIAggCCAIIAggCCAIIAggCCAIIAAIDAtcCHgAEAgECAgIgAgQCBQIGAgcCCAIJApsCCwKYAg0CCAIIAggCCAIIAggCCAIIAggCCAIIAggCCAIIAggCCAIIAAIDAswCHgAEAgECAgKMAgQCBQIGAgcCCAIJAicCCwKYAg0CCAIIAggCCAIIAggCCAIIAggCCAIIAggCCAIIAggCCAIIAAIDAvYCHgAEAgECAgKNAgQCBQIGAgcCCAIJAicCCwKYAg0CCAIIAggCCAIIAggCCAIIAggCCAIIAggCCAIIAggCCAIIAAIDAvQCHgAEAgECAgJYAgQCBQIGAgcCCAIJApsCCwKYAg0CCAIIAggCCAIIAggCCAIIAggCCAIIAggCCAIIAggCCAIIAAIDAjECHgAEAgECAgIeAgQCBQIGAgcCCAIJAhwCCwKYAg0CCAIIAggCCAIIAggCCAIIAggCCAIIAggCCAIIAggCCAIIAAIDArYCHgAEAgECAgIzAgQCBQIGAgcCCAIJAicCCwKYAg0CCAIIAggCCAIIAggCCAIIAggCCAIIAggCCAIIAggCCAIIAAIDAq4CHgAEAgECAgKSAgQCBQIGAgcCCAIJApsCCwKYAg0CCAIIAggCCAIIAggCCAIIAggCCAIIAggCCAIIAggCCAIIAAIDAjECHgAEAgECAgIkAgQCBQIGAgcCCAIJAicCCwKYAg0CCAIIAggCCAIIAggCCAIIAggCCAIIAggCCAIIAggCCAIIAAIDArECHgAEAgECAgJIAgQCBQIGAgcCCAIJApsCCwKYAg0CCAIIAggCCAIIAggCCAIIAggCCAIIAggCCAIIAggCCAIIAAIDAqcCHgAEAgECAgIbAgQCBQIGAgcCCAIJAicCCwKYAg0CCAIIAgh6AAAEAAIIAggCCAIIAggCCAIIAggCCAIIAggCCAIIAggAAgMCowIeAAQCAQICAoACBAIFAgYCBwIIAgkCmwILApgCDQIIAggCCAIIAggCCAIIAggCCAIIAggCCAIIAggCCAIIAggAAgMCMQIeAAQCAQICAowCBAIFAgYCBwIIAgkCHAILApgCDQIIAggCCAIIAggCCAIIAggCCAIIAggCCAIIAggCCAIIAggAAgMC8wIeAAQCAQICAiACBAIFAgYCBwIIAgkCJwILApgCDQIIAggCCAIIAggCCAIIAggCCAIIAggCCAIIAggCCAIIAggAAgMCvAIeAAQCAQICAjoCBAIFAgYCBwIIAgkCJwILApgCDQIIAggCCAIIAggCCAIIAggCCAIIAggCCAIIAggCCAIIAggAAgMC2AIeAAQCAQICAiICBAIFAgYCBwIIAgkCHAILApgCDQIIAggCCAIIAggCCAIIAggCCAIIAggCCAIIAggCCAIIAggAAgMC2gIeAAQCAQICAjMCBAIFAgYCBwIIAgkCHAILApgCDQIIAggCCAIIAggCCAIIAggCCAIIAggCCAIIAggCCAIIAggAAgMCmgIeAAQCAQICAoICBAIFAgYCBwIIAgkCJwILApgCDQIIAggCCAIIAggCCAIIAggCCAIIAggCCAIIAggCCAIIAggAAgMC5QIeAAQCAQICAjoCBAIFAgYCBwIIAgkCHAILApgCDQIIAggCCAIIAggCCAIIAggCCAIIAggCCAIIAggCCAIIAggAAgMCngIeAAQCAQICAjUCBAIFAgYCBwIIAgkCHAILApgCDQIIAggCCAIIAggCCAIIAggCCAIIAggCCAIIAggCCAIIAggAAgMCwAIeAAQCAQICAoICBAIFAgYCBwIIAgkCHAILApgCDQIIAggCCAIIAggCCAIIAggCCAIIAggCCAIIAggCCAIIAggAAgMC6QIeAAQCAQICAjACBAIFAgYCBwIIAgkCmwILApgCDQIIAggCCAIIAggCCAIIAggCCAIIAggCCAIIAggCCAIIAggAAgMCMQIeAAQCAQICAgMCBAIFAgYCBwIIAgkCmwILApgCDQIIAggCCAIIAggCCAIIAggCCAIIAggCCAIIAggCCAIIAggAAgMCogIeAAQCAQICAo8CBAIFAgYCBwIIAgkCJwILApgCDQIIAggCCAIIAggCCAIIAggCCAIIAggCCAIIAggCCAIIAggAAgMC9QIeAAQCAQICAh4CBAIFAgYCBwIIAgkCJwILApgCDQIIAggCCAIIAggCCAIIAggCCAIIAggCCAIIAggCCAIIAggAAgMCxwIeAAQCAQICAkECBAIFAgYCBwIIAgkCJwJ6AAAEAAsCmAINAggCCAIIAggCCAIIAggCCAIIAggCCAIIAggCCAIIAggCCAACAwKpAh4ABAIBAgICLQIEAgUCBgIHAggCCQKbAgsCmAINAggCCAIIAggCCAIIAggCCAIIAggCCAIIAggCCAIIAggCCAACAwK3Ah4ABAIBAgICTQIEAgUCBgIHAggCCQIcAgsCmAINAggCCAIIAggCCAIIAggCCAIIAggCCAIIAggCCAIIAggCCAACAwLGAh4ABAIBAgICWQIEAgUCBgIHAggCCQIcAgsCmAINAggCCAIIAggCCAIIAggCCAIIAggCCAIIAggCCAIIAggCCAACAwLLAh4ABAIBAgICOAIEAgUCBgIHAggCCQKbAgsCmAINAggCCAIIAggCCAIIAggCCAIIAggCCAIIAggCCAIIAggCCAACAwKyAh4ABAIBAgICTwIEAgUCBgIHAggCCQInAgsCmAINAggCCAIIAggCCAIIAggCCAIIAggCCAIIAggCCAIIAggCCAACAwKzAh4ABAIBAgICJgIEAgUCBgIHAggCCQIcAgsCmAINAggCCAIIAggCCAIIAggCCAIIAggCCAIIAggCCAIIAggCCAACAwLTAh4ABAIBAgICKQIEAgUCBgIHAggCCQKbAgsCmAINAggCCAIIAggCCAIIAggCCAIIAggCCAIIAggCCAIIAggCCAACAwLIAh4ABAIBAgIClAIEAgUCBgIHAggCCQInAgsCmAINAggCCAIIAggCCAIIAggCCAIIAggCCAIIAggCCAIIAggCCAACAwL2Ah4ABAIBAgIClAIEAgUCBgIHAggCCQIcAgsCmAINAggCCAIIAggCCAIIAggCCAIIAggCCAIIAggCCAIIAggCCAACAwLzAh4ABAIBAgICQQIEAgUCBgIHAggCCQKbAgsCmAINAggCCAIIAggCCAIIAggCCAIIAggCCAIIAggCCAIIAggCCAACAwK7Ah4ABAIBAgICTQIEAgUCBgIHAggCCQInAgsCmAINAggCCAIIAggCCAIIAggCCAIIAggCCAIIAggCCAIIAggCCAACAwLcAh4ABAIBAgICjQIEAgUCBgIHAggCCQKbAgsCmAINAggCCAIIAggCCAIIAggCCAIIAggCCAIIAggCCAIIAggCCAACAwIxAh4ABAIBAgICPQIEAgUCBgIHAggCCQIcAgsCmAINAggCCAIIAggCCAIIAggCCAIIAggCCAIIAggCCAIIAggCCAACAwK5Ah4ABAIBAgICRQIEAgUCBgIHAggCCQInAgsCmAINAggCCAIIAggCCAIIAggCCAIIAggCCAIIAggCCAIIAggCCAACAwLkAh4ABAIBAgICMwIEAgV6AAAEAAIGAgcCCAIJApsCCwKYAg0CCAIIAggCCAIIAggCCAIIAggCCAIIAggCCAIIAggCCAIIAAIDAroCHgAEAgECAgJZAgQCBQIGAgcCCAIJAicCCwKYAg0CCAIIAggCCAIIAggCCAIIAggCCAIIAggCCAIIAggCCAIIAAIDAtkCHgAEAgECAgIkAgQCBQIGAgcCCAIJApsCCwKYAg0CCAIIAggCCAIIAggCCAIIAggCCAIIAggCCAIIAggCCAIIAAIDAtsCHgAEAgECAgJPAgQCBQIGAgcCCAIJAhwCCwKYAg0CCAIIAggCCAIIAggCCAIIAggCCAIIAggCCAIIAggCCAIIAAIDAsUCHgAEAgECAgIbAgQCBQIGAgcCCAIJAhwCCwKYAg0CCAIIAggCCAIIAggCCAIIAggCCAIIAggCCAIIAggCCAIIAAIDAtUCHgAEAgECAgKEAgQCBQIGAgcCCAIJAhwCCwKYAg0CCAIIAggCCAIIAggCCAIIAggCCAIIAggCCAIIAggCCAIIAAIDAusCHgAEAgECAgJSAgQCBQIGAgcCCAIJApsCCwKYAg0CCAIIAggCCAIIAggCCAIIAggCCAIIAggCCAIIAggCCAIIAAIDAsQCHgAEAgECAgIgAgQCBQIGAgcCCAIJAhwCCwKYAg0CCAIIAggCCAIIAggCCAIIAggCCAIIAggCCAIIAggCCAIIAAIDAqsCHgAEAgECAgIrAgQCBQIGAgcCCAIJApsCCwKYAg0CCAIIAggCCAIIAggCCAIIAggCCAIIAggCCAIIAggCCAIIAAIDAjECHgAEAgECAgKPAgQCBQIGAgcCCAIJAhwCCwKYAg0CCAIIAggCCAIIAggCCAIIAggCCAIIAggCCAIIAggCCAIIAAIDAvcCHgAEAgECAgIDAgQCBQIGAgcCCAIJAicCCwKYAg0CCAIIAggCCAIIAggCCAIIAggCCAIIAggCCAIIAggCCAIIAAIDAtACHgAEAgECAgJLAgQCBQIGAgcCCAIJApsCCwKYAg0CCAIIAggCCAIIAggCCAIIAggCCAIIAggCCAIIAggCCAIIAAIDAtICHgAEAgECAgI/AgQCBQIGAgcCCAIJApsCCwKYAg0CCAIIAggCCAIIAggCCAIIAggCCAIIAggCCAIIAggCCAIIAAIDAs0CHgAEAgECAgImAgQCBQIGAgcCCAIJAicCCwKYAg0CCAIIAggCCAIIAggCCAIIAggCCAIIAggCCAIIAggCCAIIAAIDAqYCHgAEAgECAgJFAgQCBQIGAgcCCAIJAhwCCwKYAg0CCAIIAggCCAIIAggCCAIIAggCCAIIAggCCAIIAggCCAIIAAIDAuwCHgB6AAAEAAQCAQICApICBAIFAgYCBwIIAgkCHAILApgCDQIIAggCCAIIAggCCAIIAggCCAIIAggCCAIIAggCCAIIAggAAgMC8wIeAAQCAQICAlkCBAIFAgYCBwIIAgkCmwILApgCDQIIAggCCAIIAggCCAIIAggCCAIIAggCCAIIAggCCAIIAggAAgMCqAIeAAQCAQICAjACBAIFAgYCBwIIAgkCJwILApgCDQIIAggCCAIIAggCCAIIAggCCAIIAggCCAIIAggCCAIIAggAAgMCqgIeAAQCAQICAiICBAIFAgYCBwIIAgkCJwILApgCDQIIAggCCAIIAggCCAIIAggCCAIIAggCCAIIAggCCAIIAggAAgMCrQIeAAQCAQICAkgCBAIFAgYCBwIIAgkCHAILApgCDQIIAggCCAIIAggCCAIIAggCCAIIAggCCAIIAggCCAIIAggAAgMCpQIeAAQCAQICAlgCBAIFAgYCBwIIAgkCHAILApgCDQIIAggCCAIIAggCCAIIAggCCAIIAggCCAIIAggCCAIIAggAAgMC6gIeAAQCAQICAoQCBAIFAgYCBwIIAgkCJwILApgCDQIIAggCCAIIAggCCAIIAggCCAIIAggCCAIIAggCCAIIAggAAgMC4gIeAAQCAQICAisCBAIFAgYCBwIIAgkCJwILApgCDQIIAggCCAIIAggCCAIIAggCCAIIAggCCAIIAggCCAIIAggAAgMCnQIeAAQCAQICAh4CBAIFAgYCBwIIAgkCmwILApgCDQIIAggCCAIIAggCCAIIAggCCAIIAggCCAIIAggCCAIIAggAAgMCoQIeAAQCAQICAiQCBAIFAgYCBwIIAgkCHAILApgCDQIIAggCCAIIAggCCAIIAggCCAIIAggCCAIIAggCCAIIAggAAgMC3QIeAAQCAQICAowCBAIFAgYCBwIIAgkCmwILApgCDQIIAggCCAIIAggCCAIIAggCCAIIAggCCAIIAggCCAIIAggAAgMCMQIeAAQCAQICAgMCBAIFAgYCBwIIAgkCHAILApgCDQIIAggCCAIIAggCCAIIAggCCAIIAggCCAIIAggCCAIIAggAAgMCnwIeAAQCAQICAi0CBAIFAgYCBwIIAgkCJwILApgCDQIIAggCCAIIAggCCAIIAggCCAIIAggCCAIIAggCCAIIAggAAgMC1gIeAAQCAQICAoACBAIFAgYCBwIIAgkCHAILApgCDQIIAggCCAIIAggCCAIIAggCCAIIAggCCAIIAggCCAIIAggAAgMC7QIeAAQCAQICAiICBAIFAgYCBwIIAgkCmwILApgCDQIIAggCCAIIAggCCAIIAggCCAIIAggCCAIIAggCCAJ6AAAEAAgCCAACAwKcAh4ABAIBAgICMAIEAgUCBgIHAggCCQIcAgsCmAINAggCCAIIAggCCAIIAggCCAIIAggCCAIIAggCCAIIAggCCAACAwK9Ah4ABAIBAgICNQIEAgUCBgIHAggCCQKbAgsCmAINAggCCAIIAggCCAIIAggCCAIIAggCCAIIAggCCAIIAggCCAACAwIxAh4ABAIBAgICLQIEAgUCBgIHAggCCQIcAgsCmAINAggCCAIIAggCCAIIAggCCAIIAggCCAIIAggCCAIIAggCCAACAwKkAh4ABAIBAgICPwIEAgUCBgIHAggCCQInAgsCmAINAggCCAIIAggCCAIIAggCCAIIAggCCAIIAggCCAIIAggCCAACAwKZAh4ABAIBAgICOgIEAgUCBgIHAggCCQKbAgsCmAINAggCCAIIAggCCAIIAggCCAIIAggCCAIIAggCCAIIAggCCAACAwK4Ah4ABAIBAgICkgIEAgUCBgIHAggCCQInAgsCmAINAggCCAIIAggCCAIIAggCCAIIAggCCAIIAggCCAIIAggCCAACAwL2Ah4ABAIBAgICTQIEAgUCBgIHAggCCQKbAgsCmAINAggCCAIIAggCCAIIAggCCAIIAggCCAIIAggCCAIIAggCCAACAwLKAh4ABAIBAgICggIEAgUCBgIHAggCCQKbAgsCmAINAggCCAIIAggCCAIIAggCCAIIAggCCAIIAggCCAIIAggCCAACAwIxAh4ABAIBAgICPQIEAgUCBgIHAggCCQInAgsCmAINAggCCAIIAggCCAIIAggCCAIIAggCCAIIAggCCAIIAggCCAACAwKsAh4ABAIBAgICSAIEAgUCBgIHAggCCQInAgsCmAINAggCCAIIAggCCAIIAggCCAIIAggCCAIIAggCCAIIAggCCAACAwK1Ah4ABAIBAgICOAIEAgUCBgIHAggCCQIcAgsCmAINAggCCAIIAggCCAIIAggCCAIIAggCCAIIAggCCAIIAggCCAACAwKwAh4ABAIBAgICgAIEAgUCBgIHAggCCQInAgsCmAINAggCCAIIAggCCAIIAggCCAIIAggCCAIIAggCCAIIAggCCAACAwLjAh4ABAMBAAk1ODAxMjk2NjQCAgKCAgQCBQIGAgcCCAIJAicCCwKYAg0CCAIIAggCCAIIAggCCAIIAggCCAIIAggCCAIIAggCCAIIAhcCAwLlAh4ABAMBAgICSAIEAgUCBgIHAggCCQIcAgsCmAINAggCCAIIAggCCAIIAggCCAIIAggCCAIIAggCCAIIAggCCAIXAgMCpQIeAAQDAQICAoACBAIFAgYCBwIIAgkCHAILApgCDQIIAggCCAJ6AAAEAAgCCAIIAggCCAIIAggCCAIIAggCCAIIAggCCAIXAgMC7QIeAAQDAQICAisCBAIFAgYCBwIIAgkCJwILApgCDQIIAggCCAIIAggCCAIIAggCCAIIAggCCAIIAggCCAIIAggCFwIDAp0CHgAEAwECAgIDAgQCBQIGAgcCCAIJAhwCCwKYAg0CCAIIAggCCAIIAggCCAIIAggCCAIIAggCCAIIAggCCAIIAhcCAwKfAh4ABAMBAgICjAIEAgUCBgIHAggCCQKbAgsCmAINAggCCAIIAggCCAIIAggCCAIIAggCCAIIAggCCAIIAggCCAIXAgMCMQIeAAQDAQICAh4CBAIFAgYCBwIIAgkCmwILApgCDQIIAggCCAIIAggCCAIIAggCCAIIAggCCAIIAggCCAIIAggCFwIDAqECHgAEAwECAgI6AgQCBQIGAgcCCAIJAicCCwKYAg0CCAIIAggCCAIIAggCCAIIAggCCAIIAggCCAIIAggCCAIIAhcCAwLYAh4ABAMBAgICJAIEAgUCBgIHAggCCQInAgsCmAINAggCCAIIAggCCAIIAggCCAIIAggCCAIIAggCCAIIAggCCAIXAgMCsQIeAAQDAQICAlgCBAIFAgYCBwIIAgkCmwILApgCDQIIAggCCAIIAggCCAIIAggCCAIIAggCCAIIAggCCAIIAggCFwIDAjECHgAEAwECAgKSAgQCBQIGAgcCCAIJAhwCCwKYAg0CCAIIAggCCAIIAggCCAIIAggCCAIIAggCCAIIAggCCAIIAhcCAwLzAh4ABAMBAgICMwIEAgUCBgIHAggCCQInAgsCmAINAggCCAIIAggCCAIIAggCCAIIAggCCAIIAggCCAIIAggCCAIXAgMCrgIeAAQDAQICAlkCBAIFAgYCBwIIAgkCHAILApgCDQIIAggCCAIIAggCCAIIAggCCAIIAggCCAIIAggCCAIIAggCFwIDAssCHgAEAwECAgItAgQCBQIGAgcCCAIJApsCCwKYAg0CCAIIAggCCAIIAggCCAIIAggCCAIIAggCCAIIAggCCAIIAhcCAwK3Ah4ABAMBAgICTQIEAgUCBgIHAggCCQIcAgsCmAINAggCCAIIAggCCAIIAggCCAIIAggCCAIIAggCCAIIAggCCAIXAgMCxgIeAAQDAQICAoACBAIFAgYCBwIIAgkCJwILApgCDQIIAggCCAIIAggCCAIIAggCCAIIAggCCAIIAggCCAIIAggCFwIDAuMCHgAEAwECAgKSAgQCBQIGAgcCCAIJAicCCwKYAg0CCAIIAggCCAIIAggCCAIIAggCCAIIAggCCAIIAggCCAIIAhcCAwL2Ah4ABAMBAgICggJ6AAAEAAQCBQIGAgcCCAIJAhwCCwKYAg0CCAIIAggCCAIIAggCCAIIAggCCAIIAggCCAIIAggCCAIIAhcCAwLpAh4ABAMBAgICOgIEAgUCBgIHAggCCQIcAgsCmAINAggCCAIIAggCCAIIAggCCAIIAggCCAIIAggCCAIIAggCCAIXAgMCngIeAAQDAQICAkgCBAIFAgYCBwIIAgkCJwILApgCDQIIAggCCAIIAggCCAIIAggCCAIIAggCCAIIAggCCAIIAggCFwIDArUCHgAEAwECAgI/AgQCBQIGAgcCCAIJAicCCwKYAg0CCAIIAggCCAIIAggCCAIIAggCCAIIAggCCAIIAggCCAIIAhcCAwKZAh4ABAMBAgICMwIEAgUCBgIHAggCCQIcAgsCmAINAggCCAIIAggCCAIIAggCCAIIAggCCAIIAggCCAIIAggCCAIXAgMCmgIeAAQDAQICAkUCBAIFAgYCBwIIAgkCJwILApgCDQIIAggCCAIIAggCCAIIAggCCAIIAggCCAIIAggCCAIIAggCFwIDAuQCHgAEAwECAgIwAgQCBQIGAgcCCAIJApsCCwKYAg0CCAIIAggCCAIIAggCCAIIAggCCAIIAggCCAIIAggCCAIIAhcCAwIxAh4ABAMBAgICNQIEAgUCBgIHAggCCQKbAgsCmAINAggCCAIIAggCCAIIAggCCAIIAggCCAIIAggCCAIIAggCCAIXAgMCMQIeAAQDAQICAkECBAIFAgYCBwIIAgkCmwILApgCDQIIAggCCAIIAggCCAIIAggCCAIIAggCCAIIAggCCAIIAggCFwIDArsCHgAEAwECAgI9AgQCBQIGAgcCCAIJAhwCCwKYAg0CCAIIAggCCAIIAggCCAIIAggCCAIIAggCCAIIAggCCAIIAhcCAwK5Ah4ABAMBAgICKQIEAgUCBgIHAggCCQKbAgsCmAINAggCCAIIAggCCAIIAggCCAIIAggCCAIIAggCCAIIAggCCAIXAgMCyAIeAAQDAQICAjUCBAIFAgYCBwIIAgkCJwILApgCDQIIAggCCAIIAggCCAIIAggCCAIIAggCCAIIAggCCAIIAggCFwIDAskCHgAEAwECAgJLAgQCBQIGAgcCCAIJAicCCwKYAg0CCAIIAggCCAIIAggCCAIIAggCCAIIAggCCAIIAggCCAIIAhcCAwLCAh4ABAMBAgICjQIEAgUCBgIHAggCCQKbAgsCmAINAggCCAIIAggCCAIIAggCCAIIAggCCAIIAggCCAIIAggCCAIXAgMCMQIeAAQDAQICAlICBAIFAgYCBwIIAgkCJwILApgCDQIIAggCCAIIAggCCAIIAggCCAIIAggCCAJ6AAAEAAgCCAIIAggCCAIXAgMCtAIeAAQDAQICAiYCBAIFAgYCBwIIAgkCHAILApgCDQIIAggCCAIIAggCCAIIAggCCAIIAggCCAIIAggCCAIIAggCFwIDAtMCHgAEAwECAgKPAgQCBQIGAgcCCAIJApsCCwKYAg0CCAIIAggCCAIIAggCCAIIAggCCAIIAggCCAIIAggCCAIIAhcCAwIxAh4ABAMBAgICIAIEAgUCBgIHAggCCQKbAgsCmAINAggCCAIIAggCCAIIAggCCAIIAggCCAIIAggCCAIIAggCCAIXAgMCzAIeAAQDAQICAjgCBAIFAgYCBwIIAgkCmwILApgCDQIIAggCCAIIAggCCAIIAggCCAIIAggCCAIIAggCCAIIAggCFwIDArICHgAEAwECAgJBAgQCBQIGAgcCCAIJAicCCwKYAg0CCAIIAggCCAIIAggCCAIIAggCCAIIAggCCAIIAggCCAIIAhcCAwKpAh4ABAMBAgICPwIEAgUCBgIHAggCCQIcAgsCmAINAggCCAIIAggCCAIIAggCCAIIAggCCAIIAggCCAIIAggCCAIXAgMCrwIeAAQDAQICAisCBAIFAgYCBwIIAgkCHAILApgCDQIIAggCCAIIAggCCAIIAggCCAIIAggCCAIIAggCCAIIAggCFwIDAtcCHgAEAwECAgImAgQCBQIGAgcCCAIJAicCCwKYAg0CCAIIAggCCAIIAggCCAIIAggCCAIIAggCCAIIAggCCAIIAhcCAwKmAh4ABAMBAgICGwIEAgUCBgIHAggCCQKbAgsCmAINAggCCAIIAggCCAIIAggCCAIIAggCCAIIAggCCAIIAggCCAIXAgMCzgIeAAQDAQICAk8CBAIFAgYCBwIIAgkCmwILApgCDQIIAggCCAIIAggCCAIIAggCCAIIAggCCAIIAggCCAIIAggCFwIDAsMCHgAEAwECAgJFAgQCBQIGAgcCCAIJApsCCwKYAg0CCAIIAggCCAIIAggCCAIIAggCCAIIAggCCAIIAggCCAIIAhcCAwIxAh4ABAMBAgICSwIEAgUCBgIHAggCCQIcAgsCmAINAggCCAIIAggCCAIIAggCCAIIAggCCAIIAggCCAIIAggCCAIXAgMC1AIeAAQDAQICAlICBAIFAgYCBwIIAgkCHAILApgCDQIIAggCCAIIAggCCAIIAggCCAIIAggCCAIIAggCCAIIAggCFwIDAr8CHgAEAwECAgJZAgQCBQIGAgcCCAIJAicCCwKYAg0CCAIIAggCCAIIAggCCAIIAggCCAIIAggCCAIIAggCCAIIAhcCAwLZAh4ABAMBAgIChAIEAgUCBgIHAggCCQIcAgsCmAJ6AAAEAA0CCAIIAggCCAIIAggCCAIIAggCCAIIAggCCAIIAggCCAIIAhcCAwLrAh4ABAMBAgICIgIEAgUCBgIHAggCCQIcAgsCmAINAggCCAIIAggCCAIIAggCCAIIAggCCAIIAggCCAIIAggCCAIXAgMC2gIeAAQDAQICAiQCBAIFAgYCBwIIAgkCmwILApgCDQIIAggCCAIIAggCCAIIAggCCAIIAggCCAIIAggCCAIIAggCFwIDAtsCHgAEAwECAgJNAgQCBQIGAgcCCAIJAicCCwKYAg0CCAIIAggCCAIIAggCCAIIAggCCAIIAggCCAIIAggCCAIIAhcCAwLcAh4ABAMBAgICLQIEAgUCBgIHAggCCQInAgsCmAINAggCCAIIAggCCAIIAggCCAIIAggCCAIIAggCCAIIAggCCAIXAgMC1gIeAAQDAQICApICBAIFAgYCBwIIAgkCmwILApgCDQIIAggCCAIIAggCCAIIAggCCAIIAggCCAIIAggCCAIIAggCFwIDAjECHgAEAwECAgJIAgQCBQIGAgcCCAIJApsCCwKYAg0CCAIIAggCCAIIAggCCAIIAggCCAIIAggCCAIIAggCCAIIAhcCAwKnAh4ABAMBAgICgAIEAgUCBgIHAggCCQKbAgsCmAINAggCCAIIAggCCAIIAggCCAIIAggCCAIIAggCCAIIAggCCAIXAgMCMQIeAAQDAQICAgMCBAIFAgYCBwIIAgkCmwILApgCDQIIAggCCAIIAggCCAIIAggCCAIIAggCCAIIAggCCAIIAggCFwIDAqICHgAEAwECAgKMAgQCBQIGAgcCCAIJAhwCCwKYAg0CCAIIAggCCAIIAggCCAIIAggCCAIIAggCCAIIAggCCAIIAhcCAwLzAh4ABAMBAgICGwIEAgUCBgIHAggCCQInAgsCmAINAggCCAIIAggCCAIIAggCCAIIAggCCAIIAggCCAIIAggCCAIXAgMCowIeAAQDAQICAh4CBAIFAgYCBwIIAgkCHAILApgCDQIIAggCCAIIAggCCAIIAggCCAIIAggCCAIIAggCCAIIAggCFwIDArYCHgAEAwECAgJYAgQCBQIGAgcCCAIJAhwCCwKYAg0CCAIIAggCCAIIAggCCAIIAggCCAIIAggCCAIIAggCCAIIAhcCAwLqAh4ABAMBAgIChAIEAgUCBgIHAggCCQInAgsCmAINAggCCAIIAggCCAIIAggCCAIIAggCCAIIAggCCAIIAggCCAIXAgMC4gIeAAQDAQICAowCBAIFAgYCBwIIAgkCJwILApgCDQIIAggCCAIIAggCCAIIAggCCAIIAggCCAIIAggCCAIIAggCFwIDAvYCHgB6AAAEAAQDAQICAk0CBAIFAgYCBwIIAgkCmwILApgCDQIIAggCCAIIAggCCAIIAggCCAIIAggCCAIIAggCCAIIAggCFwIDAsoCHgAEAwECAgJZAgQCBQIGAgcCCAIJApsCCwKYAg0CCAIIAggCCAIIAggCCAIIAggCCAIIAggCCAIIAggCCAIIAhcCAwKoAh4ABAMBAgICMAIEAgUCBgIHAggCCQInAgsCmAINAggCCAIIAggCCAIIAggCCAIIAggCCAIIAggCCAIIAggCCAIXAgMCqgIeAAQDAQICAiICBAIFAgYCBwIIAgkCJwILApgCDQIIAggCCAIIAggCCAIIAggCCAIIAggCCAIIAggCCAIIAggCFwIDAq0CHgAEAwECAgKCAgQCBQIGAgcCCAIJApsCCwKYAg0CCAIIAggCCAIIAggCCAIIAggCCAIIAggCCAIIAggCCAIIAhcCAwIxAh4ABAMBAgICOgIEAgUCBgIHAggCCQKbAgsCmAINAggCCAIIAggCCAIIAggCCAIIAggCCAIIAggCCAIIAggCCAIXAgMCuAIeAAQDAQICAh4CBAIFAgYCBwIIAgkCJwILApgCDQIIAggCCAIIAggCCAIIAggCCAIIAggCCAIIAggCCAIIAggCFwIDAscCHgAEAwECAgIzAgQCBQIGAgcCCAIJApsCCwKYAg0CCAIIAggCCAIIAggCCAIIAggCCAIIAggCCAIIAggCCAIIAhcCAwK6Ah4ABAMBAgICLQIEAgUCBgIHAggCCQIcAgsCmAINAggCCAIIAggCCAIIAggCCAIIAggCCAIIAggCCAIIAggCCAIXAgMCpAIeAAQDAQICAjUCBAIFAgYCBwIIAgkCHAILApgCDQIIAggCCAIIAggCCAIIAggCCAIIAggCCAIIAggCCAIIAggCFwIDAsACHgAEAwECAgI9AgQCBQIGAgcCCAIJApsCCwKYAg0CCAIIAggCCAIIAggCCAIIAggCCAIIAggCCAIIAggCCAIIAhcCAwLBAh4ABAMBAgICjwIEAgUCBgIHAggCCQInAgsCmAINAggCCAIIAggCCAIIAggCCAIIAggCCAIIAggCCAIIAggCCAIXAgMC9QIeAAQDAQICApQCBAIFAgYCBwIIAgkCmwILApgCDQIIAggCCAIIAggCCAIIAggCCAIIAggCCAIIAggCCAIIAggCFwIDAjECHgAEAwECAgIwAgQCBQIGAgcCCAIJAhwCCwKYAg0CCAIIAggCCAIIAggCCAIIAggCCAIIAggCCAIIAggCCAIIAhcCAwK9Ah4ABAMBAgICIAIEAgUCBgIHAggCCQInAgsCmAINAggCCAIIAggCCAIIAggCCAJ6AAAEAAgCCAIIAggCCAIIAggCCAIIAhcCAwK8Ah4ABAMBAgICQQIEAgUCBgIHAggCCQIcAgsCmAINAggCCAIIAggCCAIIAggCCAIIAggCCAIIAggCCAIIAggCCAIXAgMCvgIeAAQDAQICApQCBAIFAgYCBwIIAgkCHAILApgCDQIIAggCCAIIAggCCAIIAggCCAIIAggCCAIIAggCCAIIAggCFwIDAvMCHgAEAwECAgJPAgQCBQIGAgcCCAIJAicCCwKYAg0CCAIIAggCCAIIAggCCAIIAggCCAIIAggCCAIIAggCCAIIAhcCAwKzAh4ABAMBAgICKQIEAgUCBgIHAggCCQIcAgsCmAINAggCCAIIAggCCAIIAggCCAIIAggCCAIIAggCCAIIAggCCAIXAgMCzwIeAAQDAQICAo0CBAIFAgYCBwIIAgkCHAILApgCDQIIAggCCAIIAggCCAIIAggCCAIIAggCCAIIAggCCAIIAggCFwIDAvICHgAEAwECAgImAgQCBQIGAgcCCAIJApsCCwKYAg0CCAIIAggCCAIIAggCCAIIAggCCAIIAggCCAIIAggCCAIIAhcCAwLRAh4ABAMBAgICPwIEAgUCBgIHAggCCQKbAgsCmAINAggCCAIIAggCCAIIAggCCAIIAggCCAIIAggCCAIIAggCCAIXAgMCzQIeAAQDAQICAjgCBAIFAgYCBwIIAgkCHAILApgCDQIIAggCCAIIAggCCAIIAggCCAIIAggCCAIIAggCCAIIAggCFwIDArACHgAEAwECAgKUAgQCBQIGAgcCCAIJAicCCwKYAg0CCAIIAggCCAIIAggCCAIIAggCCAIIAggCCAIIAggCCAIIAhcCAwL2Ah4ABAMBAgICIAIEAgUCBgIHAggCCQIcAgsCmAINAggCCAIIAggCCAIIAggCCAIIAggCCAIIAggCCAIIAggCCAIXAgMCqwIeAAQDAQICAo8CBAIFAgYCBwIIAgkCHAILApgCDQIIAggCCAIIAggCCAIIAggCCAIIAggCCAIIAggCCAIIAggCFwIDAvcCHgAEAwECAgI9AgQCBQIGAgcCCAIJAicCCwKYAg0CCAIIAggCCAIIAggCCAIIAggCCAIIAggCCAIIAggCCAIIAhcCAwKsAh4ABAMBAgICGwIEAgUCBgIHAggCCQIcAgsCmAINAggCCAIIAggCCAIIAggCCAIIAggCCAIIAggCCAIIAggCCAIXAgMC1QIeAAQDAQICAkUCBAIFAgYCBwIIAgkCHAILApgCDQIIAggCCAIIAggCCAIIAggCCAIIAggCCAIIAggCCAIIAggCFwIDAuwCHgAEAwECAgKNAgQCBQIGAgcCCAJ6AAADMwkCJwILApgCDQIIAggCCAIIAggCCAIIAggCCAIIAggCCAIIAggCCAIIAggCFwIDAvQCHgAEAwECAgIrAgQCBQIGAgcCCAIJApsCCwKYAg0CCAIIAggCCAIIAggCCAIIAggCCAIIAggCCAIIAggCCAIIAhcCAwIxAh4ABAMBAgICSwIEAgUCBgIHAggCCQKbAgsCmAINAggCCAIIAggCCAIIAggCCAIIAggCCAIIAggCCAIIAggCCAIXAgMC0gIeAAQDAQICAlICBAIFAgYCBwIIAgkCmwILApgCDQIIAggCCAIIAggCCAIIAggCCAIIAggCCAIIAggCCAIIAggCFwIDAsQCHgAEAwECAgIDAgQCBQIGAgcCCAIJAicCCwKYAg0CCAIIAggCCAIIAggCCAIIAggCCAIIAggCCAIIAggCCAIIAhcCAwLQAh4ABAMBAgICKQIEAgUCBgIHAggCCQInAgsCmAINAggCCAIIAggCCAIIAggCCAIIAggCCAIIAggCCAIIAggCCAIXAgMCoAIeAAQDAQICAk8CBAIFAgYCBwIIAgkCHAILApgCDQIIAggCCAIIAggCCAIIAggCCAIIAggCCAIIAggCCAIIAggCFwIDAsUCHgAEAwECAgIiAgQCBQIGAgcCCAIJApsCCwKYAg0CCAIIAggCCAIIAggCCAIIAggCCAIIAggCCAIIAggCCAIIAhcCAwKcAh4ABAMBAgICWAIEAgUCBgIHAggCCQInAgsCmAINAggCCAIIAggCCAIIAggCCAIIAggCCAIIAggCCAIIAggCCAIXAgMC4QIeAAQDAQICAoQCBAIFAgYCBwIIAgkCmwILApgCDQIIAggCCAIIAggCCAIIAggCCAIIAggCCAIIAggCCAIIAggCFwIDAjECHgAEAwECAgIkAgQCBQIGAgcCCAIJAhwCCwKYAg0CCAIIAggCCAIIAggCCAIIAggCCAIIAggCCAIIAggCCAIIAhcCAwLdAh4ABAMBAgICOAIEAgUCBgIHAggCCQInAgsCmAINAggCCAIIAggCCAIIAggCCAIIAggCCAIIAggCCAIIAggCCAIXAgMC3g==]]></xxe4awand>
</file>

<file path=customXml/itemProps1.xml><?xml version="1.0" encoding="utf-8"?>
<ds:datastoreItem xmlns:ds="http://schemas.openxmlformats.org/officeDocument/2006/customXml" ds:itemID="{35E13470-735E-43BF-9E8D-3AFBF025CD59}">
  <ds:schemaRefs>
    <ds:schemaRef ds:uri="http://www.excel4apps.com"/>
  </ds:schemaRefs>
</ds:datastoreItem>
</file>

<file path=customXml/itemProps10.xml><?xml version="1.0" encoding="utf-8"?>
<ds:datastoreItem xmlns:ds="http://schemas.openxmlformats.org/officeDocument/2006/customXml" ds:itemID="{3138000D-1617-4619-8F9E-D798452E6F3D}">
  <ds:schemaRefs>
    <ds:schemaRef ds:uri="http://www.excel4apps.com"/>
  </ds:schemaRefs>
</ds:datastoreItem>
</file>

<file path=customXml/itemProps11.xml><?xml version="1.0" encoding="utf-8"?>
<ds:datastoreItem xmlns:ds="http://schemas.openxmlformats.org/officeDocument/2006/customXml" ds:itemID="{9B07A53B-7841-41DD-AB6F-8D6EA5C90E91}">
  <ds:schemaRefs>
    <ds:schemaRef ds:uri="http://www.excel4apps.com"/>
  </ds:schemaRefs>
</ds:datastoreItem>
</file>

<file path=customXml/itemProps12.xml><?xml version="1.0" encoding="utf-8"?>
<ds:datastoreItem xmlns:ds="http://schemas.openxmlformats.org/officeDocument/2006/customXml" ds:itemID="{75F960C1-9BCC-4E9F-BA57-584A7245DD14}">
  <ds:schemaRefs>
    <ds:schemaRef ds:uri="http://www.excel4apps.com"/>
  </ds:schemaRefs>
</ds:datastoreItem>
</file>

<file path=customXml/itemProps13.xml><?xml version="1.0" encoding="utf-8"?>
<ds:datastoreItem xmlns:ds="http://schemas.openxmlformats.org/officeDocument/2006/customXml" ds:itemID="{8FBF7E88-6B1D-4920-8851-3FA603000D00}">
  <ds:schemaRefs>
    <ds:schemaRef ds:uri="http://www.excel4apps.com"/>
  </ds:schemaRefs>
</ds:datastoreItem>
</file>

<file path=customXml/itemProps14.xml><?xml version="1.0" encoding="utf-8"?>
<ds:datastoreItem xmlns:ds="http://schemas.openxmlformats.org/officeDocument/2006/customXml" ds:itemID="{546ADD33-0F76-4574-9624-C98377B9439F}">
  <ds:schemaRefs>
    <ds:schemaRef ds:uri="http://www.excel4apps.com"/>
  </ds:schemaRefs>
</ds:datastoreItem>
</file>

<file path=customXml/itemProps15.xml><?xml version="1.0" encoding="utf-8"?>
<ds:datastoreItem xmlns:ds="http://schemas.openxmlformats.org/officeDocument/2006/customXml" ds:itemID="{42EAFDE2-D78F-4ECE-A764-02CCDA115C95}">
  <ds:schemaRefs>
    <ds:schemaRef ds:uri="http://www.excel4apps.com"/>
  </ds:schemaRefs>
</ds:datastoreItem>
</file>

<file path=customXml/itemProps16.xml><?xml version="1.0" encoding="utf-8"?>
<ds:datastoreItem xmlns:ds="http://schemas.openxmlformats.org/officeDocument/2006/customXml" ds:itemID="{76F0E88A-4A77-42AE-B225-875207813264}">
  <ds:schemaRefs>
    <ds:schemaRef ds:uri="http://www.excel4apps.com"/>
  </ds:schemaRefs>
</ds:datastoreItem>
</file>

<file path=customXml/itemProps17.xml><?xml version="1.0" encoding="utf-8"?>
<ds:datastoreItem xmlns:ds="http://schemas.openxmlformats.org/officeDocument/2006/customXml" ds:itemID="{0F792161-2AC2-4D2A-A3A0-35FA4175D590}">
  <ds:schemaRefs>
    <ds:schemaRef ds:uri="http://www.excel4apps.com"/>
  </ds:schemaRefs>
</ds:datastoreItem>
</file>

<file path=customXml/itemProps18.xml><?xml version="1.0" encoding="utf-8"?>
<ds:datastoreItem xmlns:ds="http://schemas.openxmlformats.org/officeDocument/2006/customXml" ds:itemID="{FC3FC0CF-E653-491D-AA15-40070A8EE765}">
  <ds:schemaRefs>
    <ds:schemaRef ds:uri="http://www.excel4apps.com"/>
  </ds:schemaRefs>
</ds:datastoreItem>
</file>

<file path=customXml/itemProps19.xml><?xml version="1.0" encoding="utf-8"?>
<ds:datastoreItem xmlns:ds="http://schemas.openxmlformats.org/officeDocument/2006/customXml" ds:itemID="{73D839F4-F271-471F-B91E-B43076328F29}">
  <ds:schemaRefs>
    <ds:schemaRef ds:uri="http://www.excel4apps.com"/>
  </ds:schemaRefs>
</ds:datastoreItem>
</file>

<file path=customXml/itemProps2.xml><?xml version="1.0" encoding="utf-8"?>
<ds:datastoreItem xmlns:ds="http://schemas.openxmlformats.org/officeDocument/2006/customXml" ds:itemID="{2329DA4D-099A-4E14-B6FB-DFF5509E8376}">
  <ds:schemaRefs>
    <ds:schemaRef ds:uri="http://www.excel4apps.com"/>
  </ds:schemaRefs>
</ds:datastoreItem>
</file>

<file path=customXml/itemProps20.xml><?xml version="1.0" encoding="utf-8"?>
<ds:datastoreItem xmlns:ds="http://schemas.openxmlformats.org/officeDocument/2006/customXml" ds:itemID="{56A51789-B597-4759-A757-8FB03C26349C}">
  <ds:schemaRefs>
    <ds:schemaRef ds:uri="http://www.excel4apps.com"/>
  </ds:schemaRefs>
</ds:datastoreItem>
</file>

<file path=customXml/itemProps21.xml><?xml version="1.0" encoding="utf-8"?>
<ds:datastoreItem xmlns:ds="http://schemas.openxmlformats.org/officeDocument/2006/customXml" ds:itemID="{64EAB0BB-C99A-4824-B1AF-EB21B8D224CA}">
  <ds:schemaRefs>
    <ds:schemaRef ds:uri="http://www.excel4apps.com"/>
  </ds:schemaRefs>
</ds:datastoreItem>
</file>

<file path=customXml/itemProps22.xml><?xml version="1.0" encoding="utf-8"?>
<ds:datastoreItem xmlns:ds="http://schemas.openxmlformats.org/officeDocument/2006/customXml" ds:itemID="{39EE306C-2CF6-461A-B705-D26B97F7C34F}">
  <ds:schemaRefs>
    <ds:schemaRef ds:uri="http://www.excel4apps.com"/>
  </ds:schemaRefs>
</ds:datastoreItem>
</file>

<file path=customXml/itemProps23.xml><?xml version="1.0" encoding="utf-8"?>
<ds:datastoreItem xmlns:ds="http://schemas.openxmlformats.org/officeDocument/2006/customXml" ds:itemID="{6B761D98-3C9E-41EC-9329-36C0E3658C85}">
  <ds:schemaRefs>
    <ds:schemaRef ds:uri="http://www.excel4apps.com"/>
  </ds:schemaRefs>
</ds:datastoreItem>
</file>

<file path=customXml/itemProps24.xml><?xml version="1.0" encoding="utf-8"?>
<ds:datastoreItem xmlns:ds="http://schemas.openxmlformats.org/officeDocument/2006/customXml" ds:itemID="{940967D6-2CAA-4DCD-BEA5-4B096611C2BD}">
  <ds:schemaRefs>
    <ds:schemaRef ds:uri="http://www.excel4apps.com"/>
  </ds:schemaRefs>
</ds:datastoreItem>
</file>

<file path=customXml/itemProps25.xml><?xml version="1.0" encoding="utf-8"?>
<ds:datastoreItem xmlns:ds="http://schemas.openxmlformats.org/officeDocument/2006/customXml" ds:itemID="{789F1253-DAB0-4508-8573-D49923F1BFC2}">
  <ds:schemaRefs>
    <ds:schemaRef ds:uri="http://www.excel4apps.com"/>
  </ds:schemaRefs>
</ds:datastoreItem>
</file>

<file path=customXml/itemProps26.xml><?xml version="1.0" encoding="utf-8"?>
<ds:datastoreItem xmlns:ds="http://schemas.openxmlformats.org/officeDocument/2006/customXml" ds:itemID="{7E0255AA-E3CA-4811-AA65-FFB0C8AE0B72}">
  <ds:schemaRefs>
    <ds:schemaRef ds:uri="http://www.excel4apps.com"/>
  </ds:schemaRefs>
</ds:datastoreItem>
</file>

<file path=customXml/itemProps27.xml><?xml version="1.0" encoding="utf-8"?>
<ds:datastoreItem xmlns:ds="http://schemas.openxmlformats.org/officeDocument/2006/customXml" ds:itemID="{6690823D-0223-4169-ABE1-25E0D0ADFD1D}">
  <ds:schemaRefs>
    <ds:schemaRef ds:uri="http://www.excel4apps.com"/>
  </ds:schemaRefs>
</ds:datastoreItem>
</file>

<file path=customXml/itemProps28.xml><?xml version="1.0" encoding="utf-8"?>
<ds:datastoreItem xmlns:ds="http://schemas.openxmlformats.org/officeDocument/2006/customXml" ds:itemID="{9D87AD67-5870-4597-932A-01A004A635EA}">
  <ds:schemaRefs>
    <ds:schemaRef ds:uri="http://www.excel4apps.com"/>
  </ds:schemaRefs>
</ds:datastoreItem>
</file>

<file path=customXml/itemProps29.xml><?xml version="1.0" encoding="utf-8"?>
<ds:datastoreItem xmlns:ds="http://schemas.openxmlformats.org/officeDocument/2006/customXml" ds:itemID="{B8B92868-D563-4AC2-9BCF-4DA0C403F0F2}">
  <ds:schemaRefs>
    <ds:schemaRef ds:uri="http://www.excel4apps.com"/>
  </ds:schemaRefs>
</ds:datastoreItem>
</file>

<file path=customXml/itemProps3.xml><?xml version="1.0" encoding="utf-8"?>
<ds:datastoreItem xmlns:ds="http://schemas.openxmlformats.org/officeDocument/2006/customXml" ds:itemID="{4DC60A5E-0F1B-4F80-BA52-5C0B29744F97}">
  <ds:schemaRefs>
    <ds:schemaRef ds:uri="http://www.excel4apps.com"/>
  </ds:schemaRefs>
</ds:datastoreItem>
</file>

<file path=customXml/itemProps30.xml><?xml version="1.0" encoding="utf-8"?>
<ds:datastoreItem xmlns:ds="http://schemas.openxmlformats.org/officeDocument/2006/customXml" ds:itemID="{3D204467-20A7-4500-BD83-3095F1E9DC90}">
  <ds:schemaRefs>
    <ds:schemaRef ds:uri="http://www.excel4apps.com"/>
  </ds:schemaRefs>
</ds:datastoreItem>
</file>

<file path=customXml/itemProps31.xml><?xml version="1.0" encoding="utf-8"?>
<ds:datastoreItem xmlns:ds="http://schemas.openxmlformats.org/officeDocument/2006/customXml" ds:itemID="{4141BE5F-B42B-4B10-BA96-825BA41B1EE9}">
  <ds:schemaRefs>
    <ds:schemaRef ds:uri="http://www.excel4apps.com"/>
  </ds:schemaRefs>
</ds:datastoreItem>
</file>

<file path=customXml/itemProps32.xml><?xml version="1.0" encoding="utf-8"?>
<ds:datastoreItem xmlns:ds="http://schemas.openxmlformats.org/officeDocument/2006/customXml" ds:itemID="{FA6C103F-D224-4965-BBAC-A289764B9787}">
  <ds:schemaRefs>
    <ds:schemaRef ds:uri="http://www.excel4apps.com"/>
  </ds:schemaRefs>
</ds:datastoreItem>
</file>

<file path=customXml/itemProps33.xml><?xml version="1.0" encoding="utf-8"?>
<ds:datastoreItem xmlns:ds="http://schemas.openxmlformats.org/officeDocument/2006/customXml" ds:itemID="{0E41904E-A357-4416-8590-71D581448854}">
  <ds:schemaRefs>
    <ds:schemaRef ds:uri="http://www.excel4apps.com"/>
  </ds:schemaRefs>
</ds:datastoreItem>
</file>

<file path=customXml/itemProps34.xml><?xml version="1.0" encoding="utf-8"?>
<ds:datastoreItem xmlns:ds="http://schemas.openxmlformats.org/officeDocument/2006/customXml" ds:itemID="{C9C7FF8A-58A9-46F2-91A7-B55744EF90E9}">
  <ds:schemaRefs>
    <ds:schemaRef ds:uri="http://www.excel4apps.com"/>
  </ds:schemaRefs>
</ds:datastoreItem>
</file>

<file path=customXml/itemProps35.xml><?xml version="1.0" encoding="utf-8"?>
<ds:datastoreItem xmlns:ds="http://schemas.openxmlformats.org/officeDocument/2006/customXml" ds:itemID="{25C1BE6E-1FA2-4EBC-9A87-987E94EF4A9A}">
  <ds:schemaRefs>
    <ds:schemaRef ds:uri="http://www.excel4apps.com"/>
  </ds:schemaRefs>
</ds:datastoreItem>
</file>

<file path=customXml/itemProps36.xml><?xml version="1.0" encoding="utf-8"?>
<ds:datastoreItem xmlns:ds="http://schemas.openxmlformats.org/officeDocument/2006/customXml" ds:itemID="{F1386832-11B1-41CB-BEA3-A5E7EB528818}">
  <ds:schemaRefs>
    <ds:schemaRef ds:uri="http://www.excel4apps.com"/>
  </ds:schemaRefs>
</ds:datastoreItem>
</file>

<file path=customXml/itemProps37.xml><?xml version="1.0" encoding="utf-8"?>
<ds:datastoreItem xmlns:ds="http://schemas.openxmlformats.org/officeDocument/2006/customXml" ds:itemID="{CACEBC8E-F063-4A61-8702-79E9988591F8}">
  <ds:schemaRefs>
    <ds:schemaRef ds:uri="http://www.excel4apps.com"/>
  </ds:schemaRefs>
</ds:datastoreItem>
</file>

<file path=customXml/itemProps38.xml><?xml version="1.0" encoding="utf-8"?>
<ds:datastoreItem xmlns:ds="http://schemas.openxmlformats.org/officeDocument/2006/customXml" ds:itemID="{42CD4E83-40D7-4953-A059-F02F48A0DCC0}">
  <ds:schemaRefs>
    <ds:schemaRef ds:uri="http://www.excel4apps.com"/>
  </ds:schemaRefs>
</ds:datastoreItem>
</file>

<file path=customXml/itemProps39.xml><?xml version="1.0" encoding="utf-8"?>
<ds:datastoreItem xmlns:ds="http://schemas.openxmlformats.org/officeDocument/2006/customXml" ds:itemID="{525B119E-EBD8-4492-A249-EE86CE295BC7}">
  <ds:schemaRefs>
    <ds:schemaRef ds:uri="http://www.excel4apps.com"/>
  </ds:schemaRefs>
</ds:datastoreItem>
</file>

<file path=customXml/itemProps4.xml><?xml version="1.0" encoding="utf-8"?>
<ds:datastoreItem xmlns:ds="http://schemas.openxmlformats.org/officeDocument/2006/customXml" ds:itemID="{96ACE0F3-CF24-41AD-96C4-78CC2A4022F7}">
  <ds:schemaRefs>
    <ds:schemaRef ds:uri="http://www.excel4apps.com"/>
  </ds:schemaRefs>
</ds:datastoreItem>
</file>

<file path=customXml/itemProps40.xml><?xml version="1.0" encoding="utf-8"?>
<ds:datastoreItem xmlns:ds="http://schemas.openxmlformats.org/officeDocument/2006/customXml" ds:itemID="{464304CA-033F-444C-B6A2-E626AC9B96A0}">
  <ds:schemaRefs>
    <ds:schemaRef ds:uri="http://www.excel4apps.com"/>
  </ds:schemaRefs>
</ds:datastoreItem>
</file>

<file path=customXml/itemProps41.xml><?xml version="1.0" encoding="utf-8"?>
<ds:datastoreItem xmlns:ds="http://schemas.openxmlformats.org/officeDocument/2006/customXml" ds:itemID="{627343E0-4E1A-47FD-8211-CA50318E8AA4}">
  <ds:schemaRefs>
    <ds:schemaRef ds:uri="http://www.excel4apps.com"/>
  </ds:schemaRefs>
</ds:datastoreItem>
</file>

<file path=customXml/itemProps42.xml><?xml version="1.0" encoding="utf-8"?>
<ds:datastoreItem xmlns:ds="http://schemas.openxmlformats.org/officeDocument/2006/customXml" ds:itemID="{0CA94DE5-79ED-4CF8-81ED-875B059474B2}">
  <ds:schemaRefs>
    <ds:schemaRef ds:uri="http://www.excel4apps.com"/>
  </ds:schemaRefs>
</ds:datastoreItem>
</file>

<file path=customXml/itemProps43.xml><?xml version="1.0" encoding="utf-8"?>
<ds:datastoreItem xmlns:ds="http://schemas.openxmlformats.org/officeDocument/2006/customXml" ds:itemID="{F0FAAFBB-97D0-4C82-82D1-9F3493F8BE3F}">
  <ds:schemaRefs>
    <ds:schemaRef ds:uri="http://www.excel4apps.com"/>
  </ds:schemaRefs>
</ds:datastoreItem>
</file>

<file path=customXml/itemProps44.xml><?xml version="1.0" encoding="utf-8"?>
<ds:datastoreItem xmlns:ds="http://schemas.openxmlformats.org/officeDocument/2006/customXml" ds:itemID="{4DF1A90B-8CE2-4DFF-AB4B-E4B743131D95}">
  <ds:schemaRefs>
    <ds:schemaRef ds:uri="http://www.excel4apps.com"/>
  </ds:schemaRefs>
</ds:datastoreItem>
</file>

<file path=customXml/itemProps45.xml><?xml version="1.0" encoding="utf-8"?>
<ds:datastoreItem xmlns:ds="http://schemas.openxmlformats.org/officeDocument/2006/customXml" ds:itemID="{819C1A92-747D-48E1-89F9-1BA4154C69F8}">
  <ds:schemaRefs>
    <ds:schemaRef ds:uri="http://www.excel4apps.com"/>
  </ds:schemaRefs>
</ds:datastoreItem>
</file>

<file path=customXml/itemProps46.xml><?xml version="1.0" encoding="utf-8"?>
<ds:datastoreItem xmlns:ds="http://schemas.openxmlformats.org/officeDocument/2006/customXml" ds:itemID="{437A8FAD-5314-45B3-809B-D0B1071B1682}">
  <ds:schemaRefs>
    <ds:schemaRef ds:uri="http://www.excel4apps.com"/>
  </ds:schemaRefs>
</ds:datastoreItem>
</file>

<file path=customXml/itemProps47.xml><?xml version="1.0" encoding="utf-8"?>
<ds:datastoreItem xmlns:ds="http://schemas.openxmlformats.org/officeDocument/2006/customXml" ds:itemID="{E0768F12-0A4D-4168-A412-D8D112E97993}">
  <ds:schemaRefs>
    <ds:schemaRef ds:uri="http://www.excel4apps.com"/>
  </ds:schemaRefs>
</ds:datastoreItem>
</file>

<file path=customXml/itemProps48.xml><?xml version="1.0" encoding="utf-8"?>
<ds:datastoreItem xmlns:ds="http://schemas.openxmlformats.org/officeDocument/2006/customXml" ds:itemID="{8034C996-AA85-47C1-9941-D22CF7096580}">
  <ds:schemaRefs>
    <ds:schemaRef ds:uri="http://www.excel4apps.com"/>
  </ds:schemaRefs>
</ds:datastoreItem>
</file>

<file path=customXml/itemProps49.xml><?xml version="1.0" encoding="utf-8"?>
<ds:datastoreItem xmlns:ds="http://schemas.openxmlformats.org/officeDocument/2006/customXml" ds:itemID="{6E90BAB0-29C8-441B-8BF1-42BF136274B8}">
  <ds:schemaRefs>
    <ds:schemaRef ds:uri="http://www.excel4apps.com"/>
  </ds:schemaRefs>
</ds:datastoreItem>
</file>

<file path=customXml/itemProps5.xml><?xml version="1.0" encoding="utf-8"?>
<ds:datastoreItem xmlns:ds="http://schemas.openxmlformats.org/officeDocument/2006/customXml" ds:itemID="{335AC2C9-FD43-45A9-AB0D-73F38DCC114A}">
  <ds:schemaRefs>
    <ds:schemaRef ds:uri="http://www.excel4apps.com"/>
  </ds:schemaRefs>
</ds:datastoreItem>
</file>

<file path=customXml/itemProps50.xml><?xml version="1.0" encoding="utf-8"?>
<ds:datastoreItem xmlns:ds="http://schemas.openxmlformats.org/officeDocument/2006/customXml" ds:itemID="{D0B29D80-61BE-4A0D-9C5A-F35AC7467048}">
  <ds:schemaRefs>
    <ds:schemaRef ds:uri="http://www.excel4apps.com"/>
  </ds:schemaRefs>
</ds:datastoreItem>
</file>

<file path=customXml/itemProps51.xml><?xml version="1.0" encoding="utf-8"?>
<ds:datastoreItem xmlns:ds="http://schemas.openxmlformats.org/officeDocument/2006/customXml" ds:itemID="{63DA6139-8E8D-44B2-8583-329FE087410A}">
  <ds:schemaRefs>
    <ds:schemaRef ds:uri="http://www.excel4apps.com"/>
  </ds:schemaRefs>
</ds:datastoreItem>
</file>

<file path=customXml/itemProps52.xml><?xml version="1.0" encoding="utf-8"?>
<ds:datastoreItem xmlns:ds="http://schemas.openxmlformats.org/officeDocument/2006/customXml" ds:itemID="{75D7DBF1-96F1-48C0-B135-2B88C79CE36C}">
  <ds:schemaRefs>
    <ds:schemaRef ds:uri="http://www.excel4apps.com"/>
  </ds:schemaRefs>
</ds:datastoreItem>
</file>

<file path=customXml/itemProps53.xml><?xml version="1.0" encoding="utf-8"?>
<ds:datastoreItem xmlns:ds="http://schemas.openxmlformats.org/officeDocument/2006/customXml" ds:itemID="{9FABCEBD-5549-4DDD-9E39-EEDEAFC79C40}">
  <ds:schemaRefs>
    <ds:schemaRef ds:uri="http://www.excel4apps.com"/>
  </ds:schemaRefs>
</ds:datastoreItem>
</file>

<file path=customXml/itemProps54.xml><?xml version="1.0" encoding="utf-8"?>
<ds:datastoreItem xmlns:ds="http://schemas.openxmlformats.org/officeDocument/2006/customXml" ds:itemID="{36E50E34-42C7-443B-9502-940B1242FCFA}">
  <ds:schemaRefs>
    <ds:schemaRef ds:uri="http://www.excel4apps.com"/>
  </ds:schemaRefs>
</ds:datastoreItem>
</file>

<file path=customXml/itemProps55.xml><?xml version="1.0" encoding="utf-8"?>
<ds:datastoreItem xmlns:ds="http://schemas.openxmlformats.org/officeDocument/2006/customXml" ds:itemID="{6474C8C6-BA97-44AA-A393-319ED224C8C6}">
  <ds:schemaRefs>
    <ds:schemaRef ds:uri="http://www.excel4apps.com"/>
  </ds:schemaRefs>
</ds:datastoreItem>
</file>

<file path=customXml/itemProps56.xml><?xml version="1.0" encoding="utf-8"?>
<ds:datastoreItem xmlns:ds="http://schemas.openxmlformats.org/officeDocument/2006/customXml" ds:itemID="{61B021BB-C9AF-44C5-907E-C2175CE895FC}">
  <ds:schemaRefs>
    <ds:schemaRef ds:uri="http://www.excel4apps.com"/>
  </ds:schemaRefs>
</ds:datastoreItem>
</file>

<file path=customXml/itemProps57.xml><?xml version="1.0" encoding="utf-8"?>
<ds:datastoreItem xmlns:ds="http://schemas.openxmlformats.org/officeDocument/2006/customXml" ds:itemID="{32BF2B77-537F-4621-9287-86DA9D18F8CA}">
  <ds:schemaRefs>
    <ds:schemaRef ds:uri="http://www.excel4apps.com"/>
  </ds:schemaRefs>
</ds:datastoreItem>
</file>

<file path=customXml/itemProps58.xml><?xml version="1.0" encoding="utf-8"?>
<ds:datastoreItem xmlns:ds="http://schemas.openxmlformats.org/officeDocument/2006/customXml" ds:itemID="{5DE2DCDC-77AC-45F2-BB7C-B70B81502713}">
  <ds:schemaRefs>
    <ds:schemaRef ds:uri="http://www.excel4apps.com"/>
  </ds:schemaRefs>
</ds:datastoreItem>
</file>

<file path=customXml/itemProps59.xml><?xml version="1.0" encoding="utf-8"?>
<ds:datastoreItem xmlns:ds="http://schemas.openxmlformats.org/officeDocument/2006/customXml" ds:itemID="{887FF023-77C0-4A19-B5E1-70A6A0019E46}">
  <ds:schemaRefs>
    <ds:schemaRef ds:uri="http://www.excel4apps.com"/>
  </ds:schemaRefs>
</ds:datastoreItem>
</file>

<file path=customXml/itemProps6.xml><?xml version="1.0" encoding="utf-8"?>
<ds:datastoreItem xmlns:ds="http://schemas.openxmlformats.org/officeDocument/2006/customXml" ds:itemID="{F6CA3297-9E55-45F3-ADBD-2C71B68E4202}">
  <ds:schemaRefs>
    <ds:schemaRef ds:uri="http://www.excel4apps.com"/>
  </ds:schemaRefs>
</ds:datastoreItem>
</file>

<file path=customXml/itemProps60.xml><?xml version="1.0" encoding="utf-8"?>
<ds:datastoreItem xmlns:ds="http://schemas.openxmlformats.org/officeDocument/2006/customXml" ds:itemID="{7E7E9A5D-1EA4-453C-9807-6751B1373B79}"/>
</file>

<file path=customXml/itemProps61.xml><?xml version="1.0" encoding="utf-8"?>
<ds:datastoreItem xmlns:ds="http://schemas.openxmlformats.org/officeDocument/2006/customXml" ds:itemID="{18536835-5409-4A60-B04A-72EF1F318824}"/>
</file>

<file path=customXml/itemProps62.xml><?xml version="1.0" encoding="utf-8"?>
<ds:datastoreItem xmlns:ds="http://schemas.openxmlformats.org/officeDocument/2006/customXml" ds:itemID="{AF82F86A-A932-4D65-9DD8-4ADE74FD87EF}"/>
</file>

<file path=customXml/itemProps63.xml><?xml version="1.0" encoding="utf-8"?>
<ds:datastoreItem xmlns:ds="http://schemas.openxmlformats.org/officeDocument/2006/customXml" ds:itemID="{E62981DA-0323-4A1D-9316-D08E8B19122E}"/>
</file>

<file path=customXml/itemProps7.xml><?xml version="1.0" encoding="utf-8"?>
<ds:datastoreItem xmlns:ds="http://schemas.openxmlformats.org/officeDocument/2006/customXml" ds:itemID="{ECBC04BA-35C0-4D7E-9D05-E72F7D7E71AB}">
  <ds:schemaRefs>
    <ds:schemaRef ds:uri="http://www.excel4apps.com"/>
  </ds:schemaRefs>
</ds:datastoreItem>
</file>

<file path=customXml/itemProps8.xml><?xml version="1.0" encoding="utf-8"?>
<ds:datastoreItem xmlns:ds="http://schemas.openxmlformats.org/officeDocument/2006/customXml" ds:itemID="{068C1608-DCEA-42A9-895D-187E506FF033}">
  <ds:schemaRefs>
    <ds:schemaRef ds:uri="http://www.excel4apps.com"/>
  </ds:schemaRefs>
</ds:datastoreItem>
</file>

<file path=customXml/itemProps9.xml><?xml version="1.0" encoding="utf-8"?>
<ds:datastoreItem xmlns:ds="http://schemas.openxmlformats.org/officeDocument/2006/customXml" ds:itemID="{4AD1F948-8553-478D-B9F2-717E1ABA3672}">
  <ds:schemaRefs>
    <ds:schemaRef ds:uri="http://www.excel4apps.com"/>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40</vt:i4>
      </vt:variant>
    </vt:vector>
  </HeadingPairs>
  <TitlesOfParts>
    <vt:vector size="65" baseType="lpstr">
      <vt:lpstr>PGA Graphs 2012-13</vt:lpstr>
      <vt:lpstr>JE</vt:lpstr>
      <vt:lpstr>191010 WA Summary</vt:lpstr>
      <vt:lpstr>191000 WA Summary</vt:lpstr>
      <vt:lpstr>Jan</vt:lpstr>
      <vt:lpstr>Feb</vt:lpstr>
      <vt:lpstr>Mar</vt:lpstr>
      <vt:lpstr>Apr</vt:lpstr>
      <vt:lpstr>May</vt:lpstr>
      <vt:lpstr>Jun</vt:lpstr>
      <vt:lpstr>Jul</vt:lpstr>
      <vt:lpstr>Aug</vt:lpstr>
      <vt:lpstr>Sep</vt:lpstr>
      <vt:lpstr>Oct</vt:lpstr>
      <vt:lpstr>Nov</vt:lpstr>
      <vt:lpstr>Dec</vt:lpstr>
      <vt:lpstr>WA - Def-Amtz (current)</vt:lpstr>
      <vt:lpstr>PGA Graphs 2013-14</vt:lpstr>
      <vt:lpstr>ID Amort 191015</vt:lpstr>
      <vt:lpstr>ID Amort 191000</vt:lpstr>
      <vt:lpstr>WA Def 191010</vt:lpstr>
      <vt:lpstr>ID Def 191010</vt:lpstr>
      <vt:lpstr>ID Holdback 191015</vt:lpstr>
      <vt:lpstr>Amortization of JP Deferral</vt:lpstr>
      <vt:lpstr>WA Amort 191000</vt:lpstr>
      <vt:lpstr>'191000 WA Summary'!Print_Area</vt:lpstr>
      <vt:lpstr>'191010 WA Summary'!Print_Area</vt:lpstr>
      <vt:lpstr>'Amortization of JP Deferral'!Print_Area</vt:lpstr>
      <vt:lpstr>Apr!Print_Area</vt:lpstr>
      <vt:lpstr>Aug!Print_Area</vt:lpstr>
      <vt:lpstr>Dec!Print_Area</vt:lpstr>
      <vt:lpstr>Feb!Print_Area</vt:lpstr>
      <vt:lpstr>'ID Amort 191000'!Print_Area</vt:lpstr>
      <vt:lpstr>'ID Amort 191015'!Print_Area</vt:lpstr>
      <vt:lpstr>'ID Def 191010'!Print_Area</vt:lpstr>
      <vt:lpstr>'ID Holdback 191015'!Print_Area</vt:lpstr>
      <vt:lpstr>Jan!Print_Area</vt:lpstr>
      <vt:lpstr>JE!Print_Area</vt:lpstr>
      <vt:lpstr>Jul!Print_Area</vt:lpstr>
      <vt:lpstr>Jun!Print_Area</vt:lpstr>
      <vt:lpstr>Mar!Print_Area</vt:lpstr>
      <vt:lpstr>May!Print_Area</vt:lpstr>
      <vt:lpstr>Nov!Print_Area</vt:lpstr>
      <vt:lpstr>Oct!Print_Area</vt:lpstr>
      <vt:lpstr>'PGA Graphs 2012-13'!Print_Area</vt:lpstr>
      <vt:lpstr>'PGA Graphs 2013-14'!Print_Area</vt:lpstr>
      <vt:lpstr>Sep!Print_Area</vt:lpstr>
      <vt:lpstr>'WA - Def-Amtz (current)'!Print_Area</vt:lpstr>
      <vt:lpstr>'WA Amort 191000'!Print_Area</vt:lpstr>
      <vt:lpstr>'WA Def 191010'!Print_Area</vt:lpstr>
      <vt:lpstr>Apr!Print_Titles</vt:lpstr>
      <vt:lpstr>Aug!Print_Titles</vt:lpstr>
      <vt:lpstr>Dec!Print_Titles</vt:lpstr>
      <vt:lpstr>Feb!Print_Titles</vt:lpstr>
      <vt:lpstr>'ID Def 191010'!Print_Titles</vt:lpstr>
      <vt:lpstr>'ID Holdback 191015'!Print_Titles</vt:lpstr>
      <vt:lpstr>Jan!Print_Titles</vt:lpstr>
      <vt:lpstr>Jul!Print_Titles</vt:lpstr>
      <vt:lpstr>Jun!Print_Titles</vt:lpstr>
      <vt:lpstr>Mar!Print_Titles</vt:lpstr>
      <vt:lpstr>May!Print_Titles</vt:lpstr>
      <vt:lpstr>Nov!Print_Titles</vt:lpstr>
      <vt:lpstr>Oct!Print_Titles</vt:lpstr>
      <vt:lpstr>Sep!Print_Titles</vt:lpstr>
      <vt:lpstr>'WA Def 191010'!Print_Titles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annette brandon</cp:lastModifiedBy>
  <cp:lastPrinted>2018-12-05T20:31:15Z</cp:lastPrinted>
  <dcterms:created xsi:type="dcterms:W3CDTF">2003-05-01T14:02:57Z</dcterms:created>
  <dcterms:modified xsi:type="dcterms:W3CDTF">2018-12-17T20:19:23Z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0x0101006E56B4D1795A2E4DB2F0B01679ED314A0057C8840655DF834D9146E3231B1BC14A</vt:lpwstr>
  </property>
  <property fmtid="{D5CDD505-2E9C-101B-9397-08002B2CF9AE}" pid="3" name="_docset_NoMedatataSyncRequired">
    <vt:lpwstr>False</vt:lpwstr>
  </property>
  <property fmtid="{D5CDD505-2E9C-101B-9397-08002B2CF9AE}" pid="4" name="IsEFSEC">
    <vt:bool>false</vt:bool>
  </property>
</Properties>
</file>