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drawings/drawing2.xml" ContentType="application/vnd.openxmlformats-officedocument.drawingml.chartshapes+xml"/>
  <Override PartName="/xl/drawings/drawing3.xml" ContentType="application/vnd.openxmlformats-officedocument.drawingml.chartshapes+xml"/>
  <Override PartName="/xl/workbook.xml" ContentType="application/vnd.openxmlformats-officedocument.spreadsheetml.sheet.main+xml"/>
  <Override PartName="/xl/worksheets/sheet6.xml" ContentType="application/vnd.openxmlformats-officedocument.spreadsheetml.worksheet+xml"/>
  <Override PartName="/xl/charts/chart5.xml" ContentType="application/vnd.openxmlformats-officedocument.drawingml.chart+xml"/>
  <Override PartName="/xl/charts/chart6.xml" ContentType="application/vnd.openxmlformats-officedocument.drawingml.chart+xml"/>
  <Override PartName="/xl/worksheets/sheet3.xml" ContentType="application/vnd.openxmlformats-officedocument.spreadsheetml.worksheet+xml"/>
  <Override PartName="/xl/worksheets/sheet2.xml" ContentType="application/vnd.openxmlformats-officedocument.spreadsheetml.worksheet+xml"/>
  <Override PartName="/xl/charts/chart4.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worksheets/sheet1.xml" ContentType="application/vnd.openxmlformats-officedocument.spreadsheetml.worksheet+xml"/>
  <Override PartName="/xl/charts/chart2.xml" ContentType="application/vnd.openxmlformats-officedocument.drawingml.chart+xml"/>
  <Override PartName="/xl/worksheets/sheet22.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4.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worksheets/sheet5.xml" ContentType="application/vnd.openxmlformats-officedocument.spreadsheetml.worksheet+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worksheets/sheet17.xml" ContentType="application/vnd.openxmlformats-officedocument.spreadsheetml.worksheet+xml"/>
  <Override PartName="/xl/worksheets/sheet18.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10.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9.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ustomProperty7.bin" ContentType="application/vnd.openxmlformats-officedocument.spreadsheetml.customPropert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calcChain.xml" ContentType="application/vnd.openxmlformats-officedocument.spreadsheetml.calcChain+xml"/>
  <Override PartName="/xl/customProperty24.bin" ContentType="application/vnd.openxmlformats-officedocument.spreadsheetml.customProperty"/>
  <Override PartName="/xl/comments15.xml" ContentType="application/vnd.openxmlformats-officedocument.spreadsheetml.comments+xml"/>
  <Override PartName="/xl/customProperty23.bin" ContentType="application/vnd.openxmlformats-officedocument.spreadsheetml.customProperty"/>
  <Override PartName="/customXml/itemProps4.xml" ContentType="application/vnd.openxmlformats-officedocument.customXmlProperties+xml"/>
  <Override PartName="/xl/customProperty1.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ustomProperty2.bin" ContentType="application/vnd.openxmlformats-officedocument.spreadsheetml.customProperty"/>
  <Override PartName="/xl/customProperty22.bin" ContentType="application/vnd.openxmlformats-officedocument.spreadsheetml.customProperty"/>
  <Override PartName="/xl/comments9.xml" ContentType="application/vnd.openxmlformats-officedocument.spreadsheetml.comments+xml"/>
  <Override PartName="/xl/comments3.xml" ContentType="application/vnd.openxmlformats-officedocument.spreadsheetml.comments+xml"/>
  <Override PartName="/xl/customProperty11.bin" ContentType="application/vnd.openxmlformats-officedocument.spreadsheetml.customProperty"/>
  <Override PartName="/xl/customProperty12.bin" ContentType="application/vnd.openxmlformats-officedocument.spreadsheetml.customProperty"/>
  <Override PartName="/xl/comments10.xml" ContentType="application/vnd.openxmlformats-officedocument.spreadsheetml.comments+xml"/>
  <Override PartName="/xl/comments11.xml" ContentType="application/vnd.openxmlformats-officedocument.spreadsheetml.comments+xml"/>
  <Override PartName="/xl/customProperty5.bin" ContentType="application/vnd.openxmlformats-officedocument.spreadsheetml.customProperty"/>
  <Override PartName="/xl/customProperty13.bin" ContentType="application/vnd.openxmlformats-officedocument.spreadsheetml.customProperty"/>
  <Override PartName="/xl/comments8.xml" ContentType="application/vnd.openxmlformats-officedocument.spreadsheetml.comments+xml"/>
  <Override PartName="/xl/customProperty10.bin" ContentType="application/vnd.openxmlformats-officedocument.spreadsheetml.customProperty"/>
  <Override PartName="/xl/customProperty8.bin" ContentType="application/vnd.openxmlformats-officedocument.spreadsheetml.customProperty"/>
  <Override PartName="/xl/comments5.xml" ContentType="application/vnd.openxmlformats-officedocument.spreadsheetml.comments+xml"/>
  <Override PartName="/xl/comments4.xml" ContentType="application/vnd.openxmlformats-officedocument.spreadsheetml.comments+xml"/>
  <Override PartName="/xl/comments6.xml" ContentType="application/vnd.openxmlformats-officedocument.spreadsheetml.comments+xml"/>
  <Override PartName="/xl/customProperty9.bin" ContentType="application/vnd.openxmlformats-officedocument.spreadsheetml.customProperty"/>
  <Override PartName="/xl/customProperty6.bin" ContentType="application/vnd.openxmlformats-officedocument.spreadsheetml.customProperty"/>
  <Override PartName="/xl/comments7.xml" ContentType="application/vnd.openxmlformats-officedocument.spreadsheetml.comments+xml"/>
  <Override PartName="/xl/customProperty14.bin" ContentType="application/vnd.openxmlformats-officedocument.spreadsheetml.customProperty"/>
  <Override PartName="/xl/customProperty18.bin" ContentType="application/vnd.openxmlformats-officedocument.spreadsheetml.customProperty"/>
  <Override PartName="/xl/customProperty3.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omments1.xml" ContentType="application/vnd.openxmlformats-officedocument.spreadsheetml.comments+xml"/>
  <Override PartName="/xl/customProperty4.bin" ContentType="application/vnd.openxmlformats-officedocument.spreadsheetml.customProperty"/>
  <Override PartName="/xl/comments2.xml" ContentType="application/vnd.openxmlformats-officedocument.spreadsheetml.comments+xml"/>
  <Override PartName="/xl/customProperty15.bin" ContentType="application/vnd.openxmlformats-officedocument.spreadsheetml.customProperty"/>
  <Override PartName="/xl/comments12.xml" ContentType="application/vnd.openxmlformats-officedocument.spreadsheetml.comments+xml"/>
  <Override PartName="/xl/comments13.xml" ContentType="application/vnd.openxmlformats-officedocument.spreadsheetml.comments+xml"/>
  <Override PartName="/xl/customProperty16.bin" ContentType="application/vnd.openxmlformats-officedocument.spreadsheetml.customProperty"/>
  <Override PartName="/xl/comments14.xml" ContentType="application/vnd.openxmlformats-officedocument.spreadsheetml.comments+xml"/>
  <Override PartName="/xl/customProperty17.bin" ContentType="application/vnd.openxmlformats-officedocument.spreadsheetml.customProperty"/>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mc:AlternateContent xmlns:mc="http://schemas.openxmlformats.org/markup-compatibility/2006">
    <mc:Choice Requires="x15">
      <x15ac:absPath xmlns:x15ac="http://schemas.microsoft.com/office/spreadsheetml/2010/11/ac" url="H:\January 2018\Jan 23\170932\"/>
    </mc:Choice>
  </mc:AlternateContent>
  <bookViews>
    <workbookView xWindow="-180" yWindow="-30" windowWidth="9720" windowHeight="7005" tabRatio="772" firstSheet="14" activeTab="14"/>
  </bookViews>
  <sheets>
    <sheet name="PGA Graphs 2012-13" sheetId="13" state="hidden" r:id="rId1"/>
    <sheet name="JE" sheetId="18" state="hidden" r:id="rId2"/>
    <sheet name="Jan" sheetId="5" state="hidden" r:id="rId3"/>
    <sheet name="Feb" sheetId="19" state="hidden" r:id="rId4"/>
    <sheet name="Mar" sheetId="21" state="hidden" r:id="rId5"/>
    <sheet name="Apr" sheetId="20" state="hidden" r:id="rId6"/>
    <sheet name="May" sheetId="23" state="hidden" r:id="rId7"/>
    <sheet name="Jun" sheetId="22" state="hidden" r:id="rId8"/>
    <sheet name="Jul" sheetId="24" state="hidden" r:id="rId9"/>
    <sheet name="COMPARE JULY VS AUG" sheetId="45" state="hidden" r:id="rId10"/>
    <sheet name="Aug" sheetId="25" state="hidden" r:id="rId11"/>
    <sheet name="Sep" sheetId="26" state="hidden" r:id="rId12"/>
    <sheet name="Oct" sheetId="27" state="hidden" r:id="rId13"/>
    <sheet name="Nov" sheetId="28" state="hidden" r:id="rId14"/>
    <sheet name="Dec" sheetId="29" r:id="rId15"/>
    <sheet name="WA - Def-Amtz (current)" sheetId="16" r:id="rId16"/>
    <sheet name="PGA Graphs 2013-14" sheetId="30" state="hidden" r:id="rId17"/>
    <sheet name="ID Amort 191015" sheetId="14" state="hidden" r:id="rId18"/>
    <sheet name="ID Amort 191000" sheetId="7" state="hidden" r:id="rId19"/>
    <sheet name="WA Def 191010" sheetId="3" state="hidden" r:id="rId20"/>
    <sheet name="ID Def 191010" sheetId="6" state="hidden" r:id="rId21"/>
    <sheet name="ID Holdback 191015" sheetId="12" state="hidden" r:id="rId22"/>
    <sheet name="Amortization of JP Deferral" sheetId="9" state="hidden" r:id="rId23"/>
    <sheet name="WA Amort 191000" sheetId="10" state="hidden" r:id="rId24"/>
  </sheets>
  <definedNames>
    <definedName name="_xlnm.Print_Area" localSheetId="22">'Amortization of JP Deferral'!$A$1:$J$197</definedName>
    <definedName name="_xlnm.Print_Area" localSheetId="5">Apr!$A$1:$M$68</definedName>
    <definedName name="_xlnm.Print_Area" localSheetId="10">Aug!$A$1:$M$68</definedName>
    <definedName name="_xlnm.Print_Area" localSheetId="9">'COMPARE JULY VS AUG'!$A$1:$P$68</definedName>
    <definedName name="_xlnm.Print_Area" localSheetId="14">Dec!$A$1:$M$68</definedName>
    <definedName name="_xlnm.Print_Area" localSheetId="3">Feb!$A$1:$M$68</definedName>
    <definedName name="_xlnm.Print_Area" localSheetId="18">'ID Amort 191000'!$A$1:$J$300</definedName>
    <definedName name="_xlnm.Print_Area" localSheetId="17">'ID Amort 191015'!$A$1:$J$63</definedName>
    <definedName name="_xlnm.Print_Area" localSheetId="20">'ID Def 191010'!$A$1:$T$180</definedName>
    <definedName name="_xlnm.Print_Area" localSheetId="21">'ID Holdback 191015'!$A$1:$T$104</definedName>
    <definedName name="_xlnm.Print_Area" localSheetId="2">Jan!$A$1:$M$68</definedName>
    <definedName name="_xlnm.Print_Area" localSheetId="1">JE!$A$1:$M$32</definedName>
    <definedName name="_xlnm.Print_Area" localSheetId="8">Jul!$A$1:$M$68</definedName>
    <definedName name="_xlnm.Print_Area" localSheetId="7">Jun!$A$1:$M$68</definedName>
    <definedName name="_xlnm.Print_Area" localSheetId="4">Mar!$A$1:$M$68</definedName>
    <definedName name="_xlnm.Print_Area" localSheetId="6">May!$A$1:$M$68</definedName>
    <definedName name="_xlnm.Print_Area" localSheetId="13">Nov!$A$1:$M$68</definedName>
    <definedName name="_xlnm.Print_Area" localSheetId="12">Oct!$A$1:$M$68</definedName>
    <definedName name="_xlnm.Print_Area" localSheetId="0">'PGA Graphs 2012-13'!$P$2:$X$53</definedName>
    <definedName name="_xlnm.Print_Area" localSheetId="16">'PGA Graphs 2013-14'!$A$1:$N$66</definedName>
    <definedName name="_xlnm.Print_Area" localSheetId="11">Sep!$A$1:$M$68</definedName>
    <definedName name="_xlnm.Print_Area" localSheetId="15">'WA - Def-Amtz (current)'!$A$1:$BK$84</definedName>
    <definedName name="_xlnm.Print_Area" localSheetId="23">'WA Amort 191000'!$A$1:$J$310</definedName>
    <definedName name="_xlnm.Print_Area" localSheetId="19">'WA Def 191010'!$A$1:$R$143</definedName>
    <definedName name="_xlnm.Print_Titles" localSheetId="5">Apr!$1:$2</definedName>
    <definedName name="_xlnm.Print_Titles" localSheetId="10">Aug!$1:$2</definedName>
    <definedName name="_xlnm.Print_Titles" localSheetId="9">'COMPARE JULY VS AUG'!$1:$2</definedName>
    <definedName name="_xlnm.Print_Titles" localSheetId="14">Dec!$1:$2</definedName>
    <definedName name="_xlnm.Print_Titles" localSheetId="3">Feb!$1:$2</definedName>
    <definedName name="_xlnm.Print_Titles" localSheetId="20">'ID Def 191010'!$1:$7</definedName>
    <definedName name="_xlnm.Print_Titles" localSheetId="21">'ID Holdback 191015'!$1:$7</definedName>
    <definedName name="_xlnm.Print_Titles" localSheetId="2">Jan!$1:$2</definedName>
    <definedName name="_xlnm.Print_Titles" localSheetId="8">Jul!$1:$2</definedName>
    <definedName name="_xlnm.Print_Titles" localSheetId="7">Jun!$1:$2</definedName>
    <definedName name="_xlnm.Print_Titles" localSheetId="4">Mar!$1:$2</definedName>
    <definedName name="_xlnm.Print_Titles" localSheetId="6">May!$1:$2</definedName>
    <definedName name="_xlnm.Print_Titles" localSheetId="13">Nov!$1:$2</definedName>
    <definedName name="_xlnm.Print_Titles" localSheetId="12">Oct!$1:$2</definedName>
    <definedName name="_xlnm.Print_Titles" localSheetId="11">Sep!$1:$2</definedName>
    <definedName name="_xlnm.Print_Titles" localSheetId="19">'WA Def 191010'!$1:$5</definedName>
  </definedNames>
  <calcPr calcId="152511"/>
</workbook>
</file>

<file path=xl/calcChain.xml><?xml version="1.0" encoding="utf-8"?>
<calcChain xmlns="http://schemas.openxmlformats.org/spreadsheetml/2006/main">
  <c r="I61" i="29" l="1"/>
  <c r="I61" i="28"/>
  <c r="H61" i="29"/>
  <c r="H61" i="28"/>
  <c r="H53" i="29" l="1"/>
  <c r="H52" i="29"/>
  <c r="C33" i="29"/>
  <c r="C56" i="29"/>
  <c r="C44" i="29"/>
  <c r="C8" i="29"/>
  <c r="C21" i="29"/>
  <c r="C5" i="29"/>
  <c r="C9" i="29"/>
  <c r="C15" i="29"/>
  <c r="C12" i="29"/>
  <c r="C18" i="29"/>
  <c r="C6" i="29"/>
  <c r="C54" i="29"/>
  <c r="K40" i="29" l="1"/>
  <c r="K39" i="29"/>
  <c r="K38" i="29"/>
  <c r="K37" i="29"/>
  <c r="K36" i="29"/>
  <c r="G44" i="29"/>
  <c r="G43" i="29"/>
  <c r="G42" i="29"/>
  <c r="G41" i="29"/>
  <c r="G40" i="29"/>
  <c r="G39" i="29"/>
  <c r="G38" i="29"/>
  <c r="G37" i="29"/>
  <c r="G44" i="28"/>
  <c r="G43" i="28"/>
  <c r="G42" i="28"/>
  <c r="G41" i="28"/>
  <c r="G40" i="28"/>
  <c r="G39" i="28"/>
  <c r="G38" i="28"/>
  <c r="G37" i="28"/>
  <c r="BD19" i="16"/>
  <c r="BD20" i="16"/>
  <c r="BD46" i="16" l="1"/>
  <c r="BJ45" i="16" l="1"/>
  <c r="C6" i="28" l="1"/>
  <c r="C4" i="28"/>
  <c r="C54" i="28" l="1"/>
  <c r="BC20" i="16" l="1"/>
  <c r="BC21" i="16"/>
  <c r="BC23" i="16"/>
  <c r="BC25" i="16"/>
  <c r="BC27" i="16"/>
  <c r="BC19" i="16"/>
  <c r="BB20" i="16"/>
  <c r="BB21" i="16"/>
  <c r="BB22" i="16"/>
  <c r="BB23" i="16"/>
  <c r="BB25" i="16"/>
  <c r="BB27" i="16"/>
  <c r="BB19" i="16"/>
  <c r="BB28" i="16" l="1"/>
  <c r="C19" i="28"/>
  <c r="C5" i="28"/>
  <c r="C9" i="28"/>
  <c r="C15" i="28"/>
  <c r="C12" i="28"/>
  <c r="C18" i="28"/>
  <c r="C21" i="28"/>
  <c r="C33" i="28" l="1"/>
  <c r="C44" i="28" l="1"/>
  <c r="C41" i="28" l="1"/>
  <c r="BM78" i="16" l="1"/>
  <c r="BM79" i="16"/>
  <c r="AQ9" i="16" l="1"/>
  <c r="BK77" i="16" l="1"/>
  <c r="BM77" i="16"/>
  <c r="BB55" i="16" l="1"/>
  <c r="C5" i="27" l="1"/>
  <c r="C9" i="27"/>
  <c r="C15" i="27"/>
  <c r="C12" i="27"/>
  <c r="C18" i="27"/>
  <c r="C6" i="27"/>
  <c r="C21" i="27"/>
  <c r="C44" i="27" l="1"/>
  <c r="BA20" i="16" l="1"/>
  <c r="BA21" i="16"/>
  <c r="BA22" i="16"/>
  <c r="BA23" i="16"/>
  <c r="BA25" i="16"/>
  <c r="BA27" i="16"/>
  <c r="BA19" i="16"/>
  <c r="BA28" i="16" l="1"/>
  <c r="C5" i="26"/>
  <c r="C9" i="26"/>
  <c r="C15" i="26"/>
  <c r="C12" i="26"/>
  <c r="C18" i="26"/>
  <c r="C6" i="26"/>
  <c r="C21" i="26"/>
  <c r="BK46" i="16" l="1"/>
  <c r="BJ46" i="16"/>
  <c r="E63" i="45" l="1"/>
  <c r="E62" i="45"/>
  <c r="E61" i="45"/>
  <c r="E60" i="45"/>
  <c r="E59" i="45"/>
  <c r="E58" i="45"/>
  <c r="E57" i="45"/>
  <c r="E56" i="45"/>
  <c r="E55" i="45"/>
  <c r="E54" i="45"/>
  <c r="E53" i="45"/>
  <c r="E52" i="45"/>
  <c r="E51" i="45"/>
  <c r="E50" i="45"/>
  <c r="E49" i="45"/>
  <c r="E48" i="45"/>
  <c r="E47" i="45"/>
  <c r="E46" i="45"/>
  <c r="E45" i="45"/>
  <c r="J44" i="45"/>
  <c r="L44" i="45" s="1"/>
  <c r="E44" i="45"/>
  <c r="J43" i="45"/>
  <c r="L43" i="45" s="1"/>
  <c r="E43" i="45"/>
  <c r="P42" i="45"/>
  <c r="J42" i="45"/>
  <c r="L42" i="45" s="1"/>
  <c r="E42" i="45"/>
  <c r="P41" i="45"/>
  <c r="J41" i="45"/>
  <c r="L41" i="45" s="1"/>
  <c r="E41" i="45"/>
  <c r="N40" i="45"/>
  <c r="P40" i="45" s="1"/>
  <c r="J40" i="45"/>
  <c r="L40" i="45" s="1"/>
  <c r="E40" i="45"/>
  <c r="N39" i="45"/>
  <c r="P39" i="45" s="1"/>
  <c r="J39" i="45"/>
  <c r="L39" i="45" s="1"/>
  <c r="E39" i="45"/>
  <c r="N38" i="45"/>
  <c r="P38" i="45" s="1"/>
  <c r="J38" i="45"/>
  <c r="L38" i="45" s="1"/>
  <c r="E38" i="45"/>
  <c r="N37" i="45"/>
  <c r="P37" i="45" s="1"/>
  <c r="J37" i="45"/>
  <c r="L37" i="45" s="1"/>
  <c r="E37" i="45"/>
  <c r="N36" i="45"/>
  <c r="E36" i="45"/>
  <c r="E35" i="45"/>
  <c r="E34" i="45"/>
  <c r="E33" i="45"/>
  <c r="J32" i="45"/>
  <c r="J34" i="45" s="1"/>
  <c r="E32" i="45"/>
  <c r="L31" i="45"/>
  <c r="E31" i="45"/>
  <c r="L30" i="45"/>
  <c r="E30" i="45"/>
  <c r="L29" i="45"/>
  <c r="E29" i="45"/>
  <c r="N28" i="45"/>
  <c r="N30" i="45" s="1"/>
  <c r="L28" i="45"/>
  <c r="E28" i="45"/>
  <c r="P27" i="45"/>
  <c r="L27" i="45"/>
  <c r="E27" i="45"/>
  <c r="P26" i="45"/>
  <c r="L26" i="45"/>
  <c r="E26" i="45"/>
  <c r="P25" i="45"/>
  <c r="L25" i="45"/>
  <c r="E25" i="45"/>
  <c r="P24" i="45"/>
  <c r="L24" i="45"/>
  <c r="E24" i="45"/>
  <c r="P23" i="45"/>
  <c r="L23" i="45"/>
  <c r="E23" i="45"/>
  <c r="E22" i="45"/>
  <c r="E21" i="45"/>
  <c r="E20" i="45"/>
  <c r="E19" i="45"/>
  <c r="E18" i="45"/>
  <c r="E17" i="45"/>
  <c r="E16" i="45"/>
  <c r="E15" i="45"/>
  <c r="E14" i="45"/>
  <c r="E13" i="45"/>
  <c r="E12" i="45"/>
  <c r="K11" i="45"/>
  <c r="O11" i="45" s="1"/>
  <c r="E11" i="45"/>
  <c r="K10" i="45"/>
  <c r="N10" i="45" s="1"/>
  <c r="E10" i="45"/>
  <c r="K9" i="45"/>
  <c r="K12" i="45" s="1"/>
  <c r="E9" i="45"/>
  <c r="E8" i="45"/>
  <c r="K7" i="45"/>
  <c r="L7" i="45" s="1"/>
  <c r="L14" i="45" s="1"/>
  <c r="L52" i="45" s="1"/>
  <c r="E7" i="45"/>
  <c r="E6" i="45"/>
  <c r="E5" i="45"/>
  <c r="E4" i="45"/>
  <c r="I1" i="45"/>
  <c r="L32" i="45" l="1"/>
  <c r="L53" i="45" s="1"/>
  <c r="L55" i="45" s="1"/>
  <c r="P28" i="45"/>
  <c r="N53" i="45" s="1"/>
  <c r="N43" i="45"/>
  <c r="N47" i="45" s="1"/>
  <c r="L45" i="45"/>
  <c r="K14" i="45"/>
  <c r="K15" i="45" s="1"/>
  <c r="M7" i="45"/>
  <c r="J45" i="45"/>
  <c r="P36" i="45"/>
  <c r="P43" i="45" s="1"/>
  <c r="K38" i="25"/>
  <c r="P29" i="45" l="1"/>
  <c r="L33" i="45"/>
  <c r="J47" i="45"/>
  <c r="N5" i="45"/>
  <c r="P44" i="45"/>
  <c r="M53" i="45"/>
  <c r="M15" i="45"/>
  <c r="M14" i="45"/>
  <c r="N52" i="45" s="1"/>
  <c r="N55" i="45" s="1"/>
  <c r="K53" i="45"/>
  <c r="L46" i="45"/>
  <c r="K36" i="25"/>
  <c r="O53" i="45" l="1"/>
  <c r="M61" i="45"/>
  <c r="O5" i="45"/>
  <c r="O9" i="45" s="1"/>
  <c r="O12" i="45" s="1"/>
  <c r="N9" i="45"/>
  <c r="N12" i="45" s="1"/>
  <c r="C18" i="25"/>
  <c r="C6" i="25"/>
  <c r="C19" i="25"/>
  <c r="C5" i="25"/>
  <c r="C33" i="25" l="1"/>
  <c r="N14" i="45"/>
  <c r="K52" i="45"/>
  <c r="M52" i="45"/>
  <c r="M55" i="45" s="1"/>
  <c r="N56" i="45" s="1"/>
  <c r="O14" i="45"/>
  <c r="C15" i="25"/>
  <c r="C12" i="25"/>
  <c r="C4" i="25"/>
  <c r="C21" i="25"/>
  <c r="C54" i="25"/>
  <c r="O15" i="45" l="1"/>
  <c r="K55" i="45"/>
  <c r="O52" i="45"/>
  <c r="O54" i="45" s="1"/>
  <c r="C53" i="25"/>
  <c r="O55" i="45" l="1"/>
  <c r="O56" i="45" s="1"/>
  <c r="L56" i="45"/>
  <c r="J59" i="45" s="1"/>
  <c r="C44" i="25"/>
  <c r="G44" i="24" l="1"/>
  <c r="G43" i="24"/>
  <c r="G42" i="24"/>
  <c r="G41" i="24"/>
  <c r="G40" i="24"/>
  <c r="G39" i="24"/>
  <c r="G38" i="24"/>
  <c r="G37" i="24"/>
  <c r="C19" i="24" l="1"/>
  <c r="C5" i="24"/>
  <c r="C9" i="24"/>
  <c r="C15" i="24"/>
  <c r="C12" i="24"/>
  <c r="C18" i="24"/>
  <c r="C6" i="24"/>
  <c r="C4" i="24"/>
  <c r="C10" i="24"/>
  <c r="C8" i="24"/>
  <c r="C21" i="24"/>
  <c r="C44" i="24" l="1"/>
  <c r="BM9" i="16"/>
  <c r="BM76" i="16"/>
  <c r="BM8" i="16"/>
  <c r="BM41" i="16"/>
  <c r="BM42" i="16"/>
  <c r="BM7" i="16"/>
  <c r="BM5" i="16"/>
  <c r="BM6" i="16"/>
  <c r="BM44" i="16"/>
  <c r="BM43" i="16"/>
  <c r="C54" i="22" l="1"/>
  <c r="C44" i="22"/>
  <c r="C43" i="22"/>
  <c r="C31" i="22"/>
  <c r="C6" i="22"/>
  <c r="C5" i="22"/>
  <c r="C9" i="22"/>
  <c r="C15" i="22"/>
  <c r="C12" i="22"/>
  <c r="C18" i="22"/>
  <c r="C4" i="22"/>
  <c r="C10" i="22"/>
  <c r="C8" i="22"/>
  <c r="C21" i="22"/>
  <c r="C54" i="23" l="1"/>
  <c r="C9" i="23" l="1"/>
  <c r="C33" i="23" s="1"/>
  <c r="C15" i="23"/>
  <c r="C12" i="23"/>
  <c r="C18" i="23"/>
  <c r="C21" i="23"/>
  <c r="C6" i="23"/>
  <c r="C41" i="23" l="1"/>
  <c r="C39" i="23"/>
  <c r="C53" i="23"/>
  <c r="C44" i="23"/>
  <c r="C43" i="23" l="1"/>
  <c r="C53" i="20" l="1"/>
  <c r="C6" i="20"/>
  <c r="C19" i="20"/>
  <c r="C5" i="20"/>
  <c r="C9" i="20"/>
  <c r="C15" i="20"/>
  <c r="C12" i="20"/>
  <c r="C18" i="20"/>
  <c r="C21" i="20"/>
  <c r="C4" i="20"/>
  <c r="C10" i="20"/>
  <c r="C33" i="20" l="1"/>
  <c r="C52" i="20" s="1"/>
  <c r="C44" i="20"/>
  <c r="C37" i="21" l="1"/>
  <c r="C43" i="21" s="1"/>
  <c r="C53" i="21"/>
  <c r="C15" i="21" l="1"/>
  <c r="C6" i="21"/>
  <c r="C4" i="21"/>
  <c r="C10" i="21"/>
  <c r="C8" i="21"/>
  <c r="C19" i="21"/>
  <c r="C5" i="21"/>
  <c r="C9" i="21"/>
  <c r="C12" i="21"/>
  <c r="C18" i="21"/>
  <c r="C21" i="21"/>
  <c r="C33" i="21" l="1"/>
  <c r="C52" i="21" s="1"/>
  <c r="C44" i="21"/>
  <c r="C31" i="21"/>
  <c r="C55" i="21" l="1"/>
  <c r="H9" i="21" s="1"/>
  <c r="AT19" i="16" l="1"/>
  <c r="C57" i="19" l="1"/>
  <c r="H11" i="19" s="1"/>
  <c r="C56" i="19"/>
  <c r="H10" i="19" s="1"/>
  <c r="K10" i="19" s="1"/>
  <c r="C53" i="19"/>
  <c r="C44" i="19"/>
  <c r="C43" i="19"/>
  <c r="C6" i="19"/>
  <c r="C4" i="19"/>
  <c r="C8" i="19"/>
  <c r="C5" i="19"/>
  <c r="C9" i="19"/>
  <c r="C15" i="19"/>
  <c r="C12" i="19"/>
  <c r="C18" i="19"/>
  <c r="C21" i="19"/>
  <c r="C33" i="19" l="1"/>
  <c r="C52" i="19" s="1"/>
  <c r="C55" i="19" s="1"/>
  <c r="C58" i="19" l="1"/>
  <c r="H9" i="19"/>
  <c r="AS81" i="16"/>
  <c r="C65" i="16" l="1"/>
  <c r="G32" i="5"/>
  <c r="BK10" i="16" l="1"/>
  <c r="AS18" i="16" l="1"/>
  <c r="C53" i="5" l="1"/>
  <c r="C42" i="5"/>
  <c r="C37" i="5"/>
  <c r="C19" i="5" l="1"/>
  <c r="C5" i="5"/>
  <c r="C9" i="5"/>
  <c r="C15" i="5"/>
  <c r="C12" i="5"/>
  <c r="C18" i="5"/>
  <c r="C33" i="5" l="1"/>
  <c r="C52" i="5" s="1"/>
  <c r="C21" i="5"/>
  <c r="C6" i="5"/>
  <c r="C4" i="5"/>
  <c r="C44" i="5" l="1"/>
  <c r="BC63" i="16" l="1"/>
  <c r="BB63" i="16"/>
  <c r="BA63" i="16"/>
  <c r="AZ63" i="16"/>
  <c r="AY63" i="16"/>
  <c r="AX63" i="16"/>
  <c r="AW63" i="16"/>
  <c r="BC62" i="16"/>
  <c r="BB62" i="16"/>
  <c r="BA62" i="16"/>
  <c r="AZ62" i="16"/>
  <c r="AY62" i="16"/>
  <c r="AX62" i="16"/>
  <c r="AW62" i="16"/>
  <c r="BD61" i="16"/>
  <c r="BC61" i="16"/>
  <c r="BB61" i="16"/>
  <c r="BA61" i="16"/>
  <c r="AZ61" i="16"/>
  <c r="AY61" i="16"/>
  <c r="AX61" i="16"/>
  <c r="AW61" i="16"/>
  <c r="BC60" i="16"/>
  <c r="BB60" i="16"/>
  <c r="BA60" i="16"/>
  <c r="AZ60" i="16"/>
  <c r="AY60" i="16"/>
  <c r="AX60" i="16"/>
  <c r="AW60" i="16"/>
  <c r="BC59" i="16"/>
  <c r="BB59" i="16"/>
  <c r="BA59" i="16"/>
  <c r="AZ59" i="16"/>
  <c r="AY59" i="16"/>
  <c r="AX59" i="16"/>
  <c r="AW59" i="16"/>
  <c r="BC58" i="16"/>
  <c r="BB58" i="16"/>
  <c r="BA58" i="16"/>
  <c r="AZ58" i="16"/>
  <c r="AY58" i="16"/>
  <c r="AX58" i="16"/>
  <c r="AW58" i="16"/>
  <c r="BC57" i="16"/>
  <c r="BB57" i="16"/>
  <c r="BA57" i="16"/>
  <c r="AZ57" i="16"/>
  <c r="AY57" i="16"/>
  <c r="AX57" i="16"/>
  <c r="AW57" i="16"/>
  <c r="BC56" i="16"/>
  <c r="BB56" i="16"/>
  <c r="BB80" i="16" s="1"/>
  <c r="BA56" i="16"/>
  <c r="AZ56" i="16"/>
  <c r="AY56" i="16"/>
  <c r="AX56" i="16"/>
  <c r="AW56" i="16"/>
  <c r="BC55" i="16"/>
  <c r="BA55" i="16"/>
  <c r="AZ55" i="16"/>
  <c r="AY55" i="16"/>
  <c r="AX55" i="16"/>
  <c r="AW55" i="16"/>
  <c r="BD55" i="16"/>
  <c r="BD56" i="16"/>
  <c r="BD57" i="16"/>
  <c r="BD58" i="16"/>
  <c r="BD59" i="16"/>
  <c r="BD60" i="16"/>
  <c r="BD62" i="16"/>
  <c r="BD63" i="16"/>
  <c r="AS78" i="16"/>
  <c r="AT78" i="16" s="1"/>
  <c r="AU78" i="16" s="1"/>
  <c r="AV78" i="16" s="1"/>
  <c r="AW78" i="16" s="1"/>
  <c r="AX78" i="16" s="1"/>
  <c r="AY78" i="16" s="1"/>
  <c r="AS67" i="16"/>
  <c r="AS54" i="16"/>
  <c r="AT54" i="16" s="1"/>
  <c r="AU54" i="16" s="1"/>
  <c r="AV54" i="16" s="1"/>
  <c r="AW54" i="16" s="1"/>
  <c r="AX54" i="16" s="1"/>
  <c r="AY54" i="16" s="1"/>
  <c r="AZ54" i="16" s="1"/>
  <c r="BA54" i="16" s="1"/>
  <c r="BB54" i="16" s="1"/>
  <c r="BC54" i="16" s="1"/>
  <c r="BD54" i="16" s="1"/>
  <c r="AS42" i="16"/>
  <c r="AT42" i="16" s="1"/>
  <c r="AU42" i="16" s="1"/>
  <c r="AS31" i="16"/>
  <c r="AT31" i="16" s="1"/>
  <c r="AU31" i="16" s="1"/>
  <c r="AV31" i="16" s="1"/>
  <c r="AW31" i="16" s="1"/>
  <c r="AX31" i="16" s="1"/>
  <c r="AY31" i="16" s="1"/>
  <c r="AZ31" i="16" s="1"/>
  <c r="BA31" i="16" s="1"/>
  <c r="BB31" i="16" s="1"/>
  <c r="BC31" i="16" s="1"/>
  <c r="BD31" i="16" s="1"/>
  <c r="AT67" i="16"/>
  <c r="AU67" i="16" s="1"/>
  <c r="AV67" i="16" s="1"/>
  <c r="AW67" i="16" s="1"/>
  <c r="AX67" i="16" s="1"/>
  <c r="AY67" i="16" s="1"/>
  <c r="AZ67" i="16" s="1"/>
  <c r="BA67" i="16" s="1"/>
  <c r="BB67" i="16" s="1"/>
  <c r="BC67" i="16" s="1"/>
  <c r="BD67" i="16" s="1"/>
  <c r="AV63" i="16"/>
  <c r="AU63" i="16"/>
  <c r="AT63" i="16"/>
  <c r="AS63" i="16"/>
  <c r="AV62" i="16"/>
  <c r="AU62" i="16"/>
  <c r="AT62" i="16"/>
  <c r="AS62" i="16"/>
  <c r="AV61" i="16"/>
  <c r="AU61" i="16"/>
  <c r="AT61" i="16"/>
  <c r="AS61" i="16"/>
  <c r="AV60" i="16"/>
  <c r="AU60" i="16"/>
  <c r="AT60" i="16"/>
  <c r="AS60" i="16"/>
  <c r="AV59" i="16"/>
  <c r="AU59" i="16"/>
  <c r="AT59" i="16"/>
  <c r="AS59" i="16"/>
  <c r="AV58" i="16"/>
  <c r="AU58" i="16"/>
  <c r="AT58" i="16"/>
  <c r="AS58" i="16"/>
  <c r="AV57" i="16"/>
  <c r="AU57" i="16"/>
  <c r="AT57" i="16"/>
  <c r="AS57" i="16"/>
  <c r="AV56" i="16"/>
  <c r="AU56" i="16"/>
  <c r="AT56" i="16"/>
  <c r="AS56" i="16"/>
  <c r="AV55" i="16"/>
  <c r="AV80" i="16" s="1"/>
  <c r="AU55" i="16"/>
  <c r="AU80" i="16" s="1"/>
  <c r="AT55" i="16"/>
  <c r="AT80" i="16" s="1"/>
  <c r="AS55" i="16"/>
  <c r="AS80" i="16" s="1"/>
  <c r="BD27" i="16"/>
  <c r="AZ27" i="16"/>
  <c r="AY27" i="16"/>
  <c r="AX27" i="16"/>
  <c r="AW27" i="16"/>
  <c r="AV27" i="16"/>
  <c r="AU27" i="16"/>
  <c r="AT27" i="16"/>
  <c r="AS27" i="16"/>
  <c r="BD25" i="16"/>
  <c r="AZ25" i="16"/>
  <c r="AY25" i="16"/>
  <c r="AX25" i="16"/>
  <c r="AW25" i="16"/>
  <c r="AV25" i="16"/>
  <c r="AU25" i="16"/>
  <c r="AT25" i="16"/>
  <c r="AS25" i="16"/>
  <c r="BD23" i="16"/>
  <c r="AZ23" i="16"/>
  <c r="AY23" i="16"/>
  <c r="AX23" i="16"/>
  <c r="AW23" i="16"/>
  <c r="AV23" i="16"/>
  <c r="AU23" i="16"/>
  <c r="AT23" i="16"/>
  <c r="AS23" i="16"/>
  <c r="BD21" i="16"/>
  <c r="AZ21" i="16"/>
  <c r="AY21" i="16"/>
  <c r="AX21" i="16"/>
  <c r="AW21" i="16"/>
  <c r="AV21" i="16"/>
  <c r="AU21" i="16"/>
  <c r="AT21" i="16"/>
  <c r="AS21" i="16"/>
  <c r="BA45" i="16"/>
  <c r="AZ20" i="16"/>
  <c r="AY20" i="16"/>
  <c r="AX20" i="16"/>
  <c r="AW20" i="16"/>
  <c r="AV20" i="16"/>
  <c r="AU20" i="16"/>
  <c r="AT20" i="16"/>
  <c r="AS20" i="16"/>
  <c r="BC28" i="16"/>
  <c r="AZ19" i="16"/>
  <c r="AY19" i="16"/>
  <c r="AX19" i="16"/>
  <c r="AW19" i="16"/>
  <c r="AV19" i="16"/>
  <c r="AU19" i="16"/>
  <c r="AS19" i="16"/>
  <c r="AT18" i="16"/>
  <c r="AU18" i="16" s="1"/>
  <c r="AV18" i="16" s="1"/>
  <c r="AW18" i="16" s="1"/>
  <c r="AX18" i="16" s="1"/>
  <c r="AY18" i="16" s="1"/>
  <c r="AZ18" i="16" s="1"/>
  <c r="BA18" i="16" s="1"/>
  <c r="BB18" i="16" s="1"/>
  <c r="BC18" i="16" s="1"/>
  <c r="BD18" i="16" s="1"/>
  <c r="AT3" i="16"/>
  <c r="AU3" i="16" s="1"/>
  <c r="AV3" i="16" s="1"/>
  <c r="AW3" i="16" s="1"/>
  <c r="AX3" i="16" s="1"/>
  <c r="AV45" i="16" l="1"/>
  <c r="AT45" i="16"/>
  <c r="AZ45" i="16"/>
  <c r="AW45" i="16"/>
  <c r="AT28" i="16"/>
  <c r="BD28" i="16"/>
  <c r="AU45" i="16"/>
  <c r="AY45" i="16"/>
  <c r="AS45" i="16"/>
  <c r="AX80" i="16"/>
  <c r="AY80" i="16"/>
  <c r="AZ78" i="16"/>
  <c r="AY3" i="16"/>
  <c r="AX28" i="16"/>
  <c r="AX45" i="16"/>
  <c r="AW28" i="16"/>
  <c r="AV42" i="16"/>
  <c r="AT64" i="16"/>
  <c r="AS28" i="16"/>
  <c r="AS64" i="16"/>
  <c r="BB45" i="16"/>
  <c r="AU64" i="16"/>
  <c r="BD64" i="16"/>
  <c r="AW64" i="16"/>
  <c r="AW80" i="16"/>
  <c r="BC64" i="16"/>
  <c r="AX64" i="16"/>
  <c r="BA80" i="16"/>
  <c r="AZ80" i="16"/>
  <c r="BA64" i="16"/>
  <c r="BB64" i="16"/>
  <c r="AY28" i="16"/>
  <c r="AZ28" i="16"/>
  <c r="AY64" i="16"/>
  <c r="AU28" i="16"/>
  <c r="AV28" i="16"/>
  <c r="AV64" i="16"/>
  <c r="AZ64" i="16"/>
  <c r="AG14" i="16"/>
  <c r="AS14" i="16"/>
  <c r="AT83" i="16"/>
  <c r="AS83" i="16"/>
  <c r="AU83" i="16"/>
  <c r="AV83" i="16"/>
  <c r="AW83" i="16"/>
  <c r="AY83" i="16"/>
  <c r="AV14" i="16"/>
  <c r="AW14" i="16"/>
  <c r="AU50" i="16"/>
  <c r="AX14" i="16"/>
  <c r="AU14" i="16"/>
  <c r="AS50" i="16"/>
  <c r="AX83" i="16"/>
  <c r="AT50" i="16"/>
  <c r="AT14" i="16"/>
  <c r="AV50" i="16"/>
  <c r="AY14" i="16"/>
  <c r="AZ83" i="16"/>
  <c r="BA78" i="16" l="1"/>
  <c r="AZ3" i="16"/>
  <c r="AW42" i="16"/>
  <c r="AR63" i="16"/>
  <c r="AR62" i="16"/>
  <c r="AR61" i="16"/>
  <c r="AR60" i="16"/>
  <c r="AR59" i="16"/>
  <c r="AR58" i="16"/>
  <c r="AR57" i="16"/>
  <c r="AR56" i="16"/>
  <c r="AR55" i="16"/>
  <c r="AW50" i="16"/>
  <c r="AZ14" i="16"/>
  <c r="BA83" i="16"/>
  <c r="BB78" i="16" l="1"/>
  <c r="BA3" i="16"/>
  <c r="AX42" i="16"/>
  <c r="AR45" i="16"/>
  <c r="AR19" i="16"/>
  <c r="AF12" i="16"/>
  <c r="AQ10" i="16" s="1"/>
  <c r="BA14" i="16"/>
  <c r="BB83" i="16"/>
  <c r="AX50" i="16"/>
  <c r="BC78" i="16" l="1"/>
  <c r="BB3" i="16"/>
  <c r="AY42" i="16"/>
  <c r="AF28" i="16"/>
  <c r="AF64" i="16"/>
  <c r="BB14" i="16"/>
  <c r="AY50" i="16"/>
  <c r="BC83" i="16"/>
  <c r="BD78" i="16" l="1"/>
  <c r="BC3" i="16"/>
  <c r="AZ42" i="16"/>
  <c r="BD83" i="16"/>
  <c r="AZ50" i="16"/>
  <c r="BC14" i="16"/>
  <c r="BD3" i="16" l="1"/>
  <c r="BA42" i="16"/>
  <c r="C52" i="29"/>
  <c r="BD14" i="16"/>
  <c r="BA50" i="16"/>
  <c r="BB42" i="16" l="1"/>
  <c r="BB50" i="16"/>
  <c r="BC42" i="16" l="1"/>
  <c r="AR27" i="16"/>
  <c r="AR25" i="16"/>
  <c r="AR23" i="16"/>
  <c r="AR21" i="16"/>
  <c r="AR20" i="16"/>
  <c r="BC50" i="16"/>
  <c r="BD42" i="16" l="1"/>
  <c r="AQ56" i="16"/>
  <c r="AQ57" i="16"/>
  <c r="AQ58" i="16"/>
  <c r="AQ59" i="16"/>
  <c r="AQ60" i="16"/>
  <c r="AQ61" i="16"/>
  <c r="AQ62" i="16"/>
  <c r="AQ63" i="16"/>
  <c r="AQ55" i="16"/>
  <c r="K38" i="28"/>
  <c r="BD50" i="16"/>
  <c r="M43" i="28" l="1"/>
  <c r="I45" i="28"/>
  <c r="H53" i="28" s="1"/>
  <c r="I32" i="28"/>
  <c r="AQ27" i="16"/>
  <c r="AQ25" i="16"/>
  <c r="AQ23" i="16"/>
  <c r="AQ21" i="16"/>
  <c r="AQ20" i="16"/>
  <c r="AQ19" i="16"/>
  <c r="N43" i="28" l="1"/>
  <c r="K36" i="27"/>
  <c r="AP19" i="16" l="1"/>
  <c r="AP63" i="16" l="1"/>
  <c r="AP62" i="16"/>
  <c r="AP61" i="16"/>
  <c r="AP60" i="16"/>
  <c r="AP59" i="16"/>
  <c r="AP58" i="16"/>
  <c r="AP57" i="16"/>
  <c r="AP56" i="16"/>
  <c r="AP55" i="16"/>
  <c r="AP27" i="16"/>
  <c r="AP25" i="16"/>
  <c r="AP23" i="16"/>
  <c r="AP21" i="16"/>
  <c r="AP20" i="16"/>
  <c r="AP64" i="16" l="1"/>
  <c r="AO63" i="16"/>
  <c r="AO62" i="16"/>
  <c r="AO61" i="16"/>
  <c r="AO60" i="16"/>
  <c r="AO59" i="16"/>
  <c r="AO58" i="16"/>
  <c r="AO57" i="16"/>
  <c r="AO56" i="16"/>
  <c r="AO55" i="16"/>
  <c r="AO27" i="16"/>
  <c r="AO25" i="16"/>
  <c r="AO23" i="16"/>
  <c r="AO21" i="16"/>
  <c r="AO20" i="16"/>
  <c r="AO19" i="16"/>
  <c r="G37" i="26"/>
  <c r="C43" i="26"/>
  <c r="C11" i="26"/>
  <c r="C20" i="26" l="1"/>
  <c r="C7" i="26"/>
  <c r="AO28" i="16"/>
  <c r="C33" i="26"/>
  <c r="C52" i="26" s="1"/>
  <c r="C56" i="26" s="1"/>
  <c r="C59" i="26" s="1"/>
  <c r="AN63" i="16"/>
  <c r="AN62" i="16"/>
  <c r="AN61" i="16"/>
  <c r="AN60" i="16"/>
  <c r="AN59" i="16"/>
  <c r="AN58" i="16"/>
  <c r="AN57" i="16"/>
  <c r="AN56" i="16"/>
  <c r="AN55" i="16"/>
  <c r="C52" i="25" l="1"/>
  <c r="AN27" i="16"/>
  <c r="AN25" i="16"/>
  <c r="AN23" i="16"/>
  <c r="AN21" i="16"/>
  <c r="AN20" i="16"/>
  <c r="AN19" i="16"/>
  <c r="C33" i="24" l="1"/>
  <c r="C52" i="24" s="1"/>
  <c r="K36" i="22"/>
  <c r="AM56" i="16"/>
  <c r="AM57" i="16"/>
  <c r="AM58" i="16"/>
  <c r="AM59" i="16"/>
  <c r="AM60" i="16"/>
  <c r="AM61" i="16"/>
  <c r="AM62" i="16"/>
  <c r="AM63" i="16"/>
  <c r="AM55" i="16"/>
  <c r="AM27" i="16"/>
  <c r="AM25" i="16"/>
  <c r="AM23" i="16"/>
  <c r="AM21" i="16"/>
  <c r="AM20" i="16"/>
  <c r="AM19" i="16"/>
  <c r="AL58" i="16"/>
  <c r="AL57" i="16"/>
  <c r="AL56" i="16"/>
  <c r="AL55" i="16"/>
  <c r="AL27" i="16"/>
  <c r="AL25" i="16"/>
  <c r="AL23" i="16"/>
  <c r="AL21" i="16"/>
  <c r="AL20" i="16"/>
  <c r="AL19" i="16"/>
  <c r="AL63" i="16"/>
  <c r="AL62" i="16"/>
  <c r="AL61" i="16"/>
  <c r="AL60" i="16"/>
  <c r="AL59" i="16"/>
  <c r="AM28" i="16" l="1"/>
  <c r="AM64" i="16"/>
  <c r="I23" i="22"/>
  <c r="AL28" i="16" l="1"/>
  <c r="C33" i="22" l="1"/>
  <c r="C52" i="22" s="1"/>
  <c r="C56" i="22" s="1"/>
  <c r="H9" i="22" s="1"/>
  <c r="C59" i="22" l="1"/>
  <c r="AK63" i="16" l="1"/>
  <c r="AK62" i="16"/>
  <c r="AK61" i="16"/>
  <c r="AK60" i="16"/>
  <c r="AK59" i="16"/>
  <c r="AK58" i="16"/>
  <c r="AK57" i="16"/>
  <c r="AK56" i="16"/>
  <c r="AK55" i="16"/>
  <c r="AK27" i="16"/>
  <c r="AK25" i="16"/>
  <c r="AK23" i="16"/>
  <c r="AK21" i="16"/>
  <c r="AK20" i="16"/>
  <c r="AK19" i="16"/>
  <c r="C8" i="23"/>
  <c r="AJ63" i="16" l="1"/>
  <c r="AJ62" i="16"/>
  <c r="AJ61" i="16"/>
  <c r="AJ60" i="16"/>
  <c r="AJ59" i="16"/>
  <c r="AJ58" i="16"/>
  <c r="AJ57" i="16"/>
  <c r="AJ56" i="16"/>
  <c r="AJ55" i="16"/>
  <c r="AJ27" i="16" l="1"/>
  <c r="AJ25" i="16"/>
  <c r="AJ23" i="16"/>
  <c r="AJ21" i="16"/>
  <c r="AJ20" i="16"/>
  <c r="AJ19" i="16"/>
  <c r="I24" i="20"/>
  <c r="AI63" i="16" l="1"/>
  <c r="AI62" i="16"/>
  <c r="AI61" i="16"/>
  <c r="AI60" i="16"/>
  <c r="AI59" i="16"/>
  <c r="AI58" i="16"/>
  <c r="AI57" i="16"/>
  <c r="AI56" i="16"/>
  <c r="AI55" i="16"/>
  <c r="AI27" i="16"/>
  <c r="AI25" i="16"/>
  <c r="AI23" i="16"/>
  <c r="AI21" i="16"/>
  <c r="AI20" i="16"/>
  <c r="AI19" i="16"/>
  <c r="AH23" i="16" l="1"/>
  <c r="G38" i="26"/>
  <c r="G38" i="25"/>
  <c r="G38" i="22"/>
  <c r="G38" i="23"/>
  <c r="G38" i="20"/>
  <c r="I38" i="20" s="1"/>
  <c r="G38" i="21"/>
  <c r="AH63" i="16" l="1"/>
  <c r="AH62" i="16"/>
  <c r="AH61" i="16"/>
  <c r="AH60" i="16"/>
  <c r="AH59" i="16"/>
  <c r="AH58" i="16"/>
  <c r="AH57" i="16"/>
  <c r="AH56" i="16"/>
  <c r="AH55" i="16"/>
  <c r="AG23" i="16"/>
  <c r="AH27" i="16"/>
  <c r="AH25" i="16"/>
  <c r="AH21" i="16"/>
  <c r="AH20" i="16"/>
  <c r="AH19" i="16"/>
  <c r="G29" i="18" l="1"/>
  <c r="H29" i="18"/>
  <c r="I29" i="18"/>
  <c r="K29" i="18"/>
  <c r="L29" i="18"/>
  <c r="M29" i="18"/>
  <c r="G30" i="18"/>
  <c r="H30" i="18"/>
  <c r="I30" i="18"/>
  <c r="K30" i="18"/>
  <c r="L30" i="18"/>
  <c r="M30" i="18"/>
  <c r="AG56" i="16" l="1"/>
  <c r="AG57" i="16"/>
  <c r="AG58" i="16"/>
  <c r="AG59" i="16"/>
  <c r="AG60" i="16"/>
  <c r="AG61" i="16"/>
  <c r="AG62" i="16"/>
  <c r="AG63" i="16"/>
  <c r="AQ28" i="16"/>
  <c r="AG20" i="16"/>
  <c r="AG21" i="16"/>
  <c r="AG25" i="16"/>
  <c r="AG27" i="16"/>
  <c r="I38" i="26"/>
  <c r="I24" i="26"/>
  <c r="I38" i="25"/>
  <c r="I24" i="25"/>
  <c r="I38" i="24"/>
  <c r="I24" i="24"/>
  <c r="I25" i="24"/>
  <c r="I38" i="22"/>
  <c r="I24" i="22"/>
  <c r="I25" i="22"/>
  <c r="I38" i="23"/>
  <c r="I24" i="23"/>
  <c r="I38" i="21"/>
  <c r="I24" i="21"/>
  <c r="I38" i="19"/>
  <c r="I24" i="19"/>
  <c r="AG55" i="16"/>
  <c r="I38" i="5"/>
  <c r="I24" i="5"/>
  <c r="AP28" i="16" l="1"/>
  <c r="AR28" i="16"/>
  <c r="C29" i="16" l="1"/>
  <c r="C81" i="16"/>
  <c r="C56" i="16"/>
  <c r="C57" i="16"/>
  <c r="C58" i="16"/>
  <c r="C59" i="16"/>
  <c r="C60" i="16"/>
  <c r="C61" i="16"/>
  <c r="C62" i="16"/>
  <c r="C55" i="16"/>
  <c r="C47" i="16"/>
  <c r="C48" i="16"/>
  <c r="AG83" i="16"/>
  <c r="D24" i="16" l="1"/>
  <c r="D26" i="16"/>
  <c r="AH78" i="16"/>
  <c r="AH67" i="16"/>
  <c r="AI67" i="16" s="1"/>
  <c r="AJ67" i="16" s="1"/>
  <c r="AK67" i="16" s="1"/>
  <c r="AL67" i="16" s="1"/>
  <c r="AM67" i="16" s="1"/>
  <c r="AN67" i="16" s="1"/>
  <c r="AO67" i="16" s="1"/>
  <c r="AP67" i="16" s="1"/>
  <c r="AQ67" i="16" s="1"/>
  <c r="AR67" i="16" s="1"/>
  <c r="AG64" i="16"/>
  <c r="AQ64" i="16"/>
  <c r="AR64" i="16"/>
  <c r="AH54" i="16"/>
  <c r="AI54" i="16" s="1"/>
  <c r="AJ54" i="16" s="1"/>
  <c r="AK54" i="16" s="1"/>
  <c r="AL54" i="16" s="1"/>
  <c r="AM54" i="16" s="1"/>
  <c r="AN54" i="16" s="1"/>
  <c r="AO54" i="16" s="1"/>
  <c r="AP54" i="16" s="1"/>
  <c r="AQ54" i="16" s="1"/>
  <c r="AR54" i="16" s="1"/>
  <c r="AH83" i="16"/>
  <c r="AG50" i="16"/>
  <c r="AI78" i="16" l="1"/>
  <c r="C20" i="16"/>
  <c r="C23" i="16"/>
  <c r="C24" i="16"/>
  <c r="C26" i="16"/>
  <c r="AH42" i="16"/>
  <c r="AH31" i="16"/>
  <c r="AI31" i="16" s="1"/>
  <c r="AJ31" i="16" s="1"/>
  <c r="AK31" i="16" s="1"/>
  <c r="AL31" i="16" s="1"/>
  <c r="AM31" i="16" s="1"/>
  <c r="AN31" i="16" s="1"/>
  <c r="AO31" i="16" s="1"/>
  <c r="AP31" i="16" s="1"/>
  <c r="AQ31" i="16" s="1"/>
  <c r="AR31" i="16" s="1"/>
  <c r="AG19" i="16"/>
  <c r="AH18" i="16"/>
  <c r="AI18" i="16" s="1"/>
  <c r="AJ18" i="16" s="1"/>
  <c r="AK18" i="16" s="1"/>
  <c r="AL18" i="16" s="1"/>
  <c r="AM18" i="16" s="1"/>
  <c r="AN18" i="16" s="1"/>
  <c r="AO18" i="16" s="1"/>
  <c r="AP18" i="16" s="1"/>
  <c r="AQ18" i="16" s="1"/>
  <c r="AR18" i="16" s="1"/>
  <c r="AI83" i="16"/>
  <c r="AH50" i="16"/>
  <c r="AG28" i="16" l="1"/>
  <c r="AJ78" i="16"/>
  <c r="AI42" i="16"/>
  <c r="C19" i="16"/>
  <c r="C25" i="16"/>
  <c r="C21" i="16"/>
  <c r="C12" i="16"/>
  <c r="AH3" i="16"/>
  <c r="AJ83" i="16"/>
  <c r="AH14" i="16"/>
  <c r="AI50" i="16"/>
  <c r="AK78" i="16" l="1"/>
  <c r="AJ42" i="16"/>
  <c r="AI3" i="16"/>
  <c r="AJ50" i="16"/>
  <c r="AI14" i="16"/>
  <c r="AK83" i="16"/>
  <c r="AJ3" i="16" l="1"/>
  <c r="AK42" i="16"/>
  <c r="AL78" i="16"/>
  <c r="AK50" i="16"/>
  <c r="AL83" i="16"/>
  <c r="AJ14" i="16"/>
  <c r="AM78" i="16" l="1"/>
  <c r="AL42" i="16"/>
  <c r="AK3" i="16"/>
  <c r="AL50" i="16"/>
  <c r="AK14" i="16"/>
  <c r="AM83" i="16"/>
  <c r="AM42" i="16" l="1"/>
  <c r="AL3" i="16"/>
  <c r="AN78" i="16"/>
  <c r="AL14" i="16"/>
  <c r="AN83" i="16"/>
  <c r="AM50" i="16"/>
  <c r="AM3" i="16" l="1"/>
  <c r="AO78" i="16"/>
  <c r="AN42" i="16"/>
  <c r="D56" i="16"/>
  <c r="D20" i="16"/>
  <c r="AM14" i="16"/>
  <c r="AN50" i="16"/>
  <c r="AO83" i="16"/>
  <c r="AO42" i="16" l="1"/>
  <c r="AP78" i="16"/>
  <c r="AN3" i="16"/>
  <c r="AO50" i="16"/>
  <c r="AP83" i="16"/>
  <c r="AN14" i="16"/>
  <c r="AQ78" i="16" l="1"/>
  <c r="AO3" i="16"/>
  <c r="AP42" i="16"/>
  <c r="M27" i="29"/>
  <c r="AO14" i="16"/>
  <c r="AQ83" i="16"/>
  <c r="AP50" i="16"/>
  <c r="AQ42" i="16" l="1"/>
  <c r="AP3" i="16"/>
  <c r="AR78" i="16"/>
  <c r="AQ50" i="16"/>
  <c r="AP14" i="16"/>
  <c r="AR83" i="16"/>
  <c r="AQ3" i="16" l="1"/>
  <c r="AR42" i="16"/>
  <c r="AR50" i="16"/>
  <c r="AQ14" i="16"/>
  <c r="AR3" i="16" l="1"/>
  <c r="AR14" i="16"/>
  <c r="C52" i="28" l="1"/>
  <c r="D29" i="16" l="1"/>
  <c r="G38" i="27" l="1"/>
  <c r="I38" i="27" l="1"/>
  <c r="I24" i="27"/>
  <c r="D65" i="16" l="1"/>
  <c r="V78" i="16" l="1"/>
  <c r="V67" i="16"/>
  <c r="W67" i="16" s="1"/>
  <c r="X67" i="16" s="1"/>
  <c r="Y67" i="16" s="1"/>
  <c r="Z67" i="16" s="1"/>
  <c r="AA67" i="16" s="1"/>
  <c r="AB67" i="16" s="1"/>
  <c r="AC67" i="16" s="1"/>
  <c r="AD67" i="16" s="1"/>
  <c r="AE67" i="16" s="1"/>
  <c r="AF67" i="16" s="1"/>
  <c r="D62" i="16"/>
  <c r="D61" i="16"/>
  <c r="D60" i="16"/>
  <c r="D59" i="16"/>
  <c r="D58" i="16"/>
  <c r="D57" i="16"/>
  <c r="D55" i="16"/>
  <c r="V54" i="16"/>
  <c r="W54" i="16" s="1"/>
  <c r="X54" i="16" s="1"/>
  <c r="Y54" i="16" s="1"/>
  <c r="Z54" i="16" s="1"/>
  <c r="AA54" i="16" s="1"/>
  <c r="AB54" i="16" s="1"/>
  <c r="AC54" i="16" s="1"/>
  <c r="AD54" i="16" s="1"/>
  <c r="AE54" i="16" s="1"/>
  <c r="AF54" i="16" s="1"/>
  <c r="V83" i="16"/>
  <c r="AC64" i="16" l="1"/>
  <c r="Y64" i="16"/>
  <c r="X64" i="16"/>
  <c r="AB64" i="16"/>
  <c r="AE64" i="16"/>
  <c r="AD64" i="16"/>
  <c r="AA64" i="16"/>
  <c r="Z64" i="16"/>
  <c r="W64" i="16"/>
  <c r="V64" i="16"/>
  <c r="W78" i="16"/>
  <c r="V42" i="16"/>
  <c r="V31" i="16"/>
  <c r="W31" i="16" s="1"/>
  <c r="X31" i="16" s="1"/>
  <c r="Y31" i="16" s="1"/>
  <c r="Z31" i="16" s="1"/>
  <c r="AA31" i="16" s="1"/>
  <c r="AB31" i="16" s="1"/>
  <c r="AC31" i="16" s="1"/>
  <c r="AD31" i="16" s="1"/>
  <c r="AE31" i="16" s="1"/>
  <c r="AF31" i="16" s="1"/>
  <c r="D25" i="16"/>
  <c r="D23" i="16"/>
  <c r="D21" i="16"/>
  <c r="D19" i="16"/>
  <c r="V18" i="16"/>
  <c r="W18" i="16" s="1"/>
  <c r="X18" i="16" s="1"/>
  <c r="Y18" i="16" s="1"/>
  <c r="Z18" i="16" s="1"/>
  <c r="AA18" i="16" s="1"/>
  <c r="AB18" i="16" s="1"/>
  <c r="AC18" i="16" s="1"/>
  <c r="AD18" i="16" s="1"/>
  <c r="AE18" i="16" s="1"/>
  <c r="AF18" i="16" s="1"/>
  <c r="W83" i="16"/>
  <c r="V50" i="16"/>
  <c r="W42" i="16" l="1"/>
  <c r="D64" i="16"/>
  <c r="V28" i="16"/>
  <c r="Z28" i="16"/>
  <c r="AE28" i="16"/>
  <c r="AD28" i="16"/>
  <c r="AC28" i="16"/>
  <c r="AA28" i="16"/>
  <c r="W28" i="16"/>
  <c r="X78" i="16"/>
  <c r="Y28" i="16"/>
  <c r="X28" i="16"/>
  <c r="AB28" i="16"/>
  <c r="X42" i="16"/>
  <c r="V3" i="16"/>
  <c r="X83" i="16"/>
  <c r="V14" i="16"/>
  <c r="X50" i="16"/>
  <c r="W50" i="16"/>
  <c r="W3" i="16" l="1"/>
  <c r="D28" i="16"/>
  <c r="Y78" i="16"/>
  <c r="Y42" i="16"/>
  <c r="Y83" i="16"/>
  <c r="W14" i="16"/>
  <c r="Y50" i="16"/>
  <c r="X3" i="16" l="1"/>
  <c r="Z42" i="16"/>
  <c r="Z78" i="16"/>
  <c r="Z83" i="16"/>
  <c r="Z50" i="16"/>
  <c r="X14" i="16"/>
  <c r="Y3" i="16" l="1"/>
  <c r="Z3" i="16" s="1"/>
  <c r="AA42" i="16"/>
  <c r="AA78" i="16"/>
  <c r="BH45" i="16"/>
  <c r="BI45" i="16"/>
  <c r="BH46" i="16"/>
  <c r="BI46" i="16"/>
  <c r="BG46" i="16"/>
  <c r="BG45" i="16"/>
  <c r="BF46" i="16"/>
  <c r="AA83" i="16"/>
  <c r="BM46" i="16"/>
  <c r="Y14" i="16"/>
  <c r="AA50" i="16"/>
  <c r="Z14" i="16"/>
  <c r="BM45" i="16"/>
  <c r="AB42" i="16" l="1"/>
  <c r="AB78" i="16"/>
  <c r="AA3" i="16"/>
  <c r="BI10" i="16"/>
  <c r="BH10" i="16"/>
  <c r="BG10" i="16"/>
  <c r="BF10" i="16"/>
  <c r="AB83" i="16"/>
  <c r="BM10" i="16"/>
  <c r="AA14" i="16"/>
  <c r="AB50" i="16"/>
  <c r="AC42" i="16" l="1"/>
  <c r="AC78" i="16"/>
  <c r="AB3" i="16"/>
  <c r="AB14" i="16"/>
  <c r="AC50" i="16"/>
  <c r="AC83" i="16"/>
  <c r="AD42" i="16" l="1"/>
  <c r="AD78" i="16"/>
  <c r="AC3" i="16"/>
  <c r="AC14" i="16"/>
  <c r="AD83" i="16"/>
  <c r="AD50" i="16"/>
  <c r="AE42" i="16" l="1"/>
  <c r="AF42" i="16" s="1"/>
  <c r="AE78" i="16"/>
  <c r="AF78" i="16" s="1"/>
  <c r="AD3" i="16"/>
  <c r="AD14" i="16"/>
  <c r="AF50" i="16"/>
  <c r="AE50" i="16"/>
  <c r="AE83" i="16"/>
  <c r="AF83" i="16"/>
  <c r="AE3" i="16" l="1"/>
  <c r="AE14" i="16"/>
  <c r="AF3" i="16" l="1"/>
  <c r="C33" i="27"/>
  <c r="C52" i="27" s="1"/>
  <c r="AF14" i="16"/>
  <c r="B12" i="30" l="1"/>
  <c r="B9" i="30"/>
  <c r="C129" i="3"/>
  <c r="E83" i="16"/>
  <c r="C162" i="6"/>
  <c r="E50" i="16"/>
  <c r="E14" i="16"/>
  <c r="B13" i="30" l="1"/>
  <c r="B11" i="30"/>
  <c r="B10" i="30"/>
  <c r="B8" i="30"/>
  <c r="B16" i="30"/>
  <c r="B7" i="30"/>
  <c r="C4" i="30"/>
  <c r="C16" i="30" s="1"/>
  <c r="D4" i="30" l="1"/>
  <c r="C7" i="30"/>
  <c r="D16" i="30" l="1"/>
  <c r="D7" i="30"/>
  <c r="E4" i="30"/>
  <c r="E16" i="30" s="1"/>
  <c r="F4" i="30" l="1"/>
  <c r="F16" i="30" s="1"/>
  <c r="E7" i="30"/>
  <c r="F7" i="30" l="1"/>
  <c r="G4" i="30"/>
  <c r="G16" i="30" l="1"/>
  <c r="G7" i="30"/>
  <c r="H4" i="30"/>
  <c r="H16" i="30" l="1"/>
  <c r="H7" i="30"/>
  <c r="I4" i="30"/>
  <c r="I16" i="30" l="1"/>
  <c r="I7" i="30"/>
  <c r="J4" i="30"/>
  <c r="J16" i="30" l="1"/>
  <c r="J7" i="30"/>
  <c r="K4" i="30"/>
  <c r="K16" i="30" l="1"/>
  <c r="K7" i="30"/>
  <c r="L4" i="30"/>
  <c r="L16" i="30" l="1"/>
  <c r="L7" i="30"/>
  <c r="M4" i="30"/>
  <c r="M16" i="30" l="1"/>
  <c r="M7" i="30"/>
  <c r="N4" i="30"/>
  <c r="N7" i="30" s="1"/>
  <c r="N16" i="30" l="1"/>
  <c r="G32" i="21" l="1"/>
  <c r="C1" i="19" l="1"/>
  <c r="C1" i="21" s="1"/>
  <c r="BF75" i="16"/>
  <c r="BF40" i="16"/>
  <c r="C43" i="29"/>
  <c r="C27" i="29"/>
  <c r="C22" i="29"/>
  <c r="C20" i="29"/>
  <c r="C17" i="29"/>
  <c r="C14" i="29"/>
  <c r="C11" i="29"/>
  <c r="C7" i="29"/>
  <c r="C43" i="28"/>
  <c r="C27" i="28"/>
  <c r="C22" i="28"/>
  <c r="C20" i="28"/>
  <c r="C17" i="28"/>
  <c r="C14" i="28"/>
  <c r="C11" i="28"/>
  <c r="C7" i="28"/>
  <c r="C43" i="27"/>
  <c r="C56" i="27" s="1"/>
  <c r="H9" i="27" s="1"/>
  <c r="C27" i="27"/>
  <c r="C22" i="27"/>
  <c r="C20" i="27"/>
  <c r="C17" i="27"/>
  <c r="C14" i="27"/>
  <c r="C11" i="27"/>
  <c r="C7" i="27"/>
  <c r="C27" i="26"/>
  <c r="C22" i="26"/>
  <c r="C17" i="26"/>
  <c r="C14" i="26"/>
  <c r="C43" i="25"/>
  <c r="C56" i="25" s="1"/>
  <c r="C27" i="25"/>
  <c r="C22" i="25"/>
  <c r="C20" i="25"/>
  <c r="C17" i="25"/>
  <c r="C14" i="25"/>
  <c r="C11" i="25"/>
  <c r="C7" i="25"/>
  <c r="C43" i="24"/>
  <c r="C56" i="24" s="1"/>
  <c r="H9" i="24" s="1"/>
  <c r="C27" i="24"/>
  <c r="C22" i="24"/>
  <c r="C20" i="24"/>
  <c r="C17" i="24"/>
  <c r="C14" i="24"/>
  <c r="C11" i="24"/>
  <c r="C7" i="24"/>
  <c r="C27" i="22"/>
  <c r="C22" i="22"/>
  <c r="C20" i="22"/>
  <c r="C17" i="22"/>
  <c r="C14" i="22"/>
  <c r="C11" i="22"/>
  <c r="C7" i="22"/>
  <c r="C30" i="22" s="1"/>
  <c r="C32" i="22" s="1"/>
  <c r="C34" i="22" s="1"/>
  <c r="C52" i="23"/>
  <c r="C56" i="23" s="1"/>
  <c r="C27" i="23"/>
  <c r="C22" i="23"/>
  <c r="C20" i="23"/>
  <c r="C17" i="23"/>
  <c r="C14" i="23"/>
  <c r="C11" i="23"/>
  <c r="C7" i="23"/>
  <c r="C30" i="23" s="1"/>
  <c r="C32" i="23" s="1"/>
  <c r="C34" i="23" s="1"/>
  <c r="H7" i="23" s="1"/>
  <c r="I7" i="23" s="1"/>
  <c r="I14" i="23" s="1"/>
  <c r="I52" i="23" s="1"/>
  <c r="C43" i="20"/>
  <c r="C27" i="20"/>
  <c r="C22" i="20"/>
  <c r="C20" i="20"/>
  <c r="C17" i="20"/>
  <c r="C14" i="20"/>
  <c r="C11" i="20"/>
  <c r="C7" i="20"/>
  <c r="C27" i="21"/>
  <c r="C22" i="21"/>
  <c r="C20" i="21"/>
  <c r="C17" i="21"/>
  <c r="C14" i="21"/>
  <c r="C11" i="21"/>
  <c r="C7" i="21"/>
  <c r="C14" i="19"/>
  <c r="C1485" i="29"/>
  <c r="G32" i="29"/>
  <c r="G34" i="29" s="1"/>
  <c r="K28" i="29"/>
  <c r="K30" i="29" s="1"/>
  <c r="H11" i="29"/>
  <c r="L11" i="29" s="1"/>
  <c r="H10" i="29"/>
  <c r="K10" i="29" s="1"/>
  <c r="C1485" i="28"/>
  <c r="K40" i="28"/>
  <c r="K39" i="28"/>
  <c r="K37" i="28"/>
  <c r="K36" i="28"/>
  <c r="G32" i="28"/>
  <c r="G34" i="28" s="1"/>
  <c r="K28" i="28"/>
  <c r="M27" i="28"/>
  <c r="M28" i="28" s="1"/>
  <c r="N28" i="28" s="1"/>
  <c r="H11" i="28"/>
  <c r="L11" i="28" s="1"/>
  <c r="H10" i="28"/>
  <c r="K10" i="28" s="1"/>
  <c r="C1485" i="27"/>
  <c r="M42" i="27"/>
  <c r="G44" i="27"/>
  <c r="I44" i="27" s="1"/>
  <c r="M41" i="27"/>
  <c r="G43" i="27"/>
  <c r="I43" i="27" s="1"/>
  <c r="K40" i="27"/>
  <c r="M40" i="27" s="1"/>
  <c r="G42" i="27"/>
  <c r="I42" i="27" s="1"/>
  <c r="K39" i="27"/>
  <c r="G41" i="27"/>
  <c r="I41" i="27" s="1"/>
  <c r="K38" i="27"/>
  <c r="G40" i="27"/>
  <c r="I40" i="27" s="1"/>
  <c r="K37" i="27"/>
  <c r="G39" i="27"/>
  <c r="I39" i="27" s="1"/>
  <c r="G37" i="27"/>
  <c r="I37" i="27" s="1"/>
  <c r="G32" i="27"/>
  <c r="G34" i="27" s="1"/>
  <c r="I31" i="27"/>
  <c r="I30" i="27"/>
  <c r="K28" i="27"/>
  <c r="K30" i="27" s="1"/>
  <c r="I29" i="27"/>
  <c r="M27" i="27"/>
  <c r="I28" i="27"/>
  <c r="M26" i="27"/>
  <c r="I27" i="27"/>
  <c r="M25" i="27"/>
  <c r="I26" i="27"/>
  <c r="M24" i="27"/>
  <c r="I25" i="27"/>
  <c r="M23" i="27"/>
  <c r="I23" i="27"/>
  <c r="H11" i="27"/>
  <c r="L11" i="27" s="1"/>
  <c r="H10" i="27"/>
  <c r="K10" i="27" s="1"/>
  <c r="C1485" i="26"/>
  <c r="M42" i="26"/>
  <c r="G44" i="26"/>
  <c r="I44" i="26" s="1"/>
  <c r="M41" i="26"/>
  <c r="G43" i="26"/>
  <c r="I43" i="26" s="1"/>
  <c r="K40" i="26"/>
  <c r="M40" i="26" s="1"/>
  <c r="G42" i="26"/>
  <c r="I42" i="26" s="1"/>
  <c r="K39" i="26"/>
  <c r="G41" i="26"/>
  <c r="I41" i="26" s="1"/>
  <c r="K38" i="26"/>
  <c r="G40" i="26"/>
  <c r="I40" i="26" s="1"/>
  <c r="K37" i="26"/>
  <c r="G39" i="26"/>
  <c r="I39" i="26" s="1"/>
  <c r="K36" i="26"/>
  <c r="G32" i="26"/>
  <c r="I31" i="26"/>
  <c r="I30" i="26"/>
  <c r="K28" i="26"/>
  <c r="K30" i="26" s="1"/>
  <c r="I29" i="26"/>
  <c r="M27" i="26"/>
  <c r="I28" i="26"/>
  <c r="M26" i="26"/>
  <c r="I27" i="26"/>
  <c r="M25" i="26"/>
  <c r="I26" i="26"/>
  <c r="M24" i="26"/>
  <c r="I25" i="26"/>
  <c r="M23" i="26"/>
  <c r="I23" i="26"/>
  <c r="H11" i="26"/>
  <c r="L11" i="26" s="1"/>
  <c r="H10" i="26"/>
  <c r="K10" i="26" s="1"/>
  <c r="C1485" i="25"/>
  <c r="M42" i="25"/>
  <c r="G44" i="25"/>
  <c r="I44" i="25" s="1"/>
  <c r="M41" i="25"/>
  <c r="G43" i="25"/>
  <c r="I43" i="25" s="1"/>
  <c r="K40" i="25"/>
  <c r="M40" i="25" s="1"/>
  <c r="G42" i="25"/>
  <c r="I42" i="25" s="1"/>
  <c r="K39" i="25"/>
  <c r="G41" i="25"/>
  <c r="I41" i="25" s="1"/>
  <c r="G40" i="25"/>
  <c r="I40" i="25" s="1"/>
  <c r="K37" i="25"/>
  <c r="G39" i="25"/>
  <c r="I39" i="25" s="1"/>
  <c r="G37" i="25"/>
  <c r="G32" i="25"/>
  <c r="I31" i="25"/>
  <c r="I30" i="25"/>
  <c r="K28" i="25"/>
  <c r="K30" i="25" s="1"/>
  <c r="I29" i="25"/>
  <c r="M27" i="25"/>
  <c r="I28" i="25"/>
  <c r="M26" i="25"/>
  <c r="I27" i="25"/>
  <c r="M25" i="25"/>
  <c r="I26" i="25"/>
  <c r="M24" i="25"/>
  <c r="I25" i="25"/>
  <c r="M23" i="25"/>
  <c r="I23" i="25"/>
  <c r="H11" i="25"/>
  <c r="L11" i="25" s="1"/>
  <c r="H10" i="25"/>
  <c r="K10" i="25" s="1"/>
  <c r="C1485" i="24"/>
  <c r="M42" i="24"/>
  <c r="I44" i="24"/>
  <c r="M41" i="24"/>
  <c r="I43" i="24"/>
  <c r="K40" i="24"/>
  <c r="M40" i="24" s="1"/>
  <c r="I42" i="24"/>
  <c r="K39" i="24"/>
  <c r="I41" i="24"/>
  <c r="K38" i="24"/>
  <c r="I40" i="24"/>
  <c r="K37" i="24"/>
  <c r="I39" i="24"/>
  <c r="K36" i="24"/>
  <c r="I37" i="24"/>
  <c r="G32" i="24"/>
  <c r="I31" i="24"/>
  <c r="I30" i="24"/>
  <c r="K28" i="24"/>
  <c r="K30" i="24" s="1"/>
  <c r="I29" i="24"/>
  <c r="M27" i="24"/>
  <c r="I28" i="24"/>
  <c r="M26" i="24"/>
  <c r="I27" i="24"/>
  <c r="M25" i="24"/>
  <c r="I26" i="24"/>
  <c r="M24" i="24"/>
  <c r="M23" i="24"/>
  <c r="I23" i="24"/>
  <c r="H11" i="24"/>
  <c r="L11" i="24" s="1"/>
  <c r="H10" i="24"/>
  <c r="K10" i="24" s="1"/>
  <c r="C1485" i="23"/>
  <c r="M42" i="23"/>
  <c r="G44" i="23"/>
  <c r="I44" i="23" s="1"/>
  <c r="M41" i="23"/>
  <c r="G43" i="23"/>
  <c r="I43" i="23" s="1"/>
  <c r="K40" i="23"/>
  <c r="M40" i="23" s="1"/>
  <c r="G42" i="23"/>
  <c r="I42" i="23" s="1"/>
  <c r="K39" i="23"/>
  <c r="G41" i="23"/>
  <c r="I41" i="23" s="1"/>
  <c r="K38" i="23"/>
  <c r="G40" i="23"/>
  <c r="I40" i="23" s="1"/>
  <c r="K37" i="23"/>
  <c r="G39" i="23"/>
  <c r="I39" i="23" s="1"/>
  <c r="K36" i="23"/>
  <c r="G37" i="23"/>
  <c r="G32" i="23"/>
  <c r="I31" i="23"/>
  <c r="I30" i="23"/>
  <c r="K28" i="23"/>
  <c r="K30" i="23" s="1"/>
  <c r="I29" i="23"/>
  <c r="M27" i="23"/>
  <c r="I28" i="23"/>
  <c r="M26" i="23"/>
  <c r="I27" i="23"/>
  <c r="M25" i="23"/>
  <c r="I26" i="23"/>
  <c r="M24" i="23"/>
  <c r="I25" i="23"/>
  <c r="M23" i="23"/>
  <c r="I23" i="23"/>
  <c r="H11" i="23"/>
  <c r="L11" i="23" s="1"/>
  <c r="H10" i="23"/>
  <c r="K10" i="23" s="1"/>
  <c r="C1485" i="22"/>
  <c r="M42" i="22"/>
  <c r="G44" i="22"/>
  <c r="M41" i="22"/>
  <c r="G43" i="22"/>
  <c r="I43" i="22" s="1"/>
  <c r="K40" i="22"/>
  <c r="G42" i="22"/>
  <c r="I42" i="22" s="1"/>
  <c r="K39" i="22"/>
  <c r="G41" i="22"/>
  <c r="I41" i="22" s="1"/>
  <c r="K38" i="22"/>
  <c r="G40" i="22"/>
  <c r="I40" i="22" s="1"/>
  <c r="K37" i="22"/>
  <c r="G39" i="22"/>
  <c r="I39" i="22" s="1"/>
  <c r="G37" i="22"/>
  <c r="I37" i="22" s="1"/>
  <c r="G32" i="22"/>
  <c r="I31" i="22"/>
  <c r="I30" i="22"/>
  <c r="K28" i="22"/>
  <c r="K30" i="22" s="1"/>
  <c r="I29" i="22"/>
  <c r="M27" i="22"/>
  <c r="I28" i="22"/>
  <c r="M26" i="22"/>
  <c r="I27" i="22"/>
  <c r="M25" i="22"/>
  <c r="I26" i="22"/>
  <c r="M24" i="22"/>
  <c r="M23" i="22"/>
  <c r="H11" i="22"/>
  <c r="L11" i="22" s="1"/>
  <c r="H10" i="22"/>
  <c r="K10" i="22" s="1"/>
  <c r="C1484" i="21"/>
  <c r="M42" i="21"/>
  <c r="G44" i="21"/>
  <c r="I44" i="21" s="1"/>
  <c r="M41" i="21"/>
  <c r="G43" i="21"/>
  <c r="I43" i="21" s="1"/>
  <c r="K40" i="21"/>
  <c r="M40" i="21" s="1"/>
  <c r="G42" i="21"/>
  <c r="I42" i="21" s="1"/>
  <c r="K39" i="21"/>
  <c r="G41" i="21"/>
  <c r="I41" i="21" s="1"/>
  <c r="K38" i="21"/>
  <c r="G40" i="21"/>
  <c r="I40" i="21" s="1"/>
  <c r="K37" i="21"/>
  <c r="G39" i="21"/>
  <c r="I39" i="21" s="1"/>
  <c r="K36" i="21"/>
  <c r="G37" i="21"/>
  <c r="G34" i="21"/>
  <c r="I31" i="21"/>
  <c r="I30" i="21"/>
  <c r="K28" i="21"/>
  <c r="K30" i="21" s="1"/>
  <c r="I29" i="21"/>
  <c r="M27" i="21"/>
  <c r="I28" i="21"/>
  <c r="M26" i="21"/>
  <c r="I27" i="21"/>
  <c r="M25" i="21"/>
  <c r="I26" i="21"/>
  <c r="M24" i="21"/>
  <c r="I25" i="21"/>
  <c r="M23" i="21"/>
  <c r="I23" i="21"/>
  <c r="H11" i="21"/>
  <c r="L11" i="21" s="1"/>
  <c r="H10" i="21"/>
  <c r="K10" i="21" s="1"/>
  <c r="C1484" i="20"/>
  <c r="M42" i="20"/>
  <c r="G44" i="20"/>
  <c r="M41" i="20"/>
  <c r="G43" i="20"/>
  <c r="I43" i="20" s="1"/>
  <c r="K40" i="20"/>
  <c r="M40" i="20" s="1"/>
  <c r="G42" i="20"/>
  <c r="I42" i="20" s="1"/>
  <c r="K39" i="20"/>
  <c r="G41" i="20"/>
  <c r="I41" i="20" s="1"/>
  <c r="K38" i="20"/>
  <c r="G40" i="20"/>
  <c r="I40" i="20" s="1"/>
  <c r="K37" i="20"/>
  <c r="G39" i="20"/>
  <c r="I39" i="20" s="1"/>
  <c r="K36" i="20"/>
  <c r="G37" i="20"/>
  <c r="I37" i="20" s="1"/>
  <c r="G32" i="20"/>
  <c r="I31" i="20"/>
  <c r="I30" i="20"/>
  <c r="K28" i="20"/>
  <c r="K30" i="20" s="1"/>
  <c r="I29" i="20"/>
  <c r="M27" i="20"/>
  <c r="I28" i="20"/>
  <c r="M26" i="20"/>
  <c r="I27" i="20"/>
  <c r="M25" i="20"/>
  <c r="I26" i="20"/>
  <c r="M24" i="20"/>
  <c r="I25" i="20"/>
  <c r="M23" i="20"/>
  <c r="I23" i="20"/>
  <c r="H11" i="20"/>
  <c r="L11" i="20" s="1"/>
  <c r="H10" i="20"/>
  <c r="K10" i="20" s="1"/>
  <c r="C1484" i="19"/>
  <c r="M42" i="19"/>
  <c r="I44" i="19"/>
  <c r="M41" i="19"/>
  <c r="G43" i="19"/>
  <c r="I43" i="19" s="1"/>
  <c r="K40" i="19"/>
  <c r="M40" i="19" s="1"/>
  <c r="I42" i="19"/>
  <c r="K39" i="19"/>
  <c r="I41" i="19"/>
  <c r="K38" i="19"/>
  <c r="G40" i="19"/>
  <c r="I40" i="19" s="1"/>
  <c r="K37" i="19"/>
  <c r="I39" i="19"/>
  <c r="K36" i="19"/>
  <c r="I37" i="19"/>
  <c r="G32" i="19"/>
  <c r="I31" i="19"/>
  <c r="I30" i="19"/>
  <c r="K28" i="19"/>
  <c r="K30" i="19" s="1"/>
  <c r="I29" i="19"/>
  <c r="M27" i="19"/>
  <c r="I28" i="19"/>
  <c r="C27" i="19"/>
  <c r="M26" i="19"/>
  <c r="I27" i="19"/>
  <c r="M25" i="19"/>
  <c r="I26" i="19"/>
  <c r="M24" i="19"/>
  <c r="I25" i="19"/>
  <c r="M23" i="19"/>
  <c r="I23" i="19"/>
  <c r="C22" i="19"/>
  <c r="C20" i="19"/>
  <c r="C17" i="19"/>
  <c r="L11" i="19"/>
  <c r="C11" i="19"/>
  <c r="C7" i="19"/>
  <c r="C30" i="28" l="1"/>
  <c r="C32" i="28" s="1"/>
  <c r="C34" i="28" s="1"/>
  <c r="H7" i="28" s="1"/>
  <c r="C56" i="28"/>
  <c r="BK76" i="16"/>
  <c r="BJ77" i="16"/>
  <c r="C30" i="25"/>
  <c r="C32" i="25" s="1"/>
  <c r="BK44" i="16"/>
  <c r="BJ44" i="16"/>
  <c r="C30" i="24"/>
  <c r="C32" i="24" s="1"/>
  <c r="C34" i="24" s="1"/>
  <c r="H7" i="24" s="1"/>
  <c r="H7" i="22"/>
  <c r="C61" i="22"/>
  <c r="H9" i="23"/>
  <c r="C30" i="21"/>
  <c r="C32" i="21" s="1"/>
  <c r="C34" i="21" s="1"/>
  <c r="H7" i="21" s="1"/>
  <c r="C30" i="19"/>
  <c r="C32" i="19" s="1"/>
  <c r="C34" i="19" s="1"/>
  <c r="H7" i="19" s="1"/>
  <c r="C30" i="27"/>
  <c r="C32" i="27" s="1"/>
  <c r="C34" i="27" s="1"/>
  <c r="H7" i="27" s="1"/>
  <c r="C30" i="26"/>
  <c r="C32" i="26" s="1"/>
  <c r="M39" i="26"/>
  <c r="M39" i="25"/>
  <c r="M40" i="22"/>
  <c r="C55" i="20"/>
  <c r="C58" i="20" s="1"/>
  <c r="G34" i="26"/>
  <c r="G34" i="25"/>
  <c r="G34" i="24"/>
  <c r="G34" i="22"/>
  <c r="G34" i="23"/>
  <c r="G34" i="20"/>
  <c r="AI28" i="16"/>
  <c r="AI64" i="16"/>
  <c r="G34" i="19"/>
  <c r="M39" i="27"/>
  <c r="M37" i="26"/>
  <c r="M36" i="26"/>
  <c r="M38" i="26"/>
  <c r="M37" i="25"/>
  <c r="M38" i="25"/>
  <c r="M37" i="24"/>
  <c r="M39" i="24"/>
  <c r="M38" i="24"/>
  <c r="M37" i="22"/>
  <c r="M38" i="22"/>
  <c r="M39" i="22"/>
  <c r="M38" i="23"/>
  <c r="M37" i="23"/>
  <c r="M39" i="23"/>
  <c r="M38" i="20"/>
  <c r="M37" i="20"/>
  <c r="M39" i="20"/>
  <c r="M39" i="21"/>
  <c r="M37" i="21"/>
  <c r="M38" i="21"/>
  <c r="M39" i="19"/>
  <c r="M38" i="19"/>
  <c r="M37" i="19"/>
  <c r="K30" i="28"/>
  <c r="F1" i="19"/>
  <c r="C58" i="21"/>
  <c r="G45" i="26"/>
  <c r="C1" i="20"/>
  <c r="F1" i="20" s="1"/>
  <c r="F1" i="21"/>
  <c r="M37" i="27"/>
  <c r="I32" i="26"/>
  <c r="I33" i="26" s="1"/>
  <c r="C30" i="29"/>
  <c r="C32" i="29" s="1"/>
  <c r="C59" i="24"/>
  <c r="M28" i="27"/>
  <c r="M29" i="27" s="1"/>
  <c r="G45" i="28"/>
  <c r="G47" i="28" s="1"/>
  <c r="G45" i="29"/>
  <c r="G47" i="29" s="1"/>
  <c r="C59" i="25"/>
  <c r="C59" i="29"/>
  <c r="M28" i="23"/>
  <c r="K53" i="23" s="1"/>
  <c r="I20" i="30" s="1"/>
  <c r="M28" i="24"/>
  <c r="K53" i="24" s="1"/>
  <c r="K20" i="30" s="1"/>
  <c r="K43" i="27"/>
  <c r="M28" i="19"/>
  <c r="K53" i="19" s="1"/>
  <c r="F20" i="30" s="1"/>
  <c r="K43" i="19"/>
  <c r="K45" i="19" s="1"/>
  <c r="K43" i="20"/>
  <c r="K45" i="20" s="1"/>
  <c r="I32" i="21"/>
  <c r="I32" i="22"/>
  <c r="I33" i="22" s="1"/>
  <c r="I32" i="23"/>
  <c r="I33" i="23" s="1"/>
  <c r="K43" i="23"/>
  <c r="K47" i="23" s="1"/>
  <c r="K43" i="24"/>
  <c r="K47" i="24" s="1"/>
  <c r="M28" i="26"/>
  <c r="K53" i="26" s="1"/>
  <c r="M20" i="30" s="1"/>
  <c r="G45" i="27"/>
  <c r="M28" i="29"/>
  <c r="M29" i="29" s="1"/>
  <c r="I32" i="19"/>
  <c r="G45" i="21"/>
  <c r="G45" i="23"/>
  <c r="G47" i="23" s="1"/>
  <c r="K43" i="29"/>
  <c r="K45" i="29" s="1"/>
  <c r="C30" i="20"/>
  <c r="I45" i="29"/>
  <c r="I32" i="29"/>
  <c r="K43" i="28"/>
  <c r="I53" i="28"/>
  <c r="M38" i="27"/>
  <c r="M36" i="27"/>
  <c r="I32" i="27"/>
  <c r="I53" i="27" s="1"/>
  <c r="I45" i="27"/>
  <c r="H53" i="27" s="1"/>
  <c r="I37" i="26"/>
  <c r="I45" i="26" s="1"/>
  <c r="H53" i="26" s="1"/>
  <c r="M28" i="25"/>
  <c r="M29" i="25" s="1"/>
  <c r="K43" i="25"/>
  <c r="K47" i="25" s="1"/>
  <c r="I32" i="25"/>
  <c r="I53" i="25" s="1"/>
  <c r="G45" i="25"/>
  <c r="I37" i="25"/>
  <c r="I45" i="25" s="1"/>
  <c r="H53" i="25" s="1"/>
  <c r="I32" i="24"/>
  <c r="I33" i="24" s="1"/>
  <c r="M28" i="22"/>
  <c r="K53" i="22" s="1"/>
  <c r="J20" i="30" s="1"/>
  <c r="K43" i="22"/>
  <c r="K47" i="22" s="1"/>
  <c r="G45" i="22"/>
  <c r="G47" i="22" s="1"/>
  <c r="I37" i="23"/>
  <c r="I45" i="23" s="1"/>
  <c r="M28" i="20"/>
  <c r="M29" i="20" s="1"/>
  <c r="I32" i="20"/>
  <c r="I53" i="20" s="1"/>
  <c r="G45" i="20"/>
  <c r="M28" i="21"/>
  <c r="K43" i="21"/>
  <c r="K47" i="21" s="1"/>
  <c r="I37" i="21"/>
  <c r="I45" i="21" s="1"/>
  <c r="H53" i="21" s="1"/>
  <c r="I45" i="19"/>
  <c r="H53" i="19" s="1"/>
  <c r="I45" i="24"/>
  <c r="M36" i="25"/>
  <c r="M43" i="29"/>
  <c r="M36" i="24"/>
  <c r="G45" i="24"/>
  <c r="K43" i="26"/>
  <c r="K47" i="26" s="1"/>
  <c r="I44" i="22"/>
  <c r="I45" i="22" s="1"/>
  <c r="H53" i="22" s="1"/>
  <c r="M36" i="23"/>
  <c r="M36" i="22"/>
  <c r="I44" i="20"/>
  <c r="I45" i="20" s="1"/>
  <c r="M36" i="21"/>
  <c r="M36" i="20"/>
  <c r="M36" i="19"/>
  <c r="G45" i="19"/>
  <c r="K45" i="28" l="1"/>
  <c r="M44" i="28"/>
  <c r="C59" i="28"/>
  <c r="H9" i="28"/>
  <c r="C60" i="21"/>
  <c r="K5" i="26"/>
  <c r="G47" i="26"/>
  <c r="L5" i="26"/>
  <c r="G47" i="20"/>
  <c r="K5" i="20"/>
  <c r="L5" i="20" s="1"/>
  <c r="C32" i="20"/>
  <c r="C34" i="20" s="1"/>
  <c r="M29" i="21"/>
  <c r="K53" i="21"/>
  <c r="G47" i="21"/>
  <c r="K5" i="21"/>
  <c r="K9" i="21" s="1"/>
  <c r="I53" i="21"/>
  <c r="G11" i="30" s="1"/>
  <c r="I53" i="19"/>
  <c r="F11" i="30" s="1"/>
  <c r="K5" i="19"/>
  <c r="K9" i="19" s="1"/>
  <c r="C60" i="19"/>
  <c r="C62" i="19" s="1"/>
  <c r="I53" i="29"/>
  <c r="I33" i="29"/>
  <c r="I46" i="29"/>
  <c r="C34" i="29"/>
  <c r="C61" i="29" s="1"/>
  <c r="J7" i="28"/>
  <c r="J14" i="28" s="1"/>
  <c r="K52" i="28" s="1"/>
  <c r="C61" i="28"/>
  <c r="C63" i="28" s="1"/>
  <c r="G47" i="27"/>
  <c r="K5" i="27"/>
  <c r="L5" i="27" s="1"/>
  <c r="C34" i="26"/>
  <c r="C34" i="25"/>
  <c r="C61" i="25" s="1"/>
  <c r="K5" i="25"/>
  <c r="L5" i="25" s="1"/>
  <c r="G47" i="25"/>
  <c r="C61" i="24"/>
  <c r="K45" i="27"/>
  <c r="M43" i="26"/>
  <c r="J53" i="26" s="1"/>
  <c r="M17" i="30" s="1"/>
  <c r="AO64" i="16"/>
  <c r="AN64" i="16"/>
  <c r="AN28" i="16"/>
  <c r="M43" i="25"/>
  <c r="J53" i="25" s="1"/>
  <c r="L17" i="30" s="1"/>
  <c r="AL64" i="16"/>
  <c r="AK28" i="16"/>
  <c r="AK64" i="16"/>
  <c r="AJ64" i="16"/>
  <c r="AJ28" i="16"/>
  <c r="F8" i="30"/>
  <c r="C63" i="16"/>
  <c r="AH64" i="16"/>
  <c r="D63" i="16"/>
  <c r="AH28" i="16"/>
  <c r="M43" i="22"/>
  <c r="M44" i="22" s="1"/>
  <c r="M43" i="24"/>
  <c r="M44" i="24" s="1"/>
  <c r="M43" i="20"/>
  <c r="M44" i="20" s="1"/>
  <c r="M43" i="21"/>
  <c r="M43" i="23"/>
  <c r="M43" i="19"/>
  <c r="M44" i="19" s="1"/>
  <c r="K53" i="28"/>
  <c r="M29" i="28"/>
  <c r="J7" i="27"/>
  <c r="J14" i="27" s="1"/>
  <c r="C59" i="27"/>
  <c r="C1" i="23"/>
  <c r="F1" i="23" s="1"/>
  <c r="C59" i="23"/>
  <c r="M29" i="22"/>
  <c r="K53" i="27"/>
  <c r="N20" i="30" s="1"/>
  <c r="I33" i="19"/>
  <c r="K53" i="29"/>
  <c r="I46" i="26"/>
  <c r="I33" i="27"/>
  <c r="K53" i="20"/>
  <c r="H20" i="30" s="1"/>
  <c r="I53" i="22"/>
  <c r="K53" i="25"/>
  <c r="L20" i="30" s="1"/>
  <c r="M29" i="19"/>
  <c r="K5" i="29"/>
  <c r="L5" i="29" s="1"/>
  <c r="M29" i="26"/>
  <c r="M29" i="23"/>
  <c r="I33" i="28"/>
  <c r="I33" i="21"/>
  <c r="I46" i="21"/>
  <c r="K5" i="28"/>
  <c r="L5" i="28" s="1"/>
  <c r="I33" i="20"/>
  <c r="K5" i="23"/>
  <c r="L5" i="23" s="1"/>
  <c r="I53" i="26"/>
  <c r="J61" i="26" s="1"/>
  <c r="C63" i="22"/>
  <c r="G20" i="30"/>
  <c r="I33" i="25"/>
  <c r="I7" i="22"/>
  <c r="I53" i="23"/>
  <c r="M29" i="24"/>
  <c r="M43" i="27"/>
  <c r="I46" i="27"/>
  <c r="I53" i="24"/>
  <c r="K5" i="22"/>
  <c r="K9" i="22" s="1"/>
  <c r="J53" i="28"/>
  <c r="H9" i="26"/>
  <c r="H9" i="25"/>
  <c r="M44" i="29"/>
  <c r="J53" i="29"/>
  <c r="I46" i="28"/>
  <c r="I46" i="25"/>
  <c r="I46" i="24"/>
  <c r="H53" i="24"/>
  <c r="G47" i="24"/>
  <c r="K5" i="24"/>
  <c r="H9" i="29"/>
  <c r="I46" i="22"/>
  <c r="J7" i="23"/>
  <c r="H53" i="23"/>
  <c r="I46" i="23"/>
  <c r="I46" i="20"/>
  <c r="H53" i="20"/>
  <c r="H9" i="20"/>
  <c r="G47" i="19"/>
  <c r="J7" i="19"/>
  <c r="I7" i="19"/>
  <c r="I14" i="19" s="1"/>
  <c r="I52" i="19" s="1"/>
  <c r="H12" i="19"/>
  <c r="I46" i="19"/>
  <c r="C61" i="26" l="1"/>
  <c r="C63" i="26" s="1"/>
  <c r="I7" i="28"/>
  <c r="I14" i="28" s="1"/>
  <c r="I52" i="28" s="1"/>
  <c r="I55" i="28" s="1"/>
  <c r="J61" i="25"/>
  <c r="L5" i="19"/>
  <c r="L9" i="19" s="1"/>
  <c r="L12" i="19" s="1"/>
  <c r="L5" i="24"/>
  <c r="L9" i="24" s="1"/>
  <c r="L12" i="24" s="1"/>
  <c r="K9" i="24"/>
  <c r="K12" i="24" s="1"/>
  <c r="H52" i="24" s="1"/>
  <c r="L5" i="22"/>
  <c r="L9" i="22" s="1"/>
  <c r="L12" i="22" s="1"/>
  <c r="L14" i="22" s="1"/>
  <c r="J19" i="30" s="1"/>
  <c r="K12" i="22"/>
  <c r="J53" i="23"/>
  <c r="I17" i="30" s="1"/>
  <c r="H7" i="20"/>
  <c r="J7" i="20" s="1"/>
  <c r="J14" i="20" s="1"/>
  <c r="C60" i="20"/>
  <c r="C62" i="20" s="1"/>
  <c r="L5" i="21"/>
  <c r="L9" i="21" s="1"/>
  <c r="L12" i="21" s="1"/>
  <c r="M44" i="21"/>
  <c r="J53" i="21"/>
  <c r="G17" i="30" s="1"/>
  <c r="J53" i="19"/>
  <c r="L53" i="19" s="1"/>
  <c r="C64" i="16"/>
  <c r="H7" i="29"/>
  <c r="C63" i="29"/>
  <c r="C61" i="27"/>
  <c r="C63" i="27" s="1"/>
  <c r="H7" i="26"/>
  <c r="J7" i="26" s="1"/>
  <c r="J14" i="26" s="1"/>
  <c r="H7" i="25"/>
  <c r="C63" i="25"/>
  <c r="L53" i="26"/>
  <c r="C63" i="24"/>
  <c r="M44" i="25"/>
  <c r="L53" i="25"/>
  <c r="J7" i="22"/>
  <c r="J14" i="22" s="1"/>
  <c r="I14" i="22"/>
  <c r="I52" i="22" s="1"/>
  <c r="I55" i="22" s="1"/>
  <c r="H12" i="22"/>
  <c r="H14" i="22" s="1"/>
  <c r="H15" i="22" s="1"/>
  <c r="L53" i="28"/>
  <c r="C61" i="23"/>
  <c r="C63" i="23" s="1"/>
  <c r="M44" i="26"/>
  <c r="J53" i="24"/>
  <c r="K17" i="30" s="1"/>
  <c r="J53" i="22"/>
  <c r="J17" i="30" s="1"/>
  <c r="M44" i="23"/>
  <c r="D80" i="16"/>
  <c r="C80" i="16"/>
  <c r="C82" i="16" s="1"/>
  <c r="L53" i="29"/>
  <c r="K55" i="28"/>
  <c r="J53" i="20"/>
  <c r="H17" i="30" s="1"/>
  <c r="I7" i="27"/>
  <c r="N22" i="30"/>
  <c r="K52" i="27"/>
  <c r="K55" i="27" s="1"/>
  <c r="K52" i="20"/>
  <c r="K55" i="20" s="1"/>
  <c r="H22" i="30"/>
  <c r="G8" i="30"/>
  <c r="K8" i="30"/>
  <c r="J8" i="30"/>
  <c r="N8" i="30"/>
  <c r="I8" i="30"/>
  <c r="M8" i="30"/>
  <c r="H8" i="30"/>
  <c r="L8" i="30"/>
  <c r="I55" i="23"/>
  <c r="C1" i="22"/>
  <c r="C1" i="24" s="1"/>
  <c r="C1" i="25" s="1"/>
  <c r="C1" i="26" s="1"/>
  <c r="I7" i="20"/>
  <c r="I14" i="20" s="1"/>
  <c r="I52" i="20" s="1"/>
  <c r="I55" i="20" s="1"/>
  <c r="I55" i="19"/>
  <c r="F13" i="30"/>
  <c r="M44" i="27"/>
  <c r="J53" i="27"/>
  <c r="N17" i="30" s="1"/>
  <c r="J61" i="29"/>
  <c r="K12" i="19"/>
  <c r="K9" i="26"/>
  <c r="K12" i="26" s="1"/>
  <c r="H12" i="26"/>
  <c r="L9" i="26"/>
  <c r="L12" i="26" s="1"/>
  <c r="H12" i="28"/>
  <c r="L9" i="28"/>
  <c r="L12" i="28" s="1"/>
  <c r="K9" i="28"/>
  <c r="K12" i="28" s="1"/>
  <c r="H52" i="28" s="1"/>
  <c r="H12" i="24"/>
  <c r="K9" i="27"/>
  <c r="K12" i="27" s="1"/>
  <c r="H52" i="27" s="1"/>
  <c r="H12" i="27"/>
  <c r="H14" i="27" s="1"/>
  <c r="L9" i="27"/>
  <c r="L12" i="27" s="1"/>
  <c r="K9" i="29"/>
  <c r="K12" i="29" s="1"/>
  <c r="H12" i="29"/>
  <c r="L9" i="29"/>
  <c r="L12" i="29" s="1"/>
  <c r="J61" i="28"/>
  <c r="K9" i="25"/>
  <c r="K12" i="25" s="1"/>
  <c r="H12" i="25"/>
  <c r="L9" i="25"/>
  <c r="L12" i="25" s="1"/>
  <c r="K9" i="23"/>
  <c r="K12" i="23" s="1"/>
  <c r="H12" i="23"/>
  <c r="H14" i="23" s="1"/>
  <c r="L9" i="23"/>
  <c r="L12" i="23" s="1"/>
  <c r="J52" i="23" s="1"/>
  <c r="J15" i="23"/>
  <c r="J14" i="23"/>
  <c r="H12" i="20"/>
  <c r="L9" i="20"/>
  <c r="L12" i="20" s="1"/>
  <c r="K9" i="20"/>
  <c r="K12" i="20" s="1"/>
  <c r="H52" i="20" s="1"/>
  <c r="K12" i="21"/>
  <c r="H12" i="21"/>
  <c r="H14" i="21" s="1"/>
  <c r="J15" i="19"/>
  <c r="J14" i="19"/>
  <c r="H14" i="19"/>
  <c r="H15" i="19" s="1"/>
  <c r="H14" i="25" l="1"/>
  <c r="BC7" i="16"/>
  <c r="J15" i="28"/>
  <c r="I14" i="27"/>
  <c r="I52" i="27" s="1"/>
  <c r="I55" i="27" s="1"/>
  <c r="J61" i="20"/>
  <c r="I7" i="26"/>
  <c r="J15" i="26" s="1"/>
  <c r="H14" i="26"/>
  <c r="H15" i="26" s="1"/>
  <c r="J61" i="23"/>
  <c r="L53" i="23"/>
  <c r="J61" i="24"/>
  <c r="H52" i="22"/>
  <c r="H55" i="22" s="1"/>
  <c r="J61" i="22"/>
  <c r="C62" i="21"/>
  <c r="H15" i="21"/>
  <c r="I7" i="21"/>
  <c r="I14" i="21" s="1"/>
  <c r="I52" i="21" s="1"/>
  <c r="J7" i="21"/>
  <c r="AT7" i="16"/>
  <c r="J52" i="19"/>
  <c r="J55" i="19" s="1"/>
  <c r="L14" i="19"/>
  <c r="F19" i="30" s="1"/>
  <c r="AV7" i="16"/>
  <c r="AW7" i="16"/>
  <c r="AX7" i="16"/>
  <c r="F17" i="30"/>
  <c r="J61" i="19"/>
  <c r="I7" i="29"/>
  <c r="I14" i="29" s="1"/>
  <c r="I52" i="29" s="1"/>
  <c r="I55" i="29" s="1"/>
  <c r="J7" i="29"/>
  <c r="I7" i="25"/>
  <c r="I14" i="25" s="1"/>
  <c r="I52" i="25" s="1"/>
  <c r="I55" i="25" s="1"/>
  <c r="J7" i="25"/>
  <c r="J15" i="22"/>
  <c r="J7" i="24"/>
  <c r="I7" i="24"/>
  <c r="I14" i="24" s="1"/>
  <c r="I52" i="24" s="1"/>
  <c r="I55" i="24" s="1"/>
  <c r="L53" i="27"/>
  <c r="L53" i="24"/>
  <c r="L53" i="22"/>
  <c r="K14" i="22"/>
  <c r="L15" i="22" s="1"/>
  <c r="L53" i="20"/>
  <c r="L53" i="21"/>
  <c r="J61" i="21"/>
  <c r="J15" i="27"/>
  <c r="K52" i="26"/>
  <c r="K55" i="26" s="1"/>
  <c r="M22" i="30"/>
  <c r="K52" i="23"/>
  <c r="I22" i="30"/>
  <c r="F1" i="22"/>
  <c r="J52" i="22"/>
  <c r="J55" i="22" s="1"/>
  <c r="J15" i="20"/>
  <c r="K52" i="19"/>
  <c r="K55" i="19" s="1"/>
  <c r="F22" i="30"/>
  <c r="K14" i="19"/>
  <c r="H52" i="19"/>
  <c r="H14" i="29"/>
  <c r="H15" i="29" s="1"/>
  <c r="H52" i="26"/>
  <c r="K14" i="26"/>
  <c r="J52" i="29"/>
  <c r="J55" i="29" s="1"/>
  <c r="L14" i="29"/>
  <c r="K14" i="27"/>
  <c r="K14" i="28"/>
  <c r="J52" i="25"/>
  <c r="J55" i="25" s="1"/>
  <c r="L14" i="25"/>
  <c r="L19" i="30" s="1"/>
  <c r="K14" i="25"/>
  <c r="H52" i="25"/>
  <c r="H15" i="27"/>
  <c r="H14" i="24"/>
  <c r="H15" i="24" s="1"/>
  <c r="J52" i="26"/>
  <c r="J55" i="26" s="1"/>
  <c r="L14" i="26"/>
  <c r="M19" i="30" s="1"/>
  <c r="K14" i="24"/>
  <c r="J52" i="28"/>
  <c r="J55" i="28" s="1"/>
  <c r="L14" i="28"/>
  <c r="H15" i="25"/>
  <c r="K14" i="29"/>
  <c r="J52" i="27"/>
  <c r="J55" i="27" s="1"/>
  <c r="L14" i="27"/>
  <c r="J52" i="24"/>
  <c r="J55" i="24" s="1"/>
  <c r="L14" i="24"/>
  <c r="K19" i="30" s="1"/>
  <c r="H14" i="28"/>
  <c r="H15" i="28" s="1"/>
  <c r="K14" i="23"/>
  <c r="H52" i="23"/>
  <c r="H55" i="23" s="1"/>
  <c r="H15" i="23"/>
  <c r="J55" i="23"/>
  <c r="L14" i="23"/>
  <c r="I19" i="30" s="1"/>
  <c r="H14" i="20"/>
  <c r="H15" i="20" s="1"/>
  <c r="J52" i="21"/>
  <c r="J55" i="21" s="1"/>
  <c r="L14" i="21"/>
  <c r="G19" i="30" s="1"/>
  <c r="J52" i="20"/>
  <c r="J55" i="20" s="1"/>
  <c r="L14" i="20"/>
  <c r="H19" i="30" s="1"/>
  <c r="K14" i="20"/>
  <c r="K14" i="21"/>
  <c r="G10" i="30" s="1"/>
  <c r="H52" i="21"/>
  <c r="H55" i="21" s="1"/>
  <c r="BB7" i="16" l="1"/>
  <c r="I14" i="26"/>
  <c r="I52" i="26" s="1"/>
  <c r="I55" i="26" s="1"/>
  <c r="I56" i="23"/>
  <c r="J15" i="21"/>
  <c r="J14" i="21"/>
  <c r="G13" i="30"/>
  <c r="I55" i="21"/>
  <c r="AX6" i="16"/>
  <c r="AY7" i="16"/>
  <c r="AZ7" i="16"/>
  <c r="BD7" i="16"/>
  <c r="J15" i="29"/>
  <c r="J14" i="29"/>
  <c r="K52" i="29" s="1"/>
  <c r="K55" i="29" s="1"/>
  <c r="D7" i="16"/>
  <c r="H55" i="25"/>
  <c r="J15" i="25"/>
  <c r="J14" i="25"/>
  <c r="J14" i="24"/>
  <c r="J15" i="24"/>
  <c r="L52" i="23"/>
  <c r="L54" i="23" s="1"/>
  <c r="L52" i="27"/>
  <c r="L54" i="27" s="1"/>
  <c r="I56" i="22"/>
  <c r="K55" i="23"/>
  <c r="H55" i="20"/>
  <c r="L52" i="20"/>
  <c r="L54" i="20" s="1"/>
  <c r="L52" i="19"/>
  <c r="L54" i="19" s="1"/>
  <c r="L52" i="28"/>
  <c r="L54" i="28" s="1"/>
  <c r="H55" i="26"/>
  <c r="H55" i="24"/>
  <c r="H55" i="19"/>
  <c r="H55" i="29"/>
  <c r="H55" i="28"/>
  <c r="H55" i="27"/>
  <c r="L15" i="27"/>
  <c r="N19" i="30"/>
  <c r="K56" i="27"/>
  <c r="K52" i="22"/>
  <c r="K55" i="22" s="1"/>
  <c r="J22" i="30"/>
  <c r="L15" i="19"/>
  <c r="F10" i="30"/>
  <c r="K56" i="19"/>
  <c r="L15" i="26"/>
  <c r="L15" i="29"/>
  <c r="L15" i="28"/>
  <c r="K56" i="28"/>
  <c r="K56" i="26"/>
  <c r="L15" i="25"/>
  <c r="L15" i="24"/>
  <c r="L15" i="23"/>
  <c r="L15" i="20"/>
  <c r="K56" i="20"/>
  <c r="L15" i="21"/>
  <c r="I31" i="5"/>
  <c r="I30" i="5"/>
  <c r="I29" i="5"/>
  <c r="I28" i="5"/>
  <c r="I27" i="5"/>
  <c r="I26" i="5"/>
  <c r="I25" i="5"/>
  <c r="I23" i="5"/>
  <c r="L52" i="26" l="1"/>
  <c r="L54" i="26" s="1"/>
  <c r="BA7" i="16"/>
  <c r="K56" i="23"/>
  <c r="G59" i="23" s="1"/>
  <c r="AU7" i="16"/>
  <c r="K52" i="21"/>
  <c r="G22" i="30"/>
  <c r="AT6" i="16"/>
  <c r="BB6" i="16"/>
  <c r="BC6" i="16"/>
  <c r="BD6" i="16"/>
  <c r="AU6" i="16"/>
  <c r="AW6" i="16"/>
  <c r="AY6" i="16"/>
  <c r="BA6" i="16"/>
  <c r="AV6" i="16"/>
  <c r="AZ6" i="16"/>
  <c r="K56" i="29"/>
  <c r="L52" i="29"/>
  <c r="L54" i="29" s="1"/>
  <c r="I56" i="25"/>
  <c r="K52" i="25"/>
  <c r="L22" i="30"/>
  <c r="L55" i="22"/>
  <c r="K52" i="24"/>
  <c r="K22" i="30"/>
  <c r="L55" i="27"/>
  <c r="L55" i="26"/>
  <c r="L52" i="22"/>
  <c r="L54" i="22" s="1"/>
  <c r="L55" i="23"/>
  <c r="L55" i="20"/>
  <c r="L56" i="20" s="1"/>
  <c r="L55" i="19"/>
  <c r="L56" i="19" s="1"/>
  <c r="L55" i="28"/>
  <c r="I56" i="19"/>
  <c r="G59" i="19" s="1"/>
  <c r="L55" i="29"/>
  <c r="I56" i="27"/>
  <c r="K56" i="22"/>
  <c r="I56" i="29"/>
  <c r="I56" i="26"/>
  <c r="G59" i="26" s="1"/>
  <c r="I56" i="24"/>
  <c r="I56" i="28"/>
  <c r="I56" i="20"/>
  <c r="G59" i="20" s="1"/>
  <c r="I56" i="21"/>
  <c r="BJ8" i="16" l="1"/>
  <c r="K55" i="21"/>
  <c r="L52" i="21"/>
  <c r="L54" i="21" s="1"/>
  <c r="G59" i="29"/>
  <c r="D6" i="16"/>
  <c r="L56" i="22"/>
  <c r="K55" i="25"/>
  <c r="L52" i="25"/>
  <c r="L54" i="25" s="1"/>
  <c r="K55" i="24"/>
  <c r="L52" i="24"/>
  <c r="L54" i="24" s="1"/>
  <c r="L56" i="26"/>
  <c r="L56" i="23"/>
  <c r="L56" i="27"/>
  <c r="G59" i="22"/>
  <c r="L56" i="29"/>
  <c r="L56" i="28"/>
  <c r="K56" i="21" l="1"/>
  <c r="G59" i="21" s="1"/>
  <c r="L55" i="21"/>
  <c r="L56" i="21" s="1"/>
  <c r="K56" i="25"/>
  <c r="G59" i="25" s="1"/>
  <c r="L55" i="25"/>
  <c r="L56" i="25" s="1"/>
  <c r="K56" i="24"/>
  <c r="G59" i="24" s="1"/>
  <c r="L55" i="24"/>
  <c r="L56" i="24" s="1"/>
  <c r="L26" i="18"/>
  <c r="L18" i="18"/>
  <c r="L14" i="18"/>
  <c r="L6" i="18"/>
  <c r="L3" i="18"/>
  <c r="K25" i="18"/>
  <c r="K17" i="18"/>
  <c r="K13" i="18"/>
  <c r="M28" i="18"/>
  <c r="M27" i="18"/>
  <c r="M26" i="18"/>
  <c r="M25" i="18"/>
  <c r="M20" i="18"/>
  <c r="M19" i="18"/>
  <c r="M18" i="18"/>
  <c r="M17" i="18"/>
  <c r="M16" i="18"/>
  <c r="M15" i="18"/>
  <c r="M14" i="18"/>
  <c r="M13" i="18"/>
  <c r="K2" i="18"/>
  <c r="I28" i="18"/>
  <c r="I27" i="18"/>
  <c r="I26" i="18"/>
  <c r="I25" i="18"/>
  <c r="I20" i="18"/>
  <c r="I19" i="18"/>
  <c r="I18" i="18"/>
  <c r="I17" i="18"/>
  <c r="I16" i="18"/>
  <c r="I15" i="18"/>
  <c r="I14" i="18"/>
  <c r="I13" i="18"/>
  <c r="H28" i="18"/>
  <c r="H27" i="18"/>
  <c r="H26" i="18"/>
  <c r="H25" i="18"/>
  <c r="H20" i="18"/>
  <c r="H19" i="18"/>
  <c r="H18" i="18"/>
  <c r="H17" i="18"/>
  <c r="H16" i="18"/>
  <c r="H15" i="18"/>
  <c r="H14" i="18"/>
  <c r="H13" i="18"/>
  <c r="M10" i="18"/>
  <c r="M9" i="18"/>
  <c r="M8" i="18"/>
  <c r="M7" i="18"/>
  <c r="M6" i="18"/>
  <c r="M5" i="18"/>
  <c r="M4" i="18"/>
  <c r="M3" i="18"/>
  <c r="M2" i="18"/>
  <c r="I10" i="18"/>
  <c r="I9" i="18"/>
  <c r="I8" i="18"/>
  <c r="I7" i="18"/>
  <c r="I6" i="18"/>
  <c r="I5" i="18"/>
  <c r="I4" i="18"/>
  <c r="I3" i="18"/>
  <c r="I2" i="18"/>
  <c r="H10" i="18"/>
  <c r="H9" i="18"/>
  <c r="H8" i="18"/>
  <c r="H7" i="18"/>
  <c r="H6" i="18"/>
  <c r="H5" i="18"/>
  <c r="H4" i="18"/>
  <c r="H3" i="18"/>
  <c r="H2" i="18"/>
  <c r="G2" i="18"/>
  <c r="G3" i="18"/>
  <c r="G4" i="18"/>
  <c r="G5" i="18"/>
  <c r="G6" i="18"/>
  <c r="G7" i="18"/>
  <c r="G8" i="18"/>
  <c r="G9" i="18"/>
  <c r="G10" i="18"/>
  <c r="G13" i="18"/>
  <c r="G14" i="18"/>
  <c r="G15" i="18"/>
  <c r="G16" i="18"/>
  <c r="G17" i="18"/>
  <c r="G18" i="18"/>
  <c r="G19" i="18"/>
  <c r="G20" i="18"/>
  <c r="G26" i="18"/>
  <c r="G27" i="18"/>
  <c r="G28" i="18"/>
  <c r="G25" i="18"/>
  <c r="F260" i="7" l="1"/>
  <c r="F80" i="16" l="1"/>
  <c r="E80" i="16"/>
  <c r="F78" i="16"/>
  <c r="F67" i="16"/>
  <c r="G67" i="16" s="1"/>
  <c r="H67" i="16" s="1"/>
  <c r="H64" i="16"/>
  <c r="G64" i="16"/>
  <c r="F64" i="16"/>
  <c r="E64" i="16"/>
  <c r="F54" i="16"/>
  <c r="G54" i="16" s="1"/>
  <c r="H54" i="16" s="1"/>
  <c r="F83" i="16"/>
  <c r="G78" i="16" l="1"/>
  <c r="E82" i="16"/>
  <c r="F282" i="10"/>
  <c r="F45" i="16"/>
  <c r="F28" i="16"/>
  <c r="G28" i="16"/>
  <c r="H28" i="16"/>
  <c r="E28" i="16"/>
  <c r="C238" i="10"/>
  <c r="E45" i="16"/>
  <c r="E46" i="16" s="1"/>
  <c r="G83" i="16"/>
  <c r="H78" i="16" l="1"/>
  <c r="E84" i="16"/>
  <c r="F79" i="16"/>
  <c r="F31" i="16"/>
  <c r="G31" i="16" s="1"/>
  <c r="H31" i="16" s="1"/>
  <c r="F18" i="16"/>
  <c r="G18" i="16" s="1"/>
  <c r="H18" i="16" s="1"/>
  <c r="E49" i="16"/>
  <c r="F42" i="16"/>
  <c r="F50" i="16"/>
  <c r="H83" i="16"/>
  <c r="F82" i="16" l="1"/>
  <c r="G42" i="16"/>
  <c r="E51" i="16"/>
  <c r="F44" i="16"/>
  <c r="F46" i="16" s="1"/>
  <c r="G50" i="16"/>
  <c r="F84" i="16" l="1"/>
  <c r="G79" i="16"/>
  <c r="H42" i="16"/>
  <c r="E8" i="16"/>
  <c r="H50" i="16"/>
  <c r="E13" i="16" l="1"/>
  <c r="F5" i="16" s="1"/>
  <c r="F8" i="16" s="1"/>
  <c r="G82" i="16"/>
  <c r="F49" i="16"/>
  <c r="F3" i="16"/>
  <c r="F14" i="16"/>
  <c r="F13" i="16" l="1"/>
  <c r="F15" i="16" s="1"/>
  <c r="E15" i="16"/>
  <c r="G84" i="16"/>
  <c r="H79" i="16"/>
  <c r="F51" i="16"/>
  <c r="G44" i="16"/>
  <c r="G46" i="16" s="1"/>
  <c r="G3" i="16"/>
  <c r="C127" i="3"/>
  <c r="C160" i="6"/>
  <c r="N15" i="13"/>
  <c r="N14" i="13"/>
  <c r="G14" i="16"/>
  <c r="G5" i="16" l="1"/>
  <c r="G8" i="16" s="1"/>
  <c r="H82" i="16"/>
  <c r="G49" i="16"/>
  <c r="H3" i="16"/>
  <c r="N16" i="13"/>
  <c r="H14" i="16"/>
  <c r="G13" i="16" l="1"/>
  <c r="H84" i="16"/>
  <c r="G51" i="16"/>
  <c r="H44" i="16"/>
  <c r="H46" i="16" s="1"/>
  <c r="Q141" i="3"/>
  <c r="R140" i="3"/>
  <c r="R133" i="3"/>
  <c r="R132" i="3"/>
  <c r="S178" i="6"/>
  <c r="T177" i="6"/>
  <c r="S176" i="6"/>
  <c r="T173" i="6"/>
  <c r="T168" i="6"/>
  <c r="T167" i="6"/>
  <c r="G15" i="16" l="1"/>
  <c r="H5" i="16"/>
  <c r="T170" i="6"/>
  <c r="H49" i="16"/>
  <c r="H8" i="16" l="1"/>
  <c r="H13" i="16" s="1"/>
  <c r="H51" i="16"/>
  <c r="E293" i="7"/>
  <c r="E292" i="7"/>
  <c r="E290" i="7"/>
  <c r="E289" i="7"/>
  <c r="E288" i="7"/>
  <c r="E55" i="14"/>
  <c r="E53" i="14"/>
  <c r="E52" i="14"/>
  <c r="M42" i="5"/>
  <c r="M41" i="5"/>
  <c r="M27" i="5"/>
  <c r="M26" i="5"/>
  <c r="M25" i="5"/>
  <c r="M24" i="5"/>
  <c r="M23" i="5"/>
  <c r="H15" i="16" l="1"/>
  <c r="L10" i="18"/>
  <c r="L9" i="18"/>
  <c r="K10" i="18"/>
  <c r="C291" i="7"/>
  <c r="E291" i="7" s="1"/>
  <c r="C287" i="7"/>
  <c r="E287" i="7" s="1"/>
  <c r="C286" i="7"/>
  <c r="A46" i="14"/>
  <c r="C54" i="14"/>
  <c r="E54" i="14" s="1"/>
  <c r="C157" i="6"/>
  <c r="C156" i="6"/>
  <c r="C192" i="9"/>
  <c r="C191" i="9"/>
  <c r="C190" i="9"/>
  <c r="C189" i="9"/>
  <c r="I188" i="9"/>
  <c r="J189" i="9" s="1"/>
  <c r="C188" i="9"/>
  <c r="C187" i="9"/>
  <c r="C186" i="9"/>
  <c r="C185" i="9"/>
  <c r="A290" i="10"/>
  <c r="G293" i="10" s="1"/>
  <c r="E303" i="10"/>
  <c r="E305" i="10" s="1"/>
  <c r="C299" i="10"/>
  <c r="C297" i="10"/>
  <c r="C295" i="10"/>
  <c r="C294" i="10"/>
  <c r="C293" i="10"/>
  <c r="C292" i="10"/>
  <c r="C124" i="3"/>
  <c r="C123" i="3"/>
  <c r="Q130" i="3" s="1"/>
  <c r="C122" i="3"/>
  <c r="C121" i="3"/>
  <c r="K9" i="18" l="1"/>
  <c r="BK80" i="16"/>
  <c r="C295" i="7"/>
  <c r="C297" i="7" s="1"/>
  <c r="E286" i="7"/>
  <c r="E295" i="7" s="1"/>
  <c r="C303" i="10"/>
  <c r="C305" i="10" s="1"/>
  <c r="C193" i="9"/>
  <c r="C195" i="9" s="1"/>
  <c r="G49" i="14"/>
  <c r="D61" i="14"/>
  <c r="J190" i="9"/>
  <c r="D308" i="10"/>
  <c r="I297" i="10"/>
  <c r="J297" i="10"/>
  <c r="E39" i="14" l="1"/>
  <c r="A266" i="7"/>
  <c r="A284" i="7" s="1"/>
  <c r="A112" i="3"/>
  <c r="A120" i="3" s="1"/>
  <c r="A167" i="9"/>
  <c r="A183" i="9" s="1"/>
  <c r="G186" i="9" s="1"/>
  <c r="A126" i="3" l="1"/>
  <c r="D299" i="7"/>
  <c r="G287" i="7"/>
  <c r="D281" i="7"/>
  <c r="E277" i="7"/>
  <c r="G269" i="7"/>
  <c r="C277" i="7"/>
  <c r="C279" i="7" s="1"/>
  <c r="G170" i="9"/>
  <c r="I172" i="9"/>
  <c r="D287" i="10"/>
  <c r="G272" i="10"/>
  <c r="A118" i="3"/>
  <c r="C116" i="3"/>
  <c r="C115" i="3"/>
  <c r="C114" i="3"/>
  <c r="C113" i="3"/>
  <c r="J173" i="9" l="1"/>
  <c r="J174" i="9" s="1"/>
  <c r="C177" i="9"/>
  <c r="C179" i="9" s="1"/>
  <c r="E282" i="10"/>
  <c r="E284" i="10" s="1"/>
  <c r="C282" i="10"/>
  <c r="C284" i="10" s="1"/>
  <c r="E40" i="14"/>
  <c r="D43" i="14"/>
  <c r="C39" i="14"/>
  <c r="C41" i="14" s="1"/>
  <c r="G31" i="14"/>
  <c r="C147" i="6"/>
  <c r="I276" i="10" l="1"/>
  <c r="J276" i="10"/>
  <c r="C148" i="6" l="1"/>
  <c r="C138" i="6"/>
  <c r="A107" i="3"/>
  <c r="C105" i="3"/>
  <c r="C104" i="3"/>
  <c r="C103" i="3"/>
  <c r="C102" i="3"/>
  <c r="D264" i="10"/>
  <c r="G249" i="10"/>
  <c r="G154" i="9"/>
  <c r="A141" i="6"/>
  <c r="A146" i="6" s="1"/>
  <c r="A150" i="6" s="1"/>
  <c r="A155" i="6" s="1"/>
  <c r="A159" i="6" s="1"/>
  <c r="C139" i="6"/>
  <c r="D263" i="7"/>
  <c r="G251" i="7"/>
  <c r="E21" i="14"/>
  <c r="P118" i="14"/>
  <c r="D25" i="14"/>
  <c r="C21" i="14"/>
  <c r="C23" i="14" s="1"/>
  <c r="G13" i="14"/>
  <c r="E259" i="10" l="1"/>
  <c r="E261" i="10" s="1"/>
  <c r="J253" i="10" s="1"/>
  <c r="E161" i="9"/>
  <c r="I156" i="9" s="1"/>
  <c r="C259" i="7"/>
  <c r="C261" i="7" s="1"/>
  <c r="C259" i="10"/>
  <c r="C261" i="10" s="1"/>
  <c r="C161" i="9"/>
  <c r="C163" i="9" s="1"/>
  <c r="E259" i="7"/>
  <c r="J157" i="9" l="1"/>
  <c r="J158" i="9" s="1"/>
  <c r="M13" i="13"/>
  <c r="D243" i="7"/>
  <c r="G231" i="7"/>
  <c r="A101" i="12"/>
  <c r="C99" i="12"/>
  <c r="C98" i="12"/>
  <c r="C97" i="12"/>
  <c r="T99" i="12" s="1"/>
  <c r="A128" i="6"/>
  <c r="C126" i="6"/>
  <c r="D68" i="9"/>
  <c r="D84" i="9" s="1"/>
  <c r="D100" i="9" s="1"/>
  <c r="D116" i="9" s="1"/>
  <c r="D132" i="9" s="1"/>
  <c r="D148" i="9" s="1"/>
  <c r="D164" i="9" s="1"/>
  <c r="D180" i="9" s="1"/>
  <c r="D196" i="9" s="1"/>
  <c r="G138" i="9"/>
  <c r="D243" i="10"/>
  <c r="G228" i="10"/>
  <c r="A99" i="3"/>
  <c r="C97" i="3"/>
  <c r="C96" i="3"/>
  <c r="C95" i="3"/>
  <c r="C94" i="3"/>
  <c r="S99" i="12" l="1"/>
  <c r="C239" i="7"/>
  <c r="C241" i="7" s="1"/>
  <c r="C145" i="9"/>
  <c r="C147" i="9" s="1"/>
  <c r="C240" i="10"/>
  <c r="E238" i="10"/>
  <c r="E240" i="10" s="1"/>
  <c r="E239" i="7"/>
  <c r="E145" i="9"/>
  <c r="I140" i="9" s="1"/>
  <c r="D225" i="7"/>
  <c r="G213" i="7"/>
  <c r="A93" i="12"/>
  <c r="C91" i="12"/>
  <c r="C90" i="12"/>
  <c r="C89" i="12"/>
  <c r="T91" i="12" s="1"/>
  <c r="A119" i="6"/>
  <c r="C117" i="6"/>
  <c r="G122" i="9"/>
  <c r="D222" i="10"/>
  <c r="G207" i="10"/>
  <c r="A91" i="3"/>
  <c r="C89" i="3"/>
  <c r="C88" i="3"/>
  <c r="C87" i="3"/>
  <c r="C86" i="3"/>
  <c r="S91" i="12" l="1"/>
  <c r="J235" i="7"/>
  <c r="J141" i="9"/>
  <c r="J142" i="9" s="1"/>
  <c r="J232" i="10"/>
  <c r="E129" i="9"/>
  <c r="I124" i="9" s="1"/>
  <c r="J125" i="9" s="1"/>
  <c r="J126" i="9" s="1"/>
  <c r="C221" i="7"/>
  <c r="C223" i="7" s="1"/>
  <c r="E221" i="7"/>
  <c r="C129" i="9"/>
  <c r="C131" i="9" s="1"/>
  <c r="E217" i="10"/>
  <c r="E219" i="10" s="1"/>
  <c r="C217" i="10"/>
  <c r="C219" i="10" s="1"/>
  <c r="D207" i="7"/>
  <c r="G195" i="7"/>
  <c r="A85" i="12"/>
  <c r="C83" i="12"/>
  <c r="C82" i="12"/>
  <c r="C81" i="12"/>
  <c r="A110" i="6"/>
  <c r="C108" i="6"/>
  <c r="G106" i="9"/>
  <c r="D201" i="10"/>
  <c r="G186" i="10"/>
  <c r="K13" i="13"/>
  <c r="A83" i="3"/>
  <c r="C81" i="3"/>
  <c r="C80" i="3"/>
  <c r="C79" i="3"/>
  <c r="C78" i="3"/>
  <c r="G159" i="7"/>
  <c r="D189" i="7"/>
  <c r="G177" i="7"/>
  <c r="A77" i="12"/>
  <c r="C75" i="12"/>
  <c r="C74" i="12"/>
  <c r="C73" i="12"/>
  <c r="T75" i="12" s="1"/>
  <c r="A101" i="6"/>
  <c r="C99" i="6"/>
  <c r="G90" i="9"/>
  <c r="G165" i="10"/>
  <c r="A75" i="3"/>
  <c r="C73" i="3"/>
  <c r="C72" i="3"/>
  <c r="C71" i="3"/>
  <c r="C70" i="3"/>
  <c r="V82" i="16" l="1"/>
  <c r="J217" i="7"/>
  <c r="J211" i="10"/>
  <c r="E203" i="7"/>
  <c r="E196" i="10"/>
  <c r="E198" i="10" s="1"/>
  <c r="C203" i="7"/>
  <c r="C205" i="7" s="1"/>
  <c r="T83" i="12"/>
  <c r="S83" i="12"/>
  <c r="E113" i="9"/>
  <c r="I108" i="9" s="1"/>
  <c r="C113" i="9"/>
  <c r="C115" i="9" s="1"/>
  <c r="C196" i="10"/>
  <c r="C198" i="10" s="1"/>
  <c r="S75" i="12"/>
  <c r="E185" i="7"/>
  <c r="J181" i="7" s="1"/>
  <c r="E97" i="9"/>
  <c r="C185" i="7"/>
  <c r="C187" i="7" s="1"/>
  <c r="C97" i="9"/>
  <c r="C99" i="9" s="1"/>
  <c r="E175" i="10"/>
  <c r="E177" i="10" s="1"/>
  <c r="C175" i="10"/>
  <c r="C177" i="10" s="1"/>
  <c r="C20" i="5"/>
  <c r="C17" i="5"/>
  <c r="C14" i="5"/>
  <c r="C11" i="5"/>
  <c r="C7" i="5"/>
  <c r="D171" i="7"/>
  <c r="A69" i="12"/>
  <c r="C67" i="12"/>
  <c r="C66" i="12"/>
  <c r="C65" i="12"/>
  <c r="S67" i="12" s="1"/>
  <c r="A92" i="6"/>
  <c r="C90" i="6"/>
  <c r="G74" i="9"/>
  <c r="D159" i="10"/>
  <c r="G144" i="10"/>
  <c r="A67" i="3"/>
  <c r="C65" i="3"/>
  <c r="C64" i="3"/>
  <c r="C63" i="3"/>
  <c r="C62" i="3"/>
  <c r="V84" i="16" l="1"/>
  <c r="W82" i="16"/>
  <c r="J199" i="7"/>
  <c r="J190" i="10"/>
  <c r="J109" i="9"/>
  <c r="J110" i="9" s="1"/>
  <c r="I92" i="9"/>
  <c r="J93" i="9" s="1"/>
  <c r="J94" i="9" s="1"/>
  <c r="J169" i="10"/>
  <c r="T67" i="12"/>
  <c r="E167" i="7"/>
  <c r="J163" i="7" s="1"/>
  <c r="C167" i="7"/>
  <c r="C169" i="7" s="1"/>
  <c r="E81" i="9"/>
  <c r="I76" i="9" s="1"/>
  <c r="E154" i="10"/>
  <c r="E156" i="10" s="1"/>
  <c r="J148" i="10" s="1"/>
  <c r="C81" i="9"/>
  <c r="C83" i="9" s="1"/>
  <c r="C154" i="10"/>
  <c r="C156" i="10" s="1"/>
  <c r="D153" i="7"/>
  <c r="G141" i="7"/>
  <c r="A61" i="12"/>
  <c r="C59" i="12"/>
  <c r="C58" i="12"/>
  <c r="C57" i="12"/>
  <c r="T59" i="12" s="1"/>
  <c r="A83" i="6"/>
  <c r="C81" i="6"/>
  <c r="G58" i="9"/>
  <c r="D138" i="10"/>
  <c r="G123" i="10"/>
  <c r="A59" i="3"/>
  <c r="C57" i="3"/>
  <c r="C56" i="3"/>
  <c r="C55" i="3"/>
  <c r="C54" i="3"/>
  <c r="W84" i="16" l="1"/>
  <c r="X82" i="16"/>
  <c r="J77" i="9"/>
  <c r="J78" i="9" s="1"/>
  <c r="S59" i="12"/>
  <c r="C149" i="7"/>
  <c r="C151" i="7" s="1"/>
  <c r="E149" i="7"/>
  <c r="C65" i="9"/>
  <c r="C67" i="9" s="1"/>
  <c r="E133" i="10"/>
  <c r="E135" i="10" s="1"/>
  <c r="J127" i="10" s="1"/>
  <c r="E65" i="9"/>
  <c r="C133" i="10"/>
  <c r="C135" i="10" s="1"/>
  <c r="E131" i="7"/>
  <c r="X84" i="16" l="1"/>
  <c r="Y82" i="16"/>
  <c r="J145" i="7"/>
  <c r="I60" i="9"/>
  <c r="Y84" i="16" l="1"/>
  <c r="Z82" i="16"/>
  <c r="J61" i="9"/>
  <c r="J62" i="9" s="1"/>
  <c r="D135" i="7"/>
  <c r="G123" i="7"/>
  <c r="A53" i="12"/>
  <c r="C51" i="12"/>
  <c r="C50" i="12"/>
  <c r="C49" i="12"/>
  <c r="S51" i="12" s="1"/>
  <c r="A74" i="6"/>
  <c r="C72" i="6"/>
  <c r="D52" i="9"/>
  <c r="G42" i="9"/>
  <c r="D117" i="10"/>
  <c r="G102" i="10"/>
  <c r="A51" i="3"/>
  <c r="C49" i="3"/>
  <c r="C48" i="3"/>
  <c r="C47" i="3"/>
  <c r="C46" i="3"/>
  <c r="Z84" i="16" l="1"/>
  <c r="AA82" i="16"/>
  <c r="C131" i="7"/>
  <c r="C133" i="7" s="1"/>
  <c r="C112" i="10"/>
  <c r="C114" i="10" s="1"/>
  <c r="E112" i="10"/>
  <c r="E114" i="10" s="1"/>
  <c r="T51" i="12"/>
  <c r="E49" i="9"/>
  <c r="I44" i="9" s="1"/>
  <c r="J45" i="9" s="1"/>
  <c r="J46" i="9" s="1"/>
  <c r="J127" i="7"/>
  <c r="C49" i="9"/>
  <c r="C51" i="9" s="1"/>
  <c r="F13" i="13"/>
  <c r="F7" i="13"/>
  <c r="R14" i="3"/>
  <c r="AA84" i="16" l="1"/>
  <c r="AB82" i="16"/>
  <c r="J106" i="10"/>
  <c r="AB84" i="16" l="1"/>
  <c r="AC82" i="16"/>
  <c r="D117" i="7"/>
  <c r="E112" i="7"/>
  <c r="E111" i="7"/>
  <c r="E110" i="7"/>
  <c r="E109" i="7"/>
  <c r="E108" i="7"/>
  <c r="E107" i="7"/>
  <c r="E106" i="7"/>
  <c r="G105" i="7"/>
  <c r="E105" i="7"/>
  <c r="A45" i="12"/>
  <c r="C43" i="12"/>
  <c r="C42" i="12"/>
  <c r="C41" i="12"/>
  <c r="A65" i="6"/>
  <c r="C63" i="6"/>
  <c r="D36" i="9"/>
  <c r="G26" i="9"/>
  <c r="D96" i="10"/>
  <c r="G81" i="10"/>
  <c r="C91" i="10"/>
  <c r="C93" i="10" s="1"/>
  <c r="A43" i="3"/>
  <c r="C41" i="3"/>
  <c r="C40" i="3"/>
  <c r="C39" i="3"/>
  <c r="C38" i="3"/>
  <c r="AC84" i="16" l="1"/>
  <c r="AD82" i="16"/>
  <c r="C44" i="12"/>
  <c r="T41" i="12" s="1"/>
  <c r="C113" i="7"/>
  <c r="C115" i="7" s="1"/>
  <c r="E104" i="7"/>
  <c r="E113" i="7" s="1"/>
  <c r="E33" i="9"/>
  <c r="T43" i="12"/>
  <c r="S43" i="12"/>
  <c r="C33" i="9"/>
  <c r="C35" i="9" s="1"/>
  <c r="E91" i="10"/>
  <c r="E93" i="10" s="1"/>
  <c r="E63" i="10"/>
  <c r="E65" i="10"/>
  <c r="E67" i="10"/>
  <c r="E68" i="10"/>
  <c r="A37" i="12"/>
  <c r="C35" i="12"/>
  <c r="C34" i="12"/>
  <c r="C33" i="12"/>
  <c r="AD84" i="16" l="1"/>
  <c r="AE82" i="16"/>
  <c r="AF79" i="16" s="1"/>
  <c r="AF82" i="16" s="1"/>
  <c r="AF84" i="16" s="1"/>
  <c r="S41" i="12"/>
  <c r="T44" i="12"/>
  <c r="S45" i="12"/>
  <c r="I28" i="9"/>
  <c r="J29" i="9" s="1"/>
  <c r="J109" i="7"/>
  <c r="J85" i="10"/>
  <c r="T35" i="12"/>
  <c r="S35" i="12"/>
  <c r="D20" i="9"/>
  <c r="E16" i="9"/>
  <c r="E15" i="9"/>
  <c r="E14" i="9"/>
  <c r="E13" i="9"/>
  <c r="E12" i="9"/>
  <c r="E11" i="9"/>
  <c r="G10" i="9"/>
  <c r="E10" i="9"/>
  <c r="E9" i="9"/>
  <c r="D99" i="7"/>
  <c r="E94" i="7"/>
  <c r="E93" i="7"/>
  <c r="E92" i="7"/>
  <c r="E91" i="7"/>
  <c r="E90" i="7"/>
  <c r="E89" i="7"/>
  <c r="E88" i="7"/>
  <c r="G87" i="7"/>
  <c r="E87" i="7"/>
  <c r="E86" i="7"/>
  <c r="A56" i="6"/>
  <c r="C54" i="6"/>
  <c r="D75" i="10"/>
  <c r="E66" i="10"/>
  <c r="E64" i="10"/>
  <c r="E62" i="10"/>
  <c r="E61" i="10"/>
  <c r="G60" i="10"/>
  <c r="E60" i="10"/>
  <c r="E59" i="10"/>
  <c r="C11" i="3"/>
  <c r="A35" i="3"/>
  <c r="C33" i="3"/>
  <c r="C32" i="3"/>
  <c r="C31" i="3"/>
  <c r="C30" i="3"/>
  <c r="AE84" i="16" l="1"/>
  <c r="J30" i="9"/>
  <c r="E70" i="10"/>
  <c r="E17" i="9"/>
  <c r="E20" i="9" s="1"/>
  <c r="E36" i="9" s="1"/>
  <c r="E52" i="9" s="1"/>
  <c r="E68" i="9" s="1"/>
  <c r="E84" i="9" s="1"/>
  <c r="E100" i="9" s="1"/>
  <c r="E116" i="9" s="1"/>
  <c r="E132" i="9" s="1"/>
  <c r="E148" i="9" s="1"/>
  <c r="E164" i="9" s="1"/>
  <c r="E180" i="9" s="1"/>
  <c r="E196" i="9" s="1"/>
  <c r="E95" i="7"/>
  <c r="J91" i="7" s="1"/>
  <c r="C17" i="9"/>
  <c r="C19" i="9" s="1"/>
  <c r="C95" i="7"/>
  <c r="C97" i="7" s="1"/>
  <c r="C70" i="10"/>
  <c r="C72" i="10" s="1"/>
  <c r="E70" i="7"/>
  <c r="E71" i="7"/>
  <c r="E72" i="7"/>
  <c r="E73" i="7"/>
  <c r="E74" i="7"/>
  <c r="E75" i="7"/>
  <c r="E76" i="7"/>
  <c r="H196" i="9"/>
  <c r="AG79" i="16" l="1"/>
  <c r="AG82" i="16" s="1"/>
  <c r="I12" i="9"/>
  <c r="E26" i="10"/>
  <c r="E28" i="10" s="1"/>
  <c r="A30" i="12"/>
  <c r="C28" i="12"/>
  <c r="C27" i="12"/>
  <c r="C26" i="12"/>
  <c r="D54" i="10"/>
  <c r="E47" i="10"/>
  <c r="E46" i="10"/>
  <c r="E45" i="10"/>
  <c r="E44" i="10"/>
  <c r="E43" i="10"/>
  <c r="E42" i="10"/>
  <c r="E40" i="10"/>
  <c r="G39" i="10"/>
  <c r="A27" i="3"/>
  <c r="C25" i="3"/>
  <c r="C24" i="3"/>
  <c r="C23" i="3"/>
  <c r="C22" i="3"/>
  <c r="D81" i="7"/>
  <c r="G69" i="7"/>
  <c r="E69" i="7"/>
  <c r="G51" i="7"/>
  <c r="D63" i="7"/>
  <c r="E60" i="7"/>
  <c r="E57" i="7"/>
  <c r="E56" i="7"/>
  <c r="E55" i="7"/>
  <c r="E54" i="7"/>
  <c r="E53" i="7"/>
  <c r="E52" i="7"/>
  <c r="AG84" i="16" l="1"/>
  <c r="AH79" i="16"/>
  <c r="AH82" i="16" s="1"/>
  <c r="J13" i="9"/>
  <c r="J14" i="9" s="1"/>
  <c r="E59" i="7"/>
  <c r="J55" i="7" s="1"/>
  <c r="E49" i="10"/>
  <c r="C77" i="7"/>
  <c r="C79" i="7" s="1"/>
  <c r="E68" i="7"/>
  <c r="E77" i="7" s="1"/>
  <c r="J73" i="7" s="1"/>
  <c r="C59" i="7"/>
  <c r="C61" i="7" s="1"/>
  <c r="C49" i="10"/>
  <c r="C51" i="10" s="1"/>
  <c r="T28" i="12"/>
  <c r="S28" i="12"/>
  <c r="A47" i="6"/>
  <c r="C45" i="6"/>
  <c r="N38" i="6"/>
  <c r="N47" i="6" s="1"/>
  <c r="N56" i="6" s="1"/>
  <c r="N65" i="6" s="1"/>
  <c r="N74" i="6" s="1"/>
  <c r="N83" i="6" s="1"/>
  <c r="N92" i="6" s="1"/>
  <c r="N101" i="6" s="1"/>
  <c r="N110" i="6" s="1"/>
  <c r="N119" i="6" s="1"/>
  <c r="N128" i="6" s="1"/>
  <c r="M38" i="6"/>
  <c r="M47" i="6" s="1"/>
  <c r="M56" i="6" s="1"/>
  <c r="M65" i="6" s="1"/>
  <c r="M74" i="6" s="1"/>
  <c r="M83" i="6" s="1"/>
  <c r="M92" i="6" s="1"/>
  <c r="M101" i="6" s="1"/>
  <c r="M110" i="6" s="1"/>
  <c r="M119" i="6" s="1"/>
  <c r="M128" i="6" s="1"/>
  <c r="A38" i="6"/>
  <c r="C36" i="6"/>
  <c r="C13" i="13"/>
  <c r="L13" i="13"/>
  <c r="J13" i="13"/>
  <c r="I13" i="13"/>
  <c r="H13" i="13"/>
  <c r="G13" i="13"/>
  <c r="E13" i="13"/>
  <c r="D13" i="13"/>
  <c r="B13" i="13"/>
  <c r="N7" i="13"/>
  <c r="M7" i="13"/>
  <c r="L7" i="13"/>
  <c r="K7" i="13"/>
  <c r="J7" i="13"/>
  <c r="I7" i="13"/>
  <c r="H7" i="13"/>
  <c r="G7" i="13"/>
  <c r="E7" i="13"/>
  <c r="D7" i="13"/>
  <c r="C7" i="13"/>
  <c r="B7" i="13"/>
  <c r="AH84" i="16" l="1"/>
  <c r="AI79" i="16"/>
  <c r="AI82" i="16" s="1"/>
  <c r="M132" i="6"/>
  <c r="M141" i="6" s="1"/>
  <c r="M150" i="6" s="1"/>
  <c r="M159" i="6" s="1"/>
  <c r="M161" i="6" s="1"/>
  <c r="N132" i="6"/>
  <c r="N141" i="6" s="1"/>
  <c r="N150" i="6" s="1"/>
  <c r="N159" i="6" s="1"/>
  <c r="N161" i="6" s="1"/>
  <c r="G61" i="7"/>
  <c r="E62" i="7"/>
  <c r="J54" i="7" s="1"/>
  <c r="I57" i="7" s="1"/>
  <c r="AI84" i="16" l="1"/>
  <c r="AJ79" i="16"/>
  <c r="AJ82" i="16" s="1"/>
  <c r="J58" i="7"/>
  <c r="AJ84" i="16" l="1"/>
  <c r="AK79" i="16"/>
  <c r="AK82" i="16" s="1"/>
  <c r="A23" i="12"/>
  <c r="C21" i="12"/>
  <c r="C20" i="12"/>
  <c r="C19" i="12"/>
  <c r="A29" i="6"/>
  <c r="C27" i="6"/>
  <c r="D31" i="10"/>
  <c r="G16" i="10"/>
  <c r="A19" i="3"/>
  <c r="C17" i="3"/>
  <c r="C16" i="3"/>
  <c r="C15" i="3"/>
  <c r="C14" i="3"/>
  <c r="T14" i="12"/>
  <c r="S14" i="12"/>
  <c r="N16" i="12"/>
  <c r="N23" i="12" s="1"/>
  <c r="N30" i="12" s="1"/>
  <c r="N37" i="12" s="1"/>
  <c r="N45" i="12" s="1"/>
  <c r="N53" i="12" s="1"/>
  <c r="N61" i="12" s="1"/>
  <c r="N69" i="12" s="1"/>
  <c r="N77" i="12" s="1"/>
  <c r="N85" i="12" s="1"/>
  <c r="N93" i="12" s="1"/>
  <c r="N101" i="12" s="1"/>
  <c r="M16" i="12"/>
  <c r="M23" i="12" s="1"/>
  <c r="M30" i="12" s="1"/>
  <c r="M37" i="12" s="1"/>
  <c r="M45" i="12" s="1"/>
  <c r="M53" i="12" s="1"/>
  <c r="M61" i="12" s="1"/>
  <c r="M69" i="12" s="1"/>
  <c r="M77" i="12" s="1"/>
  <c r="M85" i="12" s="1"/>
  <c r="M93" i="12" s="1"/>
  <c r="M101" i="12" s="1"/>
  <c r="L16" i="12"/>
  <c r="L23" i="12" s="1"/>
  <c r="L30" i="12" s="1"/>
  <c r="L37" i="12" s="1"/>
  <c r="L45" i="12" s="1"/>
  <c r="L53" i="12" s="1"/>
  <c r="L61" i="12" s="1"/>
  <c r="L69" i="12" s="1"/>
  <c r="L77" i="12" s="1"/>
  <c r="L85" i="12" s="1"/>
  <c r="L93" i="12" s="1"/>
  <c r="L101" i="12" s="1"/>
  <c r="K16" i="12"/>
  <c r="K23" i="12" s="1"/>
  <c r="K30" i="12" s="1"/>
  <c r="K37" i="12" s="1"/>
  <c r="K45" i="12" s="1"/>
  <c r="K53" i="12" s="1"/>
  <c r="K61" i="12" s="1"/>
  <c r="K69" i="12" s="1"/>
  <c r="K77" i="12" s="1"/>
  <c r="K85" i="12" s="1"/>
  <c r="K93" i="12" s="1"/>
  <c r="K101" i="12" s="1"/>
  <c r="J16" i="12"/>
  <c r="J23" i="12" s="1"/>
  <c r="J30" i="12" s="1"/>
  <c r="J37" i="12" s="1"/>
  <c r="J45" i="12" s="1"/>
  <c r="J53" i="12" s="1"/>
  <c r="J61" i="12" s="1"/>
  <c r="J69" i="12" s="1"/>
  <c r="J77" i="12" s="1"/>
  <c r="J85" i="12" s="1"/>
  <c r="J93" i="12" s="1"/>
  <c r="J101" i="12" s="1"/>
  <c r="I16" i="12"/>
  <c r="I23" i="12" s="1"/>
  <c r="I30" i="12" s="1"/>
  <c r="I37" i="12" s="1"/>
  <c r="I45" i="12" s="1"/>
  <c r="I53" i="12" s="1"/>
  <c r="I61" i="12" s="1"/>
  <c r="I69" i="12" s="1"/>
  <c r="I77" i="12" s="1"/>
  <c r="I85" i="12" s="1"/>
  <c r="I93" i="12" s="1"/>
  <c r="I101" i="12" s="1"/>
  <c r="G16" i="12"/>
  <c r="G23" i="12" s="1"/>
  <c r="G30" i="12" s="1"/>
  <c r="G37" i="12" s="1"/>
  <c r="G45" i="12" s="1"/>
  <c r="G53" i="12" s="1"/>
  <c r="G61" i="12" s="1"/>
  <c r="G69" i="12" s="1"/>
  <c r="G77" i="12" s="1"/>
  <c r="G85" i="12" s="1"/>
  <c r="G93" i="12" s="1"/>
  <c r="G101" i="12" s="1"/>
  <c r="F16" i="12"/>
  <c r="F23" i="12" s="1"/>
  <c r="F30" i="12" s="1"/>
  <c r="F37" i="12" s="1"/>
  <c r="F45" i="12" s="1"/>
  <c r="F53" i="12" s="1"/>
  <c r="F61" i="12" s="1"/>
  <c r="F69" i="12" s="1"/>
  <c r="F77" i="12" s="1"/>
  <c r="F85" i="12" s="1"/>
  <c r="F93" i="12" s="1"/>
  <c r="F101" i="12" s="1"/>
  <c r="C17" i="6"/>
  <c r="T17" i="6"/>
  <c r="AL79" i="16" l="1"/>
  <c r="AL82" i="16" s="1"/>
  <c r="AK84" i="16"/>
  <c r="C26" i="10"/>
  <c r="C28" i="10" s="1"/>
  <c r="T21" i="12"/>
  <c r="S21" i="12"/>
  <c r="S16" i="12"/>
  <c r="T15" i="12"/>
  <c r="C16" i="12"/>
  <c r="T12" i="12"/>
  <c r="S12" i="12"/>
  <c r="H11" i="6"/>
  <c r="E11" i="6" s="1"/>
  <c r="H10" i="6"/>
  <c r="AM79" i="16" l="1"/>
  <c r="AM82" i="16" s="1"/>
  <c r="AL84" i="16"/>
  <c r="H22" i="12"/>
  <c r="C22" i="12" s="1"/>
  <c r="E10" i="6"/>
  <c r="E9" i="12" s="1"/>
  <c r="E16" i="12" s="1"/>
  <c r="H9" i="12"/>
  <c r="H16" i="12" s="1"/>
  <c r="D11" i="6"/>
  <c r="D10" i="6"/>
  <c r="D9" i="12" s="1"/>
  <c r="D16" i="12" s="1"/>
  <c r="AM84" i="16" l="1"/>
  <c r="AN79" i="16"/>
  <c r="AN82" i="16" s="1"/>
  <c r="E23" i="12"/>
  <c r="D23" i="12"/>
  <c r="S19" i="12"/>
  <c r="T19" i="12"/>
  <c r="T22" i="12"/>
  <c r="C23" i="12"/>
  <c r="S23" i="12"/>
  <c r="H23" i="12"/>
  <c r="AN84" i="16" l="1"/>
  <c r="AO79" i="16"/>
  <c r="AO82" i="16" s="1"/>
  <c r="AP79" i="16" s="1"/>
  <c r="D30" i="12"/>
  <c r="E30" i="12"/>
  <c r="H29" i="12"/>
  <c r="C29" i="12" s="1"/>
  <c r="A16" i="12"/>
  <c r="T18" i="6"/>
  <c r="E8" i="7"/>
  <c r="AO84" i="16" l="1"/>
  <c r="AP82" i="16"/>
  <c r="AQ79" i="16" s="1"/>
  <c r="V49" i="16"/>
  <c r="V51" i="16" s="1"/>
  <c r="D37" i="12"/>
  <c r="E37" i="12"/>
  <c r="H30" i="12"/>
  <c r="S26" i="12"/>
  <c r="T26" i="12"/>
  <c r="S30" i="12"/>
  <c r="T29" i="12"/>
  <c r="C30" i="12"/>
  <c r="C1153" i="12"/>
  <c r="D27" i="7"/>
  <c r="G15" i="7"/>
  <c r="A20" i="6"/>
  <c r="C18" i="6"/>
  <c r="AQ82" i="16" l="1"/>
  <c r="AR79" i="16" s="1"/>
  <c r="AP84" i="16"/>
  <c r="E45" i="12"/>
  <c r="E53" i="12" s="1"/>
  <c r="D45" i="12"/>
  <c r="D53" i="12" s="1"/>
  <c r="H36" i="12"/>
  <c r="C36" i="12" s="1"/>
  <c r="C37" i="12" s="1"/>
  <c r="C45" i="12" s="1"/>
  <c r="C23" i="7"/>
  <c r="C25" i="7" s="1"/>
  <c r="E23" i="7"/>
  <c r="J19" i="7" s="1"/>
  <c r="AR82" i="16" l="1"/>
  <c r="AQ84" i="16"/>
  <c r="W49" i="16"/>
  <c r="E61" i="12"/>
  <c r="E69" i="12" s="1"/>
  <c r="E77" i="12" s="1"/>
  <c r="E85" i="12" s="1"/>
  <c r="E93" i="12" s="1"/>
  <c r="E101" i="12" s="1"/>
  <c r="D61" i="12"/>
  <c r="D69" i="12" s="1"/>
  <c r="D77" i="12" s="1"/>
  <c r="D85" i="12" s="1"/>
  <c r="D93" i="12" s="1"/>
  <c r="D101" i="12" s="1"/>
  <c r="C52" i="12"/>
  <c r="H37" i="12"/>
  <c r="H45" i="12" s="1"/>
  <c r="T33" i="12"/>
  <c r="S33" i="12"/>
  <c r="S37" i="12"/>
  <c r="T36" i="12"/>
  <c r="L20" i="6"/>
  <c r="L29" i="6" s="1"/>
  <c r="L38" i="6" s="1"/>
  <c r="L47" i="6" s="1"/>
  <c r="L56" i="6" s="1"/>
  <c r="L65" i="6" s="1"/>
  <c r="L74" i="6" s="1"/>
  <c r="L83" i="6" s="1"/>
  <c r="L92" i="6" s="1"/>
  <c r="L101" i="6" s="1"/>
  <c r="L110" i="6" s="1"/>
  <c r="L119" i="6" s="1"/>
  <c r="K20" i="6"/>
  <c r="K29" i="6" s="1"/>
  <c r="K38" i="6" s="1"/>
  <c r="K47" i="6" s="1"/>
  <c r="K56" i="6" s="1"/>
  <c r="K65" i="6" s="1"/>
  <c r="K74" i="6" s="1"/>
  <c r="K83" i="6" s="1"/>
  <c r="K92" i="6" s="1"/>
  <c r="K101" i="6" s="1"/>
  <c r="K110" i="6" s="1"/>
  <c r="K119" i="6" s="1"/>
  <c r="J20" i="6"/>
  <c r="J29" i="6" s="1"/>
  <c r="J38" i="6" s="1"/>
  <c r="J47" i="6" s="1"/>
  <c r="J56" i="6" s="1"/>
  <c r="J65" i="6" s="1"/>
  <c r="J74" i="6" s="1"/>
  <c r="J83" i="6" s="1"/>
  <c r="J92" i="6" s="1"/>
  <c r="J101" i="6" s="1"/>
  <c r="J110" i="6" s="1"/>
  <c r="J119" i="6" s="1"/>
  <c r="I20" i="6"/>
  <c r="I29" i="6" s="1"/>
  <c r="I38" i="6" s="1"/>
  <c r="I47" i="6" s="1"/>
  <c r="I56" i="6" s="1"/>
  <c r="I65" i="6" s="1"/>
  <c r="I74" i="6" s="1"/>
  <c r="I83" i="6" s="1"/>
  <c r="I92" i="6" s="1"/>
  <c r="I101" i="6" s="1"/>
  <c r="I110" i="6" s="1"/>
  <c r="I119" i="6" s="1"/>
  <c r="K19" i="3"/>
  <c r="K27" i="3" s="1"/>
  <c r="K35" i="3" s="1"/>
  <c r="K43" i="3" s="1"/>
  <c r="K51" i="3" s="1"/>
  <c r="K59" i="3" s="1"/>
  <c r="K67" i="3" s="1"/>
  <c r="K75" i="3" s="1"/>
  <c r="K83" i="3" s="1"/>
  <c r="K91" i="3" s="1"/>
  <c r="K99" i="3" s="1"/>
  <c r="K107" i="3" s="1"/>
  <c r="K118" i="3" s="1"/>
  <c r="K126" i="3" s="1"/>
  <c r="J19" i="3"/>
  <c r="J27" i="3" s="1"/>
  <c r="J35" i="3" s="1"/>
  <c r="J43" i="3" s="1"/>
  <c r="J51" i="3" s="1"/>
  <c r="J59" i="3" s="1"/>
  <c r="J67" i="3" s="1"/>
  <c r="J75" i="3" s="1"/>
  <c r="J83" i="3" s="1"/>
  <c r="J91" i="3" s="1"/>
  <c r="J99" i="3" s="1"/>
  <c r="J107" i="3" s="1"/>
  <c r="J118" i="3" s="1"/>
  <c r="J126" i="3" s="1"/>
  <c r="I19" i="3"/>
  <c r="I27" i="3" s="1"/>
  <c r="I35" i="3" s="1"/>
  <c r="I43" i="3" s="1"/>
  <c r="I51" i="3" s="1"/>
  <c r="I59" i="3" s="1"/>
  <c r="I67" i="3" s="1"/>
  <c r="I75" i="3" s="1"/>
  <c r="I83" i="3" s="1"/>
  <c r="I91" i="3" s="1"/>
  <c r="I99" i="3" s="1"/>
  <c r="I107" i="3" s="1"/>
  <c r="I118" i="3" s="1"/>
  <c r="I126" i="3" s="1"/>
  <c r="H19" i="3"/>
  <c r="H27" i="3" s="1"/>
  <c r="H35" i="3" s="1"/>
  <c r="H43" i="3" s="1"/>
  <c r="H51" i="3" s="1"/>
  <c r="H59" i="3" s="1"/>
  <c r="H67" i="3" s="1"/>
  <c r="H75" i="3" s="1"/>
  <c r="H83" i="3" s="1"/>
  <c r="H91" i="3" s="1"/>
  <c r="H99" i="3" s="1"/>
  <c r="H107" i="3" s="1"/>
  <c r="H118" i="3" s="1"/>
  <c r="H126" i="3" s="1"/>
  <c r="G19" i="3"/>
  <c r="G27" i="3" s="1"/>
  <c r="G35" i="3" s="1"/>
  <c r="G43" i="3" s="1"/>
  <c r="G51" i="3" s="1"/>
  <c r="G59" i="3" s="1"/>
  <c r="G67" i="3" s="1"/>
  <c r="G75" i="3" s="1"/>
  <c r="G83" i="3" s="1"/>
  <c r="G91" i="3" s="1"/>
  <c r="G99" i="3" s="1"/>
  <c r="G107" i="3" s="1"/>
  <c r="G118" i="3" s="1"/>
  <c r="G126" i="3" s="1"/>
  <c r="AS79" i="16" l="1"/>
  <c r="AS82" i="16" s="1"/>
  <c r="AR84" i="16"/>
  <c r="W51" i="16"/>
  <c r="L128" i="6"/>
  <c r="L132" i="6" s="1"/>
  <c r="K128" i="6"/>
  <c r="J128" i="6"/>
  <c r="J132" i="6" s="1"/>
  <c r="I128" i="6"/>
  <c r="S53" i="12"/>
  <c r="C53" i="12"/>
  <c r="T52" i="12"/>
  <c r="T49" i="12"/>
  <c r="S49" i="12"/>
  <c r="H53" i="12"/>
  <c r="L11" i="3"/>
  <c r="L19" i="3" s="1"/>
  <c r="L27" i="3" s="1"/>
  <c r="L35" i="3" s="1"/>
  <c r="L43" i="3" s="1"/>
  <c r="L51" i="3" s="1"/>
  <c r="L59" i="3" s="1"/>
  <c r="L67" i="3" s="1"/>
  <c r="L75" i="3" s="1"/>
  <c r="L83" i="3" s="1"/>
  <c r="L91" i="3" s="1"/>
  <c r="L99" i="3" s="1"/>
  <c r="L107" i="3" s="1"/>
  <c r="AS84" i="16" l="1"/>
  <c r="AT79" i="16"/>
  <c r="AT82" i="16" s="1"/>
  <c r="X49" i="16"/>
  <c r="L110" i="3"/>
  <c r="L118" i="3" s="1"/>
  <c r="L126" i="3" s="1"/>
  <c r="L128" i="3" s="1"/>
  <c r="J141" i="6"/>
  <c r="L141" i="6"/>
  <c r="I132" i="6"/>
  <c r="I141" i="6" s="1"/>
  <c r="K132" i="6"/>
  <c r="C60" i="12"/>
  <c r="AT84" i="16" l="1"/>
  <c r="AU79" i="16"/>
  <c r="AU82" i="16" s="1"/>
  <c r="X51" i="16"/>
  <c r="J150" i="6"/>
  <c r="J159" i="6" s="1"/>
  <c r="L150" i="6"/>
  <c r="L159" i="6" s="1"/>
  <c r="I150" i="6"/>
  <c r="I159" i="6" s="1"/>
  <c r="K141" i="6"/>
  <c r="S57" i="12"/>
  <c r="S61" i="12"/>
  <c r="T60" i="12"/>
  <c r="T57" i="12"/>
  <c r="C61" i="12"/>
  <c r="H61" i="12"/>
  <c r="K28" i="5"/>
  <c r="K30" i="5" s="1"/>
  <c r="C43" i="5"/>
  <c r="C27" i="5"/>
  <c r="C22" i="5"/>
  <c r="C30" i="5" l="1"/>
  <c r="C32" i="5" s="1"/>
  <c r="C34" i="5" s="1"/>
  <c r="H7" i="5" s="1"/>
  <c r="AV79" i="16"/>
  <c r="AV82" i="16" s="1"/>
  <c r="AU84" i="16"/>
  <c r="D27" i="16"/>
  <c r="C27" i="16"/>
  <c r="C28" i="16"/>
  <c r="Y49" i="16"/>
  <c r="Y51" i="16" s="1"/>
  <c r="K150" i="6"/>
  <c r="K159" i="6" s="1"/>
  <c r="C68" i="12"/>
  <c r="C55" i="5"/>
  <c r="J7" i="5" l="1"/>
  <c r="I7" i="5"/>
  <c r="I14" i="5" s="1"/>
  <c r="C58" i="5"/>
  <c r="C60" i="5" s="1"/>
  <c r="C62" i="5" s="1"/>
  <c r="H9" i="5"/>
  <c r="AV84" i="16"/>
  <c r="AW79" i="16"/>
  <c r="AW82" i="16" s="1"/>
  <c r="C45" i="16"/>
  <c r="D45" i="16"/>
  <c r="S69" i="12"/>
  <c r="T68" i="12"/>
  <c r="T65" i="12"/>
  <c r="S65" i="12"/>
  <c r="C69" i="12"/>
  <c r="H69" i="12"/>
  <c r="AW84" i="16" l="1"/>
  <c r="AX79" i="16"/>
  <c r="AX82" i="16" s="1"/>
  <c r="K8" i="18"/>
  <c r="L8" i="18"/>
  <c r="Z49" i="16"/>
  <c r="Z51" i="16" s="1"/>
  <c r="H76" i="12"/>
  <c r="C76" i="12" s="1"/>
  <c r="C77" i="12" s="1"/>
  <c r="E9" i="7"/>
  <c r="AX84" i="16" l="1"/>
  <c r="AY79" i="16"/>
  <c r="AY82" i="16" s="1"/>
  <c r="AY84" i="16" s="1"/>
  <c r="H84" i="12"/>
  <c r="C84" i="12" s="1"/>
  <c r="H77" i="12"/>
  <c r="T76" i="12"/>
  <c r="S77" i="12"/>
  <c r="T73" i="12"/>
  <c r="S73" i="12"/>
  <c r="E25" i="7"/>
  <c r="E26" i="7"/>
  <c r="I18" i="7" s="1"/>
  <c r="G25" i="7"/>
  <c r="AZ79" i="16" l="1"/>
  <c r="AZ82" i="16" s="1"/>
  <c r="AA49" i="16"/>
  <c r="S81" i="12"/>
  <c r="S85" i="12"/>
  <c r="T84" i="12"/>
  <c r="T81" i="12"/>
  <c r="C85" i="12"/>
  <c r="H85" i="12"/>
  <c r="E27" i="7"/>
  <c r="E61" i="7" s="1"/>
  <c r="E63" i="7" s="1"/>
  <c r="AZ84" i="16" l="1"/>
  <c r="BA79" i="16"/>
  <c r="BA82" i="16" s="1"/>
  <c r="BB79" i="16" s="1"/>
  <c r="AA51" i="16"/>
  <c r="C92" i="12"/>
  <c r="C93" i="12" s="1"/>
  <c r="E80" i="7"/>
  <c r="I72" i="7" s="1"/>
  <c r="E79" i="7"/>
  <c r="G79" i="7"/>
  <c r="I21" i="7"/>
  <c r="J22" i="7" s="1"/>
  <c r="BA84" i="16" l="1"/>
  <c r="BB82" i="16"/>
  <c r="AB49" i="16"/>
  <c r="H100" i="12"/>
  <c r="C100" i="12" s="1"/>
  <c r="T92" i="12"/>
  <c r="S93" i="12"/>
  <c r="T89" i="12"/>
  <c r="S89" i="12"/>
  <c r="H93" i="12"/>
  <c r="E81" i="7"/>
  <c r="BB84" i="16" l="1"/>
  <c r="BC79" i="16"/>
  <c r="BC82" i="16" s="1"/>
  <c r="AB51" i="16"/>
  <c r="T94" i="12"/>
  <c r="S97" i="12"/>
  <c r="C101" i="12"/>
  <c r="E7" i="14" s="1"/>
  <c r="E24" i="14" s="1"/>
  <c r="S101" i="12"/>
  <c r="T97" i="12"/>
  <c r="T100" i="12"/>
  <c r="H101" i="12"/>
  <c r="E98" i="7"/>
  <c r="I90" i="7" s="1"/>
  <c r="G97" i="7"/>
  <c r="E97" i="7"/>
  <c r="I75" i="7"/>
  <c r="J76" i="7" s="1"/>
  <c r="BD79" i="16" l="1"/>
  <c r="BD82" i="16" s="1"/>
  <c r="BD84" i="16" s="1"/>
  <c r="BC84" i="16"/>
  <c r="AC49" i="16"/>
  <c r="AC51" i="16" s="1"/>
  <c r="I16" i="14"/>
  <c r="J15" i="14"/>
  <c r="G23" i="14"/>
  <c r="E23" i="14"/>
  <c r="T102" i="12"/>
  <c r="E99" i="7"/>
  <c r="I17" i="14" l="1"/>
  <c r="J17" i="14"/>
  <c r="E25" i="14"/>
  <c r="G115" i="7"/>
  <c r="E116" i="7"/>
  <c r="I108" i="7" s="1"/>
  <c r="E115" i="7"/>
  <c r="I93" i="7"/>
  <c r="J94" i="7" s="1"/>
  <c r="C1484" i="5"/>
  <c r="C1010" i="3"/>
  <c r="C1066" i="6"/>
  <c r="AD49" i="16" l="1"/>
  <c r="E42" i="14"/>
  <c r="E41" i="14"/>
  <c r="I35" i="14" s="1"/>
  <c r="G41" i="14"/>
  <c r="J19" i="14"/>
  <c r="I19" i="14"/>
  <c r="E117" i="7"/>
  <c r="N12" i="6"/>
  <c r="N20" i="6" s="1"/>
  <c r="N29" i="6" s="1"/>
  <c r="M12" i="6"/>
  <c r="M20" i="6" s="1"/>
  <c r="M29" i="6" s="1"/>
  <c r="AD51" i="16" l="1"/>
  <c r="G42" i="14"/>
  <c r="I34" i="14"/>
  <c r="J33" i="14"/>
  <c r="E43" i="14"/>
  <c r="J35" i="14"/>
  <c r="J20" i="14"/>
  <c r="G133" i="7"/>
  <c r="E134" i="7"/>
  <c r="I126" i="7" s="1"/>
  <c r="I111" i="7"/>
  <c r="J112" i="7" s="1"/>
  <c r="E133" i="7"/>
  <c r="G12" i="6"/>
  <c r="F12" i="6"/>
  <c r="AE49" i="16" l="1"/>
  <c r="AF44" i="16" s="1"/>
  <c r="J37" i="14"/>
  <c r="I37" i="14"/>
  <c r="E135" i="7"/>
  <c r="G20" i="6"/>
  <c r="F20" i="6"/>
  <c r="P355" i="7"/>
  <c r="F1" i="5"/>
  <c r="AF46" i="16" l="1"/>
  <c r="AF49" i="16" s="1"/>
  <c r="AF51" i="16" s="1"/>
  <c r="AE51" i="16"/>
  <c r="J38" i="14"/>
  <c r="E152" i="7"/>
  <c r="I144" i="7" s="1"/>
  <c r="E151" i="7"/>
  <c r="G151" i="7"/>
  <c r="I129" i="7"/>
  <c r="J130" i="7" s="1"/>
  <c r="F29" i="6"/>
  <c r="F38" i="6"/>
  <c r="F47" i="6" s="1"/>
  <c r="F56" i="6" s="1"/>
  <c r="F65" i="6" s="1"/>
  <c r="F74" i="6" s="1"/>
  <c r="F83" i="6" s="1"/>
  <c r="F92" i="6" s="1"/>
  <c r="F101" i="6" s="1"/>
  <c r="G29" i="6"/>
  <c r="G38" i="6"/>
  <c r="G47" i="6" s="1"/>
  <c r="G56" i="6" s="1"/>
  <c r="G65" i="6" s="1"/>
  <c r="G74" i="6" s="1"/>
  <c r="G83" i="6" s="1"/>
  <c r="G92" i="6" s="1"/>
  <c r="G101" i="6" s="1"/>
  <c r="G110" i="6" s="1"/>
  <c r="G119" i="6" s="1"/>
  <c r="G128" i="6" s="1"/>
  <c r="G132" i="6" s="1"/>
  <c r="G141" i="6" s="1"/>
  <c r="G150" i="6" s="1"/>
  <c r="I44" i="5"/>
  <c r="G159" i="6" l="1"/>
  <c r="G161" i="6" s="1"/>
  <c r="F110" i="6"/>
  <c r="F119" i="6" s="1"/>
  <c r="F128" i="6" s="1"/>
  <c r="F132" i="6" s="1"/>
  <c r="F141" i="6" s="1"/>
  <c r="F150" i="6" s="1"/>
  <c r="E153" i="7"/>
  <c r="I43" i="5"/>
  <c r="I42" i="5"/>
  <c r="I40" i="5"/>
  <c r="AG44" i="16" l="1"/>
  <c r="F159" i="6"/>
  <c r="F161" i="6" s="1"/>
  <c r="E169" i="7"/>
  <c r="E170" i="7"/>
  <c r="I162" i="7" s="1"/>
  <c r="I147" i="7"/>
  <c r="J148" i="7" s="1"/>
  <c r="G169" i="7"/>
  <c r="I41" i="5"/>
  <c r="AG49" i="16" l="1"/>
  <c r="E171" i="7"/>
  <c r="I37" i="5"/>
  <c r="G34" i="5"/>
  <c r="I39" i="5"/>
  <c r="AH44" i="16" l="1"/>
  <c r="AG51" i="16"/>
  <c r="E188" i="7"/>
  <c r="I180" i="7" s="1"/>
  <c r="E187" i="7"/>
  <c r="I165" i="7"/>
  <c r="J166" i="7" s="1"/>
  <c r="G187" i="7"/>
  <c r="I45" i="5"/>
  <c r="H53" i="5" s="1"/>
  <c r="G45" i="5"/>
  <c r="I32" i="5"/>
  <c r="I53" i="5" s="1"/>
  <c r="E11" i="30" s="1"/>
  <c r="E8" i="30" l="1"/>
  <c r="E189" i="7"/>
  <c r="I33" i="5"/>
  <c r="I46" i="5"/>
  <c r="G47" i="5"/>
  <c r="AH49" i="16" l="1"/>
  <c r="AH51" i="16" s="1"/>
  <c r="E205" i="7"/>
  <c r="E206" i="7"/>
  <c r="I183" i="7"/>
  <c r="J184" i="7" s="1"/>
  <c r="G205" i="7"/>
  <c r="K39" i="5"/>
  <c r="AI44" i="16" l="1"/>
  <c r="C51" i="14"/>
  <c r="E51" i="14" s="1"/>
  <c r="M39" i="5"/>
  <c r="C50" i="14"/>
  <c r="E50" i="14" s="1"/>
  <c r="M38" i="5"/>
  <c r="E207" i="7"/>
  <c r="E223" i="7" s="1"/>
  <c r="I198" i="7"/>
  <c r="K40" i="5"/>
  <c r="M40" i="5" s="1"/>
  <c r="AI49" i="16" l="1"/>
  <c r="AI51" i="16" s="1"/>
  <c r="C49" i="14"/>
  <c r="E49" i="14" s="1"/>
  <c r="M37" i="5"/>
  <c r="G223" i="7"/>
  <c r="I201" i="7"/>
  <c r="J202" i="7" s="1"/>
  <c r="E224" i="7"/>
  <c r="I216" i="7" s="1"/>
  <c r="M28" i="5"/>
  <c r="M29" i="5" s="1"/>
  <c r="AJ44" i="16" l="1"/>
  <c r="C48" i="14"/>
  <c r="M36" i="5"/>
  <c r="M43" i="5" s="1"/>
  <c r="J53" i="5" s="1"/>
  <c r="E225" i="7"/>
  <c r="K43" i="5"/>
  <c r="K5" i="5" s="1"/>
  <c r="K9" i="5" s="1"/>
  <c r="K53" i="5"/>
  <c r="E20" i="30" s="1"/>
  <c r="AJ49" i="16" l="1"/>
  <c r="AK44" i="16" s="1"/>
  <c r="L53" i="5"/>
  <c r="E17" i="30"/>
  <c r="J61" i="5"/>
  <c r="I219" i="7"/>
  <c r="J220" i="7" s="1"/>
  <c r="C57" i="14"/>
  <c r="C59" i="14" s="1"/>
  <c r="E48" i="14"/>
  <c r="E57" i="14" s="1"/>
  <c r="E60" i="14" s="1"/>
  <c r="G241" i="7"/>
  <c r="E241" i="7"/>
  <c r="E242" i="7"/>
  <c r="I234" i="7" s="1"/>
  <c r="L5" i="5"/>
  <c r="M44" i="5"/>
  <c r="K45" i="5"/>
  <c r="AJ51" i="16" l="1"/>
  <c r="L28" i="18"/>
  <c r="K28" i="18"/>
  <c r="G59" i="14"/>
  <c r="E59" i="14"/>
  <c r="E243" i="7"/>
  <c r="H11" i="5"/>
  <c r="L11" i="5" s="1"/>
  <c r="H10" i="5"/>
  <c r="K10" i="5" l="1"/>
  <c r="H12" i="5"/>
  <c r="H14" i="5" s="1"/>
  <c r="AK49" i="16"/>
  <c r="AL44" i="16" s="1"/>
  <c r="K20" i="18"/>
  <c r="L20" i="18"/>
  <c r="I53" i="14"/>
  <c r="E61" i="14"/>
  <c r="J53" i="14"/>
  <c r="I52" i="14"/>
  <c r="J51" i="14"/>
  <c r="I237" i="7"/>
  <c r="J238" i="7" s="1"/>
  <c r="G261" i="7"/>
  <c r="H61" i="14"/>
  <c r="AK51" i="16" l="1"/>
  <c r="I52" i="5"/>
  <c r="I55" i="5" s="1"/>
  <c r="E13" i="30"/>
  <c r="I55" i="14"/>
  <c r="J55" i="14"/>
  <c r="J14" i="5"/>
  <c r="E22" i="30" s="1"/>
  <c r="AS7" i="16" l="1"/>
  <c r="BC10" i="16" s="1"/>
  <c r="AL49" i="16"/>
  <c r="AM44" i="16" s="1"/>
  <c r="J56" i="14"/>
  <c r="E120" i="3"/>
  <c r="K52" i="5"/>
  <c r="K55" i="5" s="1"/>
  <c r="J15" i="5"/>
  <c r="C7" i="16" l="1"/>
  <c r="C10" i="16"/>
  <c r="AL51" i="16"/>
  <c r="AM49" i="16"/>
  <c r="AM51" i="16" s="1"/>
  <c r="E155" i="6"/>
  <c r="B9" i="13"/>
  <c r="E11" i="3"/>
  <c r="E19" i="3" s="1"/>
  <c r="K12" i="5"/>
  <c r="H52" i="5" s="1"/>
  <c r="L9" i="5"/>
  <c r="L12" i="5" s="1"/>
  <c r="J52" i="5" s="1"/>
  <c r="L52" i="5" l="1"/>
  <c r="H55" i="5"/>
  <c r="E27" i="3"/>
  <c r="D9" i="13" s="1"/>
  <c r="C9" i="13"/>
  <c r="L14" i="5"/>
  <c r="E19" i="30" s="1"/>
  <c r="J55" i="5"/>
  <c r="H15" i="5"/>
  <c r="K14" i="5"/>
  <c r="E10" i="30" s="1"/>
  <c r="L16" i="18" l="1"/>
  <c r="AS6" i="16"/>
  <c r="BC9" i="16" s="1"/>
  <c r="BK8" i="16"/>
  <c r="AN44" i="16"/>
  <c r="L55" i="5"/>
  <c r="D155" i="6"/>
  <c r="C155" i="6" s="1"/>
  <c r="E35" i="3"/>
  <c r="C124" i="6"/>
  <c r="S127" i="6" s="1"/>
  <c r="C106" i="6"/>
  <c r="T109" i="6" s="1"/>
  <c r="C115" i="6"/>
  <c r="C88" i="6"/>
  <c r="T91" i="6" s="1"/>
  <c r="C70" i="6"/>
  <c r="T73" i="6" s="1"/>
  <c r="C52" i="6"/>
  <c r="S55" i="6" s="1"/>
  <c r="C25" i="6"/>
  <c r="C16" i="6"/>
  <c r="K56" i="5"/>
  <c r="L15" i="5"/>
  <c r="L54" i="5"/>
  <c r="K16" i="18" l="1"/>
  <c r="C6" i="16"/>
  <c r="AN49" i="16"/>
  <c r="K5" i="18"/>
  <c r="D120" i="3"/>
  <c r="C120" i="3" s="1"/>
  <c r="E43" i="3"/>
  <c r="E9" i="13"/>
  <c r="S158" i="6"/>
  <c r="T176" i="6" s="1"/>
  <c r="T158" i="6"/>
  <c r="T127" i="6"/>
  <c r="C146" i="6"/>
  <c r="S149" i="6" s="1"/>
  <c r="C101" i="3"/>
  <c r="R104" i="3" s="1"/>
  <c r="C137" i="6"/>
  <c r="S109" i="6"/>
  <c r="C85" i="3"/>
  <c r="Q88" i="3" s="1"/>
  <c r="C93" i="3"/>
  <c r="S118" i="6"/>
  <c r="T118" i="6"/>
  <c r="C77" i="3"/>
  <c r="S91" i="6"/>
  <c r="C97" i="6"/>
  <c r="S100" i="6" s="1"/>
  <c r="C61" i="3"/>
  <c r="R64" i="3" s="1"/>
  <c r="T55" i="6"/>
  <c r="S73" i="6"/>
  <c r="C53" i="3"/>
  <c r="C79" i="6"/>
  <c r="C45" i="3"/>
  <c r="C29" i="3"/>
  <c r="Q32" i="3" s="1"/>
  <c r="C61" i="6"/>
  <c r="C43" i="6"/>
  <c r="C13" i="3"/>
  <c r="C21" i="3"/>
  <c r="C34" i="6"/>
  <c r="S37" i="6" s="1"/>
  <c r="T19" i="6"/>
  <c r="S19" i="6"/>
  <c r="I56" i="5"/>
  <c r="G59" i="5" s="1"/>
  <c r="L56" i="5"/>
  <c r="C9" i="16" l="1"/>
  <c r="AN51" i="16"/>
  <c r="AO44" i="16"/>
  <c r="L5" i="18"/>
  <c r="E51" i="3"/>
  <c r="F9" i="13"/>
  <c r="Q104" i="3"/>
  <c r="Q123" i="3"/>
  <c r="R139" i="3" s="1"/>
  <c r="R123" i="3"/>
  <c r="T149" i="6"/>
  <c r="C112" i="3"/>
  <c r="T140" i="6"/>
  <c r="S140" i="6"/>
  <c r="R88" i="3"/>
  <c r="R96" i="3"/>
  <c r="Q96" i="3"/>
  <c r="Q64" i="3"/>
  <c r="Q80" i="3"/>
  <c r="R80" i="3"/>
  <c r="T100" i="6"/>
  <c r="C69" i="3"/>
  <c r="R72" i="3" s="1"/>
  <c r="T82" i="6"/>
  <c r="S82" i="6"/>
  <c r="Q56" i="3"/>
  <c r="R56" i="3"/>
  <c r="R32" i="3"/>
  <c r="Q48" i="3"/>
  <c r="R48" i="3"/>
  <c r="C37" i="3"/>
  <c r="T64" i="6"/>
  <c r="S64" i="6"/>
  <c r="S46" i="6"/>
  <c r="T46" i="6"/>
  <c r="R24" i="3"/>
  <c r="Q24" i="3"/>
  <c r="R16" i="3"/>
  <c r="C37" i="6"/>
  <c r="T34" i="6" s="1"/>
  <c r="Q16" i="3"/>
  <c r="AO49" i="16" l="1"/>
  <c r="AP44" i="16" s="1"/>
  <c r="E59" i="3"/>
  <c r="G9" i="13"/>
  <c r="Q115" i="3"/>
  <c r="R115" i="3"/>
  <c r="Q72" i="3"/>
  <c r="R40" i="3"/>
  <c r="Q40" i="3"/>
  <c r="B8" i="13"/>
  <c r="B10" i="13" s="1"/>
  <c r="D11" i="3"/>
  <c r="D19" i="3" s="1"/>
  <c r="I61" i="19" l="1"/>
  <c r="H61" i="19"/>
  <c r="AO51" i="16"/>
  <c r="E67" i="3"/>
  <c r="H9" i="13"/>
  <c r="D27" i="3"/>
  <c r="C8" i="13"/>
  <c r="C10" i="13" s="1"/>
  <c r="AP49" i="16" l="1"/>
  <c r="AQ44" i="16" s="1"/>
  <c r="AQ46" i="16" s="1"/>
  <c r="D46" i="16"/>
  <c r="E75" i="3"/>
  <c r="I9" i="13"/>
  <c r="D35" i="3"/>
  <c r="D8" i="13"/>
  <c r="D10" i="13" s="1"/>
  <c r="E12" i="6"/>
  <c r="E20" i="6" s="1"/>
  <c r="AQ49" i="16" l="1"/>
  <c r="AR44" i="16" s="1"/>
  <c r="AR46" i="16" s="1"/>
  <c r="AP51" i="16"/>
  <c r="E109" i="3"/>
  <c r="E83" i="3"/>
  <c r="J9" i="13"/>
  <c r="D43" i="3"/>
  <c r="E8" i="13"/>
  <c r="E10" i="13" s="1"/>
  <c r="E38" i="6"/>
  <c r="E47" i="6" s="1"/>
  <c r="B15" i="13"/>
  <c r="E29" i="6"/>
  <c r="H61" i="20" l="1"/>
  <c r="I61" i="20"/>
  <c r="I61" i="21"/>
  <c r="H61" i="21"/>
  <c r="AQ51" i="16"/>
  <c r="C46" i="16"/>
  <c r="C49" i="16" s="1"/>
  <c r="E91" i="3"/>
  <c r="K9" i="13"/>
  <c r="C15" i="13"/>
  <c r="D51" i="3"/>
  <c r="F8" i="13"/>
  <c r="F10" i="13" s="1"/>
  <c r="E56" i="6"/>
  <c r="D15" i="13"/>
  <c r="F11" i="3"/>
  <c r="D12" i="6"/>
  <c r="D20" i="6" s="1"/>
  <c r="AR49" i="16" l="1"/>
  <c r="AS44" i="16" s="1"/>
  <c r="AS46" i="16" s="1"/>
  <c r="D59" i="3"/>
  <c r="G8" i="13"/>
  <c r="G10" i="13" s="1"/>
  <c r="E99" i="3"/>
  <c r="L9" i="13"/>
  <c r="E15" i="13"/>
  <c r="E65" i="6"/>
  <c r="E74" i="6" s="1"/>
  <c r="D38" i="6"/>
  <c r="D47" i="6" s="1"/>
  <c r="B14" i="13"/>
  <c r="B16" i="13" s="1"/>
  <c r="D29" i="6"/>
  <c r="H61" i="23" l="1"/>
  <c r="I61" i="23"/>
  <c r="AS49" i="16"/>
  <c r="AR51" i="16"/>
  <c r="D67" i="3"/>
  <c r="H8" i="13"/>
  <c r="H10" i="13" s="1"/>
  <c r="N8" i="13"/>
  <c r="E107" i="3"/>
  <c r="M9" i="13"/>
  <c r="G15" i="13"/>
  <c r="E83" i="6"/>
  <c r="E92" i="6" s="1"/>
  <c r="E101" i="6" s="1"/>
  <c r="E131" i="6" s="1"/>
  <c r="F15" i="13"/>
  <c r="C14" i="13"/>
  <c r="C16" i="13" s="1"/>
  <c r="D56" i="6"/>
  <c r="D14" i="13"/>
  <c r="D16" i="13" s="1"/>
  <c r="E9" i="10"/>
  <c r="F19" i="3"/>
  <c r="H61" i="22" l="1"/>
  <c r="I61" i="22"/>
  <c r="AS51" i="16"/>
  <c r="AT44" i="16"/>
  <c r="AT46" i="16" s="1"/>
  <c r="E110" i="3"/>
  <c r="E118" i="3" s="1"/>
  <c r="D75" i="3"/>
  <c r="I8" i="13"/>
  <c r="I10" i="13" s="1"/>
  <c r="E110" i="6"/>
  <c r="I15" i="13"/>
  <c r="J15" i="13"/>
  <c r="H15" i="13"/>
  <c r="E14" i="13"/>
  <c r="E16" i="13" s="1"/>
  <c r="D65" i="6"/>
  <c r="D74" i="6" s="1"/>
  <c r="E10" i="10"/>
  <c r="E30" i="10" s="1"/>
  <c r="C18" i="3"/>
  <c r="C19" i="3" s="1"/>
  <c r="E126" i="3" l="1"/>
  <c r="E128" i="3" s="1"/>
  <c r="D109" i="3"/>
  <c r="D83" i="3"/>
  <c r="J8" i="13"/>
  <c r="J10" i="13" s="1"/>
  <c r="K15" i="13"/>
  <c r="E119" i="6"/>
  <c r="G14" i="13"/>
  <c r="G16" i="13" s="1"/>
  <c r="D83" i="6"/>
  <c r="D92" i="6" s="1"/>
  <c r="D101" i="6" s="1"/>
  <c r="F14" i="13"/>
  <c r="F16" i="13" s="1"/>
  <c r="E29" i="10"/>
  <c r="G29" i="10"/>
  <c r="R17" i="3"/>
  <c r="R18" i="3"/>
  <c r="Q18" i="3"/>
  <c r="D91" i="3" l="1"/>
  <c r="K8" i="13"/>
  <c r="K10" i="13" s="1"/>
  <c r="D110" i="6"/>
  <c r="D119" i="6" s="1"/>
  <c r="D131" i="6"/>
  <c r="L15" i="13"/>
  <c r="E128" i="6"/>
  <c r="E132" i="6" s="1"/>
  <c r="E141" i="6" s="1"/>
  <c r="I14" i="13"/>
  <c r="I16" i="13" s="1"/>
  <c r="J14" i="13"/>
  <c r="J16" i="13" s="1"/>
  <c r="H14" i="13"/>
  <c r="H16" i="13" s="1"/>
  <c r="E31" i="10"/>
  <c r="E33" i="10" s="1"/>
  <c r="E50" i="10" s="1"/>
  <c r="E51" i="10" s="1"/>
  <c r="Q15" i="3"/>
  <c r="F27" i="3"/>
  <c r="R15" i="3"/>
  <c r="J23" i="10"/>
  <c r="AT49" i="16" l="1"/>
  <c r="AU44" i="16" s="1"/>
  <c r="K14" i="13"/>
  <c r="K16" i="13" s="1"/>
  <c r="E150" i="6"/>
  <c r="E159" i="6" s="1"/>
  <c r="E161" i="6" s="1"/>
  <c r="D99" i="3"/>
  <c r="L8" i="13"/>
  <c r="L10" i="13" s="1"/>
  <c r="M15" i="13"/>
  <c r="L14" i="13"/>
  <c r="L16" i="13" s="1"/>
  <c r="D128" i="6"/>
  <c r="D132" i="6" s="1"/>
  <c r="D141" i="6" s="1"/>
  <c r="E52" i="10"/>
  <c r="J43" i="10"/>
  <c r="R19" i="3"/>
  <c r="C26" i="3"/>
  <c r="C27" i="3" s="1"/>
  <c r="I61" i="24" l="1"/>
  <c r="H61" i="24"/>
  <c r="I61" i="25"/>
  <c r="H61" i="25"/>
  <c r="AT51" i="16"/>
  <c r="AU46" i="16"/>
  <c r="D150" i="6"/>
  <c r="D107" i="3"/>
  <c r="M8" i="13"/>
  <c r="M10" i="13" s="1"/>
  <c r="M14" i="13"/>
  <c r="M16" i="13" s="1"/>
  <c r="E53" i="10"/>
  <c r="I42" i="10" s="1"/>
  <c r="G52" i="10"/>
  <c r="F35" i="3"/>
  <c r="F43" i="3" s="1"/>
  <c r="Q23" i="3"/>
  <c r="Q26" i="3"/>
  <c r="R26" i="3"/>
  <c r="R25" i="3"/>
  <c r="AU49" i="16" l="1"/>
  <c r="AU51" i="16" s="1"/>
  <c r="D159" i="6"/>
  <c r="D161" i="6" s="1"/>
  <c r="D110" i="3"/>
  <c r="D118" i="3" s="1"/>
  <c r="E54" i="10"/>
  <c r="C34" i="3"/>
  <c r="C35" i="3" s="1"/>
  <c r="J41" i="10"/>
  <c r="R23" i="3"/>
  <c r="R27" i="3" s="1"/>
  <c r="H61" i="26" l="1"/>
  <c r="AV44" i="16"/>
  <c r="D126" i="3"/>
  <c r="D128" i="3" s="1"/>
  <c r="I45" i="10"/>
  <c r="J46" i="10" s="1"/>
  <c r="E72" i="10"/>
  <c r="J64" i="10" s="1"/>
  <c r="R34" i="3"/>
  <c r="Q34" i="3"/>
  <c r="R33" i="3"/>
  <c r="AV46" i="16" l="1"/>
  <c r="AV49" i="16" s="1"/>
  <c r="AV51" i="16" s="1"/>
  <c r="E73" i="10"/>
  <c r="E74" i="10"/>
  <c r="I63" i="10" s="1"/>
  <c r="C42" i="3"/>
  <c r="C43" i="3" s="1"/>
  <c r="F51" i="3" s="1"/>
  <c r="G73" i="10"/>
  <c r="Q31" i="3"/>
  <c r="R31" i="3"/>
  <c r="AW44" i="16" l="1"/>
  <c r="AW46" i="16" s="1"/>
  <c r="E75" i="10"/>
  <c r="I66" i="10" s="1"/>
  <c r="Q42" i="3"/>
  <c r="R42" i="3"/>
  <c r="R41" i="3"/>
  <c r="J62" i="10"/>
  <c r="R35" i="3"/>
  <c r="I61" i="26" l="1"/>
  <c r="AW49" i="16"/>
  <c r="AX44" i="16" s="1"/>
  <c r="AX46" i="16" s="1"/>
  <c r="E95" i="10"/>
  <c r="I84" i="10" s="1"/>
  <c r="E94" i="10"/>
  <c r="J67" i="10"/>
  <c r="C50" i="3"/>
  <c r="C51" i="3" s="1"/>
  <c r="F59" i="3" s="1"/>
  <c r="G94" i="10"/>
  <c r="R39" i="3"/>
  <c r="Q39" i="3"/>
  <c r="AW51" i="16" l="1"/>
  <c r="E96" i="10"/>
  <c r="I87" i="10" s="1"/>
  <c r="R49" i="3"/>
  <c r="Q50" i="3"/>
  <c r="R50" i="3"/>
  <c r="R43" i="3"/>
  <c r="J83" i="10"/>
  <c r="H12" i="6"/>
  <c r="AX49" i="16" l="1"/>
  <c r="AX51" i="16" s="1"/>
  <c r="G115" i="10"/>
  <c r="E116" i="10"/>
  <c r="J104" i="10" s="1"/>
  <c r="E115" i="10"/>
  <c r="C58" i="3"/>
  <c r="C59" i="3" s="1"/>
  <c r="R47" i="3"/>
  <c r="Q47" i="3"/>
  <c r="J88" i="10"/>
  <c r="H20" i="6"/>
  <c r="H38" i="6" s="1"/>
  <c r="AY44" i="16" l="1"/>
  <c r="AY46" i="16" s="1"/>
  <c r="F67" i="3"/>
  <c r="I105" i="10"/>
  <c r="E117" i="10"/>
  <c r="E137" i="10" s="1"/>
  <c r="R57" i="3"/>
  <c r="R58" i="3"/>
  <c r="Q58" i="3"/>
  <c r="R51" i="3"/>
  <c r="C19" i="6"/>
  <c r="AY49" i="16" l="1"/>
  <c r="G136" i="10"/>
  <c r="C66" i="3"/>
  <c r="C67" i="3" s="1"/>
  <c r="F75" i="3" s="1"/>
  <c r="F109" i="3" s="1"/>
  <c r="C109" i="3" s="1"/>
  <c r="I108" i="10"/>
  <c r="J109" i="10" s="1"/>
  <c r="E136" i="10"/>
  <c r="E138" i="10" s="1"/>
  <c r="J125" i="10"/>
  <c r="I126" i="10"/>
  <c r="R55" i="3"/>
  <c r="Q55" i="3"/>
  <c r="S16" i="6"/>
  <c r="T20" i="6"/>
  <c r="S20" i="6"/>
  <c r="S21" i="6"/>
  <c r="AY51" i="16" l="1"/>
  <c r="AZ44" i="16"/>
  <c r="AZ46" i="16" s="1"/>
  <c r="Q113" i="3"/>
  <c r="E265" i="10"/>
  <c r="G157" i="10"/>
  <c r="E157" i="10"/>
  <c r="E158" i="10"/>
  <c r="I129" i="10"/>
  <c r="J130" i="10" s="1"/>
  <c r="Q66" i="3"/>
  <c r="R66" i="3"/>
  <c r="R65" i="3"/>
  <c r="R59" i="3"/>
  <c r="C12" i="6"/>
  <c r="AZ49" i="16" l="1"/>
  <c r="BA44" i="16" s="1"/>
  <c r="BA46" i="16" s="1"/>
  <c r="C74" i="3"/>
  <c r="E159" i="10"/>
  <c r="E179" i="10" s="1"/>
  <c r="J146" i="10"/>
  <c r="I147" i="10"/>
  <c r="R63" i="3"/>
  <c r="Q63" i="3"/>
  <c r="C20" i="6"/>
  <c r="C38" i="6" s="1"/>
  <c r="AZ51" i="16" l="1"/>
  <c r="C75" i="3"/>
  <c r="R73" i="3"/>
  <c r="E178" i="10"/>
  <c r="I150" i="10"/>
  <c r="J151" i="10" s="1"/>
  <c r="G178" i="10"/>
  <c r="Q74" i="3"/>
  <c r="R74" i="3"/>
  <c r="R67" i="3"/>
  <c r="H46" i="6"/>
  <c r="H47" i="6" s="1"/>
  <c r="T16" i="6"/>
  <c r="T22" i="6" s="1"/>
  <c r="BA49" i="16" l="1"/>
  <c r="BB44" i="16" s="1"/>
  <c r="F83" i="3"/>
  <c r="E180" i="10"/>
  <c r="E199" i="10" s="1"/>
  <c r="I168" i="10"/>
  <c r="J167" i="10"/>
  <c r="R71" i="3"/>
  <c r="Q71" i="3"/>
  <c r="C46" i="6"/>
  <c r="C47" i="6" s="1"/>
  <c r="C28" i="6"/>
  <c r="S38" i="6" s="1"/>
  <c r="T40" i="6" s="1"/>
  <c r="H29" i="6"/>
  <c r="BA51" i="16" l="1"/>
  <c r="BB46" i="16"/>
  <c r="I171" i="10"/>
  <c r="J172" i="10" s="1"/>
  <c r="G199" i="10"/>
  <c r="E200" i="10"/>
  <c r="C82" i="3"/>
  <c r="C83" i="3" s="1"/>
  <c r="R75" i="3"/>
  <c r="H55" i="6"/>
  <c r="S47" i="6"/>
  <c r="T47" i="6"/>
  <c r="S48" i="6"/>
  <c r="C29" i="6"/>
  <c r="BB49" i="16" l="1"/>
  <c r="BB51" i="16" s="1"/>
  <c r="E201" i="10"/>
  <c r="E221" i="10" s="1"/>
  <c r="J188" i="10"/>
  <c r="I189" i="10"/>
  <c r="Q82" i="3"/>
  <c r="R82" i="3"/>
  <c r="R81" i="3"/>
  <c r="C55" i="6"/>
  <c r="H56" i="6"/>
  <c r="S43" i="6"/>
  <c r="T43" i="6"/>
  <c r="BC44" i="16" l="1"/>
  <c r="BC46" i="16" s="1"/>
  <c r="I192" i="10"/>
  <c r="J193" i="10" s="1"/>
  <c r="G220" i="10"/>
  <c r="E220" i="10"/>
  <c r="C90" i="3"/>
  <c r="F91" i="3"/>
  <c r="Q79" i="3"/>
  <c r="R79" i="3"/>
  <c r="C56" i="6"/>
  <c r="H64" i="6" s="1"/>
  <c r="H65" i="6" s="1"/>
  <c r="H74" i="6" s="1"/>
  <c r="S56" i="6"/>
  <c r="T56" i="6"/>
  <c r="S57" i="6"/>
  <c r="T49" i="6"/>
  <c r="T31" i="6"/>
  <c r="BC49" i="16" l="1"/>
  <c r="BC51" i="16" s="1"/>
  <c r="BD44" i="16"/>
  <c r="E222" i="10"/>
  <c r="E242" i="10" s="1"/>
  <c r="I210" i="10"/>
  <c r="J209" i="10"/>
  <c r="Q90" i="3"/>
  <c r="R90" i="3"/>
  <c r="R89" i="3"/>
  <c r="C91" i="3"/>
  <c r="R83" i="3"/>
  <c r="C64" i="6"/>
  <c r="C65" i="6" s="1"/>
  <c r="S52" i="6"/>
  <c r="T52" i="6"/>
  <c r="I213" i="10" l="1"/>
  <c r="J214" i="10" s="1"/>
  <c r="G241" i="10"/>
  <c r="E241" i="10"/>
  <c r="R87" i="3"/>
  <c r="Q87" i="3"/>
  <c r="T65" i="6"/>
  <c r="T66" i="6"/>
  <c r="S66" i="6"/>
  <c r="S65" i="6"/>
  <c r="C73" i="6"/>
  <c r="C74" i="6" s="1"/>
  <c r="S61" i="6"/>
  <c r="T61" i="6"/>
  <c r="T58" i="6"/>
  <c r="BD49" i="16" l="1"/>
  <c r="BD51" i="16" s="1"/>
  <c r="BJ43" i="16"/>
  <c r="K7" i="18" s="1"/>
  <c r="BK43" i="16"/>
  <c r="L7" i="18" s="1"/>
  <c r="BJ42" i="16"/>
  <c r="BK41" i="16"/>
  <c r="E243" i="10"/>
  <c r="E263" i="10" s="1"/>
  <c r="I231" i="10"/>
  <c r="J230" i="10"/>
  <c r="C98" i="3"/>
  <c r="F99" i="3"/>
  <c r="N9" i="13" s="1"/>
  <c r="N10" i="13" s="1"/>
  <c r="R91" i="3"/>
  <c r="T74" i="6"/>
  <c r="S75" i="6"/>
  <c r="T75" i="6"/>
  <c r="S74" i="6"/>
  <c r="T67" i="6"/>
  <c r="BK47" i="16" l="1"/>
  <c r="K6" i="18"/>
  <c r="I234" i="10"/>
  <c r="J235" i="10" s="1"/>
  <c r="G262" i="10"/>
  <c r="E262" i="10"/>
  <c r="Q98" i="3"/>
  <c r="R98" i="3"/>
  <c r="R97" i="3"/>
  <c r="C99" i="3"/>
  <c r="C82" i="6"/>
  <c r="C83" i="6" s="1"/>
  <c r="H83" i="6"/>
  <c r="S70" i="6"/>
  <c r="T70" i="6"/>
  <c r="E264" i="10" l="1"/>
  <c r="J251" i="10"/>
  <c r="I252" i="10"/>
  <c r="R95" i="3"/>
  <c r="Q95" i="3"/>
  <c r="C91" i="6"/>
  <c r="C92" i="6" s="1"/>
  <c r="H100" i="6" s="1"/>
  <c r="S84" i="6"/>
  <c r="T83" i="6"/>
  <c r="S83" i="6"/>
  <c r="T84" i="6"/>
  <c r="T76" i="6"/>
  <c r="E266" i="10" l="1"/>
  <c r="G285" i="10" s="1"/>
  <c r="I255" i="10"/>
  <c r="J256" i="10" s="1"/>
  <c r="C106" i="3"/>
  <c r="F107" i="3"/>
  <c r="F110" i="3" s="1"/>
  <c r="F118" i="3" s="1"/>
  <c r="R99" i="3"/>
  <c r="C100" i="6"/>
  <c r="C101" i="6" s="1"/>
  <c r="H92" i="6"/>
  <c r="S88" i="6"/>
  <c r="T88" i="6"/>
  <c r="T92" i="6"/>
  <c r="S93" i="6"/>
  <c r="T93" i="6"/>
  <c r="S92" i="6"/>
  <c r="S79" i="6"/>
  <c r="T79" i="6"/>
  <c r="E286" i="10" l="1"/>
  <c r="I275" i="10" s="1"/>
  <c r="E285" i="10"/>
  <c r="Q106" i="3"/>
  <c r="R106" i="3"/>
  <c r="R105" i="3"/>
  <c r="C107" i="3"/>
  <c r="C110" i="3" s="1"/>
  <c r="C109" i="6"/>
  <c r="H101" i="6"/>
  <c r="H131" i="6" s="1"/>
  <c r="T101" i="6"/>
  <c r="S101" i="6"/>
  <c r="S102" i="6"/>
  <c r="T102" i="6"/>
  <c r="T94" i="6"/>
  <c r="T85" i="6"/>
  <c r="E287" i="10" l="1"/>
  <c r="J274" i="10"/>
  <c r="C131" i="6"/>
  <c r="E244" i="7" s="1"/>
  <c r="E245" i="7" s="1"/>
  <c r="Q103" i="3"/>
  <c r="R103" i="3"/>
  <c r="C110" i="6"/>
  <c r="T106" i="6" s="1"/>
  <c r="T110" i="6"/>
  <c r="H110" i="6"/>
  <c r="S111" i="6"/>
  <c r="S97" i="6"/>
  <c r="T97" i="6"/>
  <c r="E261" i="7" l="1"/>
  <c r="I255" i="7" s="1"/>
  <c r="E262" i="7"/>
  <c r="E307" i="10"/>
  <c r="E306" i="10"/>
  <c r="I278" i="10"/>
  <c r="G306" i="10"/>
  <c r="J278" i="10"/>
  <c r="C117" i="3"/>
  <c r="S138" i="6"/>
  <c r="R107" i="3"/>
  <c r="C118" i="6"/>
  <c r="C119" i="6" s="1"/>
  <c r="S106" i="6"/>
  <c r="T103" i="6"/>
  <c r="J255" i="7" l="1"/>
  <c r="G279" i="7"/>
  <c r="J279" i="10"/>
  <c r="H261" i="7"/>
  <c r="I254" i="7"/>
  <c r="J253" i="7"/>
  <c r="E263" i="7"/>
  <c r="E280" i="7" s="1"/>
  <c r="I296" i="10"/>
  <c r="J295" i="10"/>
  <c r="E308" i="10"/>
  <c r="C118" i="3"/>
  <c r="F125" i="3" s="1"/>
  <c r="F126" i="3" s="1"/>
  <c r="F128" i="3" s="1"/>
  <c r="R116" i="3"/>
  <c r="R117" i="3"/>
  <c r="Q117" i="3"/>
  <c r="H127" i="6"/>
  <c r="C127" i="6" s="1"/>
  <c r="C128" i="6" s="1"/>
  <c r="C132" i="6" s="1"/>
  <c r="H119" i="6"/>
  <c r="S115" i="6"/>
  <c r="T115" i="6"/>
  <c r="T119" i="6"/>
  <c r="S120" i="6"/>
  <c r="T112" i="6"/>
  <c r="H308" i="10"/>
  <c r="H279" i="7" l="1"/>
  <c r="I257" i="7"/>
  <c r="I272" i="7"/>
  <c r="J271" i="7"/>
  <c r="J257" i="7"/>
  <c r="E279" i="7"/>
  <c r="G297" i="7" s="1"/>
  <c r="I299" i="10"/>
  <c r="J299" i="10"/>
  <c r="R114" i="3"/>
  <c r="Q114" i="3"/>
  <c r="T128" i="6"/>
  <c r="S129" i="6"/>
  <c r="H128" i="6"/>
  <c r="H132" i="6" s="1"/>
  <c r="T121" i="6"/>
  <c r="I273" i="7" l="1"/>
  <c r="J273" i="7"/>
  <c r="E281" i="7"/>
  <c r="E298" i="7" s="1"/>
  <c r="H297" i="7" s="1"/>
  <c r="J258" i="7"/>
  <c r="J300" i="10"/>
  <c r="C125" i="3"/>
  <c r="C126" i="3" s="1"/>
  <c r="C128" i="3" s="1"/>
  <c r="R118" i="3"/>
  <c r="H141" i="6"/>
  <c r="T124" i="6"/>
  <c r="S124" i="6"/>
  <c r="E297" i="7" l="1"/>
  <c r="J291" i="7" s="1"/>
  <c r="J275" i="7"/>
  <c r="I275" i="7"/>
  <c r="I290" i="7"/>
  <c r="J289" i="7"/>
  <c r="C130" i="3"/>
  <c r="R131" i="3"/>
  <c r="R122" i="3"/>
  <c r="Q138" i="3" s="1"/>
  <c r="Q125" i="3"/>
  <c r="R141" i="3" s="1"/>
  <c r="R124" i="3"/>
  <c r="R125" i="3"/>
  <c r="C140" i="6"/>
  <c r="T130" i="6"/>
  <c r="E299" i="7" l="1"/>
  <c r="J293" i="7" s="1"/>
  <c r="I291" i="7"/>
  <c r="J276" i="7"/>
  <c r="R134" i="3"/>
  <c r="R142" i="3"/>
  <c r="Q122" i="3"/>
  <c r="R126" i="3" s="1"/>
  <c r="C141" i="6"/>
  <c r="H150" i="6" s="1"/>
  <c r="T141" i="6"/>
  <c r="S142" i="6"/>
  <c r="I293" i="7" l="1"/>
  <c r="J294" i="7" s="1"/>
  <c r="T137" i="6"/>
  <c r="S137" i="6"/>
  <c r="H299" i="7"/>
  <c r="T143" i="6" l="1"/>
  <c r="C149" i="6"/>
  <c r="C150" i="6" l="1"/>
  <c r="H158" i="6" s="1"/>
  <c r="T150" i="6"/>
  <c r="S151" i="6"/>
  <c r="T146" i="6" l="1"/>
  <c r="S146" i="6"/>
  <c r="C158" i="6" l="1"/>
  <c r="C159" i="6" s="1"/>
  <c r="C161" i="6" s="1"/>
  <c r="C163" i="6" s="1"/>
  <c r="H159" i="6"/>
  <c r="H161" i="6" s="1"/>
  <c r="T152" i="6"/>
  <c r="S160" i="6" l="1"/>
  <c r="T178" i="6" s="1"/>
  <c r="T159" i="6"/>
  <c r="T155" i="6" l="1"/>
  <c r="S155" i="6"/>
  <c r="S173" i="6" l="1"/>
  <c r="T161" i="6"/>
  <c r="T179" i="6" l="1"/>
  <c r="V13" i="16" l="1"/>
  <c r="V15" i="16" l="1"/>
  <c r="W13" i="16" l="1"/>
  <c r="W15" i="16" l="1"/>
  <c r="X13" i="16" l="1"/>
  <c r="X15" i="16" l="1"/>
  <c r="Y13" i="16" l="1"/>
  <c r="Y15" i="16" l="1"/>
  <c r="Z13" i="16" l="1"/>
  <c r="Z15" i="16" l="1"/>
  <c r="AA13" i="16" l="1"/>
  <c r="AA15" i="16" l="1"/>
  <c r="AB13" i="16" l="1"/>
  <c r="AB15" i="16" l="1"/>
  <c r="AC13" i="16" l="1"/>
  <c r="AC15" i="16" l="1"/>
  <c r="AD13" i="16" l="1"/>
  <c r="AD15" i="16" s="1"/>
  <c r="AE13" i="16" l="1"/>
  <c r="AF5" i="16" s="1"/>
  <c r="AF8" i="16" l="1"/>
  <c r="AQ11" i="16" s="1"/>
  <c r="AE15" i="16"/>
  <c r="AF13" i="16" l="1"/>
  <c r="AF15" i="16" s="1"/>
  <c r="D8" i="16"/>
  <c r="AG5" i="16"/>
  <c r="AG13" i="16" s="1"/>
  <c r="AG15" i="16" s="1"/>
  <c r="L17" i="18" l="1"/>
  <c r="K19" i="18"/>
  <c r="L15" i="18" l="1"/>
  <c r="K15" i="18"/>
  <c r="K18" i="18"/>
  <c r="L19" i="18"/>
  <c r="AH5" i="16"/>
  <c r="L13" i="18" l="1"/>
  <c r="K14" i="18"/>
  <c r="AH13" i="16"/>
  <c r="AI5" i="16" l="1"/>
  <c r="AH15" i="16"/>
  <c r="AI13" i="16" l="1"/>
  <c r="AJ5" i="16" s="1"/>
  <c r="AJ13" i="16" s="1"/>
  <c r="AI15" i="16" l="1"/>
  <c r="AK5" i="16"/>
  <c r="AJ15" i="16"/>
  <c r="AK13" i="16" l="1"/>
  <c r="AL5" i="16" l="1"/>
  <c r="AK15" i="16"/>
  <c r="AL13" i="16" l="1"/>
  <c r="AM5" i="16" s="1"/>
  <c r="C11" i="16"/>
  <c r="AM13" i="16" l="1"/>
  <c r="AM15" i="16" s="1"/>
  <c r="AL15" i="16"/>
  <c r="AN5" i="16" l="1"/>
  <c r="AN13" i="16" l="1"/>
  <c r="AO5" i="16" s="1"/>
  <c r="AN15" i="16" l="1"/>
  <c r="AO13" i="16" l="1"/>
  <c r="AO15" i="16" s="1"/>
  <c r="AP5" i="16" l="1"/>
  <c r="AP13" i="16" l="1"/>
  <c r="AQ5" i="16" s="1"/>
  <c r="AQ8" i="16" s="1"/>
  <c r="AQ13" i="16" l="1"/>
  <c r="AQ15" i="16" s="1"/>
  <c r="AP15" i="16"/>
  <c r="AR5" i="16" l="1"/>
  <c r="C8" i="16" l="1"/>
  <c r="C13" i="16" s="1"/>
  <c r="AR13" i="16" l="1"/>
  <c r="F1" i="24"/>
  <c r="F1" i="26"/>
  <c r="AS5" i="16" l="1"/>
  <c r="AS8" i="16" s="1"/>
  <c r="AR15" i="16"/>
  <c r="F1" i="25"/>
  <c r="C1" i="27"/>
  <c r="F1" i="27" l="1"/>
  <c r="C1" i="28"/>
  <c r="AS13" i="16" l="1"/>
  <c r="AT5" i="16" s="1"/>
  <c r="AT8" i="16" s="1"/>
  <c r="C1" i="29"/>
  <c r="F1" i="29" s="1"/>
  <c r="F1" i="28"/>
  <c r="L27" i="18" l="1"/>
  <c r="K27" i="18"/>
  <c r="AS15" i="16"/>
  <c r="AT13" i="16"/>
  <c r="AU5" i="16" s="1"/>
  <c r="AU8" i="16" s="1"/>
  <c r="L25" i="18"/>
  <c r="H61" i="5" l="1"/>
  <c r="I61" i="5"/>
  <c r="K26" i="18"/>
  <c r="AT15" i="16"/>
  <c r="AU13" i="16" l="1"/>
  <c r="I62" i="5" l="1"/>
  <c r="AV5" i="16"/>
  <c r="AV8" i="16" s="1"/>
  <c r="AU15" i="16"/>
  <c r="I62" i="19" l="1"/>
  <c r="AV13" i="16" l="1"/>
  <c r="AV15" i="16" s="1"/>
  <c r="AW5" i="16" l="1"/>
  <c r="AW8" i="16" s="1"/>
  <c r="AW13" i="16" l="1"/>
  <c r="AX5" i="16" s="1"/>
  <c r="AX8" i="16" s="1"/>
  <c r="BC11" i="16" s="1"/>
  <c r="I62" i="21"/>
  <c r="AW15" i="16"/>
  <c r="AX13" i="16" l="1"/>
  <c r="AY5" i="16" l="1"/>
  <c r="AX15" i="16"/>
  <c r="AY8" i="16" l="1"/>
  <c r="AY13" i="16" l="1"/>
  <c r="AY15" i="16" s="1"/>
  <c r="AZ5" i="16" l="1"/>
  <c r="AZ8" i="16" s="1"/>
  <c r="AZ13" i="16" l="1"/>
  <c r="BA5" i="16" s="1"/>
  <c r="AZ15" i="16" l="1"/>
  <c r="BA8" i="16"/>
  <c r="BA13" i="16" l="1"/>
  <c r="BA15" i="16" s="1"/>
  <c r="BB5" i="16" l="1"/>
  <c r="BB8" i="16" s="1"/>
  <c r="I62" i="22"/>
  <c r="I62" i="26"/>
  <c r="I62" i="23"/>
  <c r="I62" i="24"/>
  <c r="I62" i="20"/>
  <c r="I62" i="25"/>
  <c r="BB13" i="16" l="1"/>
  <c r="BC5" i="16" s="1"/>
  <c r="BC8" i="16" s="1"/>
  <c r="BB15" i="16" l="1"/>
  <c r="BC13" i="16"/>
  <c r="BC15" i="16" s="1"/>
  <c r="BD5" i="16" l="1"/>
  <c r="BD8" i="16" l="1"/>
  <c r="BK7" i="16" l="1"/>
  <c r="BK5" i="16"/>
  <c r="BJ7" i="16"/>
  <c r="K4" i="18" s="1"/>
  <c r="BJ6" i="16"/>
  <c r="BD13" i="16"/>
  <c r="BD15" i="16" s="1"/>
  <c r="H61" i="27" l="1"/>
  <c r="BK11" i="16"/>
  <c r="K61" i="45"/>
  <c r="K3" i="18"/>
  <c r="K32" i="18" s="1"/>
  <c r="I61" i="27"/>
  <c r="L2" i="18"/>
  <c r="L61" i="45"/>
  <c r="L4" i="18"/>
  <c r="L32" i="18" l="1"/>
  <c r="I62" i="29"/>
  <c r="L62" i="45"/>
  <c r="I62" i="28"/>
  <c r="I62" i="27"/>
</calcChain>
</file>

<file path=xl/comments1.xml><?xml version="1.0" encoding="utf-8"?>
<comments xmlns="http://schemas.openxmlformats.org/spreadsheetml/2006/main">
  <authors>
    <author>MGG9990</author>
    <author>Berg, Jenny</author>
  </authors>
  <commentList>
    <comment ref="I5" authorId="0" shapeId="0">
      <text>
        <r>
          <rPr>
            <b/>
            <sz val="8"/>
            <color indexed="81"/>
            <rFont val="Tahoma"/>
            <family val="2"/>
          </rPr>
          <t>MGG9990:</t>
        </r>
        <r>
          <rPr>
            <sz val="8"/>
            <color indexed="81"/>
            <rFont val="Tahoma"/>
            <family val="2"/>
          </rPr>
          <t xml:space="preserve">
Updated once per year; email to be provided by rates with a memo on the allocation %</t>
        </r>
      </text>
    </comment>
    <comment ref="C30" authorId="1" shapeId="0">
      <text>
        <r>
          <rPr>
            <b/>
            <sz val="9"/>
            <color indexed="81"/>
            <rFont val="Tahoma"/>
            <family val="2"/>
          </rPr>
          <t>Berg, Jenny:</t>
        </r>
        <r>
          <rPr>
            <sz val="9"/>
            <color indexed="81"/>
            <rFont val="Tahoma"/>
            <family val="2"/>
          </rPr>
          <t xml:space="preserve">
adjust for penny rounding</t>
        </r>
      </text>
    </comment>
  </commentList>
</comments>
</file>

<file path=xl/comments10.xml><?xml version="1.0" encoding="utf-8"?>
<comments xmlns="http://schemas.openxmlformats.org/spreadsheetml/2006/main">
  <authors>
    <author>MGG9990</author>
    <author>Berg, Jenny</author>
  </authors>
  <commentList>
    <comment ref="I5" authorId="0" shapeId="0">
      <text>
        <r>
          <rPr>
            <sz val="8"/>
            <color indexed="81"/>
            <rFont val="Tahoma"/>
            <family val="2"/>
          </rPr>
          <t>Updated once per year; email (5 Day Peak Allocator) to be provided by rates with a memo on the allocation %. Usually changes effective Nov. 1.</t>
        </r>
      </text>
    </comment>
    <comment ref="H12" authorId="1" shapeId="0">
      <text>
        <r>
          <rPr>
            <b/>
            <sz val="9"/>
            <color indexed="81"/>
            <rFont val="Tahoma"/>
            <family val="2"/>
          </rPr>
          <t>Berg, Jenny:</t>
        </r>
        <r>
          <rPr>
            <sz val="9"/>
            <color indexed="81"/>
            <rFont val="Tahoma"/>
            <family val="2"/>
          </rPr>
          <t xml:space="preserve">
see if this amount is still a negative cost…like july and aug '17.</t>
        </r>
      </text>
    </comment>
    <comment ref="G52" authorId="1" shapeId="0">
      <text>
        <r>
          <rPr>
            <b/>
            <sz val="9"/>
            <color indexed="81"/>
            <rFont val="Tahoma"/>
            <family val="2"/>
          </rPr>
          <t>Berg, Jenny:</t>
        </r>
        <r>
          <rPr>
            <sz val="9"/>
            <color indexed="81"/>
            <rFont val="Tahoma"/>
            <family val="2"/>
          </rPr>
          <t xml:space="preserve">
Positive Amt = Net Expense
Negative Amt = Net Revenue</t>
        </r>
      </text>
    </comment>
    <comment ref="G53" authorId="1" shapeId="0">
      <text>
        <r>
          <rPr>
            <b/>
            <sz val="9"/>
            <color indexed="81"/>
            <rFont val="Tahoma"/>
            <family val="2"/>
          </rPr>
          <t>Berg, Jenny:</t>
        </r>
        <r>
          <rPr>
            <sz val="9"/>
            <color indexed="81"/>
            <rFont val="Tahoma"/>
            <family val="2"/>
          </rPr>
          <t xml:space="preserve">
Always Negative Amt = Revenue collected from borrowers based on current rates.</t>
        </r>
      </text>
    </comment>
  </commentList>
</comments>
</file>

<file path=xl/comments11.xml><?xml version="1.0" encoding="utf-8"?>
<comments xmlns="http://schemas.openxmlformats.org/spreadsheetml/2006/main">
  <authors>
    <author>MGG9990</author>
    <author>Berg, Jenny</author>
  </authors>
  <commentList>
    <comment ref="I5" authorId="0" shapeId="0">
      <text>
        <r>
          <rPr>
            <sz val="8"/>
            <color indexed="81"/>
            <rFont val="Tahoma"/>
            <family val="2"/>
          </rPr>
          <t>Updated once per year; email (5 Day Peak Allocator) to be provided by rates with a memo on the allocation %. Usually changes effective Nov. 1.</t>
        </r>
      </text>
    </comment>
    <comment ref="G52" authorId="1" shapeId="0">
      <text>
        <r>
          <rPr>
            <b/>
            <sz val="9"/>
            <color indexed="81"/>
            <rFont val="Tahoma"/>
            <family val="2"/>
          </rPr>
          <t>Berg, Jenny:</t>
        </r>
        <r>
          <rPr>
            <sz val="9"/>
            <color indexed="81"/>
            <rFont val="Tahoma"/>
            <family val="2"/>
          </rPr>
          <t xml:space="preserve">
Positive Amt = Net Expense
Negative Amt = Net Revenue</t>
        </r>
      </text>
    </comment>
    <comment ref="G53" authorId="1" shapeId="0">
      <text>
        <r>
          <rPr>
            <b/>
            <sz val="9"/>
            <color indexed="81"/>
            <rFont val="Tahoma"/>
            <family val="2"/>
          </rPr>
          <t>Berg, Jenny:</t>
        </r>
        <r>
          <rPr>
            <sz val="9"/>
            <color indexed="81"/>
            <rFont val="Tahoma"/>
            <family val="2"/>
          </rPr>
          <t xml:space="preserve">
Always Negative Amt = Revenue collected from borrowers based on current rates.</t>
        </r>
      </text>
    </comment>
  </commentList>
</comments>
</file>

<file path=xl/comments12.xml><?xml version="1.0" encoding="utf-8"?>
<comments xmlns="http://schemas.openxmlformats.org/spreadsheetml/2006/main">
  <authors>
    <author>MGG9990</author>
    <author>Berg, Jenny</author>
  </authors>
  <commentList>
    <comment ref="I5" authorId="0" shapeId="0">
      <text>
        <r>
          <rPr>
            <sz val="8"/>
            <color indexed="81"/>
            <rFont val="Tahoma"/>
            <family val="2"/>
          </rPr>
          <t>Updated once per year; email (5 Day Peak Allocator) to be provided by rates with a memo on the allocation %. Usually changes effective Nov. 1.</t>
        </r>
      </text>
    </comment>
    <comment ref="M28" authorId="1" shapeId="0">
      <text>
        <r>
          <rPr>
            <b/>
            <sz val="9"/>
            <color indexed="81"/>
            <rFont val="Tahoma"/>
            <family val="2"/>
          </rPr>
          <t>Berg, Jenny:</t>
        </r>
        <r>
          <rPr>
            <sz val="9"/>
            <color indexed="81"/>
            <rFont val="Tahoma"/>
            <family val="2"/>
          </rPr>
          <t xml:space="preserve">
comes from ss we build -
H://Natural Gas Accounting/Gas Cost Data Bases/PGA Rate Changes/2016/11-2016 ID - PGA Rate Changes</t>
        </r>
      </text>
    </comment>
    <comment ref="I32" authorId="1" shapeId="0">
      <text>
        <r>
          <rPr>
            <b/>
            <sz val="9"/>
            <color indexed="81"/>
            <rFont val="Tahoma"/>
            <family val="2"/>
          </rPr>
          <t>Berg, Jenny:</t>
        </r>
        <r>
          <rPr>
            <sz val="9"/>
            <color indexed="81"/>
            <rFont val="Tahoma"/>
            <family val="2"/>
          </rPr>
          <t xml:space="preserve">
comes from ss we build -
H://Natural Gas Accounting/Gas Cost Data Bases/PGA Rate Changes/2016/11-2016 WA - PGA Rate Changes</t>
        </r>
      </text>
    </comment>
    <comment ref="M43" authorId="1" shapeId="0">
      <text>
        <r>
          <rPr>
            <b/>
            <sz val="9"/>
            <color indexed="81"/>
            <rFont val="Tahoma"/>
            <family val="2"/>
          </rPr>
          <t>Berg, Jenny:</t>
        </r>
        <r>
          <rPr>
            <sz val="9"/>
            <color indexed="81"/>
            <rFont val="Tahoma"/>
            <family val="2"/>
          </rPr>
          <t xml:space="preserve">
comes from ss we build -
H://Natural Gas Accounting/Gas Cost Data Bases/PGA Rate Changes/2016/11-2016 ID - PGA Rate Changes</t>
        </r>
      </text>
    </comment>
    <comment ref="I45" authorId="1" shapeId="0">
      <text>
        <r>
          <rPr>
            <b/>
            <sz val="9"/>
            <color indexed="81"/>
            <rFont val="Tahoma"/>
            <family val="2"/>
          </rPr>
          <t>Berg, Jenny:</t>
        </r>
        <r>
          <rPr>
            <sz val="9"/>
            <color indexed="81"/>
            <rFont val="Tahoma"/>
            <family val="2"/>
          </rPr>
          <t xml:space="preserve">
comes from ss we build -
H://Natural Gas Accounting/Gas Cost Data Bases/PGA Rate Changes/2016/11-2016 WA - PGA Rate Changes</t>
        </r>
      </text>
    </comment>
  </commentList>
</comments>
</file>

<file path=xl/comments13.xml><?xml version="1.0" encoding="utf-8"?>
<comments xmlns="http://schemas.openxmlformats.org/spreadsheetml/2006/main">
  <authors>
    <author>MGG9990</author>
  </authors>
  <commentList>
    <comment ref="I5" authorId="0" shapeId="0">
      <text>
        <r>
          <rPr>
            <sz val="8"/>
            <color indexed="81"/>
            <rFont val="Tahoma"/>
            <family val="2"/>
          </rPr>
          <t>Updated once per year; email (5 Day Peak Allocator) to be provided by rates with a memo on the allocation %. Usually changes effective Nov. 1.</t>
        </r>
      </text>
    </comment>
  </commentList>
</comments>
</file>

<file path=xl/comments14.xml><?xml version="1.0" encoding="utf-8"?>
<comments xmlns="http://schemas.openxmlformats.org/spreadsheetml/2006/main">
  <authors>
    <author>MGG9990</author>
    <author>Berg, Jenny</author>
    <author>Christine Machado</author>
    <author>Carolyn Groome</author>
  </authors>
  <commentList>
    <comment ref="H8" authorId="0" shapeId="0">
      <text>
        <r>
          <rPr>
            <b/>
            <sz val="8"/>
            <color indexed="81"/>
            <rFont val="Tahoma"/>
            <family val="2"/>
          </rPr>
          <t>MGG9990:</t>
        </r>
        <r>
          <rPr>
            <sz val="8"/>
            <color indexed="81"/>
            <rFont val="Tahoma"/>
            <family val="2"/>
          </rPr>
          <t xml:space="preserve">
Adjusted formula as adjustment includes interest</t>
        </r>
      </text>
    </comment>
    <comment ref="S8" authorId="0" shapeId="0">
      <text>
        <r>
          <rPr>
            <b/>
            <sz val="9"/>
            <color indexed="81"/>
            <rFont val="Tahoma"/>
            <family val="2"/>
          </rPr>
          <t>MGG9990:</t>
        </r>
        <r>
          <rPr>
            <sz val="9"/>
            <color indexed="81"/>
            <rFont val="Tahoma"/>
            <family val="2"/>
          </rPr>
          <t xml:space="preserve">
Interest Calculation Includes Transfer in beginning balance</t>
        </r>
      </text>
    </comment>
    <comment ref="AE8" authorId="0" shapeId="0">
      <text>
        <r>
          <rPr>
            <b/>
            <sz val="9"/>
            <color indexed="81"/>
            <rFont val="Tahoma"/>
            <family val="2"/>
          </rPr>
          <t>MGG9990:</t>
        </r>
        <r>
          <rPr>
            <sz val="9"/>
            <color indexed="81"/>
            <rFont val="Tahoma"/>
            <family val="2"/>
          </rPr>
          <t xml:space="preserve">
Interest Calculation Includes Transfer in beginning balance</t>
        </r>
      </text>
    </comment>
    <comment ref="AQ8" authorId="1" shapeId="0">
      <text>
        <r>
          <rPr>
            <b/>
            <sz val="9"/>
            <color indexed="81"/>
            <rFont val="Tahoma"/>
            <family val="2"/>
          </rPr>
          <t xml:space="preserve">MGG9990:
</t>
        </r>
        <r>
          <rPr>
            <sz val="9"/>
            <color indexed="81"/>
            <rFont val="Tahoma"/>
            <family val="2"/>
          </rPr>
          <t>Interest Calculation Includes Transfer in beginning balance</t>
        </r>
      </text>
    </comment>
    <comment ref="BC8" authorId="1" shapeId="0">
      <text>
        <r>
          <rPr>
            <b/>
            <sz val="9"/>
            <color indexed="81"/>
            <rFont val="Tahoma"/>
            <family val="2"/>
          </rPr>
          <t xml:space="preserve">MGG9990:
</t>
        </r>
        <r>
          <rPr>
            <sz val="9"/>
            <color indexed="81"/>
            <rFont val="Tahoma"/>
            <family val="2"/>
          </rPr>
          <t>Interest Calculation Includes Transfer in beginning balance</t>
        </r>
      </text>
    </comment>
    <comment ref="G9" authorId="0" shapeId="0">
      <text>
        <r>
          <rPr>
            <b/>
            <sz val="8"/>
            <color indexed="81"/>
            <rFont val="Tahoma"/>
            <family val="2"/>
          </rPr>
          <t>MGG9990:</t>
        </r>
        <r>
          <rPr>
            <sz val="8"/>
            <color indexed="81"/>
            <rFont val="Tahoma"/>
            <family val="2"/>
          </rPr>
          <t xml:space="preserve">
PGA TRANSFER</t>
        </r>
      </text>
    </comment>
    <comment ref="G10" authorId="0" shapeId="0">
      <text>
        <r>
          <rPr>
            <b/>
            <sz val="8"/>
            <color indexed="81"/>
            <rFont val="Tahoma"/>
            <family val="2"/>
          </rPr>
          <t>MGG9990:</t>
        </r>
        <r>
          <rPr>
            <sz val="8"/>
            <color indexed="81"/>
            <rFont val="Tahoma"/>
            <family val="2"/>
          </rPr>
          <t xml:space="preserve">
PGA TRANSFER</t>
        </r>
      </text>
    </comment>
    <comment ref="H10" authorId="0" shapeId="0">
      <text>
        <r>
          <rPr>
            <b/>
            <sz val="8"/>
            <color indexed="81"/>
            <rFont val="Tahoma"/>
            <family val="2"/>
          </rPr>
          <t>MGG9990:</t>
        </r>
        <r>
          <rPr>
            <sz val="8"/>
            <color indexed="81"/>
            <rFont val="Tahoma"/>
            <family val="2"/>
          </rPr>
          <t xml:space="preserve">
NSJ025</t>
        </r>
      </text>
    </comment>
    <comment ref="G11" authorId="0" shapeId="0">
      <text>
        <r>
          <rPr>
            <b/>
            <sz val="8"/>
            <color indexed="81"/>
            <rFont val="Tahoma"/>
            <family val="2"/>
          </rPr>
          <t>MGG9990:</t>
        </r>
        <r>
          <rPr>
            <sz val="8"/>
            <color indexed="81"/>
            <rFont val="Tahoma"/>
            <family val="2"/>
          </rPr>
          <t xml:space="preserve">
PGA TRANSFER</t>
        </r>
      </text>
    </comment>
    <comment ref="H11" authorId="0" shapeId="0">
      <text>
        <r>
          <rPr>
            <b/>
            <sz val="8"/>
            <color indexed="81"/>
            <rFont val="Tahoma"/>
            <family val="2"/>
          </rPr>
          <t>MGG9990:</t>
        </r>
        <r>
          <rPr>
            <sz val="8"/>
            <color indexed="81"/>
            <rFont val="Tahoma"/>
            <family val="2"/>
          </rPr>
          <t xml:space="preserve">
NSJ025</t>
        </r>
      </text>
    </comment>
    <comment ref="X12" authorId="2" shapeId="0">
      <text>
        <r>
          <rPr>
            <b/>
            <sz val="9"/>
            <color indexed="81"/>
            <rFont val="Tahoma"/>
            <family val="2"/>
          </rPr>
          <t>Christine Machado:</t>
        </r>
        <r>
          <rPr>
            <sz val="9"/>
            <color indexed="81"/>
            <rFont val="Tahoma"/>
            <family val="2"/>
          </rPr>
          <t xml:space="preserve">
Correction from WA-Def-Amtz Correction 201504 tab</t>
        </r>
      </text>
    </comment>
    <comment ref="AF12" authorId="2" shapeId="0">
      <text>
        <r>
          <rPr>
            <b/>
            <sz val="9"/>
            <color indexed="81"/>
            <rFont val="Tahoma"/>
            <family val="2"/>
          </rPr>
          <t>Christine Machado:</t>
        </r>
        <r>
          <rPr>
            <sz val="9"/>
            <color indexed="81"/>
            <rFont val="Tahoma"/>
            <family val="2"/>
          </rPr>
          <t xml:space="preserve">
201511 picking up schedule 146 unbilled in proration report</t>
        </r>
      </text>
    </comment>
    <comment ref="AQ12" authorId="1" shapeId="0">
      <text>
        <r>
          <rPr>
            <b/>
            <sz val="9"/>
            <color indexed="81"/>
            <rFont val="Tahoma"/>
            <family val="2"/>
          </rPr>
          <t>Berg, Jenny:</t>
        </r>
        <r>
          <rPr>
            <sz val="9"/>
            <color indexed="81"/>
            <rFont val="Tahoma"/>
            <family val="2"/>
          </rPr>
          <t xml:space="preserve">
"plug" to get to Ryan's balance of $14,182,183.96</t>
        </r>
      </text>
    </comment>
    <comment ref="BC12" authorId="1" shapeId="0">
      <text>
        <r>
          <rPr>
            <b/>
            <sz val="9"/>
            <color indexed="81"/>
            <rFont val="Tahoma"/>
            <family val="2"/>
          </rPr>
          <t>Berg, Jenny:</t>
        </r>
        <r>
          <rPr>
            <sz val="9"/>
            <color indexed="81"/>
            <rFont val="Tahoma"/>
            <family val="2"/>
          </rPr>
          <t xml:space="preserve">
Dec/Jan Rate Schedule 146 difference per Rates
Added in order to tie to Annette's balance of $14,771,212.55</t>
        </r>
      </text>
    </comment>
    <comment ref="AL14" authorId="1" shapeId="0">
      <text>
        <r>
          <rPr>
            <b/>
            <sz val="9"/>
            <color indexed="81"/>
            <rFont val="Tahoma"/>
            <family val="2"/>
          </rPr>
          <t>Berg, Jenny:</t>
        </r>
        <r>
          <rPr>
            <sz val="9"/>
            <color indexed="81"/>
            <rFont val="Tahoma"/>
            <family val="2"/>
          </rPr>
          <t xml:space="preserve">
Ryan's balance = 
$14,182,183.96</t>
        </r>
      </text>
    </comment>
    <comment ref="AX14" authorId="1" shapeId="0">
      <text>
        <r>
          <rPr>
            <b/>
            <sz val="9"/>
            <color indexed="81"/>
            <rFont val="Tahoma"/>
            <family val="2"/>
          </rPr>
          <t>Berg, Jenny:</t>
        </r>
        <r>
          <rPr>
            <sz val="9"/>
            <color indexed="81"/>
            <rFont val="Tahoma"/>
            <family val="2"/>
          </rPr>
          <t xml:space="preserve">
Annette's balance = $14,771,212.55.
Difference = $35.15 and noted under Misc Adjustments in November.</t>
        </r>
      </text>
    </comment>
    <comment ref="B22" authorId="1" shapeId="0">
      <text>
        <r>
          <rPr>
            <b/>
            <sz val="9"/>
            <color indexed="81"/>
            <rFont val="Tahoma"/>
            <family val="2"/>
          </rPr>
          <t>Berg, Jenny:</t>
        </r>
        <r>
          <rPr>
            <sz val="9"/>
            <color indexed="81"/>
            <rFont val="Tahoma"/>
            <family val="2"/>
          </rPr>
          <t xml:space="preserve">
Captured annually; compiled from rates.  Booked in November - "November 2016 Transfers".  Includes 112 (if there were customers), 122 &amp; 132.
122 - St Lukes Hospital
122- State of Washington
122 - Spokane County Courthouse
132 - Spokane County Courthouse
132 - State of Washington</t>
        </r>
      </text>
    </comment>
    <comment ref="B24" authorId="1" shapeId="0">
      <text>
        <r>
          <rPr>
            <b/>
            <sz val="9"/>
            <color indexed="81"/>
            <rFont val="Tahoma"/>
            <family val="2"/>
          </rPr>
          <t>Berg, Jenny:</t>
        </r>
        <r>
          <rPr>
            <sz val="9"/>
            <color indexed="81"/>
            <rFont val="Tahoma"/>
            <family val="2"/>
          </rPr>
          <t xml:space="preserve">
Captured annually; compiled from rates.  Booked in November - "November 2016 Transfers".  Includes 112 (if there were customers), 122 &amp; 132.
122 - St Lukes Hospital
122- State of Washington
122 - Spokane County Courthouse
132 - Spokane County Courthouse
132 - State of Washington</t>
        </r>
      </text>
    </comment>
    <comment ref="B26" authorId="1" shapeId="0">
      <text>
        <r>
          <rPr>
            <b/>
            <sz val="9"/>
            <color indexed="81"/>
            <rFont val="Tahoma"/>
            <family val="2"/>
          </rPr>
          <t>Berg, Jenny:</t>
        </r>
        <r>
          <rPr>
            <sz val="9"/>
            <color indexed="81"/>
            <rFont val="Tahoma"/>
            <family val="2"/>
          </rPr>
          <t xml:space="preserve">
Captured annually; compiled from rates.  Booked in November - "November 2016 Transfers".  Includes 112 (if there were customers), 122 &amp; 132.
122 - St Lukes Hospital
122- State of Washington
122 - Spokane County Courthouse
132 - Spokane County Courthouse
132 - State of Washington</t>
        </r>
      </text>
    </comment>
    <comment ref="W29" authorId="3" shapeId="0">
      <text>
        <r>
          <rPr>
            <b/>
            <sz val="9"/>
            <color indexed="81"/>
            <rFont val="Tahoma"/>
            <family val="2"/>
          </rPr>
          <t>Carolyn Groome:</t>
        </r>
        <r>
          <rPr>
            <sz val="9"/>
            <color indexed="81"/>
            <rFont val="Tahoma"/>
            <family val="2"/>
          </rPr>
          <t xml:space="preserve">
From Calendar Sales file</t>
        </r>
      </text>
    </comment>
    <comment ref="B35" authorId="1" shapeId="0">
      <text>
        <r>
          <rPr>
            <b/>
            <sz val="9"/>
            <color indexed="81"/>
            <rFont val="Tahoma"/>
            <family val="2"/>
          </rPr>
          <t>Berg, Jenny:</t>
        </r>
        <r>
          <rPr>
            <sz val="9"/>
            <color indexed="81"/>
            <rFont val="Tahoma"/>
            <family val="2"/>
          </rPr>
          <t xml:space="preserve">
Captured annually; compiled from rates.  Booked in November - "November 2016 Transfers".  Includes 112 (if there were customers), 122 &amp; 132.
122 - St Lukes Hospital
122- State of Washington
122 - Spokane County Courthouse
132 - Spokane County Courthouse
132 - State of Washington</t>
        </r>
      </text>
    </comment>
    <comment ref="B37" authorId="1" shapeId="0">
      <text>
        <r>
          <rPr>
            <b/>
            <sz val="9"/>
            <color indexed="81"/>
            <rFont val="Tahoma"/>
            <family val="2"/>
          </rPr>
          <t>Berg, Jenny:</t>
        </r>
        <r>
          <rPr>
            <sz val="9"/>
            <color indexed="81"/>
            <rFont val="Tahoma"/>
            <family val="2"/>
          </rPr>
          <t xml:space="preserve">
Captured annually; compiled from rates.  Booked in November - "November 2016 Transfers".  Includes 112 (if there were customers), 122 &amp; 132.
122 - St Lukes Hospital
122- State of Washington
122 - Spokane County Courthouse
132 - Spokane County Courthouse
132 - State of Washington</t>
        </r>
      </text>
    </comment>
    <comment ref="B39" authorId="1" shapeId="0">
      <text>
        <r>
          <rPr>
            <b/>
            <sz val="9"/>
            <color indexed="81"/>
            <rFont val="Tahoma"/>
            <family val="2"/>
          </rPr>
          <t>Berg, Jenny:</t>
        </r>
        <r>
          <rPr>
            <sz val="9"/>
            <color indexed="81"/>
            <rFont val="Tahoma"/>
            <family val="2"/>
          </rPr>
          <t xml:space="preserve">
Captured annually; compiled from rates.  Booked in November - "November 2016 Transfers".  Includes 112 (if there were customers), 122 &amp; 132.
122 - St Lukes Hospital
122- State of Washington
122 - Spokane County Courthouse
132 - Spokane County Courthouse
132 - State of Washington</t>
        </r>
      </text>
    </comment>
    <comment ref="S45" authorId="0" shapeId="0">
      <text>
        <r>
          <rPr>
            <b/>
            <sz val="9"/>
            <color indexed="81"/>
            <rFont val="Tahoma"/>
            <family val="2"/>
          </rPr>
          <t>MGG9990:</t>
        </r>
        <r>
          <rPr>
            <sz val="9"/>
            <color indexed="81"/>
            <rFont val="Tahoma"/>
            <family val="2"/>
          </rPr>
          <t xml:space="preserve">
From PGA Rate Changes Calculation workbook</t>
        </r>
      </text>
    </comment>
    <comment ref="AQ45" authorId="1" shapeId="0">
      <text>
        <r>
          <rPr>
            <b/>
            <sz val="9"/>
            <color indexed="81"/>
            <rFont val="Tahoma"/>
            <family val="2"/>
          </rPr>
          <t>Berg, Jenny:</t>
        </r>
        <r>
          <rPr>
            <sz val="9"/>
            <color indexed="81"/>
            <rFont val="Tahoma"/>
            <family val="2"/>
          </rPr>
          <t xml:space="preserve">
Amortization of Commodity &amp; Demand…increases in '16 b/c of change in rate from .02571 to .09174</t>
        </r>
      </text>
    </comment>
    <comment ref="AR45" authorId="1" shapeId="0">
      <text>
        <r>
          <rPr>
            <b/>
            <sz val="9"/>
            <color indexed="81"/>
            <rFont val="Tahoma"/>
            <family val="2"/>
          </rPr>
          <t>Berg, Jenny:</t>
        </r>
        <r>
          <rPr>
            <sz val="9"/>
            <color indexed="81"/>
            <rFont val="Tahoma"/>
            <family val="2"/>
          </rPr>
          <t xml:space="preserve">
Amortization of Commodity &amp; Demand</t>
        </r>
      </text>
    </comment>
    <comment ref="BC45" authorId="1" shapeId="0">
      <text>
        <r>
          <rPr>
            <b/>
            <sz val="9"/>
            <color indexed="81"/>
            <rFont val="Tahoma"/>
            <family val="2"/>
          </rPr>
          <t>Berg, Jenny:</t>
        </r>
        <r>
          <rPr>
            <sz val="9"/>
            <color indexed="81"/>
            <rFont val="Tahoma"/>
            <family val="2"/>
          </rPr>
          <t xml:space="preserve">
Amortization of Commodity &amp; Demand…</t>
        </r>
      </text>
    </comment>
    <comment ref="BD45" authorId="1" shapeId="0">
      <text>
        <r>
          <rPr>
            <b/>
            <sz val="9"/>
            <color indexed="81"/>
            <rFont val="Tahoma"/>
            <family val="2"/>
          </rPr>
          <t>Berg, Jenny:</t>
        </r>
        <r>
          <rPr>
            <sz val="9"/>
            <color indexed="81"/>
            <rFont val="Tahoma"/>
            <family val="2"/>
          </rPr>
          <t xml:space="preserve">
Amortization of Commodity &amp; Demand</t>
        </r>
      </text>
    </comment>
    <comment ref="BJ45" authorId="1" shapeId="0">
      <text>
        <r>
          <rPr>
            <b/>
            <sz val="9"/>
            <color indexed="81"/>
            <rFont val="Tahoma"/>
            <charset val="1"/>
          </rPr>
          <t>Berg, Jenny:</t>
        </r>
        <r>
          <rPr>
            <sz val="9"/>
            <color indexed="81"/>
            <rFont val="Tahoma"/>
            <charset val="1"/>
          </rPr>
          <t xml:space="preserve">
missed in Nov - book in December. 
Was orignally on November NSJ, but had to book an additional NSJ to take out since impacted tax depart and they were already done with their portion of close.</t>
        </r>
      </text>
    </comment>
    <comment ref="S46" authorId="0" shapeId="0">
      <text>
        <r>
          <rPr>
            <b/>
            <sz val="9"/>
            <color indexed="81"/>
            <rFont val="Tahoma"/>
            <family val="2"/>
          </rPr>
          <t>MGG9990:</t>
        </r>
        <r>
          <rPr>
            <sz val="9"/>
            <color indexed="81"/>
            <rFont val="Tahoma"/>
            <family val="2"/>
          </rPr>
          <t xml:space="preserve">
Interest Calculation Includes Transfer in beginning balance</t>
        </r>
      </text>
    </comment>
    <comment ref="AQ46" authorId="1" shapeId="0">
      <text>
        <r>
          <rPr>
            <b/>
            <sz val="9"/>
            <color indexed="81"/>
            <rFont val="Tahoma"/>
            <family val="2"/>
          </rPr>
          <t>Berg, Jenny:</t>
        </r>
        <r>
          <rPr>
            <sz val="9"/>
            <color indexed="81"/>
            <rFont val="Tahoma"/>
            <family val="2"/>
          </rPr>
          <t xml:space="preserve">
interest calculation</t>
        </r>
      </text>
    </comment>
    <comment ref="AR46" authorId="1" shapeId="0">
      <text>
        <r>
          <rPr>
            <b/>
            <sz val="9"/>
            <color indexed="81"/>
            <rFont val="Tahoma"/>
            <family val="2"/>
          </rPr>
          <t>Berg, Jenny:</t>
        </r>
        <r>
          <rPr>
            <sz val="9"/>
            <color indexed="81"/>
            <rFont val="Tahoma"/>
            <family val="2"/>
          </rPr>
          <t xml:space="preserve">
interest calculation</t>
        </r>
      </text>
    </comment>
    <comment ref="BC46" authorId="1" shapeId="0">
      <text>
        <r>
          <rPr>
            <b/>
            <sz val="9"/>
            <color indexed="81"/>
            <rFont val="Tahoma"/>
            <family val="2"/>
          </rPr>
          <t>Berg, Jenny:</t>
        </r>
        <r>
          <rPr>
            <sz val="9"/>
            <color indexed="81"/>
            <rFont val="Tahoma"/>
            <family val="2"/>
          </rPr>
          <t xml:space="preserve">
interest calculation</t>
        </r>
      </text>
    </comment>
    <comment ref="BD46" authorId="1" shapeId="0">
      <text>
        <r>
          <rPr>
            <b/>
            <sz val="9"/>
            <color indexed="81"/>
            <rFont val="Tahoma"/>
            <family val="2"/>
          </rPr>
          <t>Berg, Jenny:</t>
        </r>
        <r>
          <rPr>
            <sz val="9"/>
            <color indexed="81"/>
            <rFont val="Tahoma"/>
            <family val="2"/>
          </rPr>
          <t xml:space="preserve">
interest calculation</t>
        </r>
      </text>
    </comment>
    <comment ref="AQ47" authorId="1" shapeId="0">
      <text>
        <r>
          <rPr>
            <b/>
            <sz val="9"/>
            <color indexed="81"/>
            <rFont val="Tahoma"/>
            <family val="2"/>
          </rPr>
          <t>Berg, Jenny:</t>
        </r>
        <r>
          <rPr>
            <sz val="9"/>
            <color indexed="81"/>
            <rFont val="Tahoma"/>
            <family val="2"/>
          </rPr>
          <t xml:space="preserve">
Ryan's balance </t>
        </r>
      </text>
    </comment>
    <comment ref="BC47" authorId="1" shapeId="0">
      <text>
        <r>
          <rPr>
            <b/>
            <sz val="9"/>
            <color indexed="81"/>
            <rFont val="Tahoma"/>
            <family val="2"/>
          </rPr>
          <t>Berg, Jenny:</t>
        </r>
        <r>
          <rPr>
            <sz val="9"/>
            <color indexed="81"/>
            <rFont val="Tahoma"/>
            <family val="2"/>
          </rPr>
          <t xml:space="preserve">
Annette's balance </t>
        </r>
      </text>
    </comment>
    <comment ref="I48" authorId="0" shapeId="0">
      <text>
        <r>
          <rPr>
            <b/>
            <sz val="8"/>
            <color indexed="81"/>
            <rFont val="Tahoma"/>
            <family val="2"/>
          </rPr>
          <t>MGG9990:</t>
        </r>
        <r>
          <rPr>
            <sz val="8"/>
            <color indexed="81"/>
            <rFont val="Tahoma"/>
            <family val="2"/>
          </rPr>
          <t xml:space="preserve">
Large customer refund was surcharge rather than refund.</t>
        </r>
      </text>
    </comment>
    <comment ref="AQ48" authorId="1" shapeId="0">
      <text>
        <r>
          <rPr>
            <b/>
            <sz val="9"/>
            <color indexed="81"/>
            <rFont val="Tahoma"/>
            <family val="2"/>
          </rPr>
          <t>Berg, Jenny:</t>
        </r>
        <r>
          <rPr>
            <sz val="9"/>
            <color indexed="81"/>
            <rFont val="Tahoma"/>
            <family val="2"/>
          </rPr>
          <t xml:space="preserve">
refund on "November 2016 Transfers" spreadsheet</t>
        </r>
      </text>
    </comment>
    <comment ref="BC48" authorId="1" shapeId="0">
      <text>
        <r>
          <rPr>
            <b/>
            <sz val="9"/>
            <color indexed="81"/>
            <rFont val="Tahoma"/>
            <family val="2"/>
          </rPr>
          <t>Berg, Jenny:</t>
        </r>
        <r>
          <rPr>
            <sz val="9"/>
            <color indexed="81"/>
            <rFont val="Tahoma"/>
            <family val="2"/>
          </rPr>
          <t xml:space="preserve">
refund on Temporary Refunds/Charges Rate Spreadsheet</t>
        </r>
      </text>
    </comment>
    <comment ref="S80" authorId="0" shapeId="0">
      <text>
        <r>
          <rPr>
            <b/>
            <sz val="9"/>
            <color indexed="81"/>
            <rFont val="Tahoma"/>
            <family val="2"/>
          </rPr>
          <t>MGG9990:</t>
        </r>
        <r>
          <rPr>
            <sz val="9"/>
            <color indexed="81"/>
            <rFont val="Tahoma"/>
            <family val="2"/>
          </rPr>
          <t xml:space="preserve">
From PGA Rate Changes Calculation workbook</t>
        </r>
      </text>
    </comment>
    <comment ref="T80" authorId="0" shapeId="0">
      <text>
        <r>
          <rPr>
            <b/>
            <sz val="9"/>
            <color indexed="81"/>
            <rFont val="Tahoma"/>
            <family val="2"/>
          </rPr>
          <t>MGG9990:</t>
        </r>
        <r>
          <rPr>
            <sz val="9"/>
            <color indexed="81"/>
            <rFont val="Tahoma"/>
            <family val="2"/>
          </rPr>
          <t xml:space="preserve">
From PGA Rate Changes Calculation workbook</t>
        </r>
      </text>
    </comment>
    <comment ref="AQ80" authorId="1" shapeId="0">
      <text>
        <r>
          <rPr>
            <b/>
            <sz val="9"/>
            <color indexed="81"/>
            <rFont val="Tahoma"/>
            <family val="2"/>
          </rPr>
          <t>Berg, Jenny:</t>
        </r>
        <r>
          <rPr>
            <sz val="9"/>
            <color indexed="81"/>
            <rFont val="Tahoma"/>
            <family val="2"/>
          </rPr>
          <t xml:space="preserve">
JP Amortization</t>
        </r>
      </text>
    </comment>
    <comment ref="AR80" authorId="1" shapeId="0">
      <text>
        <r>
          <rPr>
            <b/>
            <sz val="9"/>
            <color indexed="81"/>
            <rFont val="Tahoma"/>
            <family val="2"/>
          </rPr>
          <t>Berg, Jenny:</t>
        </r>
        <r>
          <rPr>
            <sz val="9"/>
            <color indexed="81"/>
            <rFont val="Tahoma"/>
            <family val="2"/>
          </rPr>
          <t xml:space="preserve">
JP Amortization</t>
        </r>
      </text>
    </comment>
    <comment ref="BC80" authorId="1" shapeId="0">
      <text>
        <r>
          <rPr>
            <b/>
            <sz val="9"/>
            <color indexed="81"/>
            <rFont val="Tahoma"/>
            <family val="2"/>
          </rPr>
          <t>Berg, Jenny:</t>
        </r>
        <r>
          <rPr>
            <sz val="9"/>
            <color indexed="81"/>
            <rFont val="Tahoma"/>
            <family val="2"/>
          </rPr>
          <t xml:space="preserve">
Add October unbilled reversal…and then move remaining balance to 426500-ZZ-ZZ</t>
        </r>
      </text>
    </comment>
    <comment ref="AF81" authorId="2" shapeId="0">
      <text>
        <r>
          <rPr>
            <b/>
            <sz val="9"/>
            <color indexed="81"/>
            <rFont val="Tahoma"/>
            <family val="2"/>
          </rPr>
          <t>Christine Machado:</t>
        </r>
        <r>
          <rPr>
            <sz val="9"/>
            <color indexed="81"/>
            <rFont val="Tahoma"/>
            <family val="2"/>
          </rPr>
          <t xml:space="preserve">
201511 picking up schedule 146 unbilled in proration report</t>
        </r>
      </text>
    </comment>
    <comment ref="AS81" authorId="1" shapeId="0">
      <text>
        <r>
          <rPr>
            <b/>
            <sz val="9"/>
            <color indexed="81"/>
            <rFont val="Tahoma"/>
            <family val="2"/>
          </rPr>
          <t>Berg, Jenny:</t>
        </r>
        <r>
          <rPr>
            <sz val="9"/>
            <color indexed="81"/>
            <rFont val="Tahoma"/>
            <family val="2"/>
          </rPr>
          <t xml:space="preserve">
Correction to backwards sign on $298 last month...</t>
        </r>
      </text>
    </comment>
    <comment ref="BD82" authorId="1" shapeId="0">
      <text>
        <r>
          <rPr>
            <b/>
            <sz val="9"/>
            <color indexed="81"/>
            <rFont val="Tahoma"/>
            <charset val="1"/>
          </rPr>
          <t>Berg, Jenny:</t>
        </r>
        <r>
          <rPr>
            <sz val="9"/>
            <color indexed="81"/>
            <rFont val="Tahoma"/>
            <charset val="1"/>
          </rPr>
          <t xml:space="preserve">
No more entry</t>
        </r>
      </text>
    </comment>
    <comment ref="BB83" authorId="1" shapeId="0">
      <text>
        <r>
          <rPr>
            <b/>
            <sz val="9"/>
            <color indexed="81"/>
            <rFont val="Tahoma"/>
            <family val="2"/>
          </rPr>
          <t>Berg, Jenny:</t>
        </r>
        <r>
          <rPr>
            <sz val="9"/>
            <color indexed="81"/>
            <rFont val="Tahoma"/>
            <family val="2"/>
          </rPr>
          <t xml:space="preserve">
In November write off to 426500-ZZ-ZZ… </t>
        </r>
      </text>
    </comment>
  </commentList>
</comments>
</file>

<file path=xl/comments15.xml><?xml version="1.0" encoding="utf-8"?>
<comments xmlns="http://schemas.openxmlformats.org/spreadsheetml/2006/main">
  <authors>
    <author>CGroome</author>
  </authors>
  <commentList>
    <comment ref="E25" authorId="0" shapeId="0">
      <text>
        <r>
          <rPr>
            <b/>
            <sz val="8"/>
            <color indexed="81"/>
            <rFont val="Tahoma"/>
            <family val="2"/>
          </rPr>
          <t>CGroome:</t>
        </r>
        <r>
          <rPr>
            <sz val="8"/>
            <color indexed="81"/>
            <rFont val="Tahoma"/>
            <family val="2"/>
          </rPr>
          <t xml:space="preserve">
Once a year, Craig B. will supply $ (Large customer refund)</t>
        </r>
      </text>
    </comment>
    <comment ref="E48" authorId="0" shapeId="0">
      <text>
        <r>
          <rPr>
            <b/>
            <sz val="8"/>
            <color indexed="81"/>
            <rFont val="Tahoma"/>
            <family val="2"/>
          </rPr>
          <t>CGroome:</t>
        </r>
        <r>
          <rPr>
            <sz val="8"/>
            <color indexed="81"/>
            <rFont val="Tahoma"/>
            <family val="2"/>
          </rPr>
          <t xml:space="preserve">
Once a year, Craig B. will supply $ (Large customer refund)</t>
        </r>
      </text>
    </comment>
    <comment ref="E69" authorId="0" shapeId="0">
      <text>
        <r>
          <rPr>
            <b/>
            <sz val="8"/>
            <color indexed="81"/>
            <rFont val="Tahoma"/>
            <family val="2"/>
          </rPr>
          <t>CGroome:</t>
        </r>
        <r>
          <rPr>
            <sz val="8"/>
            <color indexed="81"/>
            <rFont val="Tahoma"/>
            <family val="2"/>
          </rPr>
          <t xml:space="preserve">
Once a year, Craig B. will supply $ (Large customer refund)</t>
        </r>
      </text>
    </comment>
    <comment ref="E90" authorId="0" shapeId="0">
      <text>
        <r>
          <rPr>
            <b/>
            <sz val="8"/>
            <color indexed="81"/>
            <rFont val="Tahoma"/>
            <family val="2"/>
          </rPr>
          <t>CGroome:</t>
        </r>
        <r>
          <rPr>
            <sz val="8"/>
            <color indexed="81"/>
            <rFont val="Tahoma"/>
            <family val="2"/>
          </rPr>
          <t xml:space="preserve">
Once a year, Craig B. will supply $ (Large customer refund)</t>
        </r>
      </text>
    </comment>
    <comment ref="E111" authorId="0" shapeId="0">
      <text>
        <r>
          <rPr>
            <b/>
            <sz val="8"/>
            <color indexed="81"/>
            <rFont val="Tahoma"/>
            <family val="2"/>
          </rPr>
          <t>CGroome:</t>
        </r>
        <r>
          <rPr>
            <sz val="8"/>
            <color indexed="81"/>
            <rFont val="Tahoma"/>
            <family val="2"/>
          </rPr>
          <t xml:space="preserve">
Once a year, Craig B. will supply $ (Large customer refund)</t>
        </r>
      </text>
    </comment>
    <comment ref="E132" authorId="0" shapeId="0">
      <text>
        <r>
          <rPr>
            <b/>
            <sz val="8"/>
            <color indexed="81"/>
            <rFont val="Tahoma"/>
            <family val="2"/>
          </rPr>
          <t>CGroome:</t>
        </r>
        <r>
          <rPr>
            <sz val="8"/>
            <color indexed="81"/>
            <rFont val="Tahoma"/>
            <family val="2"/>
          </rPr>
          <t xml:space="preserve">
Once a year, Craig B. will supply $ (Large customer refund)</t>
        </r>
      </text>
    </comment>
    <comment ref="E153" authorId="0" shapeId="0">
      <text>
        <r>
          <rPr>
            <b/>
            <sz val="8"/>
            <color indexed="81"/>
            <rFont val="Tahoma"/>
            <family val="2"/>
          </rPr>
          <t>CGroome:</t>
        </r>
        <r>
          <rPr>
            <sz val="8"/>
            <color indexed="81"/>
            <rFont val="Tahoma"/>
            <family val="2"/>
          </rPr>
          <t xml:space="preserve">
Once a year, Craig B. will supply $ (Large customer refund)</t>
        </r>
      </text>
    </comment>
    <comment ref="E174" authorId="0" shapeId="0">
      <text>
        <r>
          <rPr>
            <b/>
            <sz val="8"/>
            <color indexed="81"/>
            <rFont val="Tahoma"/>
            <family val="2"/>
          </rPr>
          <t>CGroome:</t>
        </r>
        <r>
          <rPr>
            <sz val="8"/>
            <color indexed="81"/>
            <rFont val="Tahoma"/>
            <family val="2"/>
          </rPr>
          <t xml:space="preserve">
Once a year, Craig B. will supply $ (Large customer refund)</t>
        </r>
      </text>
    </comment>
    <comment ref="E195" authorId="0" shapeId="0">
      <text>
        <r>
          <rPr>
            <b/>
            <sz val="8"/>
            <color indexed="81"/>
            <rFont val="Tahoma"/>
            <family val="2"/>
          </rPr>
          <t>CGroome:</t>
        </r>
        <r>
          <rPr>
            <sz val="8"/>
            <color indexed="81"/>
            <rFont val="Tahoma"/>
            <family val="2"/>
          </rPr>
          <t xml:space="preserve">
Once a year, Craig B. will supply $ (Large customer refund)</t>
        </r>
      </text>
    </comment>
    <comment ref="E216" authorId="0" shapeId="0">
      <text>
        <r>
          <rPr>
            <b/>
            <sz val="8"/>
            <color indexed="81"/>
            <rFont val="Tahoma"/>
            <family val="2"/>
          </rPr>
          <t>CGroome:</t>
        </r>
        <r>
          <rPr>
            <sz val="8"/>
            <color indexed="81"/>
            <rFont val="Tahoma"/>
            <family val="2"/>
          </rPr>
          <t xml:space="preserve">
Once a year, Craig B. will supply $ (Large customer refund)</t>
        </r>
      </text>
    </comment>
    <comment ref="E237" authorId="0" shapeId="0">
      <text>
        <r>
          <rPr>
            <b/>
            <sz val="8"/>
            <color indexed="81"/>
            <rFont val="Tahoma"/>
            <family val="2"/>
          </rPr>
          <t>CGroome:</t>
        </r>
        <r>
          <rPr>
            <sz val="8"/>
            <color indexed="81"/>
            <rFont val="Tahoma"/>
            <family val="2"/>
          </rPr>
          <t xml:space="preserve">
Once a year, Craig B. will supply $ (Large customer refund)</t>
        </r>
      </text>
    </comment>
    <comment ref="E258" authorId="0" shapeId="0">
      <text>
        <r>
          <rPr>
            <b/>
            <sz val="8"/>
            <color indexed="81"/>
            <rFont val="Tahoma"/>
            <family val="2"/>
          </rPr>
          <t>CGroome:</t>
        </r>
        <r>
          <rPr>
            <sz val="8"/>
            <color indexed="81"/>
            <rFont val="Tahoma"/>
            <family val="2"/>
          </rPr>
          <t xml:space="preserve">
Once a year, Craig B. will supply $ (Large customer refund)</t>
        </r>
      </text>
    </comment>
    <comment ref="E281" authorId="0" shapeId="0">
      <text>
        <r>
          <rPr>
            <b/>
            <sz val="8"/>
            <color indexed="81"/>
            <rFont val="Tahoma"/>
            <family val="2"/>
          </rPr>
          <t>CGroome:</t>
        </r>
        <r>
          <rPr>
            <sz val="8"/>
            <color indexed="81"/>
            <rFont val="Tahoma"/>
            <family val="2"/>
          </rPr>
          <t xml:space="preserve">
Once a year, Craig B. will supply $ (Large customer refund)</t>
        </r>
      </text>
    </comment>
    <comment ref="E302" authorId="0" shapeId="0">
      <text>
        <r>
          <rPr>
            <b/>
            <sz val="8"/>
            <color indexed="81"/>
            <rFont val="Tahoma"/>
            <family val="2"/>
          </rPr>
          <t>CGroome:</t>
        </r>
        <r>
          <rPr>
            <sz val="8"/>
            <color indexed="81"/>
            <rFont val="Tahoma"/>
            <family val="2"/>
          </rPr>
          <t xml:space="preserve">
Once a year, Craig B. will supply $ (Large customer refund)</t>
        </r>
      </text>
    </comment>
  </commentList>
</comments>
</file>

<file path=xl/comments2.xml><?xml version="1.0" encoding="utf-8"?>
<comments xmlns="http://schemas.openxmlformats.org/spreadsheetml/2006/main">
  <authors>
    <author>Berg, Jenny</author>
    <author>MGG9990</author>
  </authors>
  <commentList>
    <comment ref="A3" authorId="0" shapeId="0">
      <text>
        <r>
          <rPr>
            <b/>
            <sz val="9"/>
            <color indexed="81"/>
            <rFont val="Tahoma"/>
            <family val="2"/>
          </rPr>
          <t>Berg, Jenny:</t>
        </r>
        <r>
          <rPr>
            <sz val="9"/>
            <color indexed="81"/>
            <rFont val="Tahoma"/>
            <family val="2"/>
          </rPr>
          <t xml:space="preserve">
Transportation = amount of capacity in the pipeline.</t>
        </r>
      </text>
    </comment>
    <comment ref="I5" authorId="1" shapeId="0">
      <text>
        <r>
          <rPr>
            <b/>
            <sz val="8"/>
            <color indexed="81"/>
            <rFont val="Tahoma"/>
            <family val="2"/>
          </rPr>
          <t>MGG9990:</t>
        </r>
        <r>
          <rPr>
            <sz val="8"/>
            <color indexed="81"/>
            <rFont val="Tahoma"/>
            <family val="2"/>
          </rPr>
          <t xml:space="preserve">
Updated once per year; email to be provided by rates with a memo on the allocation %</t>
        </r>
      </text>
    </comment>
  </commentList>
</comments>
</file>

<file path=xl/comments3.xml><?xml version="1.0" encoding="utf-8"?>
<comments xmlns="http://schemas.openxmlformats.org/spreadsheetml/2006/main">
  <authors>
    <author>MGG9990</author>
  </authors>
  <commentList>
    <comment ref="I5" authorId="0" shapeId="0">
      <text>
        <r>
          <rPr>
            <sz val="8"/>
            <color indexed="81"/>
            <rFont val="Tahoma"/>
            <family val="2"/>
          </rPr>
          <t>Updated once per year; email (5 Day Peak Allocator) to be provided by rates with a memo on the allocation %. Usually changes effective Nov. 1.</t>
        </r>
      </text>
    </comment>
  </commentList>
</comments>
</file>

<file path=xl/comments4.xml><?xml version="1.0" encoding="utf-8"?>
<comments xmlns="http://schemas.openxmlformats.org/spreadsheetml/2006/main">
  <authors>
    <author>MGG9990</author>
  </authors>
  <commentList>
    <comment ref="I5" authorId="0" shapeId="0">
      <text>
        <r>
          <rPr>
            <sz val="8"/>
            <color indexed="81"/>
            <rFont val="Tahoma"/>
            <family val="2"/>
          </rPr>
          <t>Updated once per year; email (5 Day Peak Allocator) to be provided by rates with a memo on the allocation %. Usually changes effective Nov. 1.</t>
        </r>
      </text>
    </comment>
  </commentList>
</comments>
</file>

<file path=xl/comments5.xml><?xml version="1.0" encoding="utf-8"?>
<comments xmlns="http://schemas.openxmlformats.org/spreadsheetml/2006/main">
  <authors>
    <author>MGG9990</author>
    <author>Berg, Jenny</author>
  </authors>
  <commentList>
    <comment ref="I5" authorId="0" shapeId="0">
      <text>
        <r>
          <rPr>
            <sz val="8"/>
            <color indexed="81"/>
            <rFont val="Tahoma"/>
            <family val="2"/>
          </rPr>
          <t>Updated once per year; email (5 Day Peak Allocator) to be provided by rates with a memo on the allocation %. Usually changes effective Nov. 1.</t>
        </r>
      </text>
    </comment>
    <comment ref="G52" authorId="1" shapeId="0">
      <text>
        <r>
          <rPr>
            <b/>
            <sz val="9"/>
            <color indexed="81"/>
            <rFont val="Tahoma"/>
            <family val="2"/>
          </rPr>
          <t>Berg, Jenny:</t>
        </r>
        <r>
          <rPr>
            <sz val="9"/>
            <color indexed="81"/>
            <rFont val="Tahoma"/>
            <family val="2"/>
          </rPr>
          <t xml:space="preserve">
Positive Amt = Net Expense
Negative Amt = Net Revenue</t>
        </r>
      </text>
    </comment>
    <comment ref="G53" authorId="1" shapeId="0">
      <text>
        <r>
          <rPr>
            <b/>
            <sz val="9"/>
            <color indexed="81"/>
            <rFont val="Tahoma"/>
            <family val="2"/>
          </rPr>
          <t>Berg, Jenny:</t>
        </r>
        <r>
          <rPr>
            <sz val="9"/>
            <color indexed="81"/>
            <rFont val="Tahoma"/>
            <family val="2"/>
          </rPr>
          <t xml:space="preserve">
Always Negative Amt = Revenue collected from borrowers based on current rates.</t>
        </r>
      </text>
    </comment>
  </commentList>
</comments>
</file>

<file path=xl/comments6.xml><?xml version="1.0" encoding="utf-8"?>
<comments xmlns="http://schemas.openxmlformats.org/spreadsheetml/2006/main">
  <authors>
    <author>MGG9990</author>
    <author>Berg, Jenny</author>
  </authors>
  <commentList>
    <comment ref="I5" authorId="0" shapeId="0">
      <text>
        <r>
          <rPr>
            <sz val="8"/>
            <color indexed="81"/>
            <rFont val="Tahoma"/>
            <family val="2"/>
          </rPr>
          <t>Updated once per year; email (5 Day Peak Allocator) to be provided by rates with a memo on the allocation %. Usually changes effective Nov. 1.</t>
        </r>
      </text>
    </comment>
    <comment ref="G52" authorId="1" shapeId="0">
      <text>
        <r>
          <rPr>
            <b/>
            <sz val="9"/>
            <color indexed="81"/>
            <rFont val="Tahoma"/>
            <family val="2"/>
          </rPr>
          <t>Berg, Jenny:</t>
        </r>
        <r>
          <rPr>
            <sz val="9"/>
            <color indexed="81"/>
            <rFont val="Tahoma"/>
            <family val="2"/>
          </rPr>
          <t xml:space="preserve">
Positive Amt = Net Expense
Negative Amt = Net Revenue</t>
        </r>
      </text>
    </comment>
    <comment ref="G53" authorId="1" shapeId="0">
      <text>
        <r>
          <rPr>
            <b/>
            <sz val="9"/>
            <color indexed="81"/>
            <rFont val="Tahoma"/>
            <family val="2"/>
          </rPr>
          <t>Berg, Jenny:</t>
        </r>
        <r>
          <rPr>
            <sz val="9"/>
            <color indexed="81"/>
            <rFont val="Tahoma"/>
            <family val="2"/>
          </rPr>
          <t xml:space="preserve">
Always Negative Amt = Revenue collected from borrowers based on current rates.</t>
        </r>
      </text>
    </comment>
  </commentList>
</comments>
</file>

<file path=xl/comments7.xml><?xml version="1.0" encoding="utf-8"?>
<comments xmlns="http://schemas.openxmlformats.org/spreadsheetml/2006/main">
  <authors>
    <author>MGG9990</author>
  </authors>
  <commentList>
    <comment ref="I5" authorId="0" shapeId="0">
      <text>
        <r>
          <rPr>
            <sz val="8"/>
            <color indexed="81"/>
            <rFont val="Tahoma"/>
            <family val="2"/>
          </rPr>
          <t>Updated once per year; email (5 Day Peak Allocator) to be provided by rates with a memo on the allocation %. Usually changes effective Nov. 1.</t>
        </r>
      </text>
    </comment>
  </commentList>
</comments>
</file>

<file path=xl/comments8.xml><?xml version="1.0" encoding="utf-8"?>
<comments xmlns="http://schemas.openxmlformats.org/spreadsheetml/2006/main">
  <authors>
    <author>MGG9990</author>
    <author>Berg, Jenny</author>
  </authors>
  <commentList>
    <comment ref="L5" authorId="0" shapeId="0">
      <text>
        <r>
          <rPr>
            <sz val="8"/>
            <color indexed="81"/>
            <rFont val="Tahoma"/>
            <family val="2"/>
          </rPr>
          <t>Updated once per year; email (5 Day Peak Allocator) to be provided by rates with a memo on the allocation %. Usually changes effective Nov. 1.</t>
        </r>
      </text>
    </comment>
    <comment ref="A37" authorId="1" shapeId="0">
      <text>
        <r>
          <rPr>
            <b/>
            <sz val="9"/>
            <color indexed="81"/>
            <rFont val="Tahoma"/>
            <family val="2"/>
          </rPr>
          <t>Berg, Jenny:</t>
        </r>
        <r>
          <rPr>
            <sz val="9"/>
            <color indexed="81"/>
            <rFont val="Tahoma"/>
            <family val="2"/>
          </rPr>
          <t xml:space="preserve">
Purchase Gas here…now
either…
1.) sell right away to customers
2.) add to storage for later sell
3.) sell to power area, or other wholesale counterparties.</t>
        </r>
      </text>
    </comment>
    <comment ref="J52" authorId="1" shapeId="0">
      <text>
        <r>
          <rPr>
            <b/>
            <sz val="9"/>
            <color indexed="81"/>
            <rFont val="Tahoma"/>
            <family val="2"/>
          </rPr>
          <t>Berg, Jenny:</t>
        </r>
        <r>
          <rPr>
            <sz val="9"/>
            <color indexed="81"/>
            <rFont val="Tahoma"/>
            <family val="2"/>
          </rPr>
          <t xml:space="preserve">
Positive Amt = Net Expense
Negative Amt = Net Revenue</t>
        </r>
      </text>
    </comment>
    <comment ref="J53" authorId="1" shapeId="0">
      <text>
        <r>
          <rPr>
            <b/>
            <sz val="9"/>
            <color indexed="81"/>
            <rFont val="Tahoma"/>
            <family val="2"/>
          </rPr>
          <t>Berg, Jenny:</t>
        </r>
        <r>
          <rPr>
            <sz val="9"/>
            <color indexed="81"/>
            <rFont val="Tahoma"/>
            <family val="2"/>
          </rPr>
          <t xml:space="preserve">
Always Negative Amt = Revenue collected from borrowers based on current rates.</t>
        </r>
      </text>
    </comment>
  </commentList>
</comments>
</file>

<file path=xl/comments9.xml><?xml version="1.0" encoding="utf-8"?>
<comments xmlns="http://schemas.openxmlformats.org/spreadsheetml/2006/main">
  <authors>
    <author>MGG9990</author>
    <author>Berg, Jenny</author>
  </authors>
  <commentList>
    <comment ref="I5" authorId="0" shapeId="0">
      <text>
        <r>
          <rPr>
            <sz val="8"/>
            <color indexed="81"/>
            <rFont val="Tahoma"/>
            <family val="2"/>
          </rPr>
          <t>Updated once per year; email (5 Day Peak Allocator) to be provided by rates with a memo on the allocation %. Usually changes effective Nov. 1.</t>
        </r>
      </text>
    </comment>
    <comment ref="G52" authorId="1" shapeId="0">
      <text>
        <r>
          <rPr>
            <b/>
            <sz val="9"/>
            <color indexed="81"/>
            <rFont val="Tahoma"/>
            <family val="2"/>
          </rPr>
          <t>Berg, Jenny:</t>
        </r>
        <r>
          <rPr>
            <sz val="9"/>
            <color indexed="81"/>
            <rFont val="Tahoma"/>
            <family val="2"/>
          </rPr>
          <t xml:space="preserve">
Positive Amt = Net Expense
Negative Amt = Net Revenue</t>
        </r>
      </text>
    </comment>
    <comment ref="G53" authorId="1" shapeId="0">
      <text>
        <r>
          <rPr>
            <b/>
            <sz val="9"/>
            <color indexed="81"/>
            <rFont val="Tahoma"/>
            <family val="2"/>
          </rPr>
          <t>Berg, Jenny:</t>
        </r>
        <r>
          <rPr>
            <sz val="9"/>
            <color indexed="81"/>
            <rFont val="Tahoma"/>
            <family val="2"/>
          </rPr>
          <t xml:space="preserve">
Always Negative Amt = Revenue collected from borrowers based on current rates.</t>
        </r>
      </text>
    </comment>
  </commentList>
</comments>
</file>

<file path=xl/sharedStrings.xml><?xml version="1.0" encoding="utf-8"?>
<sst xmlns="http://schemas.openxmlformats.org/spreadsheetml/2006/main" count="5176" uniqueCount="326">
  <si>
    <t>State of Washington</t>
  </si>
  <si>
    <t>Balance</t>
  </si>
  <si>
    <t>Commodity</t>
  </si>
  <si>
    <t>Demand</t>
  </si>
  <si>
    <t>Interest</t>
  </si>
  <si>
    <t>NWP/PGT</t>
  </si>
  <si>
    <t>Capacity</t>
  </si>
  <si>
    <t>Deferral</t>
  </si>
  <si>
    <t>Refund</t>
  </si>
  <si>
    <t>Charges</t>
  </si>
  <si>
    <t>Tracker transfer</t>
  </si>
  <si>
    <t>Tracker Transfer</t>
  </si>
  <si>
    <t xml:space="preserve"> Interest</t>
  </si>
  <si>
    <t>Avista Corporation</t>
  </si>
  <si>
    <t>Misc</t>
  </si>
  <si>
    <t>Recap of Account 191010 GD WA</t>
  </si>
  <si>
    <t>Acct 191010</t>
  </si>
  <si>
    <t>191010 GD WA</t>
  </si>
  <si>
    <t>dr</t>
  </si>
  <si>
    <t>cr</t>
  </si>
  <si>
    <t>805120 GD WA</t>
  </si>
  <si>
    <t>Total</t>
  </si>
  <si>
    <t>Rates</t>
  </si>
  <si>
    <t>Amortization</t>
  </si>
  <si>
    <t>Schedule</t>
  </si>
  <si>
    <t>J0URNAL ENTRY</t>
  </si>
  <si>
    <t>805110 GD WA</t>
  </si>
  <si>
    <t>191000 GD WA</t>
  </si>
  <si>
    <t>Total Interest Income</t>
  </si>
  <si>
    <t xml:space="preserve">Total Interest Expense </t>
  </si>
  <si>
    <t>NWP Capacity Release</t>
  </si>
  <si>
    <t xml:space="preserve">NWP Variable </t>
  </si>
  <si>
    <t>System</t>
  </si>
  <si>
    <t>PGA</t>
  </si>
  <si>
    <t>Revenue</t>
  </si>
  <si>
    <t>Washington</t>
  </si>
  <si>
    <t>Rate</t>
  </si>
  <si>
    <t>Schedule 101</t>
  </si>
  <si>
    <t>Schedule 111</t>
  </si>
  <si>
    <t>Schedule 112</t>
  </si>
  <si>
    <t>Schedule 121</t>
  </si>
  <si>
    <t>Schedule 122</t>
  </si>
  <si>
    <t>Schedule 131</t>
  </si>
  <si>
    <t>Schedule 132</t>
  </si>
  <si>
    <t>Imbalance Cost Washington</t>
  </si>
  <si>
    <t>Imbalance Cost Idaho</t>
  </si>
  <si>
    <t>State of Idaho</t>
  </si>
  <si>
    <t>Analysis of Account 191010 GD ID</t>
  </si>
  <si>
    <t>Contract</t>
  </si>
  <si>
    <t>Cascade</t>
  </si>
  <si>
    <t>Off-Sys Sales</t>
  </si>
  <si>
    <t>Off-System Sales</t>
  </si>
  <si>
    <t>Admin &amp; Gen</t>
  </si>
  <si>
    <t>Marg-Commod</t>
  </si>
  <si>
    <t>Marg-Capacity</t>
  </si>
  <si>
    <t>Releases</t>
  </si>
  <si>
    <t>Ending Balance</t>
  </si>
  <si>
    <t xml:space="preserve">Interest </t>
  </si>
  <si>
    <t>191010 GD ID</t>
  </si>
  <si>
    <t>805120 GD ID</t>
  </si>
  <si>
    <t>805110 GD ID</t>
  </si>
  <si>
    <t>132J</t>
  </si>
  <si>
    <t>191000 GD ID</t>
  </si>
  <si>
    <t>Idaho</t>
  </si>
  <si>
    <t xml:space="preserve">Washington/Idaho Gas Costs </t>
  </si>
  <si>
    <t>Allocated to</t>
  </si>
  <si>
    <t xml:space="preserve">Commodity </t>
  </si>
  <si>
    <t xml:space="preserve">Allocated to </t>
  </si>
  <si>
    <t>Cost</t>
  </si>
  <si>
    <t xml:space="preserve">Total </t>
  </si>
  <si>
    <t xml:space="preserve">Idaho </t>
  </si>
  <si>
    <t>Amount to be Deferred</t>
  </si>
  <si>
    <t>Expense Calculation</t>
  </si>
  <si>
    <t>Deferral Calculation</t>
  </si>
  <si>
    <t>Schedule 146</t>
  </si>
  <si>
    <t>419600 GD WA</t>
  </si>
  <si>
    <t>431600 GD WA</t>
  </si>
  <si>
    <t>419600 GD ID</t>
  </si>
  <si>
    <t>431600 GD ID</t>
  </si>
  <si>
    <t>WA deferral</t>
  </si>
  <si>
    <t>Deferral exp</t>
  </si>
  <si>
    <t>ID deferral</t>
  </si>
  <si>
    <t>Interest Income</t>
  </si>
  <si>
    <t xml:space="preserve">Interest Expense </t>
  </si>
  <si>
    <t>Current Mo Deferrals</t>
  </si>
  <si>
    <t>Interest %</t>
  </si>
  <si>
    <t>Adjustments</t>
  </si>
  <si>
    <t>Subtotal</t>
  </si>
  <si>
    <t xml:space="preserve">NWP Fixed </t>
  </si>
  <si>
    <t>GTN Fixed</t>
  </si>
  <si>
    <t xml:space="preserve">GTN Variable </t>
  </si>
  <si>
    <t>GTN Capacity Release</t>
  </si>
  <si>
    <t>ANG Total</t>
  </si>
  <si>
    <t>WEI (Duke) Total</t>
  </si>
  <si>
    <t>Commodity Purchases (Natural Gas)</t>
  </si>
  <si>
    <t xml:space="preserve">Total Net Gas Costs </t>
  </si>
  <si>
    <t>Counterparty Invoice Total</t>
  </si>
  <si>
    <t>Total WA Amortization Expense</t>
  </si>
  <si>
    <t>WA Recoverable Gas Costs</t>
  </si>
  <si>
    <t>Total ID Amortization Expense</t>
  </si>
  <si>
    <t>ID Recoverable Gas Costs</t>
  </si>
  <si>
    <t>Volumes</t>
  </si>
  <si>
    <t>check</t>
  </si>
  <si>
    <t>Totals from above</t>
  </si>
  <si>
    <t xml:space="preserve"> Current Unrecovered PGA Deferred</t>
  </si>
  <si>
    <t>Large Customer</t>
  </si>
  <si>
    <t>WA CURR UNRECOV PGA DEFERRED</t>
  </si>
  <si>
    <t>ID CURR UNRECOV PGA DEFERRED</t>
  </si>
  <si>
    <t xml:space="preserve">Balance Sheet </t>
  </si>
  <si>
    <t>PGA Deferral Revenue from above</t>
  </si>
  <si>
    <r>
      <t>Demand (Transportation)</t>
    </r>
    <r>
      <rPr>
        <b/>
        <sz val="12"/>
        <color indexed="8"/>
        <rFont val="Arial"/>
        <family val="2"/>
      </rPr>
      <t xml:space="preserve"> Costs</t>
    </r>
  </si>
  <si>
    <r>
      <t>Total Demand</t>
    </r>
    <r>
      <rPr>
        <b/>
        <sz val="12"/>
        <color indexed="8"/>
        <rFont val="Arial"/>
        <family val="2"/>
      </rPr>
      <t xml:space="preserve"> Costs from Purchase Journals</t>
    </r>
  </si>
  <si>
    <t>WA/ID Buy/Sell Transportation Recovery</t>
  </si>
  <si>
    <t>less variable costs charged to Commodity</t>
  </si>
  <si>
    <t>Total Demand Costs to be Allocated</t>
  </si>
  <si>
    <t>804000 GD AN</t>
  </si>
  <si>
    <t xml:space="preserve">Total Demand Costs </t>
  </si>
  <si>
    <t>804001 GD AN</t>
  </si>
  <si>
    <t>plus variable costs from Demand</t>
  </si>
  <si>
    <t>Total Commodity Costs to be Allocated</t>
  </si>
  <si>
    <t>808100/808200 GD AN</t>
  </si>
  <si>
    <t>WA Imbalance</t>
  </si>
  <si>
    <t>ID Imbalance</t>
  </si>
  <si>
    <t>Total Commodity Costs from Purchase Journals</t>
  </si>
  <si>
    <t>WA/ID Off System Revenue</t>
  </si>
  <si>
    <t>Total Deferred Commodity Costs:</t>
  </si>
  <si>
    <t>DEMAND</t>
  </si>
  <si>
    <t xml:space="preserve">Total Demand </t>
  </si>
  <si>
    <t>COMMODITY</t>
  </si>
  <si>
    <t>Commodity Physical</t>
  </si>
  <si>
    <t>Broker Fees</t>
  </si>
  <si>
    <t>Financial Settlements</t>
  </si>
  <si>
    <t>804600 GD AN</t>
  </si>
  <si>
    <t>Total Commodity</t>
  </si>
  <si>
    <t>WASHINGTON</t>
  </si>
  <si>
    <t>IDAHO</t>
  </si>
  <si>
    <t>Total Deferral Expenses from above</t>
  </si>
  <si>
    <t>GST</t>
  </si>
  <si>
    <t>Total Commodity Costs before refund</t>
  </si>
  <si>
    <r>
      <t xml:space="preserve">Total Current Demand Costs </t>
    </r>
    <r>
      <rPr>
        <b/>
        <sz val="12"/>
        <rFont val="Arial"/>
        <family val="2"/>
      </rPr>
      <t>(excluding refund)</t>
    </r>
  </si>
  <si>
    <t>NWP Total (excluding Refund)</t>
  </si>
  <si>
    <t>WA 191000 Recoverable Gas Costs Amortized</t>
  </si>
  <si>
    <t>ID 191000 Recoverable Gas Costs Amortized</t>
  </si>
  <si>
    <t xml:space="preserve">Valley Hospital </t>
  </si>
  <si>
    <t>Terasen</t>
  </si>
  <si>
    <t xml:space="preserve">  Current Month Estimate</t>
  </si>
  <si>
    <t>Cochrane Credit</t>
  </si>
  <si>
    <t>811000 GD AN</t>
  </si>
  <si>
    <t>Misc Adjustment</t>
  </si>
  <si>
    <t>Questar</t>
  </si>
  <si>
    <t>Thermal Transport</t>
  </si>
  <si>
    <t>Spokane Rock Products</t>
  </si>
  <si>
    <t>804017 GD AN</t>
  </si>
  <si>
    <t>Foreign Exchange Hedge Activity</t>
  </si>
  <si>
    <t>Interest Revenue</t>
  </si>
  <si>
    <t>804010 GD AN</t>
  </si>
  <si>
    <t>Large Customer Refund</t>
  </si>
  <si>
    <t xml:space="preserve">Adjustments </t>
  </si>
  <si>
    <t>interest check</t>
  </si>
  <si>
    <t>Check</t>
  </si>
  <si>
    <t>From DJ 430</t>
  </si>
  <si>
    <t>Adj</t>
  </si>
  <si>
    <t>Def Rev Calc</t>
  </si>
  <si>
    <t>Spectra Westcoast Fixed</t>
  </si>
  <si>
    <t>Spectra Westcoast Variable</t>
  </si>
  <si>
    <t>Transcanada Foothills (BC System) Fixed</t>
  </si>
  <si>
    <t>Transcanada Foothills (BC System) Variable</t>
  </si>
  <si>
    <t>Intracompany Transportation Optimization</t>
  </si>
  <si>
    <t>FAFB Commodity for Anderson Elementary/Lignetics (semi-annual)</t>
  </si>
  <si>
    <t>WA/ID Gas Purchased from Interstate Asphalt (Annual)</t>
  </si>
  <si>
    <t>Analysis of Account 191000 GD ID</t>
  </si>
  <si>
    <t>Recovered PGA Deferred</t>
  </si>
  <si>
    <t>Analysis of Account 191000 GD WA</t>
  </si>
  <si>
    <t>WA Total</t>
  </si>
  <si>
    <t>ID Total</t>
  </si>
  <si>
    <t>Debits</t>
  </si>
  <si>
    <t>Credits</t>
  </si>
  <si>
    <t>Storage (Injections)/Withdrawals</t>
  </si>
  <si>
    <t>Interco Purchase from Thermal</t>
  </si>
  <si>
    <t>804730 GD AN</t>
  </si>
  <si>
    <t xml:space="preserve">NOVA Fixed charges </t>
  </si>
  <si>
    <t>(overcollected)/undercollected</t>
  </si>
  <si>
    <t>(rebate)/surcharge</t>
  </si>
  <si>
    <t>NOVA (AB System) Fixed</t>
  </si>
  <si>
    <t>NOVA (AB System) Variable</t>
  </si>
  <si>
    <t>NOVA Total</t>
  </si>
  <si>
    <t xml:space="preserve">Third party capacity release </t>
  </si>
  <si>
    <t>Manual Calc</t>
  </si>
  <si>
    <t>Other capacity release credit</t>
  </si>
  <si>
    <t>Other Pipeline Fixed charges</t>
  </si>
  <si>
    <t>495028 GD AN</t>
  </si>
  <si>
    <t>Avista Corp. - Resource Accounting</t>
  </si>
  <si>
    <t>Date of Graphs</t>
  </si>
  <si>
    <t>$ in Millions:  (+) Rebate; (-) Surcharge</t>
  </si>
  <si>
    <t>Washington Deferral</t>
  </si>
  <si>
    <t>WA 191025 WA GRC JACKSON PRAIRIE DEFERRAL</t>
  </si>
  <si>
    <t>WA GRC Jackson Prairie Deferral</t>
  </si>
  <si>
    <t>191025 GD WA</t>
  </si>
  <si>
    <t>Current Month Amortization</t>
  </si>
  <si>
    <t>Original</t>
  </si>
  <si>
    <t>Amortization of JP Deferral</t>
  </si>
  <si>
    <t>Analysis of Account 191015 GD ID</t>
  </si>
  <si>
    <t>ID Deferral Holdback</t>
  </si>
  <si>
    <t>Acct 191015</t>
  </si>
  <si>
    <t>Balance 10/1/12</t>
  </si>
  <si>
    <t>Tracker Transfer 191015</t>
  </si>
  <si>
    <t>Tracker Transfer 191000</t>
  </si>
  <si>
    <t>191015 GD ID</t>
  </si>
  <si>
    <t>Tracker Transfer 10/1/12</t>
  </si>
  <si>
    <t>ID Holdback</t>
  </si>
  <si>
    <t>Balance 11/1/12</t>
  </si>
  <si>
    <t>2012 Deferral Transfer</t>
  </si>
  <si>
    <t>Tracker Transfer 11/1/12</t>
  </si>
  <si>
    <t>CORRECTED</t>
  </si>
  <si>
    <t>J0URNAL ENTRY - ORIGINAL</t>
  </si>
  <si>
    <t>J0URNAL ENTRY CORRECTION - book 12/31</t>
  </si>
  <si>
    <t>ID CURR UNRECOV PGA DEFERRED - ORIGINALLY RECORDED</t>
  </si>
  <si>
    <t>ID CURR UNRECOV PGA DEFERRED Correcting Entry CORRECTING booked 12/31</t>
  </si>
  <si>
    <t>Correcting Adjustment for 12/2012</t>
  </si>
  <si>
    <t>11-30-2012 - Corrected</t>
  </si>
  <si>
    <t>M Checmical Accrual</t>
  </si>
  <si>
    <t>Idaho Deferral (With Holdback)</t>
  </si>
  <si>
    <t>Mizuho Broker Fees</t>
  </si>
  <si>
    <t>Balance 10/1/13</t>
  </si>
  <si>
    <t>SEE ID AMORT 191015 TAB FOR AMORTIZATION BEGINNING 10/1/2013</t>
  </si>
  <si>
    <t>10/1/2013 Tracker Transfer</t>
  </si>
  <si>
    <t>10/1/13 Balance</t>
  </si>
  <si>
    <t>10/1/2013 Balance</t>
  </si>
  <si>
    <t>805111 GD ID</t>
  </si>
  <si>
    <t>= Var = Correction of rate used 10/2013 close</t>
  </si>
  <si>
    <t>PGA Tracker Transfer</t>
  </si>
  <si>
    <t>Balance 11/1/2013</t>
  </si>
  <si>
    <t>2013 Deferral Transfer</t>
  </si>
  <si>
    <t>Adjusted 11/1/2013 Balance</t>
  </si>
  <si>
    <t>Demand Allocation Correction NSJ</t>
  </si>
  <si>
    <t>WA CURR UNRECOV PGA DEFERRED - CORRECTED</t>
  </si>
  <si>
    <t>WA CURR UNRECOV PGA DEFERRED - ORIGINALLY RECORDED IN DJ431</t>
  </si>
  <si>
    <t>WA CURR UNRECOV PGA DEFERRED - CORRECTING ENTRY</t>
  </si>
  <si>
    <t>ID CURR UNRECOV PGA DEFERRED - CORRECTED</t>
  </si>
  <si>
    <t>ID CURR UNRECOV PGA DEFERRED - ORIGINALLY RECORDED IN DJ431</t>
  </si>
  <si>
    <t>ID CURR UNRECOV PGA DEFERRED - CORRECTING ENTRY</t>
  </si>
  <si>
    <t>Adjusted Ending Balance</t>
  </si>
  <si>
    <t>GL Wand Check</t>
  </si>
  <si>
    <t>Variance</t>
  </si>
  <si>
    <t>GL CHECK</t>
  </si>
  <si>
    <t>O</t>
  </si>
  <si>
    <t>2012-2013 PGA Deferral Balances</t>
  </si>
  <si>
    <t>NSJ025</t>
  </si>
  <si>
    <t>YTD</t>
  </si>
  <si>
    <t>PGA YTD</t>
  </si>
  <si>
    <t>Beginning Balance</t>
  </si>
  <si>
    <t>Demand Deferral</t>
  </si>
  <si>
    <t>Month</t>
  </si>
  <si>
    <t>Interest Rate</t>
  </si>
  <si>
    <t>Interest (Rev/Expense)</t>
  </si>
  <si>
    <t>PGA Transfer</t>
  </si>
  <si>
    <t>GLW Check</t>
  </si>
  <si>
    <t>Cumulative
Balance</t>
  </si>
  <si>
    <t>Commodity Adjustment</t>
  </si>
  <si>
    <t>Demand Adjustment</t>
  </si>
  <si>
    <t>Interest Adjustment</t>
  </si>
  <si>
    <t>Blue Text = Drag Formula to next month and copy/paste value in prior month</t>
  </si>
  <si>
    <t>Washington Current Deferral</t>
  </si>
  <si>
    <t>Washington Amortization</t>
  </si>
  <si>
    <t>Calendar Sales Check</t>
  </si>
  <si>
    <t>Man Calc</t>
  </si>
  <si>
    <t>*Misc Adjustments*</t>
  </si>
  <si>
    <t>Project or GL entry</t>
  </si>
  <si>
    <t>Project</t>
  </si>
  <si>
    <t>Task</t>
  </si>
  <si>
    <t>Expenditure Type</t>
  </si>
  <si>
    <t>Organization</t>
  </si>
  <si>
    <t>Company</t>
  </si>
  <si>
    <t>FERC</t>
  </si>
  <si>
    <t>Service Code</t>
  </si>
  <si>
    <t>Rate Making Jurisdiction</t>
  </si>
  <si>
    <t>Statistical Indicator</t>
  </si>
  <si>
    <t>Quantity</t>
  </si>
  <si>
    <t>Credit (GL Only entries)</t>
  </si>
  <si>
    <t>Comments</t>
  </si>
  <si>
    <t>G</t>
  </si>
  <si>
    <t>GD</t>
  </si>
  <si>
    <t>WA</t>
  </si>
  <si>
    <t>DL</t>
  </si>
  <si>
    <t>GL</t>
  </si>
  <si>
    <t>WA Deferral Interest Income</t>
  </si>
  <si>
    <t>WA Deferral Interest Expense</t>
  </si>
  <si>
    <t>WA Deferral</t>
  </si>
  <si>
    <t>WA Deferral Expense</t>
  </si>
  <si>
    <t>WA Amortization Interest Income</t>
  </si>
  <si>
    <t>WA Amortization Interest Expense</t>
  </si>
  <si>
    <t>WA Amortization</t>
  </si>
  <si>
    <t>WA Amortization Expense</t>
  </si>
  <si>
    <t>WA Amortization JP</t>
  </si>
  <si>
    <t>WA Amortization Expense JP</t>
  </si>
  <si>
    <t>JET Entry</t>
  </si>
  <si>
    <t>Update JE date to pull current month values</t>
  </si>
  <si>
    <t>483000/483600/483730</t>
  </si>
  <si>
    <t>Idaho PGA Costs</t>
  </si>
  <si>
    <t>Washington PGA Costs</t>
  </si>
  <si>
    <t>2013-2014 PGA Costs</t>
  </si>
  <si>
    <t>Actual</t>
  </si>
  <si>
    <t>PGA Rate</t>
  </si>
  <si>
    <t>PGA Budget</t>
  </si>
  <si>
    <t>Deferral Check</t>
  </si>
  <si>
    <t>M Chemical Accrual</t>
  </si>
  <si>
    <t>Schedule 102</t>
  </si>
  <si>
    <t>MAIN CALC</t>
  </si>
  <si>
    <t>Main Calc</t>
  </si>
  <si>
    <t>Wells Fargo Journal DJ 473</t>
  </si>
  <si>
    <t>Commodity Deferral</t>
  </si>
  <si>
    <t>Volume - Commodity &amp; Demand</t>
  </si>
  <si>
    <t>Volume - Demand only</t>
  </si>
  <si>
    <t>Deferred Exchange Revenue</t>
  </si>
  <si>
    <t>Other Capacity Release credit</t>
  </si>
  <si>
    <t>(   ) = Rebate</t>
  </si>
  <si>
    <t>Merchandise Processing Fee DJ 467</t>
  </si>
  <si>
    <t>804018 GD AN</t>
  </si>
  <si>
    <t>DIFFERENCE</t>
  </si>
  <si>
    <t>NOTES</t>
  </si>
  <si>
    <t>FORTIS: DROP IN PURCHASES $974K</t>
  </si>
  <si>
    <t>JP WA ID - injected more/withdrew less</t>
  </si>
  <si>
    <t>Less sales - NGX, Powerex, Tenaska</t>
  </si>
  <si>
    <t>cost to allocate is negative…</t>
  </si>
  <si>
    <t>ZZ</t>
  </si>
  <si>
    <t>NO MORE ENTRY</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</si>
</sst>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m/yy"/>
    <numFmt numFmtId="165" formatCode="0.000%"/>
    <numFmt numFmtId="166" formatCode="0.0000%"/>
    <numFmt numFmtId="167" formatCode="_(* #,##0.000_);_(* \(#,##0.000\);_(* &quot;-&quot;??_);_(@_)"/>
    <numFmt numFmtId="168" formatCode="General_)"/>
    <numFmt numFmtId="169" formatCode="0_)"/>
    <numFmt numFmtId="170" formatCode="&quot;$&quot;#,##0.00000_);\(&quot;$&quot;#,##0.00000\)"/>
    <numFmt numFmtId="171" formatCode="#,##0.00000_);\(#,##0.00000\)"/>
    <numFmt numFmtId="172" formatCode="mm/dd/yy_)"/>
    <numFmt numFmtId="173" formatCode="mm/dd/yy"/>
    <numFmt numFmtId="174" formatCode="#,##0.0000_);\(#,##0.0000\)"/>
    <numFmt numFmtId="175" formatCode="[$-409]mmm/yy;@"/>
    <numFmt numFmtId="176" formatCode="#,##0.0000_);[Red]\(#,##0.0000\)"/>
    <numFmt numFmtId="177" formatCode="_(&quot;$&quot;* #,##0.00000_);_(&quot;$&quot;* \(#,##0.00000\);_(&quot;$&quot;* &quot;-&quot;??_);_(@_)"/>
    <numFmt numFmtId="178" formatCode="&quot;$&quot;#,##0.00000_);[Red]\(&quot;$&quot;#,##0.00000\)"/>
    <numFmt numFmtId="179" formatCode="&quot;$&quot;#,##0.0_);\(&quot;$&quot;#,##0.0\)"/>
    <numFmt numFmtId="180" formatCode="&quot;$&quot;#,##0\ ;\(&quot;$&quot;#,##0\)"/>
    <numFmt numFmtId="181" formatCode="_(* #,##0.00_);_(* \(#,##0.00\);_(* &quot;-&quot;_);_(@_)"/>
    <numFmt numFmtId="182" formatCode="00000000"/>
    <numFmt numFmtId="183" formatCode="000"/>
  </numFmts>
  <fonts count="56">
    <font>
      <sz val="10"/>
      <name val="Helv"/>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ont>
    <font>
      <sz val="10"/>
      <color indexed="12"/>
      <name val="Helv"/>
    </font>
    <font>
      <b/>
      <sz val="10"/>
      <name val="Helv"/>
    </font>
    <font>
      <sz val="8"/>
      <color indexed="81"/>
      <name val="Tahoma"/>
      <family val="2"/>
    </font>
    <font>
      <b/>
      <sz val="8"/>
      <color indexed="81"/>
      <name val="Tahoma"/>
      <family val="2"/>
    </font>
    <font>
      <sz val="10"/>
      <name val="Helv"/>
    </font>
    <font>
      <sz val="12"/>
      <name val="Arial"/>
      <family val="2"/>
    </font>
    <font>
      <b/>
      <sz val="12"/>
      <name val="Arial"/>
      <family val="2"/>
    </font>
    <font>
      <b/>
      <sz val="12"/>
      <color indexed="10"/>
      <name val="Arial"/>
      <family val="2"/>
    </font>
    <font>
      <sz val="12"/>
      <color indexed="10"/>
      <name val="Arial"/>
      <family val="2"/>
    </font>
    <font>
      <i/>
      <sz val="12"/>
      <name val="Arial"/>
      <family val="2"/>
    </font>
    <font>
      <b/>
      <sz val="12"/>
      <color indexed="12"/>
      <name val="Arial"/>
      <family val="2"/>
    </font>
    <font>
      <sz val="10"/>
      <name val="Arial"/>
      <family val="2"/>
    </font>
    <font>
      <sz val="10"/>
      <name val="Helv"/>
    </font>
    <font>
      <sz val="12"/>
      <color indexed="12"/>
      <name val="Arial"/>
      <family val="2"/>
    </font>
    <font>
      <b/>
      <sz val="12"/>
      <color indexed="8"/>
      <name val="Arial"/>
      <family val="2"/>
    </font>
    <font>
      <b/>
      <sz val="12"/>
      <color indexed="14"/>
      <name val="Arial"/>
      <family val="2"/>
    </font>
    <font>
      <sz val="12"/>
      <color indexed="9"/>
      <name val="Arial"/>
      <family val="2"/>
    </font>
    <font>
      <b/>
      <sz val="12"/>
      <color indexed="17"/>
      <name val="Arial"/>
      <family val="2"/>
    </font>
    <font>
      <sz val="12"/>
      <color indexed="10"/>
      <name val="Times New Roman"/>
      <family val="1"/>
    </font>
    <font>
      <b/>
      <sz val="12"/>
      <color rgb="FF008000"/>
      <name val="Arial"/>
      <family val="2"/>
    </font>
    <font>
      <sz val="12"/>
      <color theme="0"/>
      <name val="Arial"/>
      <family val="2"/>
    </font>
    <font>
      <b/>
      <sz val="12"/>
      <color rgb="FF0000FF"/>
      <name val="Arial"/>
      <family val="2"/>
    </font>
    <font>
      <b/>
      <sz val="18"/>
      <name val="Helv"/>
    </font>
    <font>
      <b/>
      <sz val="16"/>
      <name val="Helv"/>
    </font>
    <font>
      <sz val="10"/>
      <color rgb="FF0000FF"/>
      <name val="Helv"/>
    </font>
    <font>
      <sz val="11"/>
      <color theme="1"/>
      <name val="Calibri"/>
      <family val="2"/>
    </font>
    <font>
      <b/>
      <sz val="12"/>
      <color theme="1"/>
      <name val="Calibri"/>
      <family val="2"/>
    </font>
    <font>
      <sz val="8"/>
      <name val="Arial"/>
      <family val="2"/>
    </font>
    <font>
      <sz val="10"/>
      <color theme="1"/>
      <name val="Arial"/>
      <family val="2"/>
    </font>
    <font>
      <sz val="10"/>
      <name val="Arial"/>
      <family val="2"/>
    </font>
    <font>
      <sz val="12"/>
      <name val="Times New Roman"/>
      <family val="1"/>
    </font>
    <font>
      <sz val="10"/>
      <name val="Arial"/>
      <family val="2"/>
    </font>
    <font>
      <sz val="12"/>
      <color rgb="FFFF0000"/>
      <name val="Arial"/>
      <family val="2"/>
    </font>
    <font>
      <b/>
      <sz val="11"/>
      <color theme="1"/>
      <name val="Calibri"/>
      <family val="2"/>
      <scheme val="minor"/>
    </font>
    <font>
      <i/>
      <sz val="12"/>
      <color rgb="FF0000FF"/>
      <name val="Helv"/>
    </font>
    <font>
      <sz val="12"/>
      <name val="Helv"/>
    </font>
    <font>
      <b/>
      <sz val="12"/>
      <name val="Helv"/>
    </font>
    <font>
      <sz val="12"/>
      <color rgb="FF0000FF"/>
      <name val="Helv"/>
    </font>
    <font>
      <sz val="11"/>
      <name val="Calibri"/>
      <family val="2"/>
      <scheme val="minor"/>
    </font>
    <font>
      <b/>
      <sz val="12"/>
      <name val="Calibri"/>
      <family val="2"/>
      <scheme val="minor"/>
    </font>
    <font>
      <b/>
      <sz val="12"/>
      <color rgb="FF0000FF"/>
      <name val="Helv"/>
    </font>
    <font>
      <sz val="9"/>
      <color indexed="81"/>
      <name val="Tahoma"/>
      <family val="2"/>
    </font>
    <font>
      <b/>
      <sz val="9"/>
      <color indexed="81"/>
      <name val="Tahoma"/>
      <family val="2"/>
    </font>
    <font>
      <b/>
      <sz val="12"/>
      <color theme="0"/>
      <name val="Arial"/>
      <family val="2"/>
    </font>
    <font>
      <sz val="9"/>
      <color indexed="81"/>
      <name val="Tahoma"/>
      <charset val="1"/>
    </font>
    <font>
      <b/>
      <sz val="9"/>
      <color indexed="81"/>
      <name val="Tahoma"/>
      <charset val="1"/>
    </font>
    <font>
      <b/>
      <i/>
      <sz val="12"/>
      <name val="Helv"/>
    </font>
  </fonts>
  <fills count="18">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37">
    <xf numFmtId="39" fontId="0" fillId="0" borderId="0"/>
    <xf numFmtId="40" fontId="8" fillId="0" borderId="0" applyFont="0" applyFill="0" applyBorder="0" applyAlignment="0" applyProtection="0"/>
    <xf numFmtId="8" fontId="8" fillId="0" borderId="0" applyFont="0" applyFill="0" applyBorder="0" applyAlignment="0" applyProtection="0"/>
    <xf numFmtId="0" fontId="27" fillId="2" borderId="0"/>
    <xf numFmtId="9" fontId="8" fillId="0" borderId="0" applyFont="0" applyFill="0" applyBorder="0" applyAlignment="0" applyProtection="0"/>
    <xf numFmtId="43" fontId="20" fillId="0" borderId="0" applyFont="0" applyFill="0" applyBorder="0" applyAlignment="0" applyProtection="0"/>
    <xf numFmtId="0" fontId="34" fillId="0" borderId="0"/>
    <xf numFmtId="44" fontId="34" fillId="0" borderId="0" applyFont="0" applyFill="0" applyBorder="0" applyAlignment="0" applyProtection="0"/>
    <xf numFmtId="43" fontId="34" fillId="0" borderId="0" applyFont="0" applyFill="0" applyBorder="0" applyAlignment="0" applyProtection="0"/>
    <xf numFmtId="43" fontId="7" fillId="0" borderId="0" applyFont="0" applyFill="0" applyBorder="0" applyAlignment="0" applyProtection="0"/>
    <xf numFmtId="43" fontId="20" fillId="0" borderId="0" applyFont="0" applyFill="0" applyBorder="0" applyAlignment="0" applyProtection="0"/>
    <xf numFmtId="3" fontId="36" fillId="0" borderId="0" applyFont="0" applyFill="0" applyBorder="0" applyAlignment="0" applyProtection="0"/>
    <xf numFmtId="44" fontId="3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7" fillId="0" borderId="0" applyFont="0" applyFill="0" applyBorder="0" applyAlignment="0" applyProtection="0"/>
    <xf numFmtId="180" fontId="36" fillId="0" borderId="0" applyFont="0" applyFill="0" applyBorder="0" applyAlignment="0" applyProtection="0"/>
    <xf numFmtId="0" fontId="36" fillId="0" borderId="0" applyFont="0" applyFill="0" applyBorder="0" applyAlignment="0" applyProtection="0"/>
    <xf numFmtId="2" fontId="36" fillId="0" borderId="0" applyFont="0" applyFill="0" applyBorder="0" applyAlignment="0" applyProtection="0"/>
    <xf numFmtId="0" fontId="36" fillId="0" borderId="0"/>
    <xf numFmtId="0" fontId="37" fillId="0" borderId="0"/>
    <xf numFmtId="0" fontId="20" fillId="0" borderId="0"/>
    <xf numFmtId="0" fontId="20" fillId="0" borderId="0"/>
    <xf numFmtId="0" fontId="20" fillId="0" borderId="0"/>
    <xf numFmtId="0" fontId="7" fillId="0" borderId="0"/>
    <xf numFmtId="0" fontId="20" fillId="0" borderId="0"/>
    <xf numFmtId="9" fontId="20" fillId="0" borderId="0" applyFont="0" applyFill="0" applyBorder="0" applyAlignment="0" applyProtection="0"/>
    <xf numFmtId="10" fontId="36" fillId="0" borderId="0" applyFont="0" applyFill="0" applyBorder="0" applyAlignment="0" applyProtection="0"/>
    <xf numFmtId="9" fontId="3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7" fillId="0" borderId="0" applyFont="0" applyFill="0" applyBorder="0" applyAlignment="0" applyProtection="0"/>
    <xf numFmtId="9" fontId="20" fillId="0" borderId="0" applyFont="0" applyFill="0" applyBorder="0" applyAlignment="0" applyProtection="0"/>
    <xf numFmtId="0" fontId="38" fillId="0" borderId="0"/>
    <xf numFmtId="0" fontId="39" fillId="0" borderId="0"/>
    <xf numFmtId="0" fontId="8" fillId="0" borderId="0"/>
    <xf numFmtId="43" fontId="20"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20" fillId="0" borderId="0"/>
    <xf numFmtId="0" fontId="40" fillId="0" borderId="0"/>
    <xf numFmtId="43" fontId="37" fillId="0" borderId="0" applyFont="0" applyFill="0" applyBorder="0" applyAlignment="0" applyProtection="0"/>
    <xf numFmtId="44" fontId="37"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0" fontId="37" fillId="0" borderId="0"/>
    <xf numFmtId="9" fontId="37"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20" fillId="0" borderId="0"/>
    <xf numFmtId="43" fontId="20" fillId="0" borderId="0" applyFont="0" applyFill="0" applyBorder="0" applyAlignment="0" applyProtection="0"/>
    <xf numFmtId="0" fontId="20" fillId="0" borderId="0"/>
    <xf numFmtId="44" fontId="20" fillId="0" borderId="0" applyFont="0" applyFill="0" applyBorder="0" applyAlignment="0" applyProtection="0"/>
    <xf numFmtId="9" fontId="20" fillId="0" borderId="0" applyFont="0" applyFill="0" applyBorder="0" applyAlignment="0" applyProtection="0"/>
    <xf numFmtId="44" fontId="20" fillId="0" borderId="0" applyFont="0" applyFill="0" applyBorder="0" applyAlignment="0" applyProtection="0"/>
    <xf numFmtId="0" fontId="5" fillId="0" borderId="0"/>
    <xf numFmtId="43" fontId="5" fillId="0" borderId="0" applyFont="0" applyFill="0" applyBorder="0" applyAlignment="0" applyProtection="0"/>
    <xf numFmtId="44" fontId="34" fillId="0" borderId="0" applyFont="0" applyFill="0" applyBorder="0" applyAlignment="0" applyProtection="0"/>
    <xf numFmtId="9" fontId="34" fillId="0" borderId="0" applyFont="0" applyFill="0" applyBorder="0" applyAlignment="0" applyProtection="0"/>
    <xf numFmtId="0" fontId="42" fillId="0" borderId="29" applyNumberFormat="0" applyFill="0" applyAlignment="0" applyProtection="0"/>
    <xf numFmtId="43" fontId="4"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0" fillId="0" borderId="0"/>
    <xf numFmtId="0" fontId="3" fillId="0" borderId="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648">
    <xf numFmtId="39" fontId="0" fillId="0" borderId="0" xfId="0"/>
    <xf numFmtId="39" fontId="14" fillId="0" borderId="0" xfId="0" applyFont="1"/>
    <xf numFmtId="39" fontId="15" fillId="0" borderId="0" xfId="0" applyFont="1"/>
    <xf numFmtId="14" fontId="15" fillId="0" borderId="0" xfId="0" applyNumberFormat="1" applyFont="1"/>
    <xf numFmtId="43" fontId="16" fillId="0" borderId="0" xfId="0" applyNumberFormat="1" applyFont="1" applyFill="1"/>
    <xf numFmtId="39" fontId="14" fillId="0" borderId="0" xfId="0" applyFont="1" applyBorder="1"/>
    <xf numFmtId="39" fontId="14" fillId="0" borderId="0" xfId="0" applyFont="1" applyAlignment="1">
      <alignment horizontal="center"/>
    </xf>
    <xf numFmtId="39" fontId="14" fillId="0" borderId="0" xfId="0" applyFont="1" applyFill="1" applyBorder="1"/>
    <xf numFmtId="7" fontId="14" fillId="0" borderId="0" xfId="0" applyNumberFormat="1" applyFont="1" applyFill="1" applyBorder="1"/>
    <xf numFmtId="39" fontId="15" fillId="0" borderId="0" xfId="0" applyFont="1" applyAlignment="1">
      <alignment horizontal="right"/>
    </xf>
    <xf numFmtId="7" fontId="14" fillId="0" borderId="0" xfId="4" applyNumberFormat="1" applyFont="1" applyFill="1" applyBorder="1"/>
    <xf numFmtId="39" fontId="15" fillId="0" borderId="0" xfId="0" applyFont="1" applyFill="1" applyBorder="1"/>
    <xf numFmtId="39" fontId="15" fillId="0" borderId="0" xfId="0" applyFont="1" applyFill="1" applyBorder="1" applyAlignment="1">
      <alignment horizontal="center"/>
    </xf>
    <xf numFmtId="39" fontId="15" fillId="0" borderId="2" xfId="0" applyFont="1" applyFill="1" applyBorder="1" applyAlignment="1">
      <alignment horizontal="center"/>
    </xf>
    <xf numFmtId="39" fontId="16" fillId="0" borderId="4" xfId="0" applyFont="1" applyBorder="1"/>
    <xf numFmtId="39" fontId="14" fillId="0" borderId="0" xfId="0" applyFont="1" applyAlignment="1">
      <alignment horizontal="right"/>
    </xf>
    <xf numFmtId="39" fontId="15" fillId="0" borderId="0" xfId="0" applyFont="1" applyBorder="1"/>
    <xf numFmtId="37" fontId="15" fillId="0" borderId="0" xfId="0" applyNumberFormat="1" applyFont="1" applyAlignment="1">
      <alignment horizontal="center"/>
    </xf>
    <xf numFmtId="37" fontId="15" fillId="0" borderId="5" xfId="0" applyNumberFormat="1" applyFont="1" applyBorder="1" applyAlignment="1">
      <alignment horizontal="center"/>
    </xf>
    <xf numFmtId="39" fontId="9" fillId="0" borderId="0" xfId="0" applyFont="1" applyFill="1" applyBorder="1"/>
    <xf numFmtId="39" fontId="15" fillId="0" borderId="0" xfId="0" applyFont="1" applyAlignment="1">
      <alignment horizontal="left"/>
    </xf>
    <xf numFmtId="165" fontId="22" fillId="0" borderId="0" xfId="0" applyNumberFormat="1" applyFont="1" applyBorder="1" applyProtection="1"/>
    <xf numFmtId="39" fontId="14" fillId="0" borderId="0" xfId="0" applyFont="1" applyAlignment="1">
      <alignment horizontal="left"/>
    </xf>
    <xf numFmtId="165" fontId="17" fillId="0" borderId="0" xfId="0" applyNumberFormat="1" applyFont="1" applyProtection="1">
      <protection locked="0"/>
    </xf>
    <xf numFmtId="165" fontId="22" fillId="0" borderId="0" xfId="0" applyNumberFormat="1" applyFont="1" applyProtection="1">
      <protection locked="0"/>
    </xf>
    <xf numFmtId="165" fontId="14" fillId="0" borderId="0" xfId="0" applyNumberFormat="1" applyFont="1" applyProtection="1"/>
    <xf numFmtId="165" fontId="14" fillId="0" borderId="0" xfId="0" applyNumberFormat="1" applyFont="1" applyProtection="1">
      <protection locked="0"/>
    </xf>
    <xf numFmtId="170" fontId="14" fillId="0" borderId="0" xfId="0" applyNumberFormat="1" applyFont="1" applyProtection="1"/>
    <xf numFmtId="5" fontId="14" fillId="0" borderId="0" xfId="0" applyNumberFormat="1" applyFont="1" applyProtection="1"/>
    <xf numFmtId="17" fontId="15" fillId="0" borderId="17" xfId="0" applyNumberFormat="1" applyFont="1" applyBorder="1"/>
    <xf numFmtId="39" fontId="14" fillId="3" borderId="0" xfId="0" applyFont="1" applyFill="1"/>
    <xf numFmtId="5" fontId="15" fillId="0" borderId="0" xfId="0" applyNumberFormat="1" applyFont="1" applyFill="1" applyAlignment="1">
      <alignment horizontal="center"/>
    </xf>
    <xf numFmtId="5" fontId="14" fillId="0" borderId="0" xfId="0" applyNumberFormat="1" applyFont="1" applyFill="1"/>
    <xf numFmtId="17" fontId="15" fillId="3" borderId="0" xfId="0" applyNumberFormat="1" applyFont="1" applyFill="1"/>
    <xf numFmtId="5" fontId="15" fillId="3" borderId="0" xfId="0" applyNumberFormat="1" applyFont="1" applyFill="1" applyAlignment="1">
      <alignment horizontal="center"/>
    </xf>
    <xf numFmtId="5" fontId="14" fillId="3" borderId="0" xfId="0" applyNumberFormat="1" applyFont="1" applyFill="1"/>
    <xf numFmtId="7" fontId="14" fillId="3" borderId="0" xfId="0" applyNumberFormat="1" applyFont="1" applyFill="1"/>
    <xf numFmtId="7" fontId="14" fillId="3" borderId="0" xfId="0" applyNumberFormat="1" applyFont="1" applyFill="1" applyBorder="1"/>
    <xf numFmtId="39" fontId="14" fillId="0" borderId="0" xfId="0" applyFont="1" applyFill="1"/>
    <xf numFmtId="39" fontId="14" fillId="3" borderId="0" xfId="0" applyNumberFormat="1" applyFont="1" applyFill="1"/>
    <xf numFmtId="7" fontId="18" fillId="3" borderId="0" xfId="0" applyNumberFormat="1" applyFont="1" applyFill="1"/>
    <xf numFmtId="172" fontId="14" fillId="0" borderId="0" xfId="0" applyNumberFormat="1" applyFont="1" applyProtection="1"/>
    <xf numFmtId="39" fontId="14" fillId="0" borderId="0" xfId="0" applyNumberFormat="1" applyFont="1" applyProtection="1"/>
    <xf numFmtId="39" fontId="14" fillId="3" borderId="0" xfId="0" applyNumberFormat="1" applyFont="1" applyFill="1" applyBorder="1"/>
    <xf numFmtId="39" fontId="19" fillId="0" borderId="0" xfId="0" applyFont="1"/>
    <xf numFmtId="8" fontId="14" fillId="3" borderId="0" xfId="2" applyFont="1" applyFill="1" applyBorder="1"/>
    <xf numFmtId="39" fontId="14" fillId="0" borderId="9" xfId="0" applyFont="1" applyBorder="1"/>
    <xf numFmtId="39" fontId="14" fillId="0" borderId="16" xfId="0" applyFont="1" applyBorder="1"/>
    <xf numFmtId="43" fontId="14" fillId="0" borderId="0" xfId="0" applyNumberFormat="1" applyFont="1" applyFill="1" applyBorder="1"/>
    <xf numFmtId="39" fontId="14" fillId="0" borderId="9" xfId="0" applyFont="1" applyFill="1" applyBorder="1"/>
    <xf numFmtId="39" fontId="15" fillId="0" borderId="0" xfId="0" applyFont="1" applyFill="1"/>
    <xf numFmtId="164" fontId="15" fillId="0" borderId="0" xfId="0" applyNumberFormat="1" applyFont="1" applyAlignment="1">
      <alignment horizontal="left"/>
    </xf>
    <xf numFmtId="166" fontId="14" fillId="0" borderId="0" xfId="4" applyNumberFormat="1" applyFont="1"/>
    <xf numFmtId="164" fontId="14" fillId="0" borderId="0" xfId="0" applyNumberFormat="1" applyFont="1"/>
    <xf numFmtId="164" fontId="15" fillId="0" borderId="0" xfId="0" applyNumberFormat="1" applyFont="1" applyAlignment="1">
      <alignment horizontal="center"/>
    </xf>
    <xf numFmtId="39" fontId="15" fillId="0" borderId="0" xfId="0" applyFont="1" applyAlignment="1">
      <alignment horizontal="center"/>
    </xf>
    <xf numFmtId="39" fontId="15" fillId="0" borderId="0" xfId="0" applyFont="1" applyBorder="1" applyAlignment="1">
      <alignment horizontal="center"/>
    </xf>
    <xf numFmtId="166" fontId="15" fillId="0" borderId="0" xfId="4" applyNumberFormat="1" applyFont="1" applyFill="1"/>
    <xf numFmtId="164" fontId="19" fillId="0" borderId="0" xfId="0" applyNumberFormat="1" applyFont="1" applyFill="1" applyAlignment="1" applyProtection="1">
      <alignment horizontal="left"/>
      <protection locked="0"/>
    </xf>
    <xf numFmtId="39" fontId="15" fillId="0" borderId="0" xfId="0" applyFont="1" applyFill="1" applyAlignment="1">
      <alignment horizontal="left"/>
    </xf>
    <xf numFmtId="39" fontId="19" fillId="0" borderId="0" xfId="0" applyFont="1" applyFill="1" applyProtection="1">
      <protection locked="0"/>
    </xf>
    <xf numFmtId="164" fontId="15" fillId="0" borderId="0" xfId="0" applyNumberFormat="1" applyFont="1" applyFill="1"/>
    <xf numFmtId="164" fontId="15" fillId="0" borderId="0" xfId="0" applyNumberFormat="1" applyFont="1"/>
    <xf numFmtId="39" fontId="15" fillId="0" borderId="9" xfId="0" applyFont="1" applyBorder="1"/>
    <xf numFmtId="39" fontId="15" fillId="0" borderId="9" xfId="0" applyFont="1" applyFill="1" applyBorder="1"/>
    <xf numFmtId="39" fontId="14" fillId="0" borderId="0" xfId="0" applyFont="1" applyFill="1" applyBorder="1" applyAlignment="1">
      <alignment horizontal="right"/>
    </xf>
    <xf numFmtId="39" fontId="14" fillId="0" borderId="0" xfId="0" applyFont="1" applyFill="1" applyAlignment="1">
      <alignment horizontal="right"/>
    </xf>
    <xf numFmtId="39" fontId="14" fillId="0" borderId="0" xfId="0" applyFont="1" applyBorder="1" applyAlignment="1">
      <alignment horizontal="right"/>
    </xf>
    <xf numFmtId="8" fontId="15" fillId="0" borderId="0" xfId="2" applyFont="1" applyFill="1" applyBorder="1"/>
    <xf numFmtId="39" fontId="20" fillId="0" borderId="0" xfId="0" applyFont="1"/>
    <xf numFmtId="37" fontId="15" fillId="0" borderId="0" xfId="0" applyNumberFormat="1" applyFont="1" applyAlignment="1">
      <alignment horizontal="left"/>
    </xf>
    <xf numFmtId="37" fontId="15" fillId="0" borderId="0" xfId="0" applyNumberFormat="1" applyFont="1" applyBorder="1" applyAlignment="1">
      <alignment horizontal="center"/>
    </xf>
    <xf numFmtId="14" fontId="15" fillId="0" borderId="0" xfId="0" applyNumberFormat="1" applyFont="1" applyBorder="1" applyAlignment="1">
      <alignment horizontal="center"/>
    </xf>
    <xf numFmtId="39" fontId="15" fillId="0" borderId="18" xfId="0" applyFont="1" applyBorder="1" applyAlignment="1">
      <alignment horizontal="left"/>
    </xf>
    <xf numFmtId="39" fontId="14" fillId="0" borderId="19" xfId="0" applyFont="1" applyBorder="1" applyAlignment="1">
      <alignment horizontal="center"/>
    </xf>
    <xf numFmtId="39" fontId="15" fillId="0" borderId="19" xfId="0" applyFont="1" applyBorder="1" applyAlignment="1">
      <alignment horizontal="center"/>
    </xf>
    <xf numFmtId="173" fontId="19" fillId="0" borderId="19" xfId="0" applyNumberFormat="1" applyFont="1" applyFill="1" applyBorder="1" applyAlignment="1">
      <alignment horizontal="center"/>
    </xf>
    <xf numFmtId="43" fontId="15" fillId="0" borderId="8" xfId="0" applyNumberFormat="1" applyFont="1" applyBorder="1"/>
    <xf numFmtId="37" fontId="15" fillId="0" borderId="19" xfId="0" applyNumberFormat="1" applyFont="1" applyBorder="1" applyAlignment="1">
      <alignment horizontal="center"/>
    </xf>
    <xf numFmtId="39" fontId="15" fillId="0" borderId="19" xfId="0" applyFont="1" applyBorder="1"/>
    <xf numFmtId="14" fontId="15" fillId="0" borderId="19" xfId="0" applyNumberFormat="1" applyFont="1" applyBorder="1"/>
    <xf numFmtId="43" fontId="15" fillId="0" borderId="20" xfId="0" applyNumberFormat="1" applyFont="1" applyBorder="1"/>
    <xf numFmtId="39" fontId="15" fillId="0" borderId="0" xfId="0" applyNumberFormat="1" applyFont="1" applyAlignment="1">
      <alignment horizontal="left" vertical="top"/>
    </xf>
    <xf numFmtId="39" fontId="14" fillId="0" borderId="0" xfId="0" applyNumberFormat="1" applyFont="1" applyAlignment="1">
      <alignment horizontal="left" vertical="top"/>
    </xf>
    <xf numFmtId="39" fontId="14" fillId="0" borderId="0" xfId="0" applyNumberFormat="1" applyFont="1" applyAlignment="1">
      <alignment horizontal="center" vertical="top"/>
    </xf>
    <xf numFmtId="39" fontId="15" fillId="0" borderId="0" xfId="0" applyFont="1" applyFill="1" applyBorder="1" applyAlignment="1">
      <alignment horizontal="left"/>
    </xf>
    <xf numFmtId="39" fontId="14" fillId="0" borderId="0" xfId="0" applyFont="1" applyFill="1" applyBorder="1" applyAlignment="1">
      <alignment horizontal="center"/>
    </xf>
    <xf numFmtId="39" fontId="19" fillId="0" borderId="0" xfId="0" applyFont="1" applyFill="1"/>
    <xf numFmtId="39" fontId="21" fillId="0" borderId="0" xfId="0" applyFont="1" applyFill="1" applyBorder="1"/>
    <xf numFmtId="39" fontId="21" fillId="0" borderId="8" xfId="0" applyFont="1" applyFill="1" applyBorder="1"/>
    <xf numFmtId="14" fontId="15" fillId="0" borderId="0" xfId="0" applyNumberFormat="1" applyFont="1" applyFill="1"/>
    <xf numFmtId="164" fontId="13" fillId="0" borderId="0" xfId="0" quotePrefix="1" applyNumberFormat="1" applyFont="1" applyFill="1" applyBorder="1"/>
    <xf numFmtId="39" fontId="20" fillId="0" borderId="0" xfId="0" applyFont="1" applyFill="1" applyBorder="1"/>
    <xf numFmtId="39" fontId="21" fillId="0" borderId="11" xfId="0" applyFont="1" applyFill="1" applyBorder="1"/>
    <xf numFmtId="39" fontId="21" fillId="0" borderId="17" xfId="0" applyFont="1" applyFill="1" applyBorder="1"/>
    <xf numFmtId="37" fontId="15" fillId="0" borderId="0" xfId="0" applyNumberFormat="1" applyFont="1" applyFill="1" applyAlignment="1">
      <alignment horizontal="center"/>
    </xf>
    <xf numFmtId="174" fontId="14" fillId="0" borderId="0" xfId="0" applyNumberFormat="1" applyFont="1"/>
    <xf numFmtId="7" fontId="14" fillId="0" borderId="3" xfId="0" applyNumberFormat="1" applyFont="1" applyFill="1" applyBorder="1"/>
    <xf numFmtId="39" fontId="14" fillId="0" borderId="8" xfId="0" applyFont="1" applyFill="1" applyBorder="1"/>
    <xf numFmtId="9" fontId="19" fillId="0" borderId="0" xfId="4" applyFont="1" applyFill="1" applyAlignment="1">
      <alignment horizontal="center"/>
    </xf>
    <xf numFmtId="44" fontId="14" fillId="0" borderId="0" xfId="0" applyNumberFormat="1" applyFont="1" applyFill="1" applyBorder="1"/>
    <xf numFmtId="44" fontId="15" fillId="5" borderId="0" xfId="0" applyNumberFormat="1" applyFont="1" applyFill="1" applyBorder="1"/>
    <xf numFmtId="39" fontId="15" fillId="0" borderId="10" xfId="0" applyFont="1" applyFill="1" applyBorder="1"/>
    <xf numFmtId="164" fontId="15" fillId="0" borderId="0" xfId="0" applyNumberFormat="1" applyFont="1" applyFill="1" applyAlignment="1">
      <alignment horizontal="left"/>
    </xf>
    <xf numFmtId="164" fontId="15" fillId="0" borderId="0" xfId="0" applyNumberFormat="1" applyFont="1" applyFill="1" applyAlignment="1" applyProtection="1">
      <alignment horizontal="left"/>
      <protection locked="0"/>
    </xf>
    <xf numFmtId="39" fontId="16" fillId="0" borderId="0" xfId="0" applyFont="1" applyFill="1"/>
    <xf numFmtId="39" fontId="24" fillId="0" borderId="0" xfId="0" applyFont="1" applyFill="1" applyAlignment="1">
      <alignment horizontal="center"/>
    </xf>
    <xf numFmtId="43" fontId="14" fillId="0" borderId="6" xfId="0" applyNumberFormat="1" applyFont="1" applyFill="1" applyBorder="1"/>
    <xf numFmtId="7" fontId="14" fillId="0" borderId="2" xfId="0" applyNumberFormat="1" applyFont="1" applyFill="1" applyBorder="1"/>
    <xf numFmtId="167" fontId="14" fillId="0" borderId="8" xfId="0" applyNumberFormat="1" applyFont="1" applyFill="1" applyBorder="1"/>
    <xf numFmtId="43" fontId="14" fillId="0" borderId="5" xfId="0" applyNumberFormat="1" applyFont="1" applyFill="1" applyBorder="1"/>
    <xf numFmtId="39" fontId="21" fillId="0" borderId="6" xfId="0" applyFont="1" applyFill="1" applyBorder="1"/>
    <xf numFmtId="39" fontId="21" fillId="0" borderId="0" xfId="0" applyFont="1" applyFill="1" applyBorder="1" applyAlignment="1">
      <alignment horizontal="right"/>
    </xf>
    <xf numFmtId="39" fontId="15" fillId="0" borderId="1" xfId="0" applyFont="1" applyFill="1" applyBorder="1"/>
    <xf numFmtId="37" fontId="14" fillId="0" borderId="0" xfId="0" applyNumberFormat="1" applyFont="1" applyFill="1" applyBorder="1" applyProtection="1"/>
    <xf numFmtId="44" fontId="15" fillId="0" borderId="0" xfId="2" applyNumberFormat="1" applyFont="1" applyFill="1" applyBorder="1" applyProtection="1"/>
    <xf numFmtId="39" fontId="21" fillId="0" borderId="5" xfId="0" applyFont="1" applyFill="1" applyBorder="1" applyAlignment="1">
      <alignment horizontal="right"/>
    </xf>
    <xf numFmtId="39" fontId="21" fillId="0" borderId="3" xfId="0" applyFont="1" applyFill="1" applyBorder="1" applyAlignment="1">
      <alignment horizontal="right"/>
    </xf>
    <xf numFmtId="39" fontId="21" fillId="0" borderId="5" xfId="0" applyFont="1" applyFill="1" applyBorder="1"/>
    <xf numFmtId="7" fontId="15" fillId="0" borderId="9" xfId="0" applyNumberFormat="1" applyFont="1" applyFill="1" applyBorder="1"/>
    <xf numFmtId="39" fontId="25" fillId="5" borderId="0" xfId="0" applyFont="1" applyFill="1"/>
    <xf numFmtId="171" fontId="19" fillId="0" borderId="0" xfId="0" applyNumberFormat="1" applyFont="1" applyFill="1" applyAlignment="1">
      <alignment horizontal="right"/>
    </xf>
    <xf numFmtId="44" fontId="26" fillId="0" borderId="0" xfId="0" applyNumberFormat="1" applyFont="1" applyFill="1" applyBorder="1"/>
    <xf numFmtId="17" fontId="15" fillId="0" borderId="0" xfId="0" applyNumberFormat="1" applyFont="1" applyFill="1" applyBorder="1" applyAlignment="1">
      <alignment horizontal="left"/>
    </xf>
    <xf numFmtId="8" fontId="14" fillId="0" borderId="0" xfId="2" applyFont="1" applyFill="1"/>
    <xf numFmtId="44" fontId="15" fillId="3" borderId="23" xfId="0" applyNumberFormat="1" applyFont="1" applyFill="1" applyBorder="1"/>
    <xf numFmtId="39" fontId="15" fillId="0" borderId="14" xfId="0" applyFont="1" applyFill="1" applyBorder="1" applyAlignment="1">
      <alignment horizontal="center"/>
    </xf>
    <xf numFmtId="39" fontId="15" fillId="0" borderId="3" xfId="0" applyFont="1" applyFill="1" applyBorder="1" applyAlignment="1">
      <alignment horizontal="center"/>
    </xf>
    <xf numFmtId="39" fontId="15" fillId="0" borderId="6" xfId="0" applyFont="1" applyFill="1" applyBorder="1" applyAlignment="1">
      <alignment horizontal="center"/>
    </xf>
    <xf numFmtId="39" fontId="15" fillId="0" borderId="1" xfId="0" applyFont="1" applyFill="1" applyBorder="1" applyAlignment="1">
      <alignment horizontal="center"/>
    </xf>
    <xf numFmtId="39" fontId="15" fillId="0" borderId="4" xfId="0" applyFont="1" applyFill="1" applyBorder="1" applyAlignment="1">
      <alignment horizontal="center"/>
    </xf>
    <xf numFmtId="39" fontId="15" fillId="0" borderId="5" xfId="0" applyFont="1" applyFill="1" applyBorder="1" applyAlignment="1">
      <alignment horizontal="center"/>
    </xf>
    <xf numFmtId="44" fontId="15" fillId="0" borderId="15" xfId="2" applyNumberFormat="1" applyFont="1" applyFill="1" applyBorder="1" applyProtection="1"/>
    <xf numFmtId="10" fontId="15" fillId="0" borderId="0" xfId="4" applyNumberFormat="1" applyFont="1" applyFill="1"/>
    <xf numFmtId="10" fontId="26" fillId="0" borderId="0" xfId="4" applyNumberFormat="1" applyFont="1" applyFill="1"/>
    <xf numFmtId="44" fontId="14" fillId="4" borderId="0" xfId="0" applyNumberFormat="1" applyFont="1" applyFill="1" applyBorder="1"/>
    <xf numFmtId="171" fontId="19" fillId="0" borderId="0" xfId="0" applyNumberFormat="1" applyFont="1" applyFill="1"/>
    <xf numFmtId="37" fontId="15" fillId="0" borderId="0" xfId="0" applyNumberFormat="1" applyFont="1" applyFill="1" applyBorder="1" applyAlignment="1">
      <alignment horizontal="center"/>
    </xf>
    <xf numFmtId="14" fontId="15" fillId="0" borderId="0" xfId="0" applyNumberFormat="1" applyFont="1" applyFill="1" applyBorder="1"/>
    <xf numFmtId="39" fontId="15" fillId="0" borderId="4" xfId="0" applyFont="1" applyFill="1" applyBorder="1"/>
    <xf numFmtId="37" fontId="15" fillId="0" borderId="5" xfId="0" applyNumberFormat="1" applyFont="1" applyFill="1" applyBorder="1" applyAlignment="1">
      <alignment horizontal="center"/>
    </xf>
    <xf numFmtId="37" fontId="15" fillId="0" borderId="0" xfId="0" applyNumberFormat="1" applyFont="1" applyFill="1" applyAlignment="1">
      <alignment horizontal="left"/>
    </xf>
    <xf numFmtId="39" fontId="15" fillId="0" borderId="0" xfId="0" applyFont="1" applyFill="1" applyAlignment="1">
      <alignment horizontal="right"/>
    </xf>
    <xf numFmtId="17" fontId="14" fillId="0" borderId="0" xfId="0" applyNumberFormat="1" applyFont="1" applyFill="1" applyBorder="1"/>
    <xf numFmtId="0" fontId="14" fillId="0" borderId="0" xfId="0" applyNumberFormat="1" applyFont="1"/>
    <xf numFmtId="17" fontId="15" fillId="0" borderId="10" xfId="0" applyNumberFormat="1" applyFont="1" applyBorder="1"/>
    <xf numFmtId="17" fontId="15" fillId="0" borderId="5" xfId="0" applyNumberFormat="1" applyFont="1" applyFill="1" applyBorder="1" applyAlignment="1">
      <alignment horizontal="left"/>
    </xf>
    <xf numFmtId="39" fontId="14" fillId="0" borderId="5" xfId="0" applyFont="1" applyFill="1" applyBorder="1"/>
    <xf numFmtId="39" fontId="14" fillId="0" borderId="11" xfId="0" applyFont="1" applyFill="1" applyBorder="1"/>
    <xf numFmtId="39" fontId="15" fillId="0" borderId="12" xfId="0" applyFont="1" applyFill="1" applyBorder="1" applyAlignment="1">
      <alignment horizontal="center"/>
    </xf>
    <xf numFmtId="39" fontId="15" fillId="0" borderId="13" xfId="0" applyFont="1" applyFill="1" applyBorder="1" applyAlignment="1">
      <alignment horizontal="center"/>
    </xf>
    <xf numFmtId="39" fontId="14" fillId="0" borderId="1" xfId="0" applyFont="1" applyFill="1" applyBorder="1"/>
    <xf numFmtId="39" fontId="14" fillId="0" borderId="2" xfId="0" applyFont="1" applyFill="1" applyBorder="1"/>
    <xf numFmtId="39" fontId="14" fillId="0" borderId="7" xfId="0" applyFont="1" applyFill="1" applyBorder="1"/>
    <xf numFmtId="39" fontId="14" fillId="0" borderId="4" xfId="0" applyFont="1" applyFill="1" applyBorder="1"/>
    <xf numFmtId="39" fontId="22" fillId="0" borderId="0" xfId="0" applyFont="1" applyFill="1"/>
    <xf numFmtId="43" fontId="15" fillId="0" borderId="9" xfId="0" applyNumberFormat="1" applyFont="1" applyFill="1" applyBorder="1"/>
    <xf numFmtId="39" fontId="14" fillId="5" borderId="0" xfId="0" applyNumberFormat="1" applyFont="1" applyFill="1"/>
    <xf numFmtId="39" fontId="15" fillId="0" borderId="22" xfId="0" applyFont="1" applyFill="1" applyBorder="1"/>
    <xf numFmtId="37" fontId="14" fillId="0" borderId="22" xfId="0" applyNumberFormat="1" applyFont="1" applyFill="1" applyBorder="1"/>
    <xf numFmtId="44" fontId="15" fillId="0" borderId="22" xfId="0" applyNumberFormat="1" applyFont="1" applyFill="1" applyBorder="1"/>
    <xf numFmtId="39" fontId="15" fillId="6" borderId="0" xfId="0" applyFont="1" applyFill="1"/>
    <xf numFmtId="169" fontId="15" fillId="0" borderId="14" xfId="0" applyNumberFormat="1" applyFont="1" applyFill="1" applyBorder="1" applyAlignment="1" applyProtection="1">
      <alignment horizontal="center"/>
    </xf>
    <xf numFmtId="169" fontId="15" fillId="0" borderId="15" xfId="0" applyNumberFormat="1" applyFont="1" applyFill="1" applyBorder="1" applyAlignment="1" applyProtection="1">
      <alignment horizontal="center"/>
    </xf>
    <xf numFmtId="39" fontId="15" fillId="0" borderId="15" xfId="0" applyFont="1" applyFill="1" applyBorder="1" applyAlignment="1">
      <alignment horizontal="center"/>
    </xf>
    <xf numFmtId="39" fontId="15" fillId="0" borderId="16" xfId="0" applyFont="1" applyFill="1" applyBorder="1" applyAlignment="1">
      <alignment horizontal="center"/>
    </xf>
    <xf numFmtId="168" fontId="14" fillId="0" borderId="0" xfId="0" applyNumberFormat="1" applyFont="1" applyFill="1" applyAlignment="1" applyProtection="1">
      <alignment horizontal="left"/>
    </xf>
    <xf numFmtId="44" fontId="14" fillId="0" borderId="0" xfId="0" applyNumberFormat="1" applyFont="1" applyFill="1" applyProtection="1">
      <protection locked="0"/>
    </xf>
    <xf numFmtId="44" fontId="14" fillId="0" borderId="0" xfId="0" applyNumberFormat="1" applyFont="1" applyFill="1"/>
    <xf numFmtId="39" fontId="14" fillId="0" borderId="0" xfId="0" applyFont="1" applyFill="1" applyAlignment="1">
      <alignment horizontal="left"/>
    </xf>
    <xf numFmtId="44" fontId="14" fillId="0" borderId="9" xfId="0" applyNumberFormat="1" applyFont="1" applyFill="1" applyBorder="1" applyProtection="1">
      <protection locked="0"/>
    </xf>
    <xf numFmtId="39" fontId="17" fillId="0" borderId="0" xfId="0" applyFont="1" applyFill="1"/>
    <xf numFmtId="39" fontId="17" fillId="0" borderId="0" xfId="0" applyFont="1" applyFill="1" applyAlignment="1">
      <alignment horizontal="right"/>
    </xf>
    <xf numFmtId="44" fontId="17" fillId="0" borderId="0" xfId="0" applyNumberFormat="1" applyFont="1" applyFill="1" applyAlignment="1" applyProtection="1">
      <alignment horizontal="center"/>
    </xf>
    <xf numFmtId="44" fontId="14" fillId="0" borderId="0" xfId="0" applyNumberFormat="1" applyFont="1" applyFill="1" applyProtection="1"/>
    <xf numFmtId="168" fontId="15" fillId="0" borderId="0" xfId="0" applyNumberFormat="1" applyFont="1" applyFill="1" applyAlignment="1" applyProtection="1">
      <alignment horizontal="left"/>
    </xf>
    <xf numFmtId="44" fontId="15" fillId="0" borderId="22" xfId="0" applyNumberFormat="1" applyFont="1" applyFill="1" applyBorder="1" applyProtection="1">
      <protection locked="0"/>
    </xf>
    <xf numFmtId="49" fontId="14" fillId="0" borderId="0" xfId="0" applyNumberFormat="1" applyFont="1" applyFill="1" applyProtection="1"/>
    <xf numFmtId="176" fontId="17" fillId="0" borderId="0" xfId="1" applyNumberFormat="1" applyFont="1" applyFill="1"/>
    <xf numFmtId="7" fontId="17" fillId="0" borderId="0" xfId="0" applyNumberFormat="1" applyFont="1" applyFill="1" applyAlignment="1" applyProtection="1">
      <alignment horizontal="center"/>
    </xf>
    <xf numFmtId="7" fontId="14" fillId="0" borderId="0" xfId="0" applyNumberFormat="1" applyFont="1" applyFill="1" applyProtection="1"/>
    <xf numFmtId="37" fontId="14" fillId="0" borderId="22" xfId="0" applyNumberFormat="1" applyFont="1" applyFill="1" applyBorder="1" applyProtection="1"/>
    <xf numFmtId="171" fontId="22" fillId="0" borderId="0" xfId="0" applyNumberFormat="1" applyFont="1" applyFill="1" applyBorder="1" applyAlignment="1" applyProtection="1">
      <alignment horizontal="center"/>
      <protection locked="0"/>
    </xf>
    <xf numFmtId="7" fontId="17" fillId="0" borderId="0" xfId="0" applyNumberFormat="1" applyFont="1" applyFill="1" applyBorder="1" applyAlignment="1" applyProtection="1">
      <alignment horizontal="center"/>
    </xf>
    <xf numFmtId="39" fontId="15" fillId="0" borderId="7" xfId="0" applyFont="1" applyFill="1" applyBorder="1"/>
    <xf numFmtId="39" fontId="15" fillId="0" borderId="8" xfId="0" applyFont="1" applyFill="1" applyBorder="1" applyAlignment="1">
      <alignment horizontal="center"/>
    </xf>
    <xf numFmtId="39" fontId="14" fillId="0" borderId="7" xfId="0" applyFont="1" applyFill="1" applyBorder="1" applyAlignment="1">
      <alignment horizontal="left"/>
    </xf>
    <xf numFmtId="171" fontId="14" fillId="0" borderId="0" xfId="0" applyNumberFormat="1" applyFont="1" applyFill="1" applyBorder="1" applyAlignment="1" applyProtection="1">
      <alignment horizontal="left"/>
      <protection locked="0"/>
    </xf>
    <xf numFmtId="39" fontId="14" fillId="0" borderId="4" xfId="0" applyFont="1" applyFill="1" applyBorder="1" applyAlignment="1">
      <alignment horizontal="left"/>
    </xf>
    <xf numFmtId="171" fontId="14" fillId="0" borderId="5" xfId="0" applyNumberFormat="1" applyFont="1" applyFill="1" applyBorder="1" applyAlignment="1" applyProtection="1">
      <alignment horizontal="left"/>
      <protection locked="0"/>
    </xf>
    <xf numFmtId="8" fontId="15" fillId="0" borderId="8" xfId="2" applyFont="1" applyFill="1" applyBorder="1"/>
    <xf numFmtId="8" fontId="14" fillId="0" borderId="0" xfId="2" applyFont="1" applyFill="1" applyBorder="1"/>
    <xf numFmtId="8" fontId="14" fillId="0" borderId="7" xfId="2" applyFont="1" applyFill="1" applyBorder="1"/>
    <xf numFmtId="165" fontId="14" fillId="0" borderId="0" xfId="4" applyNumberFormat="1" applyFont="1" applyFill="1" applyBorder="1"/>
    <xf numFmtId="39" fontId="15" fillId="0" borderId="4" xfId="0" applyFont="1" applyFill="1" applyBorder="1" applyAlignment="1">
      <alignment horizontal="left"/>
    </xf>
    <xf numFmtId="39" fontId="15" fillId="0" borderId="16" xfId="0" applyFont="1" applyFill="1" applyBorder="1"/>
    <xf numFmtId="44" fontId="14" fillId="0" borderId="8" xfId="2" applyNumberFormat="1" applyFont="1" applyFill="1" applyBorder="1"/>
    <xf numFmtId="44" fontId="15" fillId="0" borderId="21" xfId="2" applyNumberFormat="1" applyFont="1" applyFill="1" applyBorder="1"/>
    <xf numFmtId="8" fontId="14" fillId="0" borderId="8" xfId="2" applyFont="1" applyFill="1" applyBorder="1"/>
    <xf numFmtId="39" fontId="15" fillId="0" borderId="7" xfId="0" applyFont="1" applyFill="1" applyBorder="1" applyAlignment="1">
      <alignment horizontal="right"/>
    </xf>
    <xf numFmtId="39" fontId="14" fillId="0" borderId="7" xfId="0" applyFont="1" applyFill="1" applyBorder="1" applyAlignment="1">
      <alignment horizontal="right"/>
    </xf>
    <xf numFmtId="39" fontId="15" fillId="0" borderId="15" xfId="0" applyFont="1" applyFill="1" applyBorder="1"/>
    <xf numFmtId="39" fontId="14" fillId="6" borderId="0" xfId="0" applyFont="1" applyFill="1"/>
    <xf numFmtId="39" fontId="15" fillId="6" borderId="9" xfId="0" applyFont="1" applyFill="1" applyBorder="1"/>
    <xf numFmtId="2" fontId="14" fillId="5" borderId="0" xfId="0" applyNumberFormat="1" applyFont="1" applyFill="1"/>
    <xf numFmtId="39" fontId="14" fillId="0" borderId="3" xfId="0" applyFont="1" applyFill="1" applyBorder="1"/>
    <xf numFmtId="37" fontId="28" fillId="0" borderId="0" xfId="0" applyNumberFormat="1" applyFont="1" applyFill="1" applyAlignment="1">
      <alignment horizontal="right"/>
    </xf>
    <xf numFmtId="44" fontId="15" fillId="0" borderId="0" xfId="0" applyNumberFormat="1" applyFont="1" applyFill="1"/>
    <xf numFmtId="0" fontId="14" fillId="0" borderId="0" xfId="0" applyNumberFormat="1" applyFont="1" applyFill="1" applyBorder="1"/>
    <xf numFmtId="0" fontId="14" fillId="0" borderId="9" xfId="0" applyNumberFormat="1" applyFont="1" applyFill="1" applyBorder="1"/>
    <xf numFmtId="0" fontId="14" fillId="0" borderId="0" xfId="0" applyNumberFormat="1" applyFont="1" applyFill="1" applyBorder="1" applyAlignment="1">
      <alignment horizontal="left"/>
    </xf>
    <xf numFmtId="0" fontId="14" fillId="0" borderId="0" xfId="0" applyNumberFormat="1" applyFont="1" applyFill="1"/>
    <xf numFmtId="44" fontId="15" fillId="0" borderId="7" xfId="2" applyNumberFormat="1" applyFont="1" applyFill="1" applyBorder="1" applyProtection="1"/>
    <xf numFmtId="44" fontId="14" fillId="4" borderId="24" xfId="0" applyNumberFormat="1" applyFont="1" applyFill="1" applyBorder="1"/>
    <xf numFmtId="39" fontId="14" fillId="0" borderId="25" xfId="0" applyFont="1" applyBorder="1"/>
    <xf numFmtId="177" fontId="14" fillId="0" borderId="6" xfId="0" applyNumberFormat="1" applyFont="1" applyFill="1" applyBorder="1" applyAlignment="1">
      <alignment horizontal="right"/>
    </xf>
    <xf numFmtId="177" fontId="14" fillId="0" borderId="8" xfId="0" applyNumberFormat="1" applyFont="1" applyFill="1" applyBorder="1"/>
    <xf numFmtId="178" fontId="14" fillId="0" borderId="6" xfId="2" applyNumberFormat="1" applyFont="1" applyFill="1" applyBorder="1"/>
    <xf numFmtId="39" fontId="14" fillId="0" borderId="0" xfId="0" applyFont="1" applyFill="1" applyBorder="1" applyAlignment="1">
      <alignment horizontal="center"/>
    </xf>
    <xf numFmtId="17" fontId="30" fillId="0" borderId="7" xfId="0" applyNumberFormat="1" applyFont="1" applyFill="1" applyBorder="1"/>
    <xf numFmtId="171" fontId="30" fillId="0" borderId="0" xfId="0" applyNumberFormat="1" applyFont="1" applyFill="1" applyAlignment="1">
      <alignment horizontal="right"/>
    </xf>
    <xf numFmtId="39" fontId="15" fillId="6" borderId="0" xfId="0" applyFont="1" applyFill="1" applyBorder="1"/>
    <xf numFmtId="7" fontId="14" fillId="0" borderId="8" xfId="4" applyNumberFormat="1" applyFont="1" applyFill="1" applyBorder="1"/>
    <xf numFmtId="7" fontId="14" fillId="0" borderId="8" xfId="0" applyNumberFormat="1" applyFont="1" applyFill="1" applyBorder="1"/>
    <xf numFmtId="37" fontId="30" fillId="0" borderId="0" xfId="0" applyNumberFormat="1" applyFont="1" applyFill="1"/>
    <xf numFmtId="10" fontId="30" fillId="0" borderId="0" xfId="0" applyNumberFormat="1" applyFont="1" applyFill="1" applyAlignment="1">
      <alignment horizontal="right"/>
    </xf>
    <xf numFmtId="8" fontId="30" fillId="0" borderId="9" xfId="2" applyFont="1" applyFill="1" applyBorder="1"/>
    <xf numFmtId="39" fontId="21" fillId="0" borderId="8" xfId="0" applyFont="1" applyFill="1" applyBorder="1" applyAlignment="1">
      <alignment horizontal="right"/>
    </xf>
    <xf numFmtId="39" fontId="14" fillId="0" borderId="17" xfId="0" applyFont="1" applyBorder="1"/>
    <xf numFmtId="39" fontId="14" fillId="0" borderId="0" xfId="0" applyFont="1" applyFill="1" applyBorder="1" applyAlignment="1">
      <alignment horizontal="center"/>
    </xf>
    <xf numFmtId="37" fontId="29" fillId="0" borderId="0" xfId="0" applyNumberFormat="1" applyFont="1" applyFill="1" applyBorder="1"/>
    <xf numFmtId="37" fontId="30" fillId="0" borderId="0" xfId="0" applyNumberFormat="1" applyFont="1" applyFill="1" applyBorder="1" applyProtection="1"/>
    <xf numFmtId="37" fontId="30" fillId="0" borderId="5" xfId="0" applyNumberFormat="1" applyFont="1" applyFill="1" applyBorder="1" applyProtection="1"/>
    <xf numFmtId="171" fontId="30" fillId="0" borderId="0" xfId="0" applyNumberFormat="1" applyFont="1" applyFill="1" applyBorder="1" applyAlignment="1" applyProtection="1">
      <alignment horizontal="center"/>
      <protection locked="0"/>
    </xf>
    <xf numFmtId="44" fontId="30" fillId="0" borderId="10" xfId="2" applyNumberFormat="1" applyFont="1" applyFill="1" applyBorder="1" applyProtection="1"/>
    <xf numFmtId="44" fontId="30" fillId="0" borderId="11" xfId="2" applyNumberFormat="1" applyFont="1" applyFill="1" applyBorder="1" applyProtection="1"/>
    <xf numFmtId="44" fontId="30" fillId="0" borderId="17" xfId="2" applyNumberFormat="1" applyFont="1" applyFill="1" applyBorder="1" applyProtection="1"/>
    <xf numFmtId="10" fontId="19" fillId="0" borderId="0" xfId="4" applyNumberFormat="1" applyFont="1" applyFill="1"/>
    <xf numFmtId="171" fontId="30" fillId="0" borderId="0" xfId="0" applyNumberFormat="1" applyFont="1" applyFill="1" applyAlignment="1">
      <alignment horizontal="center"/>
    </xf>
    <xf numFmtId="44" fontId="15" fillId="6" borderId="0" xfId="0" applyNumberFormat="1" applyFont="1" applyFill="1" applyBorder="1"/>
    <xf numFmtId="39" fontId="29" fillId="0" borderId="0" xfId="0" applyFont="1"/>
    <xf numFmtId="39" fontId="26" fillId="6" borderId="0" xfId="0" applyFont="1" applyFill="1" applyProtection="1">
      <protection locked="0"/>
    </xf>
    <xf numFmtId="39" fontId="19" fillId="6" borderId="0" xfId="0" applyFont="1" applyFill="1" applyProtection="1">
      <protection locked="0"/>
    </xf>
    <xf numFmtId="39" fontId="19" fillId="6" borderId="0" xfId="0" applyFont="1" applyFill="1"/>
    <xf numFmtId="39" fontId="28" fillId="6" borderId="0" xfId="0" applyNumberFormat="1" applyFont="1" applyFill="1" applyAlignment="1">
      <alignment horizontal="right"/>
    </xf>
    <xf numFmtId="39" fontId="26" fillId="6" borderId="0" xfId="0" applyFont="1" applyFill="1"/>
    <xf numFmtId="2" fontId="14" fillId="0" borderId="0" xfId="0" applyNumberFormat="1" applyFont="1" applyFill="1" applyBorder="1" applyAlignment="1">
      <alignment horizontal="right"/>
    </xf>
    <xf numFmtId="39" fontId="15" fillId="7" borderId="0" xfId="0" applyFont="1" applyFill="1"/>
    <xf numFmtId="39" fontId="26" fillId="7" borderId="0" xfId="0" applyFont="1" applyFill="1" applyProtection="1">
      <protection locked="0"/>
    </xf>
    <xf numFmtId="39" fontId="19" fillId="7" borderId="0" xfId="0" applyFont="1" applyFill="1" applyProtection="1">
      <protection locked="0"/>
    </xf>
    <xf numFmtId="39" fontId="19" fillId="7" borderId="0" xfId="0" applyFont="1" applyFill="1"/>
    <xf numFmtId="37" fontId="19" fillId="7" borderId="0" xfId="0" applyNumberFormat="1" applyFont="1" applyFill="1"/>
    <xf numFmtId="37" fontId="26" fillId="7" borderId="0" xfId="0" applyNumberFormat="1" applyFont="1" applyFill="1" applyBorder="1" applyAlignment="1" applyProtection="1">
      <alignment horizontal="center"/>
    </xf>
    <xf numFmtId="37" fontId="19" fillId="7" borderId="0" xfId="0" applyNumberFormat="1" applyFont="1" applyFill="1" applyAlignment="1">
      <alignment horizontal="right"/>
    </xf>
    <xf numFmtId="37" fontId="14" fillId="7" borderId="22" xfId="0" applyNumberFormat="1" applyFont="1" applyFill="1" applyBorder="1"/>
    <xf numFmtId="37" fontId="30" fillId="7" borderId="0" xfId="0" applyNumberFormat="1" applyFont="1" applyFill="1"/>
    <xf numFmtId="164" fontId="14" fillId="6" borderId="0" xfId="0" applyNumberFormat="1" applyFont="1" applyFill="1"/>
    <xf numFmtId="44" fontId="14" fillId="6" borderId="0" xfId="0" applyNumberFormat="1" applyFont="1" applyFill="1" applyBorder="1"/>
    <xf numFmtId="39" fontId="15" fillId="6" borderId="22" xfId="0" applyFont="1" applyFill="1" applyBorder="1"/>
    <xf numFmtId="39" fontId="15" fillId="6" borderId="0" xfId="0" applyFont="1" applyFill="1" applyAlignment="1">
      <alignment horizontal="right"/>
    </xf>
    <xf numFmtId="7" fontId="14" fillId="4" borderId="0" xfId="0" applyNumberFormat="1" applyFont="1" applyFill="1" applyBorder="1"/>
    <xf numFmtId="44" fontId="15" fillId="0" borderId="26" xfId="2" applyNumberFormat="1" applyFont="1" applyFill="1" applyBorder="1" applyProtection="1"/>
    <xf numFmtId="38" fontId="26" fillId="0" borderId="0" xfId="1" applyNumberFormat="1" applyFont="1" applyFill="1" applyBorder="1" applyProtection="1"/>
    <xf numFmtId="38" fontId="14" fillId="0" borderId="0" xfId="1" applyNumberFormat="1" applyFont="1" applyFill="1" applyBorder="1" applyProtection="1"/>
    <xf numFmtId="38" fontId="26" fillId="0" borderId="9" xfId="1" applyNumberFormat="1" applyFont="1" applyFill="1" applyBorder="1" applyProtection="1"/>
    <xf numFmtId="39" fontId="10" fillId="0" borderId="0" xfId="0" applyFont="1" applyFill="1" applyBorder="1"/>
    <xf numFmtId="175" fontId="33" fillId="8" borderId="0" xfId="0" applyNumberFormat="1" applyFont="1" applyFill="1"/>
    <xf numFmtId="39" fontId="10" fillId="0" borderId="0" xfId="0" applyFont="1"/>
    <xf numFmtId="39" fontId="0" fillId="0" borderId="27" xfId="0" applyBorder="1"/>
    <xf numFmtId="39" fontId="0" fillId="0" borderId="27" xfId="0" applyBorder="1" applyAlignment="1">
      <alignment horizontal="center"/>
    </xf>
    <xf numFmtId="179" fontId="0" fillId="0" borderId="0" xfId="1" applyNumberFormat="1" applyFont="1"/>
    <xf numFmtId="39" fontId="10" fillId="0" borderId="27" xfId="0" applyFont="1" applyBorder="1"/>
    <xf numFmtId="179" fontId="10" fillId="0" borderId="27" xfId="1" applyNumberFormat="1" applyFont="1" applyBorder="1"/>
    <xf numFmtId="38" fontId="14" fillId="0" borderId="0" xfId="1" applyNumberFormat="1" applyFont="1"/>
    <xf numFmtId="0" fontId="35" fillId="0" borderId="0" xfId="6" applyFont="1"/>
    <xf numFmtId="0" fontId="34" fillId="0" borderId="0" xfId="6"/>
    <xf numFmtId="37" fontId="15" fillId="0" borderId="0" xfId="6" applyNumberFormat="1" applyFont="1" applyFill="1" applyBorder="1" applyAlignment="1">
      <alignment horizontal="center"/>
    </xf>
    <xf numFmtId="39" fontId="15" fillId="0" borderId="0" xfId="6" applyNumberFormat="1" applyFont="1" applyFill="1" applyBorder="1" applyAlignment="1">
      <alignment horizontal="center"/>
    </xf>
    <xf numFmtId="14" fontId="15" fillId="0" borderId="0" xfId="6" applyNumberFormat="1" applyFont="1" applyFill="1" applyBorder="1"/>
    <xf numFmtId="43" fontId="15" fillId="0" borderId="8" xfId="6" applyNumberFormat="1" applyFont="1" applyBorder="1"/>
    <xf numFmtId="39" fontId="15" fillId="0" borderId="4" xfId="6" applyNumberFormat="1" applyFont="1" applyFill="1" applyBorder="1"/>
    <xf numFmtId="37" fontId="15" fillId="0" borderId="5" xfId="6" applyNumberFormat="1" applyFont="1" applyFill="1" applyBorder="1" applyAlignment="1">
      <alignment horizontal="center"/>
    </xf>
    <xf numFmtId="39" fontId="15" fillId="0" borderId="5" xfId="6" applyNumberFormat="1" applyFont="1" applyFill="1" applyBorder="1" applyAlignment="1">
      <alignment horizontal="center"/>
    </xf>
    <xf numFmtId="39" fontId="15" fillId="0" borderId="6" xfId="6" applyNumberFormat="1" applyFont="1" applyFill="1" applyBorder="1" applyAlignment="1">
      <alignment horizontal="center"/>
    </xf>
    <xf numFmtId="39" fontId="15" fillId="0" borderId="0" xfId="6" applyNumberFormat="1" applyFont="1" applyFill="1"/>
    <xf numFmtId="37" fontId="15" fillId="0" borderId="0" xfId="6" applyNumberFormat="1" applyFont="1" applyFill="1" applyAlignment="1">
      <alignment horizontal="center"/>
    </xf>
    <xf numFmtId="37" fontId="28" fillId="0" borderId="0" xfId="6" applyNumberFormat="1" applyFont="1" applyFill="1" applyAlignment="1">
      <alignment horizontal="right"/>
    </xf>
    <xf numFmtId="171" fontId="30" fillId="0" borderId="0" xfId="6" applyNumberFormat="1" applyFont="1" applyFill="1" applyBorder="1" applyAlignment="1" applyProtection="1">
      <alignment horizontal="center"/>
      <protection locked="0"/>
    </xf>
    <xf numFmtId="44" fontId="14" fillId="0" borderId="0" xfId="6" applyNumberFormat="1" applyFont="1" applyFill="1"/>
    <xf numFmtId="17" fontId="15" fillId="0" borderId="0" xfId="6" applyNumberFormat="1" applyFont="1" applyFill="1" applyBorder="1" applyAlignment="1">
      <alignment horizontal="left"/>
    </xf>
    <xf numFmtId="39" fontId="14" fillId="0" borderId="0" xfId="6" applyNumberFormat="1" applyFont="1" applyFill="1"/>
    <xf numFmtId="39" fontId="15" fillId="0" borderId="23" xfId="6" applyNumberFormat="1" applyFont="1" applyFill="1" applyBorder="1"/>
    <xf numFmtId="39" fontId="14" fillId="0" borderId="23" xfId="6" applyNumberFormat="1" applyFont="1" applyFill="1" applyBorder="1"/>
    <xf numFmtId="39" fontId="15" fillId="0" borderId="23" xfId="6" applyNumberFormat="1" applyFont="1" applyFill="1" applyBorder="1" applyAlignment="1">
      <alignment horizontal="center"/>
    </xf>
    <xf numFmtId="39" fontId="14" fillId="0" borderId="7" xfId="6" applyNumberFormat="1" applyFont="1" applyFill="1" applyBorder="1"/>
    <xf numFmtId="39" fontId="14" fillId="0" borderId="0" xfId="6" applyNumberFormat="1" applyFont="1" applyFill="1" applyBorder="1"/>
    <xf numFmtId="44" fontId="14" fillId="0" borderId="0" xfId="6" applyNumberFormat="1" applyFont="1" applyFill="1" applyBorder="1"/>
    <xf numFmtId="43" fontId="14" fillId="0" borderId="8" xfId="8" applyFont="1" applyFill="1" applyBorder="1"/>
    <xf numFmtId="39" fontId="14" fillId="0" borderId="4" xfId="6" applyNumberFormat="1" applyFont="1" applyFill="1" applyBorder="1"/>
    <xf numFmtId="39" fontId="14" fillId="0" borderId="5" xfId="6" applyNumberFormat="1" applyFont="1" applyFill="1" applyBorder="1"/>
    <xf numFmtId="43" fontId="14" fillId="0" borderId="5" xfId="6" applyNumberFormat="1" applyFont="1" applyFill="1" applyBorder="1"/>
    <xf numFmtId="43" fontId="14" fillId="0" borderId="6" xfId="6" applyNumberFormat="1" applyFont="1" applyFill="1" applyBorder="1"/>
    <xf numFmtId="44" fontId="14" fillId="4" borderId="0" xfId="6" applyNumberFormat="1" applyFont="1" applyFill="1" applyBorder="1"/>
    <xf numFmtId="44" fontId="14" fillId="0" borderId="9" xfId="6" applyNumberFormat="1" applyFont="1" applyFill="1" applyBorder="1"/>
    <xf numFmtId="37" fontId="14" fillId="0" borderId="22" xfId="6" applyNumberFormat="1" applyFont="1" applyFill="1" applyBorder="1"/>
    <xf numFmtId="39" fontId="15" fillId="0" borderId="0" xfId="6" applyNumberFormat="1" applyFont="1" applyFill="1" applyAlignment="1">
      <alignment horizontal="right"/>
    </xf>
    <xf numFmtId="44" fontId="15" fillId="0" borderId="0" xfId="6" applyNumberFormat="1" applyFont="1" applyFill="1"/>
    <xf numFmtId="37" fontId="29" fillId="0" borderId="0" xfId="6" applyNumberFormat="1" applyFont="1" applyFill="1" applyBorder="1"/>
    <xf numFmtId="14" fontId="15" fillId="0" borderId="0" xfId="6" applyNumberFormat="1" applyFont="1" applyFill="1"/>
    <xf numFmtId="43" fontId="15" fillId="0" borderId="0" xfId="6" applyNumberFormat="1" applyFont="1" applyFill="1" applyBorder="1"/>
    <xf numFmtId="37" fontId="30" fillId="9" borderId="0" xfId="6" applyNumberFormat="1" applyFont="1" applyFill="1"/>
    <xf numFmtId="44" fontId="15" fillId="7" borderId="0" xfId="0" applyNumberFormat="1" applyFont="1" applyFill="1" applyBorder="1"/>
    <xf numFmtId="44" fontId="26" fillId="7" borderId="0" xfId="0" applyNumberFormat="1" applyFont="1" applyFill="1" applyBorder="1"/>
    <xf numFmtId="44" fontId="26" fillId="7" borderId="9" xfId="0" applyNumberFormat="1" applyFont="1" applyFill="1" applyBorder="1"/>
    <xf numFmtId="8" fontId="26" fillId="7" borderId="0" xfId="0" applyNumberFormat="1" applyFont="1" applyFill="1" applyBorder="1"/>
    <xf numFmtId="8" fontId="26" fillId="7" borderId="9" xfId="0" applyNumberFormat="1" applyFont="1" applyFill="1" applyBorder="1"/>
    <xf numFmtId="39" fontId="15" fillId="7" borderId="0" xfId="0" applyFont="1" applyFill="1" applyBorder="1"/>
    <xf numFmtId="37" fontId="29" fillId="7" borderId="0" xfId="0" applyNumberFormat="1" applyFont="1" applyFill="1" applyBorder="1"/>
    <xf numFmtId="39" fontId="14" fillId="0" borderId="4" xfId="0" applyFont="1" applyBorder="1"/>
    <xf numFmtId="39" fontId="14" fillId="0" borderId="6" xfId="0" applyFont="1" applyBorder="1"/>
    <xf numFmtId="181" fontId="14" fillId="0" borderId="0" xfId="0" applyNumberFormat="1" applyFont="1"/>
    <xf numFmtId="181" fontId="15" fillId="0" borderId="20" xfId="0" applyNumberFormat="1" applyFont="1" applyBorder="1" applyAlignment="1">
      <alignment horizontal="center"/>
    </xf>
    <xf numFmtId="181" fontId="15" fillId="0" borderId="8" xfId="0" applyNumberFormat="1" applyFont="1" applyBorder="1" applyAlignment="1">
      <alignment horizontal="center"/>
    </xf>
    <xf numFmtId="181" fontId="15" fillId="0" borderId="6" xfId="0" applyNumberFormat="1" applyFont="1" applyFill="1" applyBorder="1" applyAlignment="1">
      <alignment horizontal="center"/>
    </xf>
    <xf numFmtId="181" fontId="14" fillId="0" borderId="0" xfId="0" applyNumberFormat="1" applyFont="1" applyFill="1"/>
    <xf numFmtId="181" fontId="30" fillId="0" borderId="9" xfId="0" applyNumberFormat="1" applyFont="1" applyFill="1" applyBorder="1"/>
    <xf numFmtId="181" fontId="15" fillId="0" borderId="0" xfId="0" applyNumberFormat="1" applyFont="1" applyFill="1"/>
    <xf numFmtId="181" fontId="14" fillId="0" borderId="9" xfId="0" applyNumberFormat="1" applyFont="1" applyFill="1" applyBorder="1"/>
    <xf numFmtId="181" fontId="15" fillId="0" borderId="9" xfId="0" applyNumberFormat="1" applyFont="1" applyFill="1" applyBorder="1"/>
    <xf numFmtId="181" fontId="15" fillId="0" borderId="22" xfId="0" applyNumberFormat="1" applyFont="1" applyFill="1" applyBorder="1"/>
    <xf numFmtId="7" fontId="14" fillId="6" borderId="0" xfId="0" applyNumberFormat="1" applyFont="1" applyFill="1" applyBorder="1"/>
    <xf numFmtId="39" fontId="14" fillId="0" borderId="0" xfId="0" applyFont="1"/>
    <xf numFmtId="39" fontId="14" fillId="0" borderId="11" xfId="0" applyFont="1" applyBorder="1"/>
    <xf numFmtId="39" fontId="14" fillId="0" borderId="0" xfId="0" applyFont="1" applyFill="1"/>
    <xf numFmtId="39" fontId="13" fillId="0" borderId="7" xfId="0" applyFont="1" applyFill="1" applyBorder="1"/>
    <xf numFmtId="39" fontId="20" fillId="0" borderId="0" xfId="0" applyFont="1" applyFill="1" applyBorder="1"/>
    <xf numFmtId="39" fontId="10" fillId="0" borderId="10" xfId="0" applyFont="1" applyFill="1" applyBorder="1"/>
    <xf numFmtId="39" fontId="20" fillId="0" borderId="8" xfId="0" applyFont="1" applyFill="1" applyBorder="1"/>
    <xf numFmtId="44" fontId="14" fillId="4" borderId="0" xfId="0" applyNumberFormat="1" applyFont="1" applyFill="1" applyBorder="1"/>
    <xf numFmtId="164" fontId="13" fillId="0" borderId="0" xfId="0" applyNumberFormat="1" applyFont="1" applyFill="1" applyBorder="1"/>
    <xf numFmtId="9" fontId="13" fillId="0" borderId="7" xfId="0" applyNumberFormat="1" applyFont="1" applyFill="1" applyBorder="1"/>
    <xf numFmtId="164" fontId="13" fillId="0" borderId="5" xfId="0" quotePrefix="1" applyNumberFormat="1" applyFont="1" applyFill="1" applyBorder="1"/>
    <xf numFmtId="39" fontId="20" fillId="0" borderId="7" xfId="0" applyFont="1" applyFill="1" applyBorder="1"/>
    <xf numFmtId="39" fontId="20" fillId="0" borderId="4" xfId="0" applyFont="1" applyFill="1" applyBorder="1"/>
    <xf numFmtId="39" fontId="13" fillId="0" borderId="0" xfId="0" applyFont="1" applyFill="1" applyBorder="1"/>
    <xf numFmtId="39" fontId="13" fillId="0" borderId="1" xfId="0" applyFont="1" applyFill="1" applyBorder="1"/>
    <xf numFmtId="164" fontId="13" fillId="0" borderId="2" xfId="0" applyNumberFormat="1" applyFont="1" applyFill="1" applyBorder="1"/>
    <xf numFmtId="39" fontId="0" fillId="0" borderId="7" xfId="0" applyFill="1" applyBorder="1"/>
    <xf numFmtId="164" fontId="0" fillId="0" borderId="0" xfId="0" applyNumberFormat="1" applyFill="1" applyBorder="1"/>
    <xf numFmtId="39" fontId="14" fillId="0" borderId="10" xfId="0" applyNumberFormat="1" applyFont="1" applyFill="1" applyBorder="1"/>
    <xf numFmtId="7" fontId="30" fillId="7" borderId="0" xfId="0" applyNumberFormat="1" applyFont="1" applyFill="1" applyBorder="1"/>
    <xf numFmtId="7" fontId="14" fillId="0" borderId="0" xfId="1" applyNumberFormat="1" applyFont="1"/>
    <xf numFmtId="39" fontId="26" fillId="7" borderId="0" xfId="0" applyFont="1" applyFill="1" applyBorder="1" applyProtection="1">
      <protection locked="0"/>
    </xf>
    <xf numFmtId="39" fontId="19" fillId="7" borderId="0" xfId="0" applyFont="1" applyFill="1" applyBorder="1" applyProtection="1">
      <protection locked="0"/>
    </xf>
    <xf numFmtId="39" fontId="19" fillId="7" borderId="0" xfId="0" applyFont="1" applyFill="1" applyBorder="1"/>
    <xf numFmtId="164" fontId="14" fillId="7" borderId="0" xfId="0" applyNumberFormat="1" applyFont="1" applyFill="1" applyBorder="1"/>
    <xf numFmtId="39" fontId="14" fillId="7" borderId="0" xfId="0" applyFont="1" applyFill="1" applyBorder="1"/>
    <xf numFmtId="39" fontId="10" fillId="7" borderId="0" xfId="0" applyFont="1" applyFill="1" applyBorder="1"/>
    <xf numFmtId="164" fontId="19" fillId="7" borderId="0" xfId="0" applyNumberFormat="1" applyFont="1" applyFill="1" applyBorder="1" applyAlignment="1" applyProtection="1">
      <alignment horizontal="left"/>
      <protection locked="0"/>
    </xf>
    <xf numFmtId="39" fontId="15" fillId="7" borderId="0" xfId="0" applyFont="1" applyFill="1" applyBorder="1" applyAlignment="1">
      <alignment horizontal="left"/>
    </xf>
    <xf numFmtId="39" fontId="24" fillId="7" borderId="0" xfId="0" applyFont="1" applyFill="1" applyBorder="1" applyAlignment="1">
      <alignment horizontal="center"/>
    </xf>
    <xf numFmtId="39" fontId="13" fillId="7" borderId="0" xfId="0" applyFont="1" applyFill="1" applyBorder="1"/>
    <xf numFmtId="164" fontId="13" fillId="7" borderId="0" xfId="0" applyNumberFormat="1" applyFont="1" applyFill="1" applyBorder="1"/>
    <xf numFmtId="39" fontId="21" fillId="7" borderId="0" xfId="0" applyFont="1" applyFill="1" applyBorder="1" applyAlignment="1">
      <alignment horizontal="right"/>
    </xf>
    <xf numFmtId="164" fontId="15" fillId="7" borderId="0" xfId="0" applyNumberFormat="1" applyFont="1" applyFill="1" applyBorder="1"/>
    <xf numFmtId="39" fontId="0" fillId="7" borderId="0" xfId="0" applyFill="1" applyBorder="1"/>
    <xf numFmtId="164" fontId="0" fillId="7" borderId="0" xfId="0" applyNumberFormat="1" applyFill="1" applyBorder="1"/>
    <xf numFmtId="39" fontId="16" fillId="7" borderId="0" xfId="0" applyFont="1" applyFill="1" applyBorder="1"/>
    <xf numFmtId="9" fontId="13" fillId="7" borderId="0" xfId="0" applyNumberFormat="1" applyFont="1" applyFill="1" applyBorder="1"/>
    <xf numFmtId="39" fontId="21" fillId="7" borderId="0" xfId="0" applyFont="1" applyFill="1" applyBorder="1"/>
    <xf numFmtId="9" fontId="19" fillId="7" borderId="0" xfId="4" applyFont="1" applyFill="1" applyBorder="1" applyAlignment="1">
      <alignment horizontal="center"/>
    </xf>
    <xf numFmtId="39" fontId="20" fillId="7" borderId="0" xfId="0" applyFont="1" applyFill="1" applyBorder="1"/>
    <xf numFmtId="164" fontId="15" fillId="7" borderId="0" xfId="0" applyNumberFormat="1" applyFont="1" applyFill="1" applyBorder="1" applyAlignment="1" applyProtection="1">
      <alignment horizontal="left"/>
      <protection locked="0"/>
    </xf>
    <xf numFmtId="164" fontId="13" fillId="7" borderId="0" xfId="0" quotePrefix="1" applyNumberFormat="1" applyFont="1" applyFill="1" applyBorder="1"/>
    <xf numFmtId="44" fontId="14" fillId="7" borderId="0" xfId="0" applyNumberFormat="1" applyFont="1" applyFill="1" applyBorder="1"/>
    <xf numFmtId="7" fontId="14" fillId="7" borderId="0" xfId="0" applyNumberFormat="1" applyFont="1" applyFill="1" applyBorder="1"/>
    <xf numFmtId="39" fontId="14" fillId="7" borderId="0" xfId="0" applyFont="1" applyFill="1" applyBorder="1" applyAlignment="1">
      <alignment horizontal="left" indent="2"/>
    </xf>
    <xf numFmtId="39" fontId="15" fillId="7" borderId="0" xfId="0" applyFont="1" applyFill="1" applyBorder="1" applyAlignment="1">
      <alignment horizontal="center"/>
    </xf>
    <xf numFmtId="39" fontId="13" fillId="7" borderId="0" xfId="0" applyFont="1" applyFill="1" applyBorder="1" applyAlignment="1">
      <alignment horizontal="right"/>
    </xf>
    <xf numFmtId="40" fontId="14" fillId="7" borderId="0" xfId="1" applyFont="1" applyFill="1" applyBorder="1"/>
    <xf numFmtId="164" fontId="14" fillId="7" borderId="0" xfId="0" applyNumberFormat="1" applyFont="1" applyFill="1"/>
    <xf numFmtId="39" fontId="15" fillId="7" borderId="9" xfId="0" applyFont="1" applyFill="1" applyBorder="1"/>
    <xf numFmtId="39" fontId="14" fillId="7" borderId="0" xfId="0" applyFont="1" applyFill="1"/>
    <xf numFmtId="39" fontId="15" fillId="7" borderId="22" xfId="0" applyFont="1" applyFill="1" applyBorder="1"/>
    <xf numFmtId="39" fontId="14" fillId="0" borderId="0" xfId="0" applyFont="1"/>
    <xf numFmtId="39" fontId="14" fillId="0" borderId="0" xfId="0" applyFont="1" applyFill="1"/>
    <xf numFmtId="39" fontId="14" fillId="5" borderId="1" xfId="0" applyFont="1" applyFill="1" applyBorder="1"/>
    <xf numFmtId="39" fontId="14" fillId="5" borderId="3" xfId="0" applyFont="1" applyFill="1" applyBorder="1"/>
    <xf numFmtId="39" fontId="15" fillId="6" borderId="0" xfId="0" applyFont="1" applyFill="1" applyBorder="1"/>
    <xf numFmtId="171" fontId="30" fillId="0" borderId="0" xfId="0" applyNumberFormat="1" applyFont="1" applyFill="1" applyBorder="1" applyAlignment="1" applyProtection="1">
      <alignment horizontal="center"/>
      <protection locked="0"/>
    </xf>
    <xf numFmtId="39" fontId="15" fillId="6" borderId="22" xfId="0" applyFont="1" applyFill="1" applyBorder="1"/>
    <xf numFmtId="39" fontId="21" fillId="0" borderId="6" xfId="0" applyFont="1" applyFill="1" applyBorder="1" applyAlignment="1">
      <alignment horizontal="right"/>
    </xf>
    <xf numFmtId="39" fontId="0" fillId="0" borderId="1" xfId="0" applyFill="1" applyBorder="1"/>
    <xf numFmtId="164" fontId="0" fillId="0" borderId="2" xfId="0" applyNumberFormat="1" applyFill="1" applyBorder="1"/>
    <xf numFmtId="181" fontId="14" fillId="0" borderId="3" xfId="4" applyNumberFormat="1" applyFont="1" applyFill="1" applyBorder="1"/>
    <xf numFmtId="181" fontId="14" fillId="0" borderId="0" xfId="4" applyNumberFormat="1" applyFont="1" applyFill="1" applyBorder="1"/>
    <xf numFmtId="39" fontId="14" fillId="0" borderId="0" xfId="0" applyFont="1" applyFill="1" applyBorder="1" applyAlignment="1">
      <alignment horizontal="center"/>
    </xf>
    <xf numFmtId="39" fontId="41" fillId="0" borderId="0" xfId="0" applyNumberFormat="1" applyFont="1"/>
    <xf numFmtId="39" fontId="14" fillId="0" borderId="0" xfId="0" applyFont="1" applyFill="1" applyBorder="1" applyAlignment="1">
      <alignment horizontal="center"/>
    </xf>
    <xf numFmtId="17" fontId="15" fillId="6" borderId="5" xfId="0" applyNumberFormat="1" applyFont="1" applyFill="1" applyBorder="1" applyAlignment="1">
      <alignment horizontal="left"/>
    </xf>
    <xf numFmtId="39" fontId="14" fillId="6" borderId="5" xfId="0" applyFont="1" applyFill="1" applyBorder="1"/>
    <xf numFmtId="39" fontId="15" fillId="6" borderId="10" xfId="0" applyFont="1" applyFill="1" applyBorder="1"/>
    <xf numFmtId="39" fontId="14" fillId="6" borderId="11" xfId="0" applyFont="1" applyFill="1" applyBorder="1"/>
    <xf numFmtId="39" fontId="15" fillId="6" borderId="12" xfId="0" applyFont="1" applyFill="1" applyBorder="1" applyAlignment="1">
      <alignment horizontal="center"/>
    </xf>
    <xf numFmtId="39" fontId="15" fillId="6" borderId="13" xfId="0" applyFont="1" applyFill="1" applyBorder="1" applyAlignment="1">
      <alignment horizontal="center"/>
    </xf>
    <xf numFmtId="39" fontId="14" fillId="6" borderId="1" xfId="0" applyFont="1" applyFill="1" applyBorder="1"/>
    <xf numFmtId="39" fontId="14" fillId="6" borderId="2" xfId="0" applyFont="1" applyFill="1" applyBorder="1"/>
    <xf numFmtId="7" fontId="14" fillId="6" borderId="2" xfId="0" applyNumberFormat="1" applyFont="1" applyFill="1" applyBorder="1"/>
    <xf numFmtId="181" fontId="14" fillId="6" borderId="3" xfId="4" applyNumberFormat="1" applyFont="1" applyFill="1" applyBorder="1"/>
    <xf numFmtId="39" fontId="14" fillId="6" borderId="7" xfId="0" applyFont="1" applyFill="1" applyBorder="1"/>
    <xf numFmtId="39" fontId="14" fillId="6" borderId="0" xfId="0" applyFont="1" applyFill="1" applyBorder="1"/>
    <xf numFmtId="181" fontId="14" fillId="6" borderId="0" xfId="4" applyNumberFormat="1" applyFont="1" applyFill="1" applyBorder="1"/>
    <xf numFmtId="7" fontId="14" fillId="6" borderId="8" xfId="4" applyNumberFormat="1" applyFont="1" applyFill="1" applyBorder="1"/>
    <xf numFmtId="39" fontId="14" fillId="6" borderId="8" xfId="0" applyFont="1" applyFill="1" applyBorder="1"/>
    <xf numFmtId="167" fontId="14" fillId="6" borderId="8" xfId="0" applyNumberFormat="1" applyFont="1" applyFill="1" applyBorder="1"/>
    <xf numFmtId="39" fontId="14" fillId="6" borderId="4" xfId="0" applyFont="1" applyFill="1" applyBorder="1"/>
    <xf numFmtId="43" fontId="14" fillId="6" borderId="5" xfId="0" applyNumberFormat="1" applyFont="1" applyFill="1" applyBorder="1"/>
    <xf numFmtId="7" fontId="14" fillId="6" borderId="6" xfId="0" applyNumberFormat="1" applyFont="1" applyFill="1" applyBorder="1"/>
    <xf numFmtId="39" fontId="10" fillId="6" borderId="10" xfId="0" applyFont="1" applyFill="1" applyBorder="1"/>
    <xf numFmtId="39" fontId="14" fillId="6" borderId="17" xfId="0" applyFont="1" applyFill="1" applyBorder="1"/>
    <xf numFmtId="164" fontId="19" fillId="6" borderId="0" xfId="0" applyNumberFormat="1" applyFont="1" applyFill="1" applyAlignment="1" applyProtection="1">
      <alignment horizontal="left"/>
      <protection locked="0"/>
    </xf>
    <xf numFmtId="39" fontId="15" fillId="6" borderId="0" xfId="0" applyFont="1" applyFill="1" applyAlignment="1">
      <alignment horizontal="left"/>
    </xf>
    <xf numFmtId="39" fontId="24" fillId="6" borderId="0" xfId="0" applyFont="1" applyFill="1" applyAlignment="1">
      <alignment horizontal="center"/>
    </xf>
    <xf numFmtId="39" fontId="13" fillId="6" borderId="1" xfId="0" applyFont="1" applyFill="1" applyBorder="1"/>
    <xf numFmtId="164" fontId="13" fillId="6" borderId="2" xfId="0" applyNumberFormat="1" applyFont="1" applyFill="1" applyBorder="1"/>
    <xf numFmtId="39" fontId="21" fillId="6" borderId="0" xfId="0" applyFont="1" applyFill="1" applyBorder="1" applyAlignment="1">
      <alignment horizontal="right"/>
    </xf>
    <xf numFmtId="39" fontId="21" fillId="6" borderId="3" xfId="0" applyFont="1" applyFill="1" applyBorder="1" applyAlignment="1">
      <alignment horizontal="right"/>
    </xf>
    <xf numFmtId="164" fontId="15" fillId="6" borderId="0" xfId="0" applyNumberFormat="1" applyFont="1" applyFill="1"/>
    <xf numFmtId="39" fontId="0" fillId="6" borderId="7" xfId="0" applyFill="1" applyBorder="1"/>
    <xf numFmtId="164" fontId="0" fillId="6" borderId="0" xfId="0" applyNumberFormat="1" applyFill="1" applyBorder="1"/>
    <xf numFmtId="39" fontId="21" fillId="6" borderId="8" xfId="0" applyFont="1" applyFill="1" applyBorder="1" applyAlignment="1">
      <alignment horizontal="right"/>
    </xf>
    <xf numFmtId="39" fontId="16" fillId="6" borderId="0" xfId="0" applyFont="1" applyFill="1"/>
    <xf numFmtId="9" fontId="19" fillId="6" borderId="0" xfId="4" applyFont="1" applyFill="1" applyAlignment="1">
      <alignment horizontal="center"/>
    </xf>
    <xf numFmtId="9" fontId="13" fillId="6" borderId="7" xfId="0" applyNumberFormat="1" applyFont="1" applyFill="1" applyBorder="1"/>
    <xf numFmtId="164" fontId="13" fillId="6" borderId="0" xfId="0" applyNumberFormat="1" applyFont="1" applyFill="1" applyBorder="1"/>
    <xf numFmtId="39" fontId="21" fillId="6" borderId="0" xfId="0" applyFont="1" applyFill="1" applyBorder="1"/>
    <xf numFmtId="39" fontId="21" fillId="6" borderId="8" xfId="0" applyFont="1" applyFill="1" applyBorder="1"/>
    <xf numFmtId="164" fontId="15" fillId="6" borderId="0" xfId="0" applyNumberFormat="1" applyFont="1" applyFill="1" applyAlignment="1" applyProtection="1">
      <alignment horizontal="left"/>
      <protection locked="0"/>
    </xf>
    <xf numFmtId="39" fontId="20" fillId="6" borderId="7" xfId="0" applyFont="1" applyFill="1" applyBorder="1"/>
    <xf numFmtId="39" fontId="20" fillId="6" borderId="4" xfId="0" applyFont="1" applyFill="1" applyBorder="1"/>
    <xf numFmtId="164" fontId="13" fillId="6" borderId="5" xfId="0" quotePrefix="1" applyNumberFormat="1" applyFont="1" applyFill="1" applyBorder="1"/>
    <xf numFmtId="39" fontId="21" fillId="6" borderId="5" xfId="0" applyFont="1" applyFill="1" applyBorder="1"/>
    <xf numFmtId="39" fontId="21" fillId="6" borderId="6" xfId="0" applyFont="1" applyFill="1" applyBorder="1"/>
    <xf numFmtId="14" fontId="15" fillId="0" borderId="0" xfId="0" applyNumberFormat="1" applyFont="1" applyFill="1" applyAlignment="1">
      <alignment horizontal="right"/>
    </xf>
    <xf numFmtId="39" fontId="15" fillId="0" borderId="0" xfId="0" applyNumberFormat="1" applyFont="1" applyFill="1"/>
    <xf numFmtId="166" fontId="15" fillId="0" borderId="0" xfId="4" applyNumberFormat="1" applyFont="1" applyFill="1" applyAlignment="1">
      <alignment horizontal="center"/>
    </xf>
    <xf numFmtId="39" fontId="14" fillId="0" borderId="0" xfId="0" applyFont="1" applyFill="1" applyBorder="1" applyAlignment="1">
      <alignment horizontal="center"/>
    </xf>
    <xf numFmtId="0" fontId="35" fillId="0" borderId="0" xfId="6" applyFont="1" applyAlignment="1">
      <alignment horizontal="left"/>
    </xf>
    <xf numFmtId="39" fontId="14" fillId="0" borderId="0" xfId="0" applyFont="1" applyFill="1" applyBorder="1" applyAlignment="1">
      <alignment horizontal="center"/>
    </xf>
    <xf numFmtId="39" fontId="14" fillId="0" borderId="23" xfId="0" applyNumberFormat="1" applyFont="1" applyFill="1" applyBorder="1"/>
    <xf numFmtId="39" fontId="14" fillId="0" borderId="0" xfId="0" applyFont="1" applyFill="1" applyBorder="1" applyAlignment="1">
      <alignment horizontal="center"/>
    </xf>
    <xf numFmtId="39" fontId="14" fillId="0" borderId="0" xfId="0" applyFont="1" applyFill="1" applyBorder="1" applyAlignment="1">
      <alignment horizontal="center"/>
    </xf>
    <xf numFmtId="39" fontId="14" fillId="0" borderId="0" xfId="0" applyFont="1" applyFill="1" applyBorder="1" applyAlignment="1">
      <alignment horizontal="center"/>
    </xf>
    <xf numFmtId="39" fontId="14" fillId="0" borderId="0" xfId="0" applyFont="1" applyFill="1" applyBorder="1" applyAlignment="1">
      <alignment horizontal="center"/>
    </xf>
    <xf numFmtId="39" fontId="14" fillId="0" borderId="0" xfId="0" applyFont="1" applyFill="1" applyBorder="1" applyAlignment="1">
      <alignment horizontal="center"/>
    </xf>
    <xf numFmtId="39" fontId="14" fillId="0" borderId="0" xfId="0" applyFont="1" applyFill="1" applyBorder="1" applyAlignment="1">
      <alignment horizontal="center"/>
    </xf>
    <xf numFmtId="39" fontId="14" fillId="0" borderId="0" xfId="0" applyFont="1" applyFill="1" applyBorder="1" applyAlignment="1">
      <alignment horizontal="center"/>
    </xf>
    <xf numFmtId="39" fontId="14" fillId="0" borderId="0" xfId="0" applyFont="1" applyFill="1" applyBorder="1" applyAlignment="1">
      <alignment horizontal="center"/>
    </xf>
    <xf numFmtId="39" fontId="14" fillId="0" borderId="0" xfId="0" applyFont="1" applyFill="1" applyBorder="1" applyAlignment="1">
      <alignment horizontal="center"/>
    </xf>
    <xf numFmtId="164" fontId="14" fillId="6" borderId="0" xfId="0" applyNumberFormat="1" applyFont="1" applyFill="1" applyBorder="1"/>
    <xf numFmtId="40" fontId="14" fillId="0" borderId="8" xfId="1" applyFont="1" applyFill="1" applyBorder="1"/>
    <xf numFmtId="17" fontId="15" fillId="0" borderId="0" xfId="0" applyNumberFormat="1" applyFont="1" applyFill="1" applyBorder="1" applyAlignment="1">
      <alignment horizontal="right"/>
    </xf>
    <xf numFmtId="40" fontId="14" fillId="0" borderId="5" xfId="1" applyFont="1" applyFill="1" applyBorder="1"/>
    <xf numFmtId="181" fontId="15" fillId="6" borderId="0" xfId="0" applyNumberFormat="1" applyFont="1" applyFill="1" applyBorder="1"/>
    <xf numFmtId="181" fontId="15" fillId="6" borderId="22" xfId="0" applyNumberFormat="1" applyFont="1" applyFill="1" applyBorder="1"/>
    <xf numFmtId="0" fontId="14" fillId="0" borderId="8" xfId="2" applyNumberFormat="1" applyFont="1" applyFill="1" applyBorder="1"/>
    <xf numFmtId="39" fontId="14" fillId="0" borderId="0" xfId="0" applyFont="1" applyFill="1" applyBorder="1" applyAlignment="1">
      <alignment horizontal="center"/>
    </xf>
    <xf numFmtId="39" fontId="14" fillId="0" borderId="0" xfId="0" quotePrefix="1" applyFont="1" applyFill="1" applyBorder="1"/>
    <xf numFmtId="40" fontId="14" fillId="0" borderId="2" xfId="1" applyFont="1" applyFill="1" applyBorder="1"/>
    <xf numFmtId="40" fontId="14" fillId="0" borderId="3" xfId="1" applyFont="1" applyFill="1" applyBorder="1"/>
    <xf numFmtId="40" fontId="14" fillId="0" borderId="0" xfId="1" applyFont="1" applyFill="1" applyBorder="1"/>
    <xf numFmtId="40" fontId="14" fillId="0" borderId="6" xfId="1" applyFont="1" applyFill="1" applyBorder="1"/>
    <xf numFmtId="39" fontId="14" fillId="0" borderId="0" xfId="0" applyFont="1" applyFill="1" applyBorder="1" applyAlignment="1">
      <alignment horizontal="center"/>
    </xf>
    <xf numFmtId="39" fontId="14" fillId="7" borderId="0" xfId="0" applyFont="1" applyFill="1" applyAlignment="1">
      <alignment horizontal="center"/>
    </xf>
    <xf numFmtId="39" fontId="15" fillId="0" borderId="28" xfId="0" applyFont="1" applyFill="1" applyBorder="1"/>
    <xf numFmtId="39" fontId="15" fillId="10" borderId="0" xfId="0" applyFont="1" applyFill="1" applyBorder="1" applyAlignment="1">
      <alignment horizontal="right"/>
    </xf>
    <xf numFmtId="39" fontId="15" fillId="10" borderId="0" xfId="0" applyFont="1" applyFill="1" applyBorder="1"/>
    <xf numFmtId="0" fontId="15" fillId="10" borderId="0" xfId="0" applyNumberFormat="1" applyFont="1" applyFill="1" applyBorder="1"/>
    <xf numFmtId="39" fontId="43" fillId="7" borderId="0" xfId="0" applyFont="1" applyFill="1"/>
    <xf numFmtId="39" fontId="44" fillId="7" borderId="0" xfId="0" applyFont="1" applyFill="1" applyAlignment="1">
      <alignment horizontal="right"/>
    </xf>
    <xf numFmtId="39" fontId="44" fillId="7" borderId="0" xfId="0" applyFont="1" applyFill="1"/>
    <xf numFmtId="39" fontId="45" fillId="7" borderId="0" xfId="0" applyFont="1" applyFill="1"/>
    <xf numFmtId="0" fontId="45" fillId="7" borderId="0" xfId="0" applyNumberFormat="1" applyFont="1" applyFill="1"/>
    <xf numFmtId="39" fontId="45" fillId="7" borderId="0" xfId="0" applyFont="1" applyFill="1" applyAlignment="1">
      <alignment horizontal="right"/>
    </xf>
    <xf numFmtId="39" fontId="45" fillId="7" borderId="0" xfId="0" applyFont="1" applyFill="1" applyAlignment="1">
      <alignment horizontal="center"/>
    </xf>
    <xf numFmtId="39" fontId="45" fillId="7" borderId="0" xfId="0" applyFont="1" applyFill="1" applyAlignment="1">
      <alignment horizontal="center" wrapText="1"/>
    </xf>
    <xf numFmtId="10" fontId="44" fillId="7" borderId="0" xfId="4" applyNumberFormat="1" applyFont="1" applyFill="1"/>
    <xf numFmtId="39" fontId="46" fillId="7" borderId="0" xfId="0" applyFont="1" applyFill="1"/>
    <xf numFmtId="39" fontId="44" fillId="11" borderId="0" xfId="0" applyFont="1" applyFill="1"/>
    <xf numFmtId="38" fontId="44" fillId="7" borderId="0" xfId="1" applyNumberFormat="1" applyFont="1" applyFill="1"/>
    <xf numFmtId="171" fontId="44" fillId="7" borderId="0" xfId="0" applyNumberFormat="1" applyFont="1" applyFill="1"/>
    <xf numFmtId="39" fontId="44" fillId="7" borderId="0" xfId="0" applyFont="1" applyFill="1" applyAlignment="1">
      <alignment horizontal="center"/>
    </xf>
    <xf numFmtId="40" fontId="44" fillId="7" borderId="0" xfId="1" applyNumberFormat="1" applyFont="1" applyFill="1"/>
    <xf numFmtId="171" fontId="44" fillId="7" borderId="0" xfId="0" applyNumberFormat="1" applyFont="1" applyFill="1" applyAlignment="1">
      <alignment horizontal="center"/>
    </xf>
    <xf numFmtId="39" fontId="14" fillId="7" borderId="1" xfId="0" applyFont="1" applyFill="1" applyBorder="1"/>
    <xf numFmtId="39" fontId="14" fillId="7" borderId="2" xfId="0" applyFont="1" applyFill="1" applyBorder="1"/>
    <xf numFmtId="39" fontId="14" fillId="7" borderId="7" xfId="0" applyFont="1" applyFill="1" applyBorder="1"/>
    <xf numFmtId="40" fontId="14" fillId="7" borderId="8" xfId="1" applyFont="1" applyFill="1" applyBorder="1"/>
    <xf numFmtId="39" fontId="14" fillId="7" borderId="4" xfId="0" applyFont="1" applyFill="1" applyBorder="1"/>
    <xf numFmtId="40" fontId="14" fillId="7" borderId="5" xfId="1" applyFont="1" applyFill="1" applyBorder="1"/>
    <xf numFmtId="0" fontId="47" fillId="0" borderId="0" xfId="69" applyFont="1" applyFill="1" applyBorder="1" applyAlignment="1">
      <alignment horizontal="center"/>
    </xf>
    <xf numFmtId="182" fontId="47" fillId="0" borderId="0" xfId="69" applyNumberFormat="1" applyFont="1" applyFill="1" applyBorder="1" applyAlignment="1">
      <alignment horizontal="left"/>
    </xf>
    <xf numFmtId="0" fontId="47" fillId="0" borderId="0" xfId="69" applyFont="1" applyFill="1" applyBorder="1"/>
    <xf numFmtId="183" fontId="47" fillId="0" borderId="0" xfId="69" applyNumberFormat="1" applyFont="1" applyFill="1" applyBorder="1" applyAlignment="1">
      <alignment horizontal="left"/>
    </xf>
    <xf numFmtId="43" fontId="47" fillId="0" borderId="0" xfId="74" applyFont="1" applyFill="1" applyBorder="1" applyAlignment="1">
      <alignment horizontal="center"/>
    </xf>
    <xf numFmtId="0" fontId="4" fillId="0" borderId="0" xfId="69" applyFont="1" applyBorder="1" applyAlignment="1">
      <alignment horizontal="center"/>
    </xf>
    <xf numFmtId="0" fontId="4" fillId="0" borderId="0" xfId="69" applyFont="1" applyBorder="1"/>
    <xf numFmtId="0" fontId="47" fillId="0" borderId="0" xfId="69" applyNumberFormat="1" applyFont="1" applyFill="1" applyBorder="1" applyAlignment="1">
      <alignment horizontal="center"/>
    </xf>
    <xf numFmtId="43" fontId="0" fillId="0" borderId="0" xfId="74" applyFont="1" applyFill="1" applyBorder="1" applyAlignment="1">
      <alignment horizontal="center"/>
    </xf>
    <xf numFmtId="0" fontId="45" fillId="7" borderId="1" xfId="0" applyNumberFormat="1" applyFont="1" applyFill="1" applyBorder="1"/>
    <xf numFmtId="39" fontId="44" fillId="7" borderId="2" xfId="0" applyFont="1" applyFill="1" applyBorder="1"/>
    <xf numFmtId="39" fontId="44" fillId="7" borderId="3" xfId="0" applyFont="1" applyFill="1" applyBorder="1"/>
    <xf numFmtId="39" fontId="44" fillId="7" borderId="4" xfId="0" applyFont="1" applyFill="1" applyBorder="1"/>
    <xf numFmtId="39" fontId="44" fillId="7" borderId="5" xfId="0" applyFont="1" applyFill="1" applyBorder="1"/>
    <xf numFmtId="39" fontId="44" fillId="7" borderId="6" xfId="0" applyFont="1" applyFill="1" applyBorder="1"/>
    <xf numFmtId="40" fontId="14" fillId="7" borderId="2" xfId="1" applyFont="1" applyFill="1" applyBorder="1"/>
    <xf numFmtId="40" fontId="14" fillId="7" borderId="3" xfId="1" applyFont="1" applyFill="1" applyBorder="1"/>
    <xf numFmtId="40" fontId="14" fillId="7" borderId="6" xfId="1" applyFont="1" applyFill="1" applyBorder="1"/>
    <xf numFmtId="0" fontId="45" fillId="7" borderId="10" xfId="0" applyNumberFormat="1" applyFont="1" applyFill="1" applyBorder="1"/>
    <xf numFmtId="39" fontId="44" fillId="7" borderId="11" xfId="0" applyFont="1" applyFill="1" applyBorder="1"/>
    <xf numFmtId="39" fontId="44" fillId="7" borderId="17" xfId="0" applyFont="1" applyFill="1" applyBorder="1"/>
    <xf numFmtId="0" fontId="44" fillId="7" borderId="0" xfId="0" applyNumberFormat="1" applyFont="1" applyFill="1"/>
    <xf numFmtId="0" fontId="44" fillId="7" borderId="2" xfId="0" applyNumberFormat="1" applyFont="1" applyFill="1" applyBorder="1"/>
    <xf numFmtId="0" fontId="14" fillId="7" borderId="2" xfId="0" applyNumberFormat="1" applyFont="1" applyFill="1" applyBorder="1"/>
    <xf numFmtId="0" fontId="14" fillId="7" borderId="0" xfId="0" applyNumberFormat="1" applyFont="1" applyFill="1" applyBorder="1"/>
    <xf numFmtId="0" fontId="14" fillId="7" borderId="5" xfId="0" applyNumberFormat="1" applyFont="1" applyFill="1" applyBorder="1"/>
    <xf numFmtId="0" fontId="44" fillId="7" borderId="5" xfId="0" applyNumberFormat="1" applyFont="1" applyFill="1" applyBorder="1"/>
    <xf numFmtId="0" fontId="44" fillId="7" borderId="11" xfId="0" applyNumberFormat="1" applyFont="1" applyFill="1" applyBorder="1"/>
    <xf numFmtId="39" fontId="4" fillId="0" borderId="0" xfId="69" applyNumberFormat="1" applyFont="1" applyAlignment="1"/>
    <xf numFmtId="0" fontId="30" fillId="0" borderId="0" xfId="0" applyNumberFormat="1" applyFont="1" applyFill="1" applyAlignment="1">
      <alignment horizontal="center"/>
    </xf>
    <xf numFmtId="0" fontId="15" fillId="0" borderId="0" xfId="0" applyNumberFormat="1" applyFont="1" applyFill="1" applyAlignment="1">
      <alignment horizontal="center"/>
    </xf>
    <xf numFmtId="39" fontId="45" fillId="7" borderId="0" xfId="0" applyFont="1" applyFill="1" applyAlignment="1"/>
    <xf numFmtId="39" fontId="46" fillId="11" borderId="0" xfId="0" applyFont="1" applyFill="1"/>
    <xf numFmtId="39" fontId="44" fillId="9" borderId="0" xfId="0" applyFont="1" applyFill="1"/>
    <xf numFmtId="40" fontId="44" fillId="7" borderId="0" xfId="0" applyNumberFormat="1" applyFont="1" applyFill="1"/>
    <xf numFmtId="39" fontId="14" fillId="0" borderId="0" xfId="0" applyFont="1" applyFill="1" applyBorder="1" applyAlignment="1">
      <alignment horizontal="center"/>
    </xf>
    <xf numFmtId="39" fontId="48" fillId="7" borderId="29" xfId="73" applyNumberFormat="1" applyFont="1" applyFill="1"/>
    <xf numFmtId="37" fontId="48" fillId="7" borderId="29" xfId="73" applyNumberFormat="1" applyFont="1" applyFill="1"/>
    <xf numFmtId="37" fontId="44" fillId="7" borderId="0" xfId="0" applyNumberFormat="1" applyFont="1" applyFill="1"/>
    <xf numFmtId="0" fontId="49" fillId="7" borderId="1" xfId="0" applyNumberFormat="1" applyFont="1" applyFill="1" applyBorder="1"/>
    <xf numFmtId="7" fontId="0" fillId="0" borderId="0" xfId="1" applyNumberFormat="1" applyFont="1"/>
    <xf numFmtId="39" fontId="47" fillId="0" borderId="0" xfId="0" applyNumberFormat="1" applyFont="1" applyFill="1"/>
    <xf numFmtId="39" fontId="0" fillId="0" borderId="27" xfId="0" applyBorder="1" applyAlignment="1">
      <alignment horizontal="center"/>
    </xf>
    <xf numFmtId="39" fontId="0" fillId="0" borderId="27" xfId="0" applyBorder="1" applyAlignment="1">
      <alignment horizontal="center"/>
    </xf>
    <xf numFmtId="39" fontId="0" fillId="0" borderId="0" xfId="0"/>
    <xf numFmtId="39" fontId="0" fillId="0" borderId="27" xfId="0" applyBorder="1" applyAlignment="1">
      <alignment horizontal="center"/>
    </xf>
    <xf numFmtId="39" fontId="41" fillId="0" borderId="0" xfId="0" applyNumberFormat="1" applyFont="1" applyAlignment="1">
      <alignment horizontal="right"/>
    </xf>
    <xf numFmtId="39" fontId="52" fillId="0" borderId="0" xfId="0" applyFont="1"/>
    <xf numFmtId="39" fontId="52" fillId="0" borderId="0" xfId="0" applyFont="1" applyFill="1"/>
    <xf numFmtId="39" fontId="44" fillId="6" borderId="0" xfId="0" applyFont="1" applyFill="1"/>
    <xf numFmtId="39" fontId="46" fillId="6" borderId="0" xfId="0" applyFont="1" applyFill="1"/>
    <xf numFmtId="39" fontId="46" fillId="0" borderId="0" xfId="0" applyFont="1" applyFill="1"/>
    <xf numFmtId="0" fontId="14" fillId="0" borderId="5" xfId="0" applyNumberFormat="1" applyFont="1" applyFill="1" applyBorder="1"/>
    <xf numFmtId="39" fontId="2" fillId="0" borderId="0" xfId="69" applyNumberFormat="1" applyFont="1" applyAlignment="1"/>
    <xf numFmtId="39" fontId="44" fillId="0" borderId="0" xfId="0" applyFont="1" applyFill="1"/>
    <xf numFmtId="39" fontId="44" fillId="7" borderId="0" xfId="0" applyFont="1" applyFill="1" applyBorder="1"/>
    <xf numFmtId="38" fontId="44" fillId="0" borderId="0" xfId="1" applyNumberFormat="1" applyFont="1" applyFill="1"/>
    <xf numFmtId="171" fontId="44" fillId="0" borderId="0" xfId="0" applyNumberFormat="1" applyFont="1" applyFill="1"/>
    <xf numFmtId="39" fontId="44" fillId="0" borderId="0" xfId="0" applyFont="1" applyFill="1" applyAlignment="1">
      <alignment horizontal="right"/>
    </xf>
    <xf numFmtId="44" fontId="26" fillId="0" borderId="9" xfId="0" applyNumberFormat="1" applyFont="1" applyFill="1" applyBorder="1"/>
    <xf numFmtId="178" fontId="14" fillId="0" borderId="0" xfId="2" applyNumberFormat="1" applyFont="1" applyFill="1" applyBorder="1"/>
    <xf numFmtId="8" fontId="26" fillId="0" borderId="0" xfId="0" applyNumberFormat="1" applyFont="1" applyFill="1" applyBorder="1"/>
    <xf numFmtId="8" fontId="26" fillId="0" borderId="9" xfId="0" applyNumberFormat="1" applyFont="1" applyFill="1" applyBorder="1"/>
    <xf numFmtId="7" fontId="30" fillId="12" borderId="0" xfId="0" applyNumberFormat="1" applyFont="1" applyFill="1" applyBorder="1"/>
    <xf numFmtId="44" fontId="26" fillId="13" borderId="0" xfId="0" applyNumberFormat="1" applyFont="1" applyFill="1" applyBorder="1"/>
    <xf numFmtId="44" fontId="26" fillId="13" borderId="9" xfId="0" applyNumberFormat="1" applyFont="1" applyFill="1" applyBorder="1"/>
    <xf numFmtId="38" fontId="26" fillId="13" borderId="0" xfId="1" applyNumberFormat="1" applyFont="1" applyFill="1" applyBorder="1" applyProtection="1"/>
    <xf numFmtId="39" fontId="44" fillId="13" borderId="0" xfId="0" applyFont="1" applyFill="1" applyAlignment="1">
      <alignment horizontal="right"/>
    </xf>
    <xf numFmtId="38" fontId="26" fillId="14" borderId="0" xfId="1" applyNumberFormat="1" applyFont="1" applyFill="1" applyBorder="1" applyProtection="1"/>
    <xf numFmtId="39" fontId="45" fillId="7" borderId="0" xfId="0" applyFont="1" applyFill="1" applyBorder="1"/>
    <xf numFmtId="38" fontId="44" fillId="7" borderId="0" xfId="1" applyNumberFormat="1" applyFont="1" applyFill="1" applyBorder="1"/>
    <xf numFmtId="44" fontId="15" fillId="0" borderId="0" xfId="0" applyNumberFormat="1" applyFont="1" applyFill="1" applyBorder="1"/>
    <xf numFmtId="39" fontId="14" fillId="0" borderId="0" xfId="0" applyFont="1" applyFill="1" applyBorder="1" applyAlignment="1">
      <alignment horizontal="center"/>
    </xf>
    <xf numFmtId="44" fontId="26" fillId="14" borderId="0" xfId="0" applyNumberFormat="1" applyFont="1" applyFill="1" applyBorder="1"/>
    <xf numFmtId="44" fontId="26" fillId="14" borderId="9" xfId="0" applyNumberFormat="1" applyFont="1" applyFill="1" applyBorder="1"/>
    <xf numFmtId="10" fontId="44" fillId="0" borderId="0" xfId="4" applyNumberFormat="1" applyFont="1" applyFill="1"/>
    <xf numFmtId="44" fontId="15" fillId="14" borderId="0" xfId="0" applyNumberFormat="1" applyFont="1" applyFill="1" applyBorder="1"/>
    <xf numFmtId="38" fontId="14" fillId="0" borderId="9" xfId="1" applyNumberFormat="1" applyFont="1" applyFill="1" applyBorder="1" applyProtection="1"/>
    <xf numFmtId="39" fontId="14" fillId="0" borderId="0" xfId="0" applyFont="1" applyFill="1" applyBorder="1" applyAlignment="1">
      <alignment horizontal="center"/>
    </xf>
    <xf numFmtId="39" fontId="44" fillId="15" borderId="0" xfId="0" applyFont="1" applyFill="1"/>
    <xf numFmtId="39" fontId="44" fillId="14" borderId="0" xfId="0" applyFont="1" applyFill="1"/>
    <xf numFmtId="39" fontId="46" fillId="10" borderId="0" xfId="0" applyFont="1" applyFill="1"/>
    <xf numFmtId="39" fontId="14" fillId="0" borderId="0" xfId="0" applyFont="1" applyFill="1" applyBorder="1" applyAlignment="1">
      <alignment horizontal="center"/>
    </xf>
    <xf numFmtId="44" fontId="15" fillId="13" borderId="0" xfId="0" applyNumberFormat="1" applyFont="1" applyFill="1" applyBorder="1"/>
    <xf numFmtId="44" fontId="14" fillId="13" borderId="0" xfId="0" applyNumberFormat="1" applyFont="1" applyFill="1" applyBorder="1"/>
    <xf numFmtId="38" fontId="14" fillId="13" borderId="0" xfId="1" applyNumberFormat="1" applyFont="1" applyFill="1" applyBorder="1" applyProtection="1"/>
    <xf numFmtId="38" fontId="26" fillId="13" borderId="9" xfId="1" applyNumberFormat="1" applyFont="1" applyFill="1" applyBorder="1" applyProtection="1"/>
    <xf numFmtId="7" fontId="30" fillId="13" borderId="0" xfId="0" applyNumberFormat="1" applyFont="1" applyFill="1" applyBorder="1"/>
    <xf numFmtId="44" fontId="14" fillId="13" borderId="8" xfId="2" applyNumberFormat="1" applyFont="1" applyFill="1" applyBorder="1"/>
    <xf numFmtId="39" fontId="44" fillId="17" borderId="0" xfId="0" applyFont="1" applyFill="1"/>
    <xf numFmtId="39" fontId="48" fillId="7" borderId="31" xfId="73" applyNumberFormat="1" applyFont="1" applyFill="1" applyBorder="1"/>
    <xf numFmtId="39" fontId="44" fillId="15" borderId="32" xfId="0" applyFont="1" applyFill="1" applyBorder="1"/>
    <xf numFmtId="39" fontId="44" fillId="14" borderId="33" xfId="0" applyFont="1" applyFill="1" applyBorder="1"/>
    <xf numFmtId="39" fontId="44" fillId="10" borderId="33" xfId="0" applyFont="1" applyFill="1" applyBorder="1"/>
    <xf numFmtId="39" fontId="44" fillId="16" borderId="34" xfId="0" applyFont="1" applyFill="1" applyBorder="1"/>
    <xf numFmtId="39" fontId="44" fillId="17" borderId="30" xfId="0" applyFont="1" applyFill="1" applyBorder="1"/>
    <xf numFmtId="10" fontId="15" fillId="13" borderId="0" xfId="4" applyNumberFormat="1" applyFont="1" applyFill="1" applyAlignment="1">
      <alignment horizontal="center"/>
    </xf>
    <xf numFmtId="171" fontId="44" fillId="13" borderId="0" xfId="0" applyNumberFormat="1" applyFont="1" applyFill="1" applyAlignment="1">
      <alignment horizontal="center"/>
    </xf>
    <xf numFmtId="10" fontId="44" fillId="13" borderId="0" xfId="4" applyNumberFormat="1" applyFont="1" applyFill="1"/>
    <xf numFmtId="171" fontId="30" fillId="13" borderId="0" xfId="0" applyNumberFormat="1" applyFont="1" applyFill="1" applyBorder="1" applyAlignment="1" applyProtection="1">
      <alignment horizontal="center"/>
      <protection locked="0"/>
    </xf>
    <xf numFmtId="37" fontId="44" fillId="13" borderId="0" xfId="0" applyNumberFormat="1" applyFont="1" applyFill="1"/>
    <xf numFmtId="38" fontId="44" fillId="13" borderId="0" xfId="1" applyNumberFormat="1" applyFont="1" applyFill="1"/>
    <xf numFmtId="39" fontId="44" fillId="7" borderId="10" xfId="0" applyFont="1" applyFill="1" applyBorder="1"/>
    <xf numFmtId="44" fontId="14" fillId="14" borderId="0" xfId="0" applyNumberFormat="1" applyFont="1" applyFill="1" applyBorder="1"/>
    <xf numFmtId="39" fontId="14" fillId="0" borderId="0" xfId="0" applyFont="1" applyFill="1" applyBorder="1" applyAlignment="1">
      <alignment horizontal="center"/>
    </xf>
    <xf numFmtId="39" fontId="14" fillId="0" borderId="0" xfId="0" applyFont="1" applyFill="1" applyBorder="1" applyAlignment="1">
      <alignment horizontal="center"/>
    </xf>
    <xf numFmtId="39" fontId="14" fillId="0" borderId="0" xfId="0" applyFont="1" applyFill="1" applyAlignment="1">
      <alignment horizontal="center"/>
    </xf>
    <xf numFmtId="39" fontId="14" fillId="0" borderId="0" xfId="0" applyFont="1" applyFill="1" applyBorder="1" applyAlignment="1">
      <alignment horizontal="center"/>
    </xf>
    <xf numFmtId="39" fontId="44" fillId="13" borderId="0" xfId="0" applyFont="1" applyFill="1"/>
    <xf numFmtId="39" fontId="14" fillId="0" borderId="0" xfId="0" applyFont="1" applyFill="1" applyBorder="1" applyAlignment="1">
      <alignment horizontal="center"/>
    </xf>
    <xf numFmtId="7" fontId="30" fillId="14" borderId="0" xfId="0" applyNumberFormat="1" applyFont="1" applyFill="1" applyBorder="1"/>
    <xf numFmtId="38" fontId="14" fillId="14" borderId="0" xfId="1" applyNumberFormat="1" applyFont="1" applyFill="1" applyBorder="1" applyProtection="1"/>
    <xf numFmtId="38" fontId="26" fillId="14" borderId="9" xfId="1" applyNumberFormat="1" applyFont="1" applyFill="1" applyBorder="1" applyProtection="1"/>
    <xf numFmtId="39" fontId="14" fillId="0" borderId="0" xfId="0" applyFont="1" applyFill="1" applyBorder="1" applyAlignment="1">
      <alignment horizontal="center"/>
    </xf>
    <xf numFmtId="39" fontId="14" fillId="6" borderId="0" xfId="0" applyFont="1" applyFill="1" applyBorder="1" applyAlignment="1">
      <alignment horizontal="center"/>
    </xf>
    <xf numFmtId="44" fontId="26" fillId="6" borderId="0" xfId="0" applyNumberFormat="1" applyFont="1" applyFill="1" applyBorder="1"/>
    <xf numFmtId="39" fontId="14" fillId="6" borderId="0" xfId="0" applyNumberFormat="1" applyFont="1" applyFill="1" applyAlignment="1">
      <alignment horizontal="left" vertical="top"/>
    </xf>
    <xf numFmtId="39" fontId="14" fillId="6" borderId="0" xfId="0" applyNumberFormat="1" applyFont="1" applyFill="1" applyAlignment="1">
      <alignment horizontal="center" vertical="top"/>
    </xf>
    <xf numFmtId="39" fontId="14" fillId="6" borderId="0" xfId="0" applyFont="1" applyFill="1" applyAlignment="1">
      <alignment horizontal="center"/>
    </xf>
    <xf numFmtId="7" fontId="30" fillId="0" borderId="0" xfId="0" applyNumberFormat="1" applyFont="1" applyFill="1" applyBorder="1"/>
    <xf numFmtId="7" fontId="14" fillId="0" borderId="0" xfId="1" applyNumberFormat="1" applyFont="1" applyFill="1"/>
    <xf numFmtId="39" fontId="14" fillId="0" borderId="0" xfId="0" applyFont="1" applyFill="1" applyBorder="1" applyAlignment="1">
      <alignment horizontal="center"/>
    </xf>
    <xf numFmtId="44" fontId="26" fillId="12" borderId="0" xfId="0" applyNumberFormat="1" applyFont="1" applyFill="1" applyBorder="1"/>
    <xf numFmtId="39" fontId="14" fillId="0" borderId="0" xfId="0" applyFont="1" applyFill="1" applyBorder="1" applyAlignment="1">
      <alignment horizontal="center"/>
    </xf>
    <xf numFmtId="39" fontId="44" fillId="10" borderId="0" xfId="0" applyFont="1" applyFill="1"/>
    <xf numFmtId="39" fontId="44" fillId="10" borderId="32" xfId="0" applyFont="1" applyFill="1" applyBorder="1"/>
    <xf numFmtId="39" fontId="44" fillId="16" borderId="0" xfId="0" applyFont="1" applyFill="1"/>
    <xf numFmtId="39" fontId="44" fillId="15" borderId="33" xfId="0" applyFont="1" applyFill="1" applyBorder="1"/>
    <xf numFmtId="39" fontId="46" fillId="17" borderId="0" xfId="0" applyFont="1" applyFill="1"/>
    <xf numFmtId="39" fontId="44" fillId="17" borderId="33" xfId="0" applyFont="1" applyFill="1" applyBorder="1"/>
    <xf numFmtId="39" fontId="14" fillId="0" borderId="0" xfId="0" applyFont="1" applyFill="1" applyBorder="1" applyAlignment="1">
      <alignment horizontal="center"/>
    </xf>
    <xf numFmtId="39" fontId="14" fillId="0" borderId="0" xfId="0" applyFont="1" applyFill="1" applyBorder="1" applyAlignment="1">
      <alignment horizontal="center"/>
    </xf>
    <xf numFmtId="0" fontId="55" fillId="7" borderId="11" xfId="0" applyNumberFormat="1" applyFont="1" applyFill="1" applyBorder="1"/>
    <xf numFmtId="39" fontId="10" fillId="0" borderId="0" xfId="0" applyFont="1" applyAlignment="1">
      <alignment horizontal="center"/>
    </xf>
    <xf numFmtId="39" fontId="31" fillId="0" borderId="0" xfId="0" applyFont="1" applyAlignment="1">
      <alignment horizontal="center"/>
    </xf>
    <xf numFmtId="39" fontId="0" fillId="0" borderId="0" xfId="0" applyAlignment="1">
      <alignment horizontal="center"/>
    </xf>
    <xf numFmtId="39" fontId="32" fillId="0" borderId="0" xfId="0" applyFont="1" applyAlignment="1">
      <alignment horizontal="center"/>
    </xf>
    <xf numFmtId="39" fontId="14" fillId="0" borderId="0" xfId="0" applyFont="1" applyFill="1" applyBorder="1" applyAlignment="1">
      <alignment horizontal="center"/>
    </xf>
    <xf numFmtId="39" fontId="14" fillId="0" borderId="8" xfId="0" applyFont="1" applyFill="1" applyBorder="1" applyAlignment="1">
      <alignment horizontal="center"/>
    </xf>
    <xf numFmtId="39" fontId="15" fillId="0" borderId="10" xfId="0" applyFont="1" applyFill="1" applyBorder="1" applyAlignment="1">
      <alignment horizontal="center"/>
    </xf>
    <xf numFmtId="39" fontId="15" fillId="0" borderId="11" xfId="0" applyFont="1" applyFill="1" applyBorder="1" applyAlignment="1">
      <alignment horizontal="center"/>
    </xf>
    <xf numFmtId="39" fontId="15" fillId="0" borderId="17" xfId="0" applyFont="1" applyFill="1" applyBorder="1" applyAlignment="1">
      <alignment horizontal="center"/>
    </xf>
    <xf numFmtId="164" fontId="15" fillId="6" borderId="0" xfId="0" applyNumberFormat="1" applyFont="1" applyFill="1" applyAlignment="1">
      <alignment horizontal="center"/>
    </xf>
    <xf numFmtId="39" fontId="15" fillId="0" borderId="18" xfId="6" applyNumberFormat="1" applyFont="1" applyBorder="1" applyAlignment="1">
      <alignment horizontal="left"/>
    </xf>
    <xf numFmtId="39" fontId="15" fillId="0" borderId="19" xfId="6" applyNumberFormat="1" applyFont="1" applyBorder="1" applyAlignment="1">
      <alignment horizontal="left"/>
    </xf>
    <xf numFmtId="39" fontId="15" fillId="0" borderId="20" xfId="6" applyNumberFormat="1" applyFont="1" applyBorder="1" applyAlignment="1">
      <alignment horizontal="left"/>
    </xf>
    <xf numFmtId="39" fontId="14" fillId="0" borderId="2" xfId="0" applyFont="1" applyFill="1" applyBorder="1" applyAlignment="1">
      <alignment horizontal="left" vertical="top" wrapText="1"/>
    </xf>
    <xf numFmtId="39" fontId="14" fillId="0" borderId="0" xfId="0" applyFont="1" applyFill="1" applyAlignment="1">
      <alignment horizontal="left" vertical="top" wrapText="1"/>
    </xf>
  </cellXfs>
  <cellStyles count="137">
    <cellStyle name="Comma" xfId="1" builtinId="3"/>
    <cellStyle name="Comma 2" xfId="8"/>
    <cellStyle name="Comma 2 2" xfId="43"/>
    <cellStyle name="Comma 2 3" xfId="55"/>
    <cellStyle name="Comma 3" xfId="5"/>
    <cellStyle name="Comma 3 2" xfId="64"/>
    <cellStyle name="Comma 4" xfId="9"/>
    <cellStyle name="Comma 4 2" xfId="44"/>
    <cellStyle name="Comma 4 2 2" xfId="84"/>
    <cellStyle name="Comma 4 2 2 2" xfId="126"/>
    <cellStyle name="Comma 4 2 3" xfId="105"/>
    <cellStyle name="Comma 4 3" xfId="75"/>
    <cellStyle name="Comma 4 3 2" xfId="117"/>
    <cellStyle name="Comma 4 4" xfId="96"/>
    <cellStyle name="Comma 5" xfId="10"/>
    <cellStyle name="Comma 6" xfId="70"/>
    <cellStyle name="Comma 6 2" xfId="74"/>
    <cellStyle name="Comma 6 2 2" xfId="116"/>
    <cellStyle name="Comma 6 3" xfId="95"/>
    <cellStyle name="Comma 6 3 2" xfId="136"/>
    <cellStyle name="Comma 6 4" xfId="115"/>
    <cellStyle name="Comma0" xfId="11"/>
    <cellStyle name="Currency" xfId="2" builtinId="4"/>
    <cellStyle name="Currency 2" xfId="7"/>
    <cellStyle name="Currency 2 2" xfId="57"/>
    <cellStyle name="Currency 2 3" xfId="56"/>
    <cellStyle name="Currency 3" xfId="12"/>
    <cellStyle name="Currency 3 2" xfId="66"/>
    <cellStyle name="Currency 3 3" xfId="58"/>
    <cellStyle name="Currency 4" xfId="13"/>
    <cellStyle name="Currency 4 2" xfId="14"/>
    <cellStyle name="Currency 4 2 2" xfId="46"/>
    <cellStyle name="Currency 4 2 2 2" xfId="86"/>
    <cellStyle name="Currency 4 2 2 2 2" xfId="128"/>
    <cellStyle name="Currency 4 2 2 3" xfId="107"/>
    <cellStyle name="Currency 4 2 3" xfId="77"/>
    <cellStyle name="Currency 4 2 3 2" xfId="119"/>
    <cellStyle name="Currency 4 2 4" xfId="98"/>
    <cellStyle name="Currency 4 3" xfId="45"/>
    <cellStyle name="Currency 4 3 2" xfId="85"/>
    <cellStyle name="Currency 4 3 2 2" xfId="127"/>
    <cellStyle name="Currency 4 3 3" xfId="106"/>
    <cellStyle name="Currency 4 4" xfId="68"/>
    <cellStyle name="Currency 4 5" xfId="76"/>
    <cellStyle name="Currency 4 5 2" xfId="118"/>
    <cellStyle name="Currency 4 6" xfId="97"/>
    <cellStyle name="Currency 5" xfId="15"/>
    <cellStyle name="Currency 6" xfId="16"/>
    <cellStyle name="Currency 6 2" xfId="17"/>
    <cellStyle name="Currency 7" xfId="18"/>
    <cellStyle name="Currency 7 2" xfId="47"/>
    <cellStyle name="Currency 7 2 2" xfId="87"/>
    <cellStyle name="Currency 7 2 2 2" xfId="129"/>
    <cellStyle name="Currency 7 2 3" xfId="108"/>
    <cellStyle name="Currency 7 3" xfId="78"/>
    <cellStyle name="Currency 7 3 2" xfId="120"/>
    <cellStyle name="Currency 7 4" xfId="99"/>
    <cellStyle name="Currency 8" xfId="71"/>
    <cellStyle name="Currency0" xfId="19"/>
    <cellStyle name="Date" xfId="20"/>
    <cellStyle name="Fixed" xfId="21"/>
    <cellStyle name="Manual-Input" xfId="3"/>
    <cellStyle name="Normal" xfId="0" builtinId="0"/>
    <cellStyle name="Normal 10" xfId="42"/>
    <cellStyle name="Normal 11" xfId="54"/>
    <cellStyle name="Normal 11 2" xfId="93"/>
    <cellStyle name="Normal 12" xfId="69"/>
    <cellStyle name="Normal 12 2" xfId="94"/>
    <cellStyle name="Normal 12 2 2" xfId="135"/>
    <cellStyle name="Normal 12 3" xfId="114"/>
    <cellStyle name="Normal 2" xfId="6"/>
    <cellStyle name="Normal 2 2" xfId="41"/>
    <cellStyle name="Normal 2 3" xfId="59"/>
    <cellStyle name="Normal 3" xfId="22"/>
    <cellStyle name="Normal 3 2" xfId="65"/>
    <cellStyle name="Normal 4" xfId="23"/>
    <cellStyle name="Normal 4 2" xfId="63"/>
    <cellStyle name="Normal 5" xfId="24"/>
    <cellStyle name="Normal 6" xfId="25"/>
    <cellStyle name="Normal 6 2" xfId="26"/>
    <cellStyle name="Normal 7" xfId="27"/>
    <cellStyle name="Normal 7 2" xfId="48"/>
    <cellStyle name="Normal 7 2 2" xfId="88"/>
    <cellStyle name="Normal 7 2 2 2" xfId="130"/>
    <cellStyle name="Normal 7 2 3" xfId="109"/>
    <cellStyle name="Normal 7 3" xfId="79"/>
    <cellStyle name="Normal 7 3 2" xfId="121"/>
    <cellStyle name="Normal 7 4" xfId="100"/>
    <cellStyle name="Normal 8" xfId="28"/>
    <cellStyle name="Normal 9" xfId="40"/>
    <cellStyle name="Normal 9 2" xfId="53"/>
    <cellStyle name="Percent" xfId="4" builtinId="5"/>
    <cellStyle name="Percent 10" xfId="72"/>
    <cellStyle name="Percent 2" xfId="29"/>
    <cellStyle name="Percent 2 2" xfId="61"/>
    <cellStyle name="Percent 2 3" xfId="60"/>
    <cellStyle name="Percent 3" xfId="30"/>
    <cellStyle name="Percent 3 2" xfId="67"/>
    <cellStyle name="Percent 3 3" xfId="62"/>
    <cellStyle name="Percent 4" xfId="31"/>
    <cellStyle name="Percent 5" xfId="32"/>
    <cellStyle name="Percent 5 2" xfId="33"/>
    <cellStyle name="Percent 5 2 2" xfId="34"/>
    <cellStyle name="Percent 5 2 2 2" xfId="51"/>
    <cellStyle name="Percent 5 2 2 2 2" xfId="91"/>
    <cellStyle name="Percent 5 2 2 2 2 2" xfId="133"/>
    <cellStyle name="Percent 5 2 2 2 3" xfId="112"/>
    <cellStyle name="Percent 5 2 2 3" xfId="82"/>
    <cellStyle name="Percent 5 2 2 3 2" xfId="124"/>
    <cellStyle name="Percent 5 2 2 4" xfId="103"/>
    <cellStyle name="Percent 5 2 3" xfId="50"/>
    <cellStyle name="Percent 5 2 3 2" xfId="90"/>
    <cellStyle name="Percent 5 2 3 2 2" xfId="132"/>
    <cellStyle name="Percent 5 2 3 3" xfId="111"/>
    <cellStyle name="Percent 5 2 4" xfId="81"/>
    <cellStyle name="Percent 5 2 4 2" xfId="123"/>
    <cellStyle name="Percent 5 2 5" xfId="102"/>
    <cellStyle name="Percent 5 3" xfId="49"/>
    <cellStyle name="Percent 5 3 2" xfId="89"/>
    <cellStyle name="Percent 5 3 2 2" xfId="131"/>
    <cellStyle name="Percent 5 3 3" xfId="110"/>
    <cellStyle name="Percent 5 4" xfId="80"/>
    <cellStyle name="Percent 5 4 2" xfId="122"/>
    <cellStyle name="Percent 5 5" xfId="101"/>
    <cellStyle name="Percent 6" xfId="35"/>
    <cellStyle name="Percent 7" xfId="36"/>
    <cellStyle name="Percent 7 2" xfId="37"/>
    <cellStyle name="Percent 8" xfId="38"/>
    <cellStyle name="Percent 8 2" xfId="52"/>
    <cellStyle name="Percent 8 2 2" xfId="92"/>
    <cellStyle name="Percent 8 2 2 2" xfId="134"/>
    <cellStyle name="Percent 8 2 3" xfId="113"/>
    <cellStyle name="Percent 8 3" xfId="83"/>
    <cellStyle name="Percent 8 3 2" xfId="125"/>
    <cellStyle name="Percent 8 4" xfId="104"/>
    <cellStyle name="Percent 9" xfId="39"/>
    <cellStyle name="Total" xfId="73" builtinId="25"/>
  </cellStyles>
  <dxfs count="313">
    <dxf>
      <fill>
        <patternFill>
          <bgColor indexed="10"/>
        </patternFill>
      </fill>
    </dxf>
    <dxf>
      <fill>
        <patternFill>
          <bgColor indexed="11"/>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ont>
        <color theme="5" tint="0.39994506668294322"/>
      </font>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00CC66"/>
      <color rgb="FF66FF33"/>
      <color rgb="FF0000FF"/>
      <color rgb="FF008000"/>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33"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a:t>Washington </a:t>
            </a:r>
            <a:endParaRPr lang="en-US" sz="1800" baseline="0"/>
          </a:p>
        </c:rich>
      </c:tx>
      <c:overlay val="0"/>
    </c:title>
    <c:autoTitleDeleted val="0"/>
    <c:plotArea>
      <c:layout>
        <c:manualLayout>
          <c:layoutTarget val="inner"/>
          <c:xMode val="edge"/>
          <c:yMode val="edge"/>
          <c:x val="4.6396582122003933E-2"/>
          <c:y val="4.7804438524449114E-2"/>
          <c:w val="0.89767419371909363"/>
          <c:h val="0.87406888904368474"/>
        </c:manualLayout>
      </c:layout>
      <c:barChart>
        <c:barDir val="col"/>
        <c:grouping val="stacked"/>
        <c:varyColors val="0"/>
        <c:ser>
          <c:idx val="0"/>
          <c:order val="0"/>
          <c:tx>
            <c:strRef>
              <c:f>'PGA Graphs 2012-13'!$A$8</c:f>
              <c:strCache>
                <c:ptCount val="1"/>
                <c:pt idx="0">
                  <c:v>Commodity</c:v>
                </c:pt>
              </c:strCache>
            </c:strRef>
          </c:tx>
          <c:spPr>
            <a:solidFill>
              <a:srgbClr val="008000"/>
            </a:solidFill>
            <a:ln>
              <a:solidFill>
                <a:sysClr val="windowText" lastClr="000000"/>
              </a:solidFill>
            </a:ln>
          </c:spPr>
          <c:invertIfNegative val="0"/>
          <c:dLbls>
            <c:dLbl>
              <c:idx val="0"/>
              <c:layout>
                <c:manualLayout>
                  <c:x val="0"/>
                  <c:y val="-3.9557880513114242E-2"/>
                </c:manualLayout>
              </c:layout>
              <c:spPr/>
              <c:txPr>
                <a:bodyPr/>
                <a:lstStyle/>
                <a:p>
                  <a:pPr>
                    <a:defRPr sz="900" b="1">
                      <a:solidFill>
                        <a:sysClr val="windowText" lastClr="000000"/>
                      </a:solidFill>
                    </a:defRPr>
                  </a:pPr>
                  <a:endParaRPr lang="en-US"/>
                </a:p>
              </c:txP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900"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'PGA Graphs 2012-13'!$C$7:$N$7</c:f>
              <c:strCache>
                <c:ptCount val="12"/>
                <c:pt idx="0">
                  <c:v>N-12</c:v>
                </c:pt>
                <c:pt idx="1">
                  <c:v>D</c:v>
                </c:pt>
                <c:pt idx="2">
                  <c:v>J-13</c:v>
                </c:pt>
                <c:pt idx="3">
                  <c:v>F-13</c:v>
                </c:pt>
                <c:pt idx="4">
                  <c:v>M</c:v>
                </c:pt>
                <c:pt idx="5">
                  <c:v>A</c:v>
                </c:pt>
                <c:pt idx="6">
                  <c:v>M</c:v>
                </c:pt>
                <c:pt idx="7">
                  <c:v>J</c:v>
                </c:pt>
                <c:pt idx="8">
                  <c:v>J</c:v>
                </c:pt>
                <c:pt idx="9">
                  <c:v>A</c:v>
                </c:pt>
                <c:pt idx="10">
                  <c:v>S</c:v>
                </c:pt>
                <c:pt idx="11">
                  <c:v>O</c:v>
                </c:pt>
              </c:strCache>
            </c:strRef>
          </c:cat>
          <c:val>
            <c:numRef>
              <c:f>'PGA Graphs 2012-13'!$C$8:$N$8</c:f>
              <c:numCache>
                <c:formatCode>"$"#,##0.0_);\("$"#,##0.0\)</c:formatCode>
                <c:ptCount val="12"/>
                <c:pt idx="0">
                  <c:v>0.90240319623620857</c:v>
                </c:pt>
                <c:pt idx="1">
                  <c:v>-0.24153536134178891</c:v>
                </c:pt>
                <c:pt idx="2">
                  <c:v>1.612370665690211</c:v>
                </c:pt>
                <c:pt idx="3">
                  <c:v>0.64834278387021227</c:v>
                </c:pt>
                <c:pt idx="4">
                  <c:v>0.33671900480321282</c:v>
                </c:pt>
                <c:pt idx="5">
                  <c:v>0.63119416496921332</c:v>
                </c:pt>
                <c:pt idx="6">
                  <c:v>1.2090547576992148</c:v>
                </c:pt>
                <c:pt idx="7">
                  <c:v>1.3830479967132137</c:v>
                </c:pt>
                <c:pt idx="8">
                  <c:v>1.8775711130472124</c:v>
                </c:pt>
                <c:pt idx="9">
                  <c:v>2.5238373414722122</c:v>
                </c:pt>
                <c:pt idx="10">
                  <c:v>3.3385260271402131</c:v>
                </c:pt>
                <c:pt idx="11">
                  <c:v>-6.0831075290700021</c:v>
                </c:pt>
              </c:numCache>
            </c:numRef>
          </c:val>
        </c:ser>
        <c:ser>
          <c:idx val="1"/>
          <c:order val="1"/>
          <c:tx>
            <c:strRef>
              <c:f>'PGA Graphs 2012-13'!$A$9</c:f>
              <c:strCache>
                <c:ptCount val="1"/>
                <c:pt idx="0">
                  <c:v>Demand</c:v>
                </c:pt>
              </c:strCache>
            </c:strRef>
          </c:tx>
          <c:spPr>
            <a:solidFill>
              <a:srgbClr val="92D050"/>
            </a:solidFill>
            <a:ln>
              <a:solidFill>
                <a:sysClr val="windowText" lastClr="000000"/>
              </a:solidFill>
            </a:ln>
          </c:spPr>
          <c:invertIfNegative val="0"/>
          <c:dLbls>
            <c:spPr>
              <a:noFill/>
              <a:ln>
                <a:noFill/>
              </a:ln>
              <a:effectLst/>
            </c:spPr>
            <c:txPr>
              <a:bodyPr/>
              <a:lstStyle/>
              <a:p>
                <a:pPr>
                  <a:defRPr sz="9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'PGA Graphs 2012-13'!$C$7:$N$7</c:f>
              <c:strCache>
                <c:ptCount val="12"/>
                <c:pt idx="0">
                  <c:v>N-12</c:v>
                </c:pt>
                <c:pt idx="1">
                  <c:v>D</c:v>
                </c:pt>
                <c:pt idx="2">
                  <c:v>J-13</c:v>
                </c:pt>
                <c:pt idx="3">
                  <c:v>F-13</c:v>
                </c:pt>
                <c:pt idx="4">
                  <c:v>M</c:v>
                </c:pt>
                <c:pt idx="5">
                  <c:v>A</c:v>
                </c:pt>
                <c:pt idx="6">
                  <c:v>M</c:v>
                </c:pt>
                <c:pt idx="7">
                  <c:v>J</c:v>
                </c:pt>
                <c:pt idx="8">
                  <c:v>J</c:v>
                </c:pt>
                <c:pt idx="9">
                  <c:v>A</c:v>
                </c:pt>
                <c:pt idx="10">
                  <c:v>S</c:v>
                </c:pt>
                <c:pt idx="11">
                  <c:v>O</c:v>
                </c:pt>
              </c:strCache>
            </c:strRef>
          </c:cat>
          <c:val>
            <c:numRef>
              <c:f>'PGA Graphs 2012-13'!$C$9:$N$9</c:f>
              <c:numCache>
                <c:formatCode>"$"#,##0.0_);\("$"#,##0.0\)</c:formatCode>
                <c:ptCount val="12"/>
                <c:pt idx="0">
                  <c:v>-3.8730244701439993</c:v>
                </c:pt>
                <c:pt idx="1">
                  <c:v>-3.0674777859969997</c:v>
                </c:pt>
                <c:pt idx="2">
                  <c:v>-1.6934499394870002</c:v>
                </c:pt>
                <c:pt idx="3">
                  <c:v>-0.95669013858100027</c:v>
                </c:pt>
                <c:pt idx="4">
                  <c:v>-0.56131225301100107</c:v>
                </c:pt>
                <c:pt idx="5">
                  <c:v>-0.69541010451100072</c:v>
                </c:pt>
                <c:pt idx="6">
                  <c:v>-1.5643559408390004</c:v>
                </c:pt>
                <c:pt idx="7">
                  <c:v>-2.5778206653800004</c:v>
                </c:pt>
                <c:pt idx="8">
                  <c:v>-3.8494386956210014</c:v>
                </c:pt>
                <c:pt idx="9">
                  <c:v>-5.0597053680260018</c:v>
                </c:pt>
                <c:pt idx="10">
                  <c:v>-6.0831075290700021</c:v>
                </c:pt>
                <c:pt idx="11">
                  <c:v>3.1801240000000015E-2</c:v>
                </c:pt>
              </c:numCache>
            </c:numRef>
          </c:val>
        </c:ser>
        <c:dLbls>
          <c:showLegendKey val="0"/>
          <c:showVal val="0"/>
          <c:showCatName val="0"/>
          <c:showSerName val="0"/>
          <c:showPercent val="0"/>
          <c:showBubbleSize val="0"/>
        </c:dLbls>
        <c:gapWidth val="23"/>
        <c:overlap val="100"/>
        <c:axId val="108595104"/>
        <c:axId val="108596280"/>
      </c:barChart>
      <c:lineChart>
        <c:grouping val="standard"/>
        <c:varyColors val="0"/>
        <c:ser>
          <c:idx val="2"/>
          <c:order val="2"/>
          <c:tx>
            <c:strRef>
              <c:f>'PGA Graphs 2012-13'!$A$10</c:f>
              <c:strCache>
                <c:ptCount val="1"/>
                <c:pt idx="0">
                  <c:v>Total</c:v>
                </c:pt>
              </c:strCache>
            </c:strRef>
          </c:tx>
          <c:spPr>
            <a:ln>
              <a:noFill/>
            </a:ln>
          </c:spPr>
          <c:marker>
            <c:symbol val="none"/>
          </c:marker>
          <c:dLbls>
            <c:dLbl>
              <c:idx val="0"/>
              <c:layout>
                <c:manualLayout>
                  <c:x val="-4.7766573430354023E-2"/>
                  <c:y val="8.2711931981965914E-2"/>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4.4956730203654163E-2"/>
                  <c:y val="4.3154051468851776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4.2147077332839927E-2"/>
                  <c:y val="0.13305832536229756"/>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4.4564597079407894E-2"/>
                  <c:y val="7.5519590070490639E-2"/>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4.1754753852707972E-2"/>
                  <c:y val="5.7538735291802402E-2"/>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4.7374249950222123E-2"/>
                  <c:y val="6.8327248159015183E-2"/>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4.4956730203654163E-2"/>
                  <c:y val="9.7096615804916492E-2"/>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4.2147077332839927E-2"/>
                  <c:y val="0.10788512867212972"/>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4.4564597079407894E-2"/>
                  <c:y val="0.13665449631803064"/>
                </c:manualLayout>
              </c:layout>
              <c:showLegendKey val="0"/>
              <c:showVal val="1"/>
              <c:showCatName val="0"/>
              <c:showSerName val="0"/>
              <c:showPercent val="0"/>
              <c:showBubbleSize val="0"/>
              <c:extLst>
                <c:ext xmlns:c15="http://schemas.microsoft.com/office/drawing/2012/chart" uri="{CE6537A1-D6FC-4f65-9D91-7224C49458BB}"/>
              </c:extLst>
            </c:dLbl>
            <c:dLbl>
              <c:idx val="9"/>
              <c:layout>
                <c:manualLayout>
                  <c:x val="-5.2601612923489499E-2"/>
                  <c:y val="0.18340471874262568"/>
                </c:manualLayout>
              </c:layout>
              <c:showLegendKey val="0"/>
              <c:showVal val="1"/>
              <c:showCatName val="0"/>
              <c:showSerName val="0"/>
              <c:showPercent val="0"/>
              <c:showBubbleSize val="0"/>
              <c:extLst>
                <c:ext xmlns:c15="http://schemas.microsoft.com/office/drawing/2012/chart" uri="{CE6537A1-D6FC-4f65-9D91-7224C49458BB}"/>
              </c:extLst>
            </c:dLbl>
            <c:dLbl>
              <c:idx val="10"/>
              <c:layout>
                <c:manualLayout>
                  <c:x val="-4.9791769696789723E-2"/>
                  <c:y val="0.11507747058360476"/>
                </c:manualLayout>
              </c:layout>
              <c:showLegendKey val="0"/>
              <c:showVal val="1"/>
              <c:showCatName val="0"/>
              <c:showSerName val="0"/>
              <c:showPercent val="0"/>
              <c:showBubbleSize val="0"/>
              <c:extLst>
                <c:ext xmlns:c15="http://schemas.microsoft.com/office/drawing/2012/chart" uri="{CE6537A1-D6FC-4f65-9D91-7224C49458BB}"/>
              </c:extLst>
            </c:dLbl>
            <c:dLbl>
              <c:idx val="11"/>
              <c:layout>
                <c:manualLayout>
                  <c:x val="-5.3386219541039524E-2"/>
                  <c:y val="-5.0346393380327092E-2"/>
                </c:manualLayout>
              </c:layout>
              <c:showLegendKey val="0"/>
              <c:showVal val="1"/>
              <c:showCatName val="0"/>
              <c:showSerName val="0"/>
              <c:showPercent val="0"/>
              <c:showBubbleSize val="0"/>
              <c:extLst>
                <c:ext xmlns:c15="http://schemas.microsoft.com/office/drawing/2012/chart" uri="{CE6537A1-D6FC-4f65-9D91-7224C49458BB}"/>
              </c:extLst>
            </c:dLbl>
            <c:numFmt formatCode="&quot;$&quot;#,##0.0" sourceLinked="0"/>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'PGA Graphs 2012-13'!$C$7:$N$7</c:f>
              <c:strCache>
                <c:ptCount val="12"/>
                <c:pt idx="0">
                  <c:v>N-12</c:v>
                </c:pt>
                <c:pt idx="1">
                  <c:v>D</c:v>
                </c:pt>
                <c:pt idx="2">
                  <c:v>J-13</c:v>
                </c:pt>
                <c:pt idx="3">
                  <c:v>F-13</c:v>
                </c:pt>
                <c:pt idx="4">
                  <c:v>M</c:v>
                </c:pt>
                <c:pt idx="5">
                  <c:v>A</c:v>
                </c:pt>
                <c:pt idx="6">
                  <c:v>M</c:v>
                </c:pt>
                <c:pt idx="7">
                  <c:v>J</c:v>
                </c:pt>
                <c:pt idx="8">
                  <c:v>J</c:v>
                </c:pt>
                <c:pt idx="9">
                  <c:v>A</c:v>
                </c:pt>
                <c:pt idx="10">
                  <c:v>S</c:v>
                </c:pt>
                <c:pt idx="11">
                  <c:v>O</c:v>
                </c:pt>
              </c:strCache>
            </c:strRef>
          </c:cat>
          <c:val>
            <c:numRef>
              <c:f>'PGA Graphs 2012-13'!$C$10:$N$10</c:f>
              <c:numCache>
                <c:formatCode>"$"#,##0.0_);\("$"#,##0.0\)</c:formatCode>
                <c:ptCount val="12"/>
                <c:pt idx="0">
                  <c:v>-2.9706212739077906</c:v>
                </c:pt>
                <c:pt idx="1">
                  <c:v>-3.3090131473387885</c:v>
                </c:pt>
                <c:pt idx="2">
                  <c:v>-8.1079273796789142E-2</c:v>
                </c:pt>
                <c:pt idx="3">
                  <c:v>-0.308347354710788</c:v>
                </c:pt>
                <c:pt idx="4">
                  <c:v>-0.22459324820778825</c:v>
                </c:pt>
                <c:pt idx="5">
                  <c:v>-6.4215939541787392E-2</c:v>
                </c:pt>
                <c:pt idx="6">
                  <c:v>-0.35530118313978565</c:v>
                </c:pt>
                <c:pt idx="7">
                  <c:v>-1.1947726686667868</c:v>
                </c:pt>
                <c:pt idx="8">
                  <c:v>-1.971867582573789</c:v>
                </c:pt>
                <c:pt idx="9">
                  <c:v>-2.5358680265537896</c:v>
                </c:pt>
                <c:pt idx="10">
                  <c:v>-2.744581501929789</c:v>
                </c:pt>
                <c:pt idx="11">
                  <c:v>-6.051306289070002</c:v>
                </c:pt>
              </c:numCache>
            </c:numRef>
          </c:val>
          <c:smooth val="0"/>
        </c:ser>
        <c:dLbls>
          <c:showLegendKey val="0"/>
          <c:showVal val="0"/>
          <c:showCatName val="0"/>
          <c:showSerName val="0"/>
          <c:showPercent val="0"/>
          <c:showBubbleSize val="0"/>
        </c:dLbls>
        <c:marker val="1"/>
        <c:smooth val="0"/>
        <c:axId val="108595104"/>
        <c:axId val="108596280"/>
      </c:lineChart>
      <c:catAx>
        <c:axId val="108595104"/>
        <c:scaling>
          <c:orientation val="minMax"/>
        </c:scaling>
        <c:delete val="0"/>
        <c:axPos val="b"/>
        <c:numFmt formatCode="General" sourceLinked="1"/>
        <c:majorTickMark val="out"/>
        <c:minorTickMark val="none"/>
        <c:tickLblPos val="low"/>
        <c:spPr>
          <a:ln w="25400">
            <a:solidFill>
              <a:schemeClr val="tx1"/>
            </a:solidFill>
          </a:ln>
        </c:spPr>
        <c:txPr>
          <a:bodyPr/>
          <a:lstStyle/>
          <a:p>
            <a:pPr>
              <a:defRPr b="1"/>
            </a:pPr>
            <a:endParaRPr lang="en-US"/>
          </a:p>
        </c:txPr>
        <c:crossAx val="108596280"/>
        <c:crosses val="autoZero"/>
        <c:auto val="1"/>
        <c:lblAlgn val="ctr"/>
        <c:lblOffset val="10"/>
        <c:noMultiLvlLbl val="0"/>
      </c:catAx>
      <c:valAx>
        <c:axId val="108596280"/>
        <c:scaling>
          <c:orientation val="minMax"/>
          <c:max val="9"/>
          <c:min val="-5.5"/>
        </c:scaling>
        <c:delete val="0"/>
        <c:axPos val="r"/>
        <c:numFmt formatCode="&quot;$&quot;#,##0.0" sourceLinked="0"/>
        <c:majorTickMark val="out"/>
        <c:minorTickMark val="none"/>
        <c:tickLblPos val="none"/>
        <c:crossAx val="108595104"/>
        <c:crosses val="max"/>
        <c:crossBetween val="between"/>
      </c:valAx>
    </c:plotArea>
    <c:legend>
      <c:legendPos val="r"/>
      <c:legendEntry>
        <c:idx val="2"/>
        <c:delete val="1"/>
      </c:legendEntry>
      <c:layout>
        <c:manualLayout>
          <c:xMode val="edge"/>
          <c:yMode val="edge"/>
          <c:x val="0.70573721217717333"/>
          <c:y val="6.8211717627523899E-2"/>
          <c:w val="0.18659635681678463"/>
          <c:h val="0.1474684938613198"/>
        </c:manualLayout>
      </c:layout>
      <c:overlay val="0"/>
      <c:spPr>
        <a:solidFill>
          <a:schemeClr val="bg1"/>
        </a:solidFill>
        <a:ln w="25400">
          <a:solidFill>
            <a:sysClr val="windowText" lastClr="000000"/>
          </a:solidFill>
        </a:ln>
      </c:spPr>
      <c:txPr>
        <a:bodyPr/>
        <a:lstStyle/>
        <a:p>
          <a:pPr>
            <a:defRPr sz="1200" b="1"/>
          </a:pPr>
          <a:endParaRPr lang="en-US"/>
        </a:p>
      </c:txPr>
    </c:legend>
    <c:plotVisOnly val="1"/>
    <c:dispBlanksAs val="gap"/>
    <c:showDLblsOverMax val="0"/>
  </c:chart>
  <c:spPr>
    <a:ln w="31750">
      <a:solidFill>
        <a:sysClr val="windowText" lastClr="000000"/>
      </a:solidFill>
    </a:ln>
  </c:sp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a:t>Idaho (With Holdback)</a:t>
            </a:r>
            <a:endParaRPr lang="en-US" sz="1800" baseline="0"/>
          </a:p>
        </c:rich>
      </c:tx>
      <c:overlay val="0"/>
    </c:title>
    <c:autoTitleDeleted val="0"/>
    <c:plotArea>
      <c:layout>
        <c:manualLayout>
          <c:layoutTarget val="inner"/>
          <c:xMode val="edge"/>
          <c:yMode val="edge"/>
          <c:x val="3.6726533128107232E-2"/>
          <c:y val="4.4208267568710935E-2"/>
          <c:w val="0.88800420717924078"/>
          <c:h val="0.8417034691316001"/>
        </c:manualLayout>
      </c:layout>
      <c:barChart>
        <c:barDir val="col"/>
        <c:grouping val="stacked"/>
        <c:varyColors val="0"/>
        <c:ser>
          <c:idx val="0"/>
          <c:order val="0"/>
          <c:tx>
            <c:strRef>
              <c:f>'PGA Graphs 2012-13'!$A$14</c:f>
              <c:strCache>
                <c:ptCount val="1"/>
                <c:pt idx="0">
                  <c:v>Commodity</c:v>
                </c:pt>
              </c:strCache>
            </c:strRef>
          </c:tx>
          <c:spPr>
            <a:solidFill>
              <a:schemeClr val="bg2">
                <a:lumMod val="25000"/>
              </a:schemeClr>
            </a:solidFill>
            <a:ln>
              <a:solidFill>
                <a:sysClr val="windowText" lastClr="000000"/>
              </a:solidFill>
            </a:ln>
          </c:spPr>
          <c:invertIfNegative val="0"/>
          <c:dLbls>
            <c:spPr>
              <a:noFill/>
              <a:ln>
                <a:noFill/>
              </a:ln>
              <a:effectLst/>
            </c:spPr>
            <c:txPr>
              <a:bodyPr/>
              <a:lstStyle/>
              <a:p>
                <a:pPr>
                  <a:defRPr sz="900"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'PGA Graphs 2012-13'!$B$13:$M$13</c:f>
              <c:strCache>
                <c:ptCount val="12"/>
                <c:pt idx="0">
                  <c:v>O-12</c:v>
                </c:pt>
                <c:pt idx="1">
                  <c:v>N</c:v>
                </c:pt>
                <c:pt idx="2">
                  <c:v>D</c:v>
                </c:pt>
                <c:pt idx="3">
                  <c:v>J-13</c:v>
                </c:pt>
                <c:pt idx="4">
                  <c:v>F-13</c:v>
                </c:pt>
                <c:pt idx="5">
                  <c:v>M</c:v>
                </c:pt>
                <c:pt idx="6">
                  <c:v>A</c:v>
                </c:pt>
                <c:pt idx="7">
                  <c:v>M</c:v>
                </c:pt>
                <c:pt idx="8">
                  <c:v>J</c:v>
                </c:pt>
                <c:pt idx="9">
                  <c:v>J</c:v>
                </c:pt>
                <c:pt idx="10">
                  <c:v>A</c:v>
                </c:pt>
                <c:pt idx="11">
                  <c:v>S</c:v>
                </c:pt>
              </c:strCache>
            </c:strRef>
          </c:cat>
          <c:val>
            <c:numRef>
              <c:f>'PGA Graphs 2012-13'!$B$14:$M$14</c:f>
              <c:numCache>
                <c:formatCode>"$"#,##0.0_);\("$"#,##0.0\)</c:formatCode>
                <c:ptCount val="12"/>
                <c:pt idx="0">
                  <c:v>2.1383911983473967</c:v>
                </c:pt>
                <c:pt idx="1">
                  <c:v>1.2444255776995812</c:v>
                </c:pt>
                <c:pt idx="2">
                  <c:v>0.87195540999758092</c:v>
                </c:pt>
                <c:pt idx="3">
                  <c:v>1.6660490220255828</c:v>
                </c:pt>
                <c:pt idx="4">
                  <c:v>1.2966995405455823</c:v>
                </c:pt>
                <c:pt idx="5">
                  <c:v>1.1561449650525837</c:v>
                </c:pt>
                <c:pt idx="6">
                  <c:v>1.2996516898465837</c:v>
                </c:pt>
                <c:pt idx="7">
                  <c:v>1.5610150065365844</c:v>
                </c:pt>
                <c:pt idx="8">
                  <c:v>1.6482739833225839</c:v>
                </c:pt>
                <c:pt idx="9">
                  <c:v>1.8954571715485831</c:v>
                </c:pt>
                <c:pt idx="10">
                  <c:v>2.2528616869035827</c:v>
                </c:pt>
                <c:pt idx="11">
                  <c:v>2.7080381318555831</c:v>
                </c:pt>
              </c:numCache>
            </c:numRef>
          </c:val>
        </c:ser>
        <c:ser>
          <c:idx val="1"/>
          <c:order val="1"/>
          <c:tx>
            <c:strRef>
              <c:f>'PGA Graphs 2012-13'!$A$15</c:f>
              <c:strCache>
                <c:ptCount val="1"/>
                <c:pt idx="0">
                  <c:v>Demand</c:v>
                </c:pt>
              </c:strCache>
            </c:strRef>
          </c:tx>
          <c:spPr>
            <a:solidFill>
              <a:schemeClr val="bg2">
                <a:lumMod val="75000"/>
              </a:schemeClr>
            </a:solidFill>
            <a:ln>
              <a:solidFill>
                <a:sysClr val="windowText" lastClr="000000"/>
              </a:solidFill>
            </a:ln>
          </c:spPr>
          <c:invertIfNegative val="0"/>
          <c:dLbls>
            <c:dLbl>
              <c:idx val="0"/>
              <c:delete val="1"/>
              <c:extLst>
                <c:ext xmlns:c15="http://schemas.microsoft.com/office/drawing/2012/chart" uri="{CE6537A1-D6FC-4f65-9D91-7224C49458BB}"/>
              </c:extLst>
            </c:dLbl>
            <c:spPr>
              <a:noFill/>
              <a:ln>
                <a:noFill/>
              </a:ln>
              <a:effectLst/>
            </c:spPr>
            <c:txPr>
              <a:bodyPr/>
              <a:lstStyle/>
              <a:p>
                <a:pPr>
                  <a:defRPr sz="9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'PGA Graphs 2012-13'!$B$13:$M$13</c:f>
              <c:strCache>
                <c:ptCount val="12"/>
                <c:pt idx="0">
                  <c:v>O-12</c:v>
                </c:pt>
                <c:pt idx="1">
                  <c:v>N</c:v>
                </c:pt>
                <c:pt idx="2">
                  <c:v>D</c:v>
                </c:pt>
                <c:pt idx="3">
                  <c:v>J-13</c:v>
                </c:pt>
                <c:pt idx="4">
                  <c:v>F-13</c:v>
                </c:pt>
                <c:pt idx="5">
                  <c:v>M</c:v>
                </c:pt>
                <c:pt idx="6">
                  <c:v>A</c:v>
                </c:pt>
                <c:pt idx="7">
                  <c:v>M</c:v>
                </c:pt>
                <c:pt idx="8">
                  <c:v>J</c:v>
                </c:pt>
                <c:pt idx="9">
                  <c:v>J</c:v>
                </c:pt>
                <c:pt idx="10">
                  <c:v>A</c:v>
                </c:pt>
                <c:pt idx="11">
                  <c:v>S</c:v>
                </c:pt>
              </c:strCache>
            </c:strRef>
          </c:cat>
          <c:val>
            <c:numRef>
              <c:f>'PGA Graphs 2012-13'!$B$15:$M$15</c:f>
              <c:numCache>
                <c:formatCode>"$"#,##0.0_);\("$"#,##0.0\)</c:formatCode>
                <c:ptCount val="12"/>
                <c:pt idx="0">
                  <c:v>-0.82418407251353221</c:v>
                </c:pt>
                <c:pt idx="1">
                  <c:v>-0.80322416033553246</c:v>
                </c:pt>
                <c:pt idx="2">
                  <c:v>-0.39310178017253256</c:v>
                </c:pt>
                <c:pt idx="3">
                  <c:v>0.17129077183746722</c:v>
                </c:pt>
                <c:pt idx="4">
                  <c:v>0.35307272873146694</c:v>
                </c:pt>
                <c:pt idx="5">
                  <c:v>0.56382016840146643</c:v>
                </c:pt>
                <c:pt idx="6">
                  <c:v>0.53955121001146655</c:v>
                </c:pt>
                <c:pt idx="7">
                  <c:v>0.18205832733946647</c:v>
                </c:pt>
                <c:pt idx="8">
                  <c:v>-0.22184721294953361</c:v>
                </c:pt>
                <c:pt idx="9">
                  <c:v>-0.73848372468853407</c:v>
                </c:pt>
                <c:pt idx="10">
                  <c:v>-1.2085874236835343</c:v>
                </c:pt>
                <c:pt idx="11">
                  <c:v>-1.5854874293295345</c:v>
                </c:pt>
              </c:numCache>
            </c:numRef>
          </c:val>
        </c:ser>
        <c:dLbls>
          <c:showLegendKey val="0"/>
          <c:showVal val="0"/>
          <c:showCatName val="0"/>
          <c:showSerName val="0"/>
          <c:showPercent val="0"/>
          <c:showBubbleSize val="0"/>
        </c:dLbls>
        <c:gapWidth val="23"/>
        <c:overlap val="100"/>
        <c:axId val="436088552"/>
        <c:axId val="436089336"/>
      </c:barChart>
      <c:lineChart>
        <c:grouping val="standard"/>
        <c:varyColors val="0"/>
        <c:ser>
          <c:idx val="2"/>
          <c:order val="2"/>
          <c:tx>
            <c:strRef>
              <c:f>'PGA Graphs 2012-13'!$A$16</c:f>
              <c:strCache>
                <c:ptCount val="1"/>
                <c:pt idx="0">
                  <c:v>Total</c:v>
                </c:pt>
              </c:strCache>
            </c:strRef>
          </c:tx>
          <c:spPr>
            <a:ln>
              <a:noFill/>
            </a:ln>
          </c:spPr>
          <c:marker>
            <c:symbol val="none"/>
          </c:marker>
          <c:dLbls>
            <c:dLbl>
              <c:idx val="0"/>
              <c:layout>
                <c:manualLayout>
                  <c:x val="-4.5349053683786077E-2"/>
                  <c:y val="-0.18700117286143547"/>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4.4956730203654163E-2"/>
                  <c:y val="-0.20857791543278353"/>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4.2147015427135108E-2"/>
                  <c:y val="-3.2365538601638801E-2"/>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4.2147015427135108E-2"/>
                  <c:y val="-3.5961709557376452E-2"/>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3.9337214398659406E-2"/>
                  <c:y val="-3.5961709557376452E-2"/>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4.4956816455610824E-2"/>
                  <c:y val="-2.8769367645901201E-2"/>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4.4956816455610824E-2"/>
                  <c:y val="-3.2365538601638835E-2"/>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4.2147015427135108E-2"/>
                  <c:y val="-3.9557880513114242E-2"/>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4.2147077332839927E-2"/>
                  <c:y val="-6.1134906247540033E-2"/>
                </c:manualLayout>
              </c:layout>
              <c:showLegendKey val="0"/>
              <c:showVal val="1"/>
              <c:showCatName val="0"/>
              <c:showSerName val="0"/>
              <c:showPercent val="0"/>
              <c:showBubbleSize val="0"/>
              <c:extLst>
                <c:ext xmlns:c15="http://schemas.microsoft.com/office/drawing/2012/chart" uri="{CE6537A1-D6FC-4f65-9D91-7224C49458BB}"/>
              </c:extLst>
            </c:dLbl>
            <c:dLbl>
              <c:idx val="9"/>
              <c:layout>
                <c:manualLayout>
                  <c:x val="-4.7766573430354023E-2"/>
                  <c:y val="-0.11867364153934259"/>
                </c:manualLayout>
              </c:layout>
              <c:showLegendKey val="0"/>
              <c:showVal val="1"/>
              <c:showCatName val="0"/>
              <c:showSerName val="0"/>
              <c:showPercent val="0"/>
              <c:showBubbleSize val="0"/>
              <c:extLst>
                <c:ext xmlns:c15="http://schemas.microsoft.com/office/drawing/2012/chart" uri="{CE6537A1-D6FC-4f65-9D91-7224C49458BB}"/>
              </c:extLst>
            </c:dLbl>
            <c:dLbl>
              <c:idx val="10"/>
              <c:layout>
                <c:manualLayout>
                  <c:x val="-4.4956730203654163E-2"/>
                  <c:y val="-0.16542386396393172"/>
                </c:manualLayout>
              </c:layout>
              <c:showLegendKey val="0"/>
              <c:showVal val="1"/>
              <c:showCatName val="0"/>
              <c:showSerName val="0"/>
              <c:showPercent val="0"/>
              <c:showBubbleSize val="0"/>
              <c:extLst>
                <c:ext xmlns:c15="http://schemas.microsoft.com/office/drawing/2012/chart" uri="{CE6537A1-D6FC-4f65-9D91-7224C49458BB}"/>
              </c:extLst>
            </c:dLbl>
            <c:dLbl>
              <c:idx val="11"/>
              <c:layout>
                <c:manualLayout>
                  <c:x val="-4.8551220390617801E-2"/>
                  <c:y val="-0.21577025734425889"/>
                </c:manualLayout>
              </c:layout>
              <c:showLegendKey val="0"/>
              <c:showVal val="1"/>
              <c:showCatName val="0"/>
              <c:showSerName val="0"/>
              <c:showPercent val="0"/>
              <c:showBubbleSize val="0"/>
              <c:extLst>
                <c:ext xmlns:c15="http://schemas.microsoft.com/office/drawing/2012/chart" uri="{CE6537A1-D6FC-4f65-9D91-7224C49458BB}"/>
              </c:extLst>
            </c:dLbl>
            <c:numFmt formatCode="&quot;$&quot;#,##0.0" sourceLinked="0"/>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'PGA Graphs 2012-13'!$B$13:$M$13</c:f>
              <c:strCache>
                <c:ptCount val="12"/>
                <c:pt idx="0">
                  <c:v>O-12</c:v>
                </c:pt>
                <c:pt idx="1">
                  <c:v>N</c:v>
                </c:pt>
                <c:pt idx="2">
                  <c:v>D</c:v>
                </c:pt>
                <c:pt idx="3">
                  <c:v>J-13</c:v>
                </c:pt>
                <c:pt idx="4">
                  <c:v>F-13</c:v>
                </c:pt>
                <c:pt idx="5">
                  <c:v>M</c:v>
                </c:pt>
                <c:pt idx="6">
                  <c:v>A</c:v>
                </c:pt>
                <c:pt idx="7">
                  <c:v>M</c:v>
                </c:pt>
                <c:pt idx="8">
                  <c:v>J</c:v>
                </c:pt>
                <c:pt idx="9">
                  <c:v>J</c:v>
                </c:pt>
                <c:pt idx="10">
                  <c:v>A</c:v>
                </c:pt>
                <c:pt idx="11">
                  <c:v>S</c:v>
                </c:pt>
              </c:strCache>
            </c:strRef>
          </c:cat>
          <c:val>
            <c:numRef>
              <c:f>'PGA Graphs 2012-13'!$B$16:$M$16</c:f>
              <c:numCache>
                <c:formatCode>"$"#,##0.0_);\("$"#,##0.0\)</c:formatCode>
                <c:ptCount val="12"/>
                <c:pt idx="0">
                  <c:v>1.3142071258338643</c:v>
                </c:pt>
                <c:pt idx="1">
                  <c:v>0.44120141736404872</c:v>
                </c:pt>
                <c:pt idx="2">
                  <c:v>0.47885362982504837</c:v>
                </c:pt>
                <c:pt idx="3">
                  <c:v>1.83733979386305</c:v>
                </c:pt>
                <c:pt idx="4">
                  <c:v>1.6497722692770493</c:v>
                </c:pt>
                <c:pt idx="5">
                  <c:v>1.7199651334540502</c:v>
                </c:pt>
                <c:pt idx="6">
                  <c:v>1.8392028998580503</c:v>
                </c:pt>
                <c:pt idx="7">
                  <c:v>1.7430733338760509</c:v>
                </c:pt>
                <c:pt idx="8">
                  <c:v>1.4264267703730502</c:v>
                </c:pt>
                <c:pt idx="9">
                  <c:v>1.156973446860049</c:v>
                </c:pt>
                <c:pt idx="10">
                  <c:v>1.0442742632200483</c:v>
                </c:pt>
                <c:pt idx="11">
                  <c:v>1.1225507025260486</c:v>
                </c:pt>
              </c:numCache>
            </c:numRef>
          </c:val>
          <c:smooth val="0"/>
        </c:ser>
        <c:dLbls>
          <c:showLegendKey val="0"/>
          <c:showVal val="0"/>
          <c:showCatName val="0"/>
          <c:showSerName val="0"/>
          <c:showPercent val="0"/>
          <c:showBubbleSize val="0"/>
        </c:dLbls>
        <c:marker val="1"/>
        <c:smooth val="0"/>
        <c:axId val="436088552"/>
        <c:axId val="436089336"/>
      </c:lineChart>
      <c:catAx>
        <c:axId val="436088552"/>
        <c:scaling>
          <c:orientation val="minMax"/>
        </c:scaling>
        <c:delete val="0"/>
        <c:axPos val="b"/>
        <c:numFmt formatCode="General" sourceLinked="1"/>
        <c:majorTickMark val="out"/>
        <c:minorTickMark val="none"/>
        <c:tickLblPos val="low"/>
        <c:spPr>
          <a:ln w="25400">
            <a:solidFill>
              <a:schemeClr val="tx1"/>
            </a:solidFill>
          </a:ln>
        </c:spPr>
        <c:txPr>
          <a:bodyPr/>
          <a:lstStyle/>
          <a:p>
            <a:pPr>
              <a:defRPr b="1"/>
            </a:pPr>
            <a:endParaRPr lang="en-US"/>
          </a:p>
        </c:txPr>
        <c:crossAx val="436089336"/>
        <c:crosses val="autoZero"/>
        <c:auto val="1"/>
        <c:lblAlgn val="ctr"/>
        <c:lblOffset val="0"/>
        <c:noMultiLvlLbl val="0"/>
      </c:catAx>
      <c:valAx>
        <c:axId val="436089336"/>
        <c:scaling>
          <c:orientation val="minMax"/>
          <c:max val="6"/>
          <c:min val="-2"/>
        </c:scaling>
        <c:delete val="1"/>
        <c:axPos val="l"/>
        <c:numFmt formatCode="&quot;$&quot;#,##0.0" sourceLinked="0"/>
        <c:majorTickMark val="out"/>
        <c:minorTickMark val="none"/>
        <c:tickLblPos val="none"/>
        <c:crossAx val="436088552"/>
        <c:crosses val="autoZero"/>
        <c:crossBetween val="between"/>
      </c:valAx>
    </c:plotArea>
    <c:legend>
      <c:legendPos val="r"/>
      <c:legendEntry>
        <c:idx val="2"/>
        <c:delete val="1"/>
      </c:legendEntry>
      <c:layout>
        <c:manualLayout>
          <c:xMode val="edge"/>
          <c:yMode val="edge"/>
          <c:x val="0.72024233065654875"/>
          <c:y val="7.180788858326155E-2"/>
          <c:w val="0.24347564720049344"/>
          <c:h val="0.10607798197610629"/>
        </c:manualLayout>
      </c:layout>
      <c:overlay val="0"/>
      <c:spPr>
        <a:solidFill>
          <a:schemeClr val="bg1"/>
        </a:solidFill>
        <a:ln w="25400">
          <a:solidFill>
            <a:sysClr val="windowText" lastClr="000000"/>
          </a:solidFill>
        </a:ln>
      </c:spPr>
      <c:txPr>
        <a:bodyPr/>
        <a:lstStyle/>
        <a:p>
          <a:pPr>
            <a:defRPr sz="1200" b="1"/>
          </a:pPr>
          <a:endParaRPr lang="en-US"/>
        </a:p>
      </c:txPr>
    </c:legend>
    <c:plotVisOnly val="1"/>
    <c:dispBlanksAs val="gap"/>
    <c:showDLblsOverMax val="0"/>
  </c:chart>
  <c:spPr>
    <a:ln w="31750">
      <a:solidFill>
        <a:sysClr val="windowText" lastClr="000000"/>
      </a:solidFill>
    </a:ln>
  </c:sp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WA PGA Commodity</a:t>
            </a:r>
          </a:p>
        </c:rich>
      </c:tx>
      <c:overlay val="0"/>
    </c:title>
    <c:autoTitleDeleted val="0"/>
    <c:plotArea>
      <c:layout/>
      <c:lineChart>
        <c:grouping val="standard"/>
        <c:varyColors val="0"/>
        <c:ser>
          <c:idx val="0"/>
          <c:order val="0"/>
          <c:tx>
            <c:strRef>
              <c:f>'PGA Graphs 2013-14'!$A$8</c:f>
              <c:strCache>
                <c:ptCount val="1"/>
                <c:pt idx="0">
                  <c:v>PGA Rate</c:v>
                </c:pt>
              </c:strCache>
            </c:strRef>
          </c:tx>
          <c:marker>
            <c:symbol val="none"/>
          </c:marker>
          <c:cat>
            <c:strRef>
              <c:f>'PGA Graphs 2013-14'!$B$7:$N$7</c:f>
              <c:strCache>
                <c:ptCount val="13"/>
                <c:pt idx="0">
                  <c:v>O-13</c:v>
                </c:pt>
                <c:pt idx="1">
                  <c:v>N-13</c:v>
                </c:pt>
                <c:pt idx="2">
                  <c:v>D-13</c:v>
                </c:pt>
                <c:pt idx="3">
                  <c:v>J-14</c:v>
                </c:pt>
                <c:pt idx="4">
                  <c:v>F-14</c:v>
                </c:pt>
                <c:pt idx="5">
                  <c:v>M-14</c:v>
                </c:pt>
                <c:pt idx="6">
                  <c:v>A-14</c:v>
                </c:pt>
                <c:pt idx="7">
                  <c:v>M-14</c:v>
                </c:pt>
                <c:pt idx="8">
                  <c:v>J-14</c:v>
                </c:pt>
                <c:pt idx="9">
                  <c:v>J-14</c:v>
                </c:pt>
                <c:pt idx="10">
                  <c:v>A-14</c:v>
                </c:pt>
                <c:pt idx="11">
                  <c:v>S-14</c:v>
                </c:pt>
                <c:pt idx="12">
                  <c:v>O-14</c:v>
                </c:pt>
              </c:strCache>
            </c:strRef>
          </c:cat>
          <c:val>
            <c:numRef>
              <c:f>'PGA Graphs 2013-14'!$B$8:$N$8</c:f>
              <c:numCache>
                <c:formatCode>"$"#,##0.00_);\("$"#,##0.00\)</c:formatCode>
                <c:ptCount val="13"/>
                <c:pt idx="0">
                  <c:v>3.3051999999999997</c:v>
                </c:pt>
                <c:pt idx="1">
                  <c:v>3.6246661221178802</c:v>
                </c:pt>
                <c:pt idx="2">
                  <c:v>3.6234780920677898</c:v>
                </c:pt>
                <c:pt idx="3">
                  <c:v>2.3860000000000001</c:v>
                </c:pt>
                <c:pt idx="4">
                  <c:v>2.3860000000000001</c:v>
                </c:pt>
                <c:pt idx="5">
                  <c:v>2.3860000000000001</c:v>
                </c:pt>
                <c:pt idx="6">
                  <c:v>2.3860000000000001</c:v>
                </c:pt>
                <c:pt idx="7">
                  <c:v>2.3860000000000001</c:v>
                </c:pt>
                <c:pt idx="8">
                  <c:v>2.3860000000000001</c:v>
                </c:pt>
                <c:pt idx="9">
                  <c:v>2.3860000000000001</c:v>
                </c:pt>
                <c:pt idx="10">
                  <c:v>2.3860000000000001</c:v>
                </c:pt>
                <c:pt idx="11">
                  <c:v>2.3860000000000001</c:v>
                </c:pt>
                <c:pt idx="12">
                  <c:v>2.3860000000000001</c:v>
                </c:pt>
              </c:numCache>
            </c:numRef>
          </c:val>
          <c:smooth val="0"/>
        </c:ser>
        <c:ser>
          <c:idx val="2"/>
          <c:order val="1"/>
          <c:tx>
            <c:strRef>
              <c:f>'PGA Graphs 2013-14'!$A$9</c:f>
              <c:strCache>
                <c:ptCount val="1"/>
                <c:pt idx="0">
                  <c:v>PGA Budget</c:v>
                </c:pt>
              </c:strCache>
            </c:strRef>
          </c:tx>
          <c:marker>
            <c:symbol val="none"/>
          </c:marker>
          <c:val>
            <c:numRef>
              <c:f>'PGA Graphs 2013-14'!$B$9:$N$9</c:f>
              <c:numCache>
                <c:formatCode>"$"#,##0.00_);\("$"#,##0.00\)</c:formatCode>
                <c:ptCount val="13"/>
                <c:pt idx="0">
                  <c:v>3.5167999999999999</c:v>
                </c:pt>
                <c:pt idx="1">
                  <c:v>3.8812999999999995</c:v>
                </c:pt>
                <c:pt idx="2">
                  <c:v>3.6348000000000003</c:v>
                </c:pt>
                <c:pt idx="3">
                  <c:v>3.6143999999999998</c:v>
                </c:pt>
                <c:pt idx="4">
                  <c:v>3.6770000000000005</c:v>
                </c:pt>
                <c:pt idx="5">
                  <c:v>3.9145000000000003</c:v>
                </c:pt>
                <c:pt idx="6">
                  <c:v>3.3395999999999999</c:v>
                </c:pt>
                <c:pt idx="7">
                  <c:v>3.3895</c:v>
                </c:pt>
                <c:pt idx="8">
                  <c:v>3.3272000000000004</c:v>
                </c:pt>
                <c:pt idx="9">
                  <c:v>3.3701999999999996</c:v>
                </c:pt>
                <c:pt idx="10">
                  <c:v>3.3369</c:v>
                </c:pt>
                <c:pt idx="11">
                  <c:v>3.3742000000000001</c:v>
                </c:pt>
                <c:pt idx="12">
                  <c:v>3.5167999999999999</c:v>
                </c:pt>
              </c:numCache>
            </c:numRef>
          </c:val>
          <c:smooth val="0"/>
        </c:ser>
        <c:ser>
          <c:idx val="1"/>
          <c:order val="2"/>
          <c:tx>
            <c:strRef>
              <c:f>'PGA Graphs 2013-14'!$A$10</c:f>
              <c:strCache>
                <c:ptCount val="1"/>
                <c:pt idx="0">
                  <c:v>Actual</c:v>
                </c:pt>
              </c:strCache>
            </c:strRef>
          </c:tx>
          <c:marker>
            <c:symbol val="none"/>
          </c:marker>
          <c:cat>
            <c:strRef>
              <c:f>'PGA Graphs 2013-14'!$B$7:$N$7</c:f>
              <c:strCache>
                <c:ptCount val="13"/>
                <c:pt idx="0">
                  <c:v>O-13</c:v>
                </c:pt>
                <c:pt idx="1">
                  <c:v>N-13</c:v>
                </c:pt>
                <c:pt idx="2">
                  <c:v>D-13</c:v>
                </c:pt>
                <c:pt idx="3">
                  <c:v>J-14</c:v>
                </c:pt>
                <c:pt idx="4">
                  <c:v>F-14</c:v>
                </c:pt>
                <c:pt idx="5">
                  <c:v>M-14</c:v>
                </c:pt>
                <c:pt idx="6">
                  <c:v>A-14</c:v>
                </c:pt>
                <c:pt idx="7">
                  <c:v>M-14</c:v>
                </c:pt>
                <c:pt idx="8">
                  <c:v>J-14</c:v>
                </c:pt>
                <c:pt idx="9">
                  <c:v>J-14</c:v>
                </c:pt>
                <c:pt idx="10">
                  <c:v>A-14</c:v>
                </c:pt>
                <c:pt idx="11">
                  <c:v>S-14</c:v>
                </c:pt>
                <c:pt idx="12">
                  <c:v>O-14</c:v>
                </c:pt>
              </c:strCache>
            </c:strRef>
          </c:cat>
          <c:val>
            <c:numRef>
              <c:f>'PGA Graphs 2013-14'!$B$10:$N$10</c:f>
              <c:numCache>
                <c:formatCode>"$"#,##0.00_);\("$"#,##0.00\)</c:formatCode>
                <c:ptCount val="13"/>
                <c:pt idx="0">
                  <c:v>2.7800856064110402</c:v>
                </c:pt>
                <c:pt idx="1">
                  <c:v>3.4540440792083</c:v>
                </c:pt>
                <c:pt idx="2">
                  <c:v>3.1876161555634601</c:v>
                </c:pt>
                <c:pt idx="3">
                  <c:v>2.2515519992653972</c:v>
                </c:pt>
                <c:pt idx="4">
                  <c:v>2.311489818900661</c:v>
                </c:pt>
                <c:pt idx="5">
                  <c:v>2.0450092519691241</c:v>
                </c:pt>
              </c:numCache>
            </c:numRef>
          </c:val>
          <c:smooth val="0"/>
        </c:ser>
        <c:dLbls>
          <c:showLegendKey val="0"/>
          <c:showVal val="0"/>
          <c:showCatName val="0"/>
          <c:showSerName val="0"/>
          <c:showPercent val="0"/>
          <c:showBubbleSize val="0"/>
        </c:dLbls>
        <c:smooth val="0"/>
        <c:axId val="436092864"/>
        <c:axId val="436889056"/>
      </c:lineChart>
      <c:catAx>
        <c:axId val="436092864"/>
        <c:scaling>
          <c:orientation val="minMax"/>
        </c:scaling>
        <c:delete val="0"/>
        <c:axPos val="b"/>
        <c:numFmt formatCode="General" sourceLinked="0"/>
        <c:majorTickMark val="out"/>
        <c:minorTickMark val="none"/>
        <c:tickLblPos val="nextTo"/>
        <c:txPr>
          <a:bodyPr rot="5400000" vert="horz"/>
          <a:lstStyle/>
          <a:p>
            <a:pPr>
              <a:defRPr/>
            </a:pPr>
            <a:endParaRPr lang="en-US"/>
          </a:p>
        </c:txPr>
        <c:crossAx val="436889056"/>
        <c:crosses val="autoZero"/>
        <c:auto val="1"/>
        <c:lblAlgn val="ctr"/>
        <c:lblOffset val="100"/>
        <c:noMultiLvlLbl val="0"/>
      </c:catAx>
      <c:valAx>
        <c:axId val="436889056"/>
        <c:scaling>
          <c:orientation val="minMax"/>
        </c:scaling>
        <c:delete val="0"/>
        <c:axPos val="l"/>
        <c:majorGridlines/>
        <c:numFmt formatCode="&quot;$&quot;#,##0.00_);\(&quot;$&quot;#,##0.00\)" sourceLinked="1"/>
        <c:majorTickMark val="out"/>
        <c:minorTickMark val="none"/>
        <c:tickLblPos val="nextTo"/>
        <c:crossAx val="436092864"/>
        <c:crosses val="autoZero"/>
        <c:crossBetween val="between"/>
      </c:valAx>
    </c:plotArea>
    <c:legend>
      <c:legendPos val="r"/>
      <c:overlay val="0"/>
    </c:legend>
    <c:plotVisOnly val="1"/>
    <c:dispBlanksAs val="gap"/>
    <c:showDLblsOverMax val="0"/>
  </c:chart>
  <c:printSettings>
    <c:headerFooter/>
    <c:pageMargins b="0.75000000000001266" l="0.70000000000000062" r="0.70000000000000062" t="0.750000000000012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WA PGA Demand</a:t>
            </a:r>
          </a:p>
        </c:rich>
      </c:tx>
      <c:overlay val="0"/>
    </c:title>
    <c:autoTitleDeleted val="0"/>
    <c:plotArea>
      <c:layout/>
      <c:lineChart>
        <c:grouping val="standard"/>
        <c:varyColors val="0"/>
        <c:ser>
          <c:idx val="0"/>
          <c:order val="0"/>
          <c:tx>
            <c:strRef>
              <c:f>'PGA Graphs 2013-14'!$A$11</c:f>
              <c:strCache>
                <c:ptCount val="1"/>
                <c:pt idx="0">
                  <c:v>PGA Rate</c:v>
                </c:pt>
              </c:strCache>
            </c:strRef>
          </c:tx>
          <c:marker>
            <c:symbol val="none"/>
          </c:marker>
          <c:cat>
            <c:strRef>
              <c:f>'PGA Graphs 2013-14'!$B$7:$N$7</c:f>
              <c:strCache>
                <c:ptCount val="13"/>
                <c:pt idx="0">
                  <c:v>O-13</c:v>
                </c:pt>
                <c:pt idx="1">
                  <c:v>N-13</c:v>
                </c:pt>
                <c:pt idx="2">
                  <c:v>D-13</c:v>
                </c:pt>
                <c:pt idx="3">
                  <c:v>J-14</c:v>
                </c:pt>
                <c:pt idx="4">
                  <c:v>F-14</c:v>
                </c:pt>
                <c:pt idx="5">
                  <c:v>M-14</c:v>
                </c:pt>
                <c:pt idx="6">
                  <c:v>A-14</c:v>
                </c:pt>
                <c:pt idx="7">
                  <c:v>M-14</c:v>
                </c:pt>
                <c:pt idx="8">
                  <c:v>J-14</c:v>
                </c:pt>
                <c:pt idx="9">
                  <c:v>J-14</c:v>
                </c:pt>
                <c:pt idx="10">
                  <c:v>A-14</c:v>
                </c:pt>
                <c:pt idx="11">
                  <c:v>S-14</c:v>
                </c:pt>
                <c:pt idx="12">
                  <c:v>O-14</c:v>
                </c:pt>
              </c:strCache>
            </c:strRef>
          </c:cat>
          <c:val>
            <c:numRef>
              <c:f>'PGA Graphs 2013-14'!$B$11:$N$11</c:f>
              <c:numCache>
                <c:formatCode>"$"#,##0.00_);\("$"#,##0.00\)</c:formatCode>
                <c:ptCount val="13"/>
                <c:pt idx="0">
                  <c:v>0.86508677222961405</c:v>
                </c:pt>
                <c:pt idx="1">
                  <c:v>0.98017103319810395</c:v>
                </c:pt>
                <c:pt idx="2">
                  <c:v>0.99766447491792298</c:v>
                </c:pt>
                <c:pt idx="3">
                  <c:v>1.1155279218288066</c:v>
                </c:pt>
                <c:pt idx="4">
                  <c:v>1.099306696538465</c:v>
                </c:pt>
                <c:pt idx="5">
                  <c:v>1.0652826254433267</c:v>
                </c:pt>
              </c:numCache>
            </c:numRef>
          </c:val>
          <c:smooth val="0"/>
        </c:ser>
        <c:ser>
          <c:idx val="2"/>
          <c:order val="1"/>
          <c:tx>
            <c:strRef>
              <c:f>'PGA Graphs 2013-14'!$A$12</c:f>
              <c:strCache>
                <c:ptCount val="1"/>
                <c:pt idx="0">
                  <c:v>PGA Budget</c:v>
                </c:pt>
              </c:strCache>
            </c:strRef>
          </c:tx>
          <c:marker>
            <c:symbol val="none"/>
          </c:marker>
          <c:val>
            <c:numRef>
              <c:f>'PGA Graphs 2013-14'!$B$12:$N$12</c:f>
              <c:numCache>
                <c:formatCode>"$"#,##0.00_);\("$"#,##0.00\)</c:formatCode>
                <c:ptCount val="13"/>
                <c:pt idx="0">
                  <c:v>1.4529330378220591</c:v>
                </c:pt>
                <c:pt idx="1">
                  <c:v>0.79431349782690841</c:v>
                </c:pt>
                <c:pt idx="2">
                  <c:v>0.60296290558547094</c:v>
                </c:pt>
                <c:pt idx="3">
                  <c:v>0.60895264158951812</c:v>
                </c:pt>
                <c:pt idx="4">
                  <c:v>0.60656225946654285</c:v>
                </c:pt>
                <c:pt idx="5">
                  <c:v>0.87532504655494603</c:v>
                </c:pt>
                <c:pt idx="6">
                  <c:v>1.1232232940560019</c:v>
                </c:pt>
                <c:pt idx="7">
                  <c:v>2.0020366178222502</c:v>
                </c:pt>
                <c:pt idx="8">
                  <c:v>2.9050208439006555</c:v>
                </c:pt>
                <c:pt idx="9">
                  <c:v>3.9176133126746118</c:v>
                </c:pt>
                <c:pt idx="10">
                  <c:v>3.8752231593583324</c:v>
                </c:pt>
                <c:pt idx="11">
                  <c:v>3.4387986026867114</c:v>
                </c:pt>
                <c:pt idx="12">
                  <c:v>1.4529330378220591</c:v>
                </c:pt>
              </c:numCache>
            </c:numRef>
          </c:val>
          <c:smooth val="0"/>
        </c:ser>
        <c:ser>
          <c:idx val="1"/>
          <c:order val="2"/>
          <c:tx>
            <c:strRef>
              <c:f>'PGA Graphs 2013-14'!$A$13</c:f>
              <c:strCache>
                <c:ptCount val="1"/>
                <c:pt idx="0">
                  <c:v>Actual</c:v>
                </c:pt>
              </c:strCache>
            </c:strRef>
          </c:tx>
          <c:marker>
            <c:symbol val="none"/>
          </c:marker>
          <c:cat>
            <c:strRef>
              <c:f>'PGA Graphs 2013-14'!$B$7:$N$7</c:f>
              <c:strCache>
                <c:ptCount val="13"/>
                <c:pt idx="0">
                  <c:v>O-13</c:v>
                </c:pt>
                <c:pt idx="1">
                  <c:v>N-13</c:v>
                </c:pt>
                <c:pt idx="2">
                  <c:v>D-13</c:v>
                </c:pt>
                <c:pt idx="3">
                  <c:v>J-14</c:v>
                </c:pt>
                <c:pt idx="4">
                  <c:v>F-14</c:v>
                </c:pt>
                <c:pt idx="5">
                  <c:v>M-14</c:v>
                </c:pt>
                <c:pt idx="6">
                  <c:v>A-14</c:v>
                </c:pt>
                <c:pt idx="7">
                  <c:v>M-14</c:v>
                </c:pt>
                <c:pt idx="8">
                  <c:v>J-14</c:v>
                </c:pt>
                <c:pt idx="9">
                  <c:v>J-14</c:v>
                </c:pt>
                <c:pt idx="10">
                  <c:v>A-14</c:v>
                </c:pt>
                <c:pt idx="11">
                  <c:v>S-14</c:v>
                </c:pt>
                <c:pt idx="12">
                  <c:v>O-14</c:v>
                </c:pt>
              </c:strCache>
            </c:strRef>
          </c:cat>
          <c:val>
            <c:numRef>
              <c:f>'PGA Graphs 2013-14'!$B$13:$N$13</c:f>
              <c:numCache>
                <c:formatCode>"$"#,##0.00_);\("$"#,##0.00\)</c:formatCode>
                <c:ptCount val="13"/>
                <c:pt idx="0">
                  <c:v>1.02504522593617</c:v>
                </c:pt>
                <c:pt idx="1">
                  <c:v>0.65827334268652904</c:v>
                </c:pt>
                <c:pt idx="2">
                  <c:v>0.51365176254981604</c:v>
                </c:pt>
                <c:pt idx="3">
                  <c:v>0.40159287715394509</c:v>
                </c:pt>
                <c:pt idx="4">
                  <c:v>0.49156070472770064</c:v>
                </c:pt>
                <c:pt idx="5">
                  <c:v>0.68040260585030921</c:v>
                </c:pt>
              </c:numCache>
            </c:numRef>
          </c:val>
          <c:smooth val="0"/>
        </c:ser>
        <c:dLbls>
          <c:showLegendKey val="0"/>
          <c:showVal val="0"/>
          <c:showCatName val="0"/>
          <c:showSerName val="0"/>
          <c:showPercent val="0"/>
          <c:showBubbleSize val="0"/>
        </c:dLbls>
        <c:smooth val="0"/>
        <c:axId val="436887880"/>
        <c:axId val="436891016"/>
      </c:lineChart>
      <c:catAx>
        <c:axId val="436887880"/>
        <c:scaling>
          <c:orientation val="minMax"/>
        </c:scaling>
        <c:delete val="0"/>
        <c:axPos val="b"/>
        <c:numFmt formatCode="General" sourceLinked="0"/>
        <c:majorTickMark val="out"/>
        <c:minorTickMark val="none"/>
        <c:tickLblPos val="nextTo"/>
        <c:txPr>
          <a:bodyPr rot="5400000" vert="horz"/>
          <a:lstStyle/>
          <a:p>
            <a:pPr>
              <a:defRPr/>
            </a:pPr>
            <a:endParaRPr lang="en-US"/>
          </a:p>
        </c:txPr>
        <c:crossAx val="436891016"/>
        <c:crosses val="autoZero"/>
        <c:auto val="1"/>
        <c:lblAlgn val="ctr"/>
        <c:lblOffset val="100"/>
        <c:noMultiLvlLbl val="0"/>
      </c:catAx>
      <c:valAx>
        <c:axId val="436891016"/>
        <c:scaling>
          <c:orientation val="minMax"/>
        </c:scaling>
        <c:delete val="0"/>
        <c:axPos val="l"/>
        <c:majorGridlines/>
        <c:numFmt formatCode="&quot;$&quot;#,##0.00_);\(&quot;$&quot;#,##0.00\)" sourceLinked="1"/>
        <c:majorTickMark val="out"/>
        <c:minorTickMark val="none"/>
        <c:tickLblPos val="nextTo"/>
        <c:crossAx val="436887880"/>
        <c:crosses val="autoZero"/>
        <c:crossBetween val="between"/>
      </c:valAx>
    </c:plotArea>
    <c:legend>
      <c:legendPos val="r"/>
      <c:overlay val="0"/>
    </c:legend>
    <c:plotVisOnly val="1"/>
    <c:dispBlanksAs val="gap"/>
    <c:showDLblsOverMax val="0"/>
  </c:chart>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ID PGA Demand</a:t>
            </a:r>
          </a:p>
        </c:rich>
      </c:tx>
      <c:overlay val="0"/>
    </c:title>
    <c:autoTitleDeleted val="0"/>
    <c:plotArea>
      <c:layout/>
      <c:lineChart>
        <c:grouping val="standard"/>
        <c:varyColors val="0"/>
        <c:ser>
          <c:idx val="0"/>
          <c:order val="0"/>
          <c:tx>
            <c:strRef>
              <c:f>'PGA Graphs 2013-14'!$A$20</c:f>
              <c:strCache>
                <c:ptCount val="1"/>
                <c:pt idx="0">
                  <c:v>PGA Rate</c:v>
                </c:pt>
              </c:strCache>
            </c:strRef>
          </c:tx>
          <c:marker>
            <c:symbol val="none"/>
          </c:marker>
          <c:cat>
            <c:strRef>
              <c:f>'PGA Graphs 2013-14'!$B$7:$N$7</c:f>
              <c:strCache>
                <c:ptCount val="13"/>
                <c:pt idx="0">
                  <c:v>O-13</c:v>
                </c:pt>
                <c:pt idx="1">
                  <c:v>N-13</c:v>
                </c:pt>
                <c:pt idx="2">
                  <c:v>D-13</c:v>
                </c:pt>
                <c:pt idx="3">
                  <c:v>J-14</c:v>
                </c:pt>
                <c:pt idx="4">
                  <c:v>F-14</c:v>
                </c:pt>
                <c:pt idx="5">
                  <c:v>M-14</c:v>
                </c:pt>
                <c:pt idx="6">
                  <c:v>A-14</c:v>
                </c:pt>
                <c:pt idx="7">
                  <c:v>M-14</c:v>
                </c:pt>
                <c:pt idx="8">
                  <c:v>J-14</c:v>
                </c:pt>
                <c:pt idx="9">
                  <c:v>J-14</c:v>
                </c:pt>
                <c:pt idx="10">
                  <c:v>A-14</c:v>
                </c:pt>
                <c:pt idx="11">
                  <c:v>S-14</c:v>
                </c:pt>
                <c:pt idx="12">
                  <c:v>O-14</c:v>
                </c:pt>
              </c:strCache>
            </c:strRef>
          </c:cat>
          <c:val>
            <c:numRef>
              <c:f>'PGA Graphs 2013-14'!$B$20:$N$20</c:f>
              <c:numCache>
                <c:formatCode>"$"#,##0.00_);\("$"#,##0.00\)</c:formatCode>
                <c:ptCount val="13"/>
                <c:pt idx="0">
                  <c:v>1.0742522128918399</c:v>
                </c:pt>
                <c:pt idx="1">
                  <c:v>1.0741263842636799</c:v>
                </c:pt>
                <c:pt idx="2">
                  <c:v>1.0744</c:v>
                </c:pt>
                <c:pt idx="3">
                  <c:v>1.1331</c:v>
                </c:pt>
                <c:pt idx="4">
                  <c:v>1.1330999999999998</c:v>
                </c:pt>
                <c:pt idx="5">
                  <c:v>1.1331</c:v>
                </c:pt>
                <c:pt idx="6">
                  <c:v>1.1331</c:v>
                </c:pt>
                <c:pt idx="7">
                  <c:v>1.1331</c:v>
                </c:pt>
                <c:pt idx="8">
                  <c:v>1.1331</c:v>
                </c:pt>
                <c:pt idx="9">
                  <c:v>1.1330999999999998</c:v>
                </c:pt>
                <c:pt idx="10">
                  <c:v>1.1330999999999998</c:v>
                </c:pt>
                <c:pt idx="11">
                  <c:v>1.1331</c:v>
                </c:pt>
                <c:pt idx="12">
                  <c:v>1.1330999999999998</c:v>
                </c:pt>
              </c:numCache>
            </c:numRef>
          </c:val>
          <c:smooth val="0"/>
        </c:ser>
        <c:ser>
          <c:idx val="2"/>
          <c:order val="1"/>
          <c:tx>
            <c:strRef>
              <c:f>'PGA Graphs 2013-14'!$A$21</c:f>
              <c:strCache>
                <c:ptCount val="1"/>
                <c:pt idx="0">
                  <c:v>PGA Budget</c:v>
                </c:pt>
              </c:strCache>
            </c:strRef>
          </c:tx>
          <c:marker>
            <c:symbol val="none"/>
          </c:marker>
          <c:val>
            <c:numRef>
              <c:f>'PGA Graphs 2013-14'!$B$21:$N$21</c:f>
              <c:numCache>
                <c:formatCode>"$"#,##0.00_);\("$"#,##0.00\)</c:formatCode>
                <c:ptCount val="13"/>
                <c:pt idx="0">
                  <c:v>1.2942886206113142</c:v>
                </c:pt>
                <c:pt idx="1">
                  <c:v>0.74518730633512642</c:v>
                </c:pt>
                <c:pt idx="2">
                  <c:v>0.58083452630008092</c:v>
                </c:pt>
                <c:pt idx="3">
                  <c:v>0.60843027300764696</c:v>
                </c:pt>
                <c:pt idx="4">
                  <c:v>0.68505702536755764</c:v>
                </c:pt>
                <c:pt idx="5">
                  <c:v>0.81792088296424315</c:v>
                </c:pt>
                <c:pt idx="6">
                  <c:v>1.0438035301560928</c:v>
                </c:pt>
                <c:pt idx="7">
                  <c:v>1.8765356717896455</c:v>
                </c:pt>
                <c:pt idx="8">
                  <c:v>2.5204558648798452</c:v>
                </c:pt>
                <c:pt idx="9">
                  <c:v>3.0722913458699082</c:v>
                </c:pt>
                <c:pt idx="10">
                  <c:v>3.0936566161461703</c:v>
                </c:pt>
                <c:pt idx="11">
                  <c:v>2.484887676291045</c:v>
                </c:pt>
                <c:pt idx="12">
                  <c:v>1.1747692347018237</c:v>
                </c:pt>
              </c:numCache>
            </c:numRef>
          </c:val>
          <c:smooth val="0"/>
        </c:ser>
        <c:ser>
          <c:idx val="1"/>
          <c:order val="2"/>
          <c:tx>
            <c:strRef>
              <c:f>'PGA Graphs 2013-14'!$A$22</c:f>
              <c:strCache>
                <c:ptCount val="1"/>
                <c:pt idx="0">
                  <c:v>Actual</c:v>
                </c:pt>
              </c:strCache>
            </c:strRef>
          </c:tx>
          <c:marker>
            <c:symbol val="none"/>
          </c:marker>
          <c:cat>
            <c:numRef>
              <c:f>'PGA Graphs 2013-14'!$B$15:$N$15</c:f>
              <c:numCache>
                <c:formatCode>#,##0.00_);\(#,##0.00\)</c:formatCode>
                <c:ptCount val="13"/>
              </c:numCache>
            </c:numRef>
          </c:cat>
          <c:val>
            <c:numRef>
              <c:f>'PGA Graphs 2013-14'!$B$22:$N$22</c:f>
              <c:numCache>
                <c:formatCode>"$"#,##0.00_);\("$"#,##0.00\)</c:formatCode>
                <c:ptCount val="13"/>
                <c:pt idx="0">
                  <c:v>1.2115295970631399</c:v>
                </c:pt>
                <c:pt idx="1">
                  <c:v>0.708429666562987</c:v>
                </c:pt>
                <c:pt idx="2">
                  <c:v>0.54697005486642902</c:v>
                </c:pt>
                <c:pt idx="3">
                  <c:v>0.4289025834277691</c:v>
                </c:pt>
                <c:pt idx="4">
                  <c:v>0.56073878354375173</c:v>
                </c:pt>
                <c:pt idx="5">
                  <c:v>0.70672190201602447</c:v>
                </c:pt>
                <c:pt idx="6">
                  <c:v>0.94543211512380787</c:v>
                </c:pt>
                <c:pt idx="7">
                  <c:v>1.6512951599992522</c:v>
                </c:pt>
                <c:pt idx="8">
                  <c:v>2.4665077540659297</c:v>
                </c:pt>
                <c:pt idx="9">
                  <c:v>3.2134641912453965</c:v>
                </c:pt>
                <c:pt idx="10">
                  <c:v>2.6987053733376323</c:v>
                </c:pt>
                <c:pt idx="11">
                  <c:v>2.5919797704657084</c:v>
                </c:pt>
                <c:pt idx="12">
                  <c:v>0.98481662794712244</c:v>
                </c:pt>
              </c:numCache>
            </c:numRef>
          </c:val>
          <c:smooth val="0"/>
        </c:ser>
        <c:dLbls>
          <c:showLegendKey val="0"/>
          <c:showVal val="0"/>
          <c:showCatName val="0"/>
          <c:showSerName val="0"/>
          <c:showPercent val="0"/>
          <c:showBubbleSize val="0"/>
        </c:dLbls>
        <c:smooth val="0"/>
        <c:axId val="436890232"/>
        <c:axId val="436890624"/>
      </c:lineChart>
      <c:catAx>
        <c:axId val="436890232"/>
        <c:scaling>
          <c:orientation val="minMax"/>
        </c:scaling>
        <c:delete val="0"/>
        <c:axPos val="b"/>
        <c:numFmt formatCode="General" sourceLinked="0"/>
        <c:majorTickMark val="out"/>
        <c:minorTickMark val="none"/>
        <c:tickLblPos val="nextTo"/>
        <c:txPr>
          <a:bodyPr rot="5400000" vert="horz"/>
          <a:lstStyle/>
          <a:p>
            <a:pPr>
              <a:defRPr/>
            </a:pPr>
            <a:endParaRPr lang="en-US"/>
          </a:p>
        </c:txPr>
        <c:crossAx val="436890624"/>
        <c:crosses val="autoZero"/>
        <c:auto val="1"/>
        <c:lblAlgn val="ctr"/>
        <c:lblOffset val="100"/>
        <c:noMultiLvlLbl val="0"/>
      </c:catAx>
      <c:valAx>
        <c:axId val="436890624"/>
        <c:scaling>
          <c:orientation val="minMax"/>
        </c:scaling>
        <c:delete val="0"/>
        <c:axPos val="l"/>
        <c:majorGridlines/>
        <c:numFmt formatCode="&quot;$&quot;#,##0.00_);\(&quot;$&quot;#,##0.00\)" sourceLinked="1"/>
        <c:majorTickMark val="out"/>
        <c:minorTickMark val="none"/>
        <c:tickLblPos val="nextTo"/>
        <c:crossAx val="436890232"/>
        <c:crosses val="autoZero"/>
        <c:crossBetween val="between"/>
      </c:valAx>
    </c:plotArea>
    <c:legend>
      <c:legendPos val="r"/>
      <c:overlay val="0"/>
    </c:legend>
    <c:plotVisOnly val="1"/>
    <c:dispBlanksAs val="gap"/>
    <c:showDLblsOverMax val="0"/>
  </c:chart>
  <c:printSettings>
    <c:headerFooter/>
    <c:pageMargins b="0.75000000000001266" l="0.70000000000000062" r="0.70000000000000062" t="0.750000000000012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ID</a:t>
            </a:r>
            <a:r>
              <a:rPr lang="en-US" baseline="0"/>
              <a:t> PGA Commodity</a:t>
            </a:r>
            <a:endParaRPr lang="en-US"/>
          </a:p>
        </c:rich>
      </c:tx>
      <c:overlay val="0"/>
    </c:title>
    <c:autoTitleDeleted val="0"/>
    <c:plotArea>
      <c:layout/>
      <c:lineChart>
        <c:grouping val="standard"/>
        <c:varyColors val="0"/>
        <c:ser>
          <c:idx val="0"/>
          <c:order val="0"/>
          <c:tx>
            <c:strRef>
              <c:f>'PGA Graphs 2013-14'!$A$17</c:f>
              <c:strCache>
                <c:ptCount val="1"/>
                <c:pt idx="0">
                  <c:v>PGA Rate</c:v>
                </c:pt>
              </c:strCache>
            </c:strRef>
          </c:tx>
          <c:marker>
            <c:symbol val="none"/>
          </c:marker>
          <c:cat>
            <c:strRef>
              <c:f>'PGA Graphs 2013-14'!$B$7:$N$7</c:f>
              <c:strCache>
                <c:ptCount val="13"/>
                <c:pt idx="0">
                  <c:v>O-13</c:v>
                </c:pt>
                <c:pt idx="1">
                  <c:v>N-13</c:v>
                </c:pt>
                <c:pt idx="2">
                  <c:v>D-13</c:v>
                </c:pt>
                <c:pt idx="3">
                  <c:v>J-14</c:v>
                </c:pt>
                <c:pt idx="4">
                  <c:v>F-14</c:v>
                </c:pt>
                <c:pt idx="5">
                  <c:v>M-14</c:v>
                </c:pt>
                <c:pt idx="6">
                  <c:v>A-14</c:v>
                </c:pt>
                <c:pt idx="7">
                  <c:v>M-14</c:v>
                </c:pt>
                <c:pt idx="8">
                  <c:v>J-14</c:v>
                </c:pt>
                <c:pt idx="9">
                  <c:v>J-14</c:v>
                </c:pt>
                <c:pt idx="10">
                  <c:v>A-14</c:v>
                </c:pt>
                <c:pt idx="11">
                  <c:v>S-14</c:v>
                </c:pt>
                <c:pt idx="12">
                  <c:v>O-14</c:v>
                </c:pt>
              </c:strCache>
            </c:strRef>
          </c:cat>
          <c:val>
            <c:numRef>
              <c:f>'PGA Graphs 2013-14'!$B$17:$N$17</c:f>
              <c:numCache>
                <c:formatCode>"$"#,##0.00_);\("$"#,##0.00\)</c:formatCode>
                <c:ptCount val="13"/>
                <c:pt idx="0">
                  <c:v>3.7138086914005299</c:v>
                </c:pt>
                <c:pt idx="1">
                  <c:v>3.71000032320786</c:v>
                </c:pt>
                <c:pt idx="2">
                  <c:v>3.7124000000000001</c:v>
                </c:pt>
                <c:pt idx="3">
                  <c:v>2.3894999999999995</c:v>
                </c:pt>
                <c:pt idx="4">
                  <c:v>2.3895</c:v>
                </c:pt>
                <c:pt idx="5">
                  <c:v>2.3894999999999995</c:v>
                </c:pt>
                <c:pt idx="6">
                  <c:v>2.3894999999999995</c:v>
                </c:pt>
                <c:pt idx="7">
                  <c:v>2.3895</c:v>
                </c:pt>
                <c:pt idx="8">
                  <c:v>2.3895</c:v>
                </c:pt>
                <c:pt idx="9">
                  <c:v>2.3895</c:v>
                </c:pt>
                <c:pt idx="10">
                  <c:v>2.3895000000000004</c:v>
                </c:pt>
                <c:pt idx="11">
                  <c:v>2.3894999999999995</c:v>
                </c:pt>
                <c:pt idx="12">
                  <c:v>2.3895</c:v>
                </c:pt>
              </c:numCache>
            </c:numRef>
          </c:val>
          <c:smooth val="0"/>
        </c:ser>
        <c:ser>
          <c:idx val="2"/>
          <c:order val="1"/>
          <c:tx>
            <c:strRef>
              <c:f>'PGA Graphs 2013-14'!$A$18</c:f>
              <c:strCache>
                <c:ptCount val="1"/>
                <c:pt idx="0">
                  <c:v>PGA Budget</c:v>
                </c:pt>
              </c:strCache>
            </c:strRef>
          </c:tx>
          <c:marker>
            <c:symbol val="none"/>
          </c:marker>
          <c:val>
            <c:numRef>
              <c:f>'PGA Graphs 2013-14'!$B$18:$N$18</c:f>
              <c:numCache>
                <c:formatCode>"$"#,##0.00_);\("$"#,##0.00\)</c:formatCode>
                <c:ptCount val="13"/>
                <c:pt idx="0">
                  <c:v>2.9957000000000003</c:v>
                </c:pt>
                <c:pt idx="1">
                  <c:v>3.9822000000000002</c:v>
                </c:pt>
                <c:pt idx="2">
                  <c:v>3.8203999999999998</c:v>
                </c:pt>
                <c:pt idx="3">
                  <c:v>3.7982</c:v>
                </c:pt>
                <c:pt idx="4">
                  <c:v>3.8423000000000003</c:v>
                </c:pt>
                <c:pt idx="5">
                  <c:v>4.0292000000000003</c:v>
                </c:pt>
                <c:pt idx="6">
                  <c:v>3.4569000000000001</c:v>
                </c:pt>
                <c:pt idx="7">
                  <c:v>3.5224000000000002</c:v>
                </c:pt>
                <c:pt idx="8">
                  <c:v>3.4592000000000001</c:v>
                </c:pt>
                <c:pt idx="9">
                  <c:v>3.4888000000000003</c:v>
                </c:pt>
                <c:pt idx="10">
                  <c:v>3.4600999999999997</c:v>
                </c:pt>
                <c:pt idx="11">
                  <c:v>3.4959000000000002</c:v>
                </c:pt>
                <c:pt idx="12">
                  <c:v>3.6281000000000003</c:v>
                </c:pt>
              </c:numCache>
            </c:numRef>
          </c:val>
          <c:smooth val="0"/>
        </c:ser>
        <c:ser>
          <c:idx val="1"/>
          <c:order val="2"/>
          <c:tx>
            <c:strRef>
              <c:f>'PGA Graphs 2013-14'!$A$19</c:f>
              <c:strCache>
                <c:ptCount val="1"/>
                <c:pt idx="0">
                  <c:v>Actual</c:v>
                </c:pt>
              </c:strCache>
            </c:strRef>
          </c:tx>
          <c:marker>
            <c:symbol val="none"/>
          </c:marker>
          <c:cat>
            <c:strRef>
              <c:f>'PGA Graphs 2013-14'!$B$7:$N$7</c:f>
              <c:strCache>
                <c:ptCount val="13"/>
                <c:pt idx="0">
                  <c:v>O-13</c:v>
                </c:pt>
                <c:pt idx="1">
                  <c:v>N-13</c:v>
                </c:pt>
                <c:pt idx="2">
                  <c:v>D-13</c:v>
                </c:pt>
                <c:pt idx="3">
                  <c:v>J-14</c:v>
                </c:pt>
                <c:pt idx="4">
                  <c:v>F-14</c:v>
                </c:pt>
                <c:pt idx="5">
                  <c:v>M-14</c:v>
                </c:pt>
                <c:pt idx="6">
                  <c:v>A-14</c:v>
                </c:pt>
                <c:pt idx="7">
                  <c:v>M-14</c:v>
                </c:pt>
                <c:pt idx="8">
                  <c:v>J-14</c:v>
                </c:pt>
                <c:pt idx="9">
                  <c:v>J-14</c:v>
                </c:pt>
                <c:pt idx="10">
                  <c:v>A-14</c:v>
                </c:pt>
                <c:pt idx="11">
                  <c:v>S-14</c:v>
                </c:pt>
                <c:pt idx="12">
                  <c:v>O-14</c:v>
                </c:pt>
              </c:strCache>
            </c:strRef>
          </c:cat>
          <c:val>
            <c:numRef>
              <c:f>'PGA Graphs 2013-14'!$B$19:$N$19</c:f>
              <c:numCache>
                <c:formatCode>"$"#,##0.00_);\("$"#,##0.00\)</c:formatCode>
                <c:ptCount val="13"/>
                <c:pt idx="0">
                  <c:v>2.76346512007138</c:v>
                </c:pt>
                <c:pt idx="1">
                  <c:v>3.4542924833702302</c:v>
                </c:pt>
                <c:pt idx="2">
                  <c:v>3.1868860970503601</c:v>
                </c:pt>
                <c:pt idx="3">
                  <c:v>2.253129517207229</c:v>
                </c:pt>
                <c:pt idx="4">
                  <c:v>2.3140732827809436</c:v>
                </c:pt>
                <c:pt idx="5">
                  <c:v>2.0458022474092501</c:v>
                </c:pt>
                <c:pt idx="6">
                  <c:v>1.735039179986686</c:v>
                </c:pt>
                <c:pt idx="7">
                  <c:v>1.7712163855477994</c:v>
                </c:pt>
                <c:pt idx="8">
                  <c:v>1.1465765309900064</c:v>
                </c:pt>
                <c:pt idx="9">
                  <c:v>-3.2934037840054495</c:v>
                </c:pt>
                <c:pt idx="10">
                  <c:v>-3.0441734094790673</c:v>
                </c:pt>
                <c:pt idx="11">
                  <c:v>-2.4130847903889947</c:v>
                </c:pt>
                <c:pt idx="12">
                  <c:v>8.7637639244904142E-2</c:v>
                </c:pt>
              </c:numCache>
            </c:numRef>
          </c:val>
          <c:smooth val="0"/>
        </c:ser>
        <c:dLbls>
          <c:showLegendKey val="0"/>
          <c:showVal val="0"/>
          <c:showCatName val="0"/>
          <c:showSerName val="0"/>
          <c:showPercent val="0"/>
          <c:showBubbleSize val="0"/>
        </c:dLbls>
        <c:smooth val="0"/>
        <c:axId val="436891800"/>
        <c:axId val="436892976"/>
      </c:lineChart>
      <c:catAx>
        <c:axId val="436891800"/>
        <c:scaling>
          <c:orientation val="minMax"/>
        </c:scaling>
        <c:delete val="0"/>
        <c:axPos val="b"/>
        <c:numFmt formatCode="General" sourceLinked="0"/>
        <c:majorTickMark val="out"/>
        <c:minorTickMark val="none"/>
        <c:tickLblPos val="nextTo"/>
        <c:txPr>
          <a:bodyPr rot="5400000" vert="horz"/>
          <a:lstStyle/>
          <a:p>
            <a:pPr>
              <a:defRPr/>
            </a:pPr>
            <a:endParaRPr lang="en-US"/>
          </a:p>
        </c:txPr>
        <c:crossAx val="436892976"/>
        <c:crosses val="autoZero"/>
        <c:auto val="1"/>
        <c:lblAlgn val="ctr"/>
        <c:lblOffset val="100"/>
        <c:noMultiLvlLbl val="0"/>
      </c:catAx>
      <c:valAx>
        <c:axId val="436892976"/>
        <c:scaling>
          <c:orientation val="minMax"/>
        </c:scaling>
        <c:delete val="0"/>
        <c:axPos val="l"/>
        <c:majorGridlines/>
        <c:numFmt formatCode="&quot;$&quot;#,##0.00_);\(&quot;$&quot;#,##0.00\)" sourceLinked="1"/>
        <c:majorTickMark val="out"/>
        <c:minorTickMark val="none"/>
        <c:tickLblPos val="nextTo"/>
        <c:crossAx val="436891800"/>
        <c:crosses val="autoZero"/>
        <c:crossBetween val="between"/>
      </c:valAx>
    </c:plotArea>
    <c:legend>
      <c:legendPos val="r"/>
      <c:overlay val="0"/>
    </c:legend>
    <c:plotVisOnly val="1"/>
    <c:dispBlanksAs val="gap"/>
    <c:showDLblsOverMax val="0"/>
  </c:chart>
  <c:printSettings>
    <c:headerFooter/>
    <c:pageMargins b="0.75000000000001266" l="0.70000000000000062" r="0.70000000000000062" t="0.75000000000001266"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542924</xdr:colOff>
      <xdr:row>16</xdr:row>
      <xdr:rowOff>104774</xdr:rowOff>
    </xdr:from>
    <xdr:to>
      <xdr:col>10</xdr:col>
      <xdr:colOff>514349</xdr:colOff>
      <xdr:row>63</xdr:row>
      <xdr:rowOff>85724</xdr:rowOff>
    </xdr:to>
    <xdr:sp macro="" textlink="">
      <xdr:nvSpPr>
        <xdr:cNvPr id="2" name="Rounded Rectangle 1"/>
        <xdr:cNvSpPr/>
      </xdr:nvSpPr>
      <xdr:spPr bwMode="auto">
        <a:xfrm>
          <a:off x="1790699" y="2962274"/>
          <a:ext cx="5543550" cy="7553325"/>
        </a:xfrm>
        <a:prstGeom prst="roundRect">
          <a:avLst>
            <a:gd name="adj" fmla="val 4192"/>
          </a:avLst>
        </a:prstGeom>
        <a:solidFill>
          <a:schemeClr val="bg1">
            <a:lumMod val="75000"/>
          </a:schemeClr>
        </a:solidFill>
        <a:ln w="444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n-US" sz="1100"/>
        </a:p>
      </xdr:txBody>
    </xdr:sp>
    <xdr:clientData/>
  </xdr:twoCellAnchor>
  <xdr:twoCellAnchor>
    <xdr:from>
      <xdr:col>2</xdr:col>
      <xdr:colOff>47625</xdr:colOff>
      <xdr:row>17</xdr:row>
      <xdr:rowOff>76200</xdr:rowOff>
    </xdr:from>
    <xdr:to>
      <xdr:col>10</xdr:col>
      <xdr:colOff>347943</xdr:colOff>
      <xdr:row>39</xdr:row>
      <xdr:rowOff>45384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76200</xdr:colOff>
      <xdr:row>40</xdr:row>
      <xdr:rowOff>47625</xdr:rowOff>
    </xdr:from>
    <xdr:to>
      <xdr:col>10</xdr:col>
      <xdr:colOff>376518</xdr:colOff>
      <xdr:row>62</xdr:row>
      <xdr:rowOff>54909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0.92496</cdr:x>
      <cdr:y>0.09979</cdr:y>
    </cdr:from>
    <cdr:to>
      <cdr:x>0.99637</cdr:x>
      <cdr:y>0.94992</cdr:y>
    </cdr:to>
    <cdr:grpSp>
      <cdr:nvGrpSpPr>
        <cdr:cNvPr id="2" name="Group 1"/>
        <cdr:cNvGrpSpPr/>
      </cdr:nvGrpSpPr>
      <cdr:grpSpPr>
        <a:xfrm xmlns:a="http://schemas.openxmlformats.org/drawingml/2006/main">
          <a:off x="5102495" y="340085"/>
          <a:ext cx="393929" cy="2897250"/>
          <a:chOff x="0" y="-22224"/>
          <a:chExt cx="216754" cy="1954945"/>
        </a:xfrm>
        <a:solidFill xmlns:a="http://schemas.openxmlformats.org/drawingml/2006/main">
          <a:sysClr val="window" lastClr="FFFFFF">
            <a:lumMod val="85000"/>
          </a:sysClr>
        </a:solidFill>
      </cdr:grpSpPr>
      <cdr:sp macro="" textlink="">
        <cdr:nvSpPr>
          <cdr:cNvPr id="3" name="Down Arrow 2"/>
          <cdr:cNvSpPr/>
        </cdr:nvSpPr>
        <cdr:spPr>
          <a:xfrm xmlns:a="http://schemas.openxmlformats.org/drawingml/2006/main" flipV="1">
            <a:off x="0" y="-22224"/>
            <a:ext cx="216754" cy="1123941"/>
          </a:xfrm>
          <a:prstGeom xmlns:a="http://schemas.openxmlformats.org/drawingml/2006/main" prst="downArrow">
            <a:avLst/>
          </a:prstGeom>
          <a:grpFill xmlns:a="http://schemas.openxmlformats.org/drawingml/2006/main"/>
          <a:ln xmlns:a="http://schemas.openxmlformats.org/drawingml/2006/main" w="25400" cap="flat" cmpd="sng" algn="ctr">
            <a:solidFill>
              <a:sysClr val="windowText" lastClr="00000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vert" wrap="square" rtlCol="0" anchor="ctr"/>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pPr algn="ctr"/>
            <a:r>
              <a:rPr lang="en-US" sz="1000" b="1">
                <a:solidFill>
                  <a:sysClr val="windowText" lastClr="000000"/>
                </a:solidFill>
              </a:rPr>
              <a:t>Rebate</a:t>
            </a:r>
          </a:p>
        </cdr:txBody>
      </cdr:sp>
      <cdr:sp macro="" textlink="">
        <cdr:nvSpPr>
          <cdr:cNvPr id="4" name="Down Arrow 3"/>
          <cdr:cNvSpPr/>
        </cdr:nvSpPr>
        <cdr:spPr>
          <a:xfrm xmlns:a="http://schemas.openxmlformats.org/drawingml/2006/main">
            <a:off x="0" y="1099132"/>
            <a:ext cx="216754" cy="833589"/>
          </a:xfrm>
          <a:prstGeom xmlns:a="http://schemas.openxmlformats.org/drawingml/2006/main" prst="downArrow">
            <a:avLst/>
          </a:prstGeom>
          <a:grpFill xmlns:a="http://schemas.openxmlformats.org/drawingml/2006/main"/>
          <a:ln xmlns:a="http://schemas.openxmlformats.org/drawingml/2006/main" w="25400" cap="flat" cmpd="sng" algn="ctr">
            <a:solidFill>
              <a:sysClr val="windowText" lastClr="00000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vert270" wrap="square" rtlCol="0" anchor="ctr"/>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pPr algn="ctr"/>
            <a:r>
              <a:rPr lang="en-US" sz="1000" b="1">
                <a:solidFill>
                  <a:sysClr val="windowText" lastClr="000000"/>
                </a:solidFill>
              </a:rPr>
              <a:t>Surcharge</a:t>
            </a:r>
          </a:p>
        </cdr:txBody>
      </cdr:sp>
    </cdr:grpSp>
  </cdr:relSizeAnchor>
</c:userShapes>
</file>

<file path=xl/drawings/drawing3.xml><?xml version="1.0" encoding="utf-8"?>
<c:userShapes xmlns:c="http://schemas.openxmlformats.org/drawingml/2006/chart">
  <cdr:relSizeAnchor xmlns:cdr="http://schemas.openxmlformats.org/drawingml/2006/chartDrawing">
    <cdr:from>
      <cdr:x>0.92859</cdr:x>
      <cdr:y>0.35221</cdr:y>
    </cdr:from>
    <cdr:to>
      <cdr:x>1</cdr:x>
      <cdr:y>0.91755</cdr:y>
    </cdr:to>
    <cdr:grpSp>
      <cdr:nvGrpSpPr>
        <cdr:cNvPr id="2" name="Group 1"/>
        <cdr:cNvGrpSpPr/>
      </cdr:nvGrpSpPr>
      <cdr:grpSpPr>
        <a:xfrm xmlns:a="http://schemas.openxmlformats.org/drawingml/2006/main">
          <a:off x="5122519" y="1200307"/>
          <a:ext cx="393930" cy="1926640"/>
          <a:chOff x="0" y="-22224"/>
          <a:chExt cx="216754" cy="1979754"/>
        </a:xfrm>
        <a:solidFill xmlns:a="http://schemas.openxmlformats.org/drawingml/2006/main">
          <a:sysClr val="window" lastClr="FFFFFF">
            <a:lumMod val="85000"/>
          </a:sysClr>
        </a:solidFill>
      </cdr:grpSpPr>
      <cdr:sp macro="" textlink="">
        <cdr:nvSpPr>
          <cdr:cNvPr id="3" name="Down Arrow 2"/>
          <cdr:cNvSpPr/>
        </cdr:nvSpPr>
        <cdr:spPr>
          <a:xfrm xmlns:a="http://schemas.openxmlformats.org/drawingml/2006/main" flipV="1">
            <a:off x="0" y="-22224"/>
            <a:ext cx="216754" cy="1123941"/>
          </a:xfrm>
          <a:prstGeom xmlns:a="http://schemas.openxmlformats.org/drawingml/2006/main" prst="downArrow">
            <a:avLst/>
          </a:prstGeom>
          <a:grpFill xmlns:a="http://schemas.openxmlformats.org/drawingml/2006/main"/>
          <a:ln xmlns:a="http://schemas.openxmlformats.org/drawingml/2006/main" w="25400" cap="flat" cmpd="sng" algn="ctr">
            <a:solidFill>
              <a:sysClr val="windowText" lastClr="00000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vert" wrap="square" rtlCol="0" anchor="ctr"/>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pPr algn="ctr"/>
            <a:r>
              <a:rPr lang="en-US" sz="1000" b="1">
                <a:solidFill>
                  <a:sysClr val="windowText" lastClr="000000"/>
                </a:solidFill>
              </a:rPr>
              <a:t>Rebate</a:t>
            </a:r>
          </a:p>
        </cdr:txBody>
      </cdr:sp>
      <cdr:sp macro="" textlink="">
        <cdr:nvSpPr>
          <cdr:cNvPr id="4" name="Down Arrow 3"/>
          <cdr:cNvSpPr/>
        </cdr:nvSpPr>
        <cdr:spPr>
          <a:xfrm xmlns:a="http://schemas.openxmlformats.org/drawingml/2006/main">
            <a:off x="0" y="1123941"/>
            <a:ext cx="216754" cy="833589"/>
          </a:xfrm>
          <a:prstGeom xmlns:a="http://schemas.openxmlformats.org/drawingml/2006/main" prst="downArrow">
            <a:avLst/>
          </a:prstGeom>
          <a:grpFill xmlns:a="http://schemas.openxmlformats.org/drawingml/2006/main"/>
          <a:ln xmlns:a="http://schemas.openxmlformats.org/drawingml/2006/main" w="25400" cap="flat" cmpd="sng" algn="ctr">
            <a:solidFill>
              <a:sysClr val="windowText" lastClr="00000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vert270" wrap="square" rtlCol="0" anchor="ctr"/>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pPr algn="ctr"/>
            <a:r>
              <a:rPr lang="en-US" sz="1000" b="1">
                <a:solidFill>
                  <a:sysClr val="windowText" lastClr="000000"/>
                </a:solidFill>
              </a:rPr>
              <a:t>Surcharge</a:t>
            </a:r>
          </a:p>
        </cdr:txBody>
      </cdr:sp>
    </cdr:grpSp>
  </cdr:relSizeAnchor>
  <cdr:relSizeAnchor xmlns:cdr="http://schemas.openxmlformats.org/drawingml/2006/chartDrawing">
    <cdr:from>
      <cdr:x>0.92859</cdr:x>
      <cdr:y>0.35221</cdr:y>
    </cdr:from>
    <cdr:to>
      <cdr:x>1</cdr:x>
      <cdr:y>0.91755</cdr:y>
    </cdr:to>
    <cdr:grpSp>
      <cdr:nvGrpSpPr>
        <cdr:cNvPr id="5" name="Group 1"/>
        <cdr:cNvGrpSpPr/>
      </cdr:nvGrpSpPr>
      <cdr:grpSpPr>
        <a:xfrm xmlns:a="http://schemas.openxmlformats.org/drawingml/2006/main">
          <a:off x="5122519" y="1200307"/>
          <a:ext cx="393930" cy="1926640"/>
          <a:chOff x="0" y="-22224"/>
          <a:chExt cx="216754" cy="1979754"/>
        </a:xfrm>
        <a:solidFill xmlns:a="http://schemas.openxmlformats.org/drawingml/2006/main">
          <a:sysClr val="window" lastClr="FFFFFF">
            <a:lumMod val="85000"/>
          </a:sysClr>
        </a:solidFill>
      </cdr:grpSpPr>
      <cdr:sp macro="" textlink="">
        <cdr:nvSpPr>
          <cdr:cNvPr id="6" name="Down Arrow 2"/>
          <cdr:cNvSpPr/>
        </cdr:nvSpPr>
        <cdr:spPr>
          <a:xfrm xmlns:a="http://schemas.openxmlformats.org/drawingml/2006/main" flipV="1">
            <a:off x="0" y="-22224"/>
            <a:ext cx="216754" cy="1123941"/>
          </a:xfrm>
          <a:prstGeom xmlns:a="http://schemas.openxmlformats.org/drawingml/2006/main" prst="downArrow">
            <a:avLst/>
          </a:prstGeom>
          <a:grpFill xmlns:a="http://schemas.openxmlformats.org/drawingml/2006/main"/>
          <a:ln xmlns:a="http://schemas.openxmlformats.org/drawingml/2006/main" w="25400" cap="flat" cmpd="sng" algn="ctr">
            <a:solidFill>
              <a:sysClr val="windowText" lastClr="00000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vert" wrap="square" rtlCol="0" anchor="ctr"/>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pPr algn="ctr"/>
            <a:r>
              <a:rPr lang="en-US" sz="1000" b="1">
                <a:solidFill>
                  <a:sysClr val="windowText" lastClr="000000"/>
                </a:solidFill>
              </a:rPr>
              <a:t>Rebate</a:t>
            </a:r>
          </a:p>
        </cdr:txBody>
      </cdr:sp>
      <cdr:sp macro="" textlink="">
        <cdr:nvSpPr>
          <cdr:cNvPr id="7" name="Down Arrow 3"/>
          <cdr:cNvSpPr/>
        </cdr:nvSpPr>
        <cdr:spPr>
          <a:xfrm xmlns:a="http://schemas.openxmlformats.org/drawingml/2006/main">
            <a:off x="0" y="1123941"/>
            <a:ext cx="216754" cy="833589"/>
          </a:xfrm>
          <a:prstGeom xmlns:a="http://schemas.openxmlformats.org/drawingml/2006/main" prst="downArrow">
            <a:avLst/>
          </a:prstGeom>
          <a:grpFill xmlns:a="http://schemas.openxmlformats.org/drawingml/2006/main"/>
          <a:ln xmlns:a="http://schemas.openxmlformats.org/drawingml/2006/main" w="25400" cap="flat" cmpd="sng" algn="ctr">
            <a:solidFill>
              <a:sysClr val="windowText" lastClr="00000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vert270" wrap="square" rtlCol="0" anchor="ctr"/>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pPr algn="ctr"/>
            <a:r>
              <a:rPr lang="en-US" sz="1000" b="1">
                <a:solidFill>
                  <a:sysClr val="windowText" lastClr="000000"/>
                </a:solidFill>
              </a:rPr>
              <a:t>Surcharge</a:t>
            </a:r>
          </a:p>
        </cdr:txBody>
      </cdr:sp>
    </cdr:grpSp>
  </cdr:relSizeAnchor>
</c:userShapes>
</file>

<file path=xl/drawings/drawing4.xml><?xml version="1.0" encoding="utf-8"?>
<xdr:wsDr xmlns:xdr="http://schemas.openxmlformats.org/drawingml/2006/spreadsheetDrawing" xmlns:a="http://schemas.openxmlformats.org/drawingml/2006/main">
  <xdr:twoCellAnchor>
    <xdr:from>
      <xdr:col>0</xdr:col>
      <xdr:colOff>34697</xdr:colOff>
      <xdr:row>24</xdr:row>
      <xdr:rowOff>48745</xdr:rowOff>
    </xdr:from>
    <xdr:to>
      <xdr:col>14</xdr:col>
      <xdr:colOff>22412</xdr:colOff>
      <xdr:row>63</xdr:row>
      <xdr:rowOff>44825</xdr:rowOff>
    </xdr:to>
    <xdr:sp macro="" textlink="">
      <xdr:nvSpPr>
        <xdr:cNvPr id="2" name="Rounded Rectangle 1"/>
        <xdr:cNvSpPr/>
      </xdr:nvSpPr>
      <xdr:spPr bwMode="auto">
        <a:xfrm>
          <a:off x="34697" y="3455333"/>
          <a:ext cx="9243774" cy="6080874"/>
        </a:xfrm>
        <a:prstGeom prst="roundRect">
          <a:avLst>
            <a:gd name="adj" fmla="val 4192"/>
          </a:avLst>
        </a:prstGeom>
        <a:solidFill>
          <a:schemeClr val="bg1">
            <a:lumMod val="75000"/>
          </a:schemeClr>
        </a:solidFill>
        <a:ln w="444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n-US" sz="1100"/>
        </a:p>
      </xdr:txBody>
    </xdr:sp>
    <xdr:clientData/>
  </xdr:twoCellAnchor>
  <xdr:twoCellAnchor>
    <xdr:from>
      <xdr:col>0</xdr:col>
      <xdr:colOff>78439</xdr:colOff>
      <xdr:row>25</xdr:row>
      <xdr:rowOff>78441</xdr:rowOff>
    </xdr:from>
    <xdr:to>
      <xdr:col>6</xdr:col>
      <xdr:colOff>324968</xdr:colOff>
      <xdr:row>43</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67234</xdr:colOff>
      <xdr:row>43</xdr:row>
      <xdr:rowOff>156871</xdr:rowOff>
    </xdr:from>
    <xdr:to>
      <xdr:col>6</xdr:col>
      <xdr:colOff>313763</xdr:colOff>
      <xdr:row>61</xdr:row>
      <xdr:rowOff>112047</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358587</xdr:colOff>
      <xdr:row>43</xdr:row>
      <xdr:rowOff>156872</xdr:rowOff>
    </xdr:from>
    <xdr:to>
      <xdr:col>13</xdr:col>
      <xdr:colOff>616323</xdr:colOff>
      <xdr:row>61</xdr:row>
      <xdr:rowOff>112048</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369793</xdr:colOff>
      <xdr:row>25</xdr:row>
      <xdr:rowOff>78441</xdr:rowOff>
    </xdr:from>
    <xdr:to>
      <xdr:col>13</xdr:col>
      <xdr:colOff>627529</xdr:colOff>
      <xdr:row>43</xdr:row>
      <xdr:rowOff>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10.bin"/><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customProperty" Target="../customProperty11.bin"/><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customProperty" Target="../customProperty12.bin"/><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customProperty" Target="../customProperty13.bin"/><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customProperty" Target="../customProperty14.bin"/><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customProperty" Target="../customProperty15.bin"/><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customProperty" Target="../customProperty16.bin"/><Relationship Id="rId1" Type="http://schemas.openxmlformats.org/officeDocument/2006/relationships/printerSettings" Target="../printerSettings/printerSettings16.bin"/><Relationship Id="rId4" Type="http://schemas.openxmlformats.org/officeDocument/2006/relationships/comments" Target="../comments14.xm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19.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customProperty" Target="../customProperty22.bin"/><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customProperty" Target="../customProperty23.bin"/><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customProperty" Target="../customProperty24.bin"/><Relationship Id="rId1" Type="http://schemas.openxmlformats.org/officeDocument/2006/relationships/printerSettings" Target="../printerSettings/printerSettings24.bin"/><Relationship Id="rId4" Type="http://schemas.openxmlformats.org/officeDocument/2006/relationships/comments" Target="../comments1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5.bin"/><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6.bin"/><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7.bin"/><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8.bin"/><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H51"/>
  <sheetViews>
    <sheetView workbookViewId="0">
      <selection sqref="A1:N64"/>
    </sheetView>
  </sheetViews>
  <sheetFormatPr defaultRowHeight="12.75"/>
  <cols>
    <col min="1" max="1" width="18.7109375" bestFit="1" customWidth="1"/>
    <col min="2" max="14" width="9.28515625" customWidth="1"/>
    <col min="16" max="16" width="2.42578125" customWidth="1"/>
    <col min="17" max="23" width="10.7109375" customWidth="1"/>
    <col min="24" max="24" width="5.7109375" customWidth="1"/>
  </cols>
  <sheetData>
    <row r="1" spans="1:34">
      <c r="C1" s="633" t="s">
        <v>191</v>
      </c>
      <c r="D1" s="633"/>
      <c r="E1" s="633"/>
      <c r="F1" s="633"/>
      <c r="G1" s="633"/>
      <c r="H1" s="633"/>
      <c r="I1" s="633"/>
      <c r="J1" s="633"/>
      <c r="K1" s="633"/>
      <c r="P1" s="635"/>
      <c r="Q1" s="635"/>
      <c r="R1" s="635"/>
      <c r="S1" s="635"/>
      <c r="T1" s="635"/>
      <c r="U1" s="635"/>
      <c r="V1" s="635"/>
      <c r="W1" s="635"/>
      <c r="X1" s="635"/>
    </row>
    <row r="2" spans="1:34" ht="23.25">
      <c r="C2" s="634" t="s">
        <v>246</v>
      </c>
      <c r="D2" s="634"/>
      <c r="E2" s="634"/>
      <c r="F2" s="634"/>
      <c r="G2" s="634"/>
      <c r="H2" s="634"/>
      <c r="I2" s="634"/>
      <c r="J2" s="634"/>
      <c r="K2" s="634"/>
      <c r="P2" s="633"/>
      <c r="Q2" s="633"/>
      <c r="R2" s="633"/>
      <c r="S2" s="633"/>
      <c r="T2" s="633"/>
      <c r="U2" s="633"/>
      <c r="V2" s="633"/>
      <c r="W2" s="633"/>
      <c r="X2" s="633"/>
      <c r="Z2" s="633"/>
      <c r="AA2" s="633"/>
      <c r="AB2" s="633"/>
      <c r="AC2" s="633"/>
      <c r="AD2" s="633"/>
      <c r="AE2" s="633"/>
      <c r="AF2" s="633"/>
      <c r="AG2" s="633"/>
      <c r="AH2" s="633"/>
    </row>
    <row r="3" spans="1:34" ht="23.25">
      <c r="C3" s="633" t="s">
        <v>193</v>
      </c>
      <c r="D3" s="633"/>
      <c r="E3" s="633"/>
      <c r="F3" s="633"/>
      <c r="G3" s="633"/>
      <c r="H3" s="633"/>
      <c r="I3" s="633"/>
      <c r="J3" s="633"/>
      <c r="K3" s="633"/>
      <c r="P3" s="634"/>
      <c r="Q3" s="634"/>
      <c r="R3" s="634"/>
      <c r="S3" s="634"/>
      <c r="T3" s="634"/>
      <c r="U3" s="634"/>
      <c r="V3" s="634"/>
      <c r="W3" s="634"/>
      <c r="X3" s="634"/>
      <c r="Z3" s="636"/>
      <c r="AA3" s="636"/>
      <c r="AB3" s="636"/>
      <c r="AC3" s="636"/>
      <c r="AD3" s="636"/>
      <c r="AE3" s="636"/>
      <c r="AF3" s="636"/>
      <c r="AG3" s="636"/>
      <c r="AH3" s="636"/>
    </row>
    <row r="4" spans="1:34">
      <c r="A4" t="s">
        <v>192</v>
      </c>
      <c r="B4" s="266">
        <v>41183</v>
      </c>
      <c r="C4" s="266">
        <v>41214</v>
      </c>
      <c r="D4" s="266">
        <v>41244</v>
      </c>
      <c r="E4" s="266">
        <v>41275</v>
      </c>
      <c r="F4" s="266">
        <v>41306</v>
      </c>
      <c r="G4" s="266">
        <v>41334</v>
      </c>
      <c r="H4" s="266">
        <v>41365</v>
      </c>
      <c r="I4" s="266">
        <v>41395</v>
      </c>
      <c r="J4" s="266">
        <v>41426</v>
      </c>
      <c r="K4" s="266">
        <v>41456</v>
      </c>
      <c r="L4" s="266">
        <v>41487</v>
      </c>
      <c r="M4" s="266">
        <v>41518</v>
      </c>
      <c r="N4" s="266">
        <v>41548</v>
      </c>
      <c r="P4" s="633"/>
      <c r="Q4" s="633"/>
      <c r="R4" s="633"/>
      <c r="S4" s="633"/>
      <c r="T4" s="633"/>
      <c r="U4" s="633"/>
      <c r="V4" s="633"/>
      <c r="W4" s="633"/>
      <c r="X4" s="633"/>
      <c r="Z4" s="633"/>
      <c r="AA4" s="633"/>
      <c r="AB4" s="633"/>
      <c r="AC4" s="633"/>
      <c r="AD4" s="633"/>
      <c r="AE4" s="633"/>
      <c r="AF4" s="633"/>
      <c r="AG4" s="633"/>
    </row>
    <row r="6" spans="1:34">
      <c r="A6" s="267" t="s">
        <v>194</v>
      </c>
    </row>
    <row r="7" spans="1:34">
      <c r="A7" s="268"/>
      <c r="B7" s="269" t="str">
        <f>TEXT(B4,"mmmmm-YY")</f>
        <v>O-12</v>
      </c>
      <c r="C7" s="269" t="str">
        <f>TEXT(C4,"mmmmm-YY")</f>
        <v>N-12</v>
      </c>
      <c r="D7" s="269" t="str">
        <f>TEXT(D4,"mmmmm")</f>
        <v>D</v>
      </c>
      <c r="E7" s="269" t="str">
        <f>TEXT(E4,"mmmmm-YY")</f>
        <v>J-13</v>
      </c>
      <c r="F7" s="269" t="str">
        <f>TEXT(F4,"mmmmm-YY")</f>
        <v>F-13</v>
      </c>
      <c r="G7" s="269" t="str">
        <f t="shared" ref="G7:N7" si="0">TEXT(G4,"mmmmm")</f>
        <v>M</v>
      </c>
      <c r="H7" s="269" t="str">
        <f t="shared" si="0"/>
        <v>A</v>
      </c>
      <c r="I7" s="269" t="str">
        <f t="shared" si="0"/>
        <v>M</v>
      </c>
      <c r="J7" s="269" t="str">
        <f t="shared" si="0"/>
        <v>J</v>
      </c>
      <c r="K7" s="269" t="str">
        <f t="shared" si="0"/>
        <v>J</v>
      </c>
      <c r="L7" s="269" t="str">
        <f t="shared" si="0"/>
        <v>A</v>
      </c>
      <c r="M7" s="269" t="str">
        <f t="shared" si="0"/>
        <v>S</v>
      </c>
      <c r="N7" s="269" t="str">
        <f t="shared" si="0"/>
        <v>O</v>
      </c>
    </row>
    <row r="8" spans="1:34">
      <c r="A8" t="s">
        <v>2</v>
      </c>
      <c r="B8" s="270">
        <f>'WA Def 191010'!D8/-1000000</f>
        <v>6.691252092754679</v>
      </c>
      <c r="C8" s="270">
        <f>'WA Def 191010'!D19/-1000000</f>
        <v>0.90240319623620857</v>
      </c>
      <c r="D8" s="270">
        <f>'WA Def 191010'!D27/-1000000</f>
        <v>-0.24153536134178891</v>
      </c>
      <c r="E8" s="270">
        <f>'WA Def 191010'!D35/-1000000</f>
        <v>1.612370665690211</v>
      </c>
      <c r="F8" s="270">
        <f>'WA Def 191010'!D43/-1000000</f>
        <v>0.64834278387021227</v>
      </c>
      <c r="G8" s="270">
        <f>'WA Def 191010'!D51/-1000000</f>
        <v>0.33671900480321282</v>
      </c>
      <c r="H8" s="270">
        <f>'WA Def 191010'!D59/-1000000</f>
        <v>0.63119416496921332</v>
      </c>
      <c r="I8" s="270">
        <f>'WA Def 191010'!D67/-1000000</f>
        <v>1.2090547576992148</v>
      </c>
      <c r="J8" s="270">
        <f>'WA Def 191010'!D75/-1000000</f>
        <v>1.3830479967132137</v>
      </c>
      <c r="K8" s="270">
        <f>'WA Def 191010'!D83/-1000000</f>
        <v>1.8775711130472124</v>
      </c>
      <c r="L8" s="270">
        <f>'WA Def 191010'!D91/-1000000</f>
        <v>2.5238373414722122</v>
      </c>
      <c r="M8" s="270">
        <f>'WA Def 191010'!D99/-1000000</f>
        <v>3.3385260271402131</v>
      </c>
      <c r="N8" s="270">
        <f>'WA Def 191010'!E99/-1000000</f>
        <v>-6.0831075290700021</v>
      </c>
    </row>
    <row r="9" spans="1:34">
      <c r="A9" t="s">
        <v>3</v>
      </c>
      <c r="B9" s="270">
        <f>'WA Def 191010'!E8/-1000000</f>
        <v>-0.80916936732299949</v>
      </c>
      <c r="C9" s="270">
        <f>'WA Def 191010'!E19/-1000000</f>
        <v>-3.8730244701439993</v>
      </c>
      <c r="D9" s="270">
        <f>'WA Def 191010'!E27/-1000000</f>
        <v>-3.0674777859969997</v>
      </c>
      <c r="E9" s="270">
        <f>'WA Def 191010'!E35/-1000000</f>
        <v>-1.6934499394870002</v>
      </c>
      <c r="F9" s="270">
        <f>'WA Def 191010'!E43/-1000000</f>
        <v>-0.95669013858100027</v>
      </c>
      <c r="G9" s="270">
        <f>'WA Def 191010'!E51/-1000000</f>
        <v>-0.56131225301100107</v>
      </c>
      <c r="H9" s="270">
        <f>'WA Def 191010'!E59/-1000000</f>
        <v>-0.69541010451100072</v>
      </c>
      <c r="I9" s="270">
        <f>'WA Def 191010'!E67/-1000000</f>
        <v>-1.5643559408390004</v>
      </c>
      <c r="J9" s="270">
        <f>'WA Def 191010'!E75/-1000000</f>
        <v>-2.5778206653800004</v>
      </c>
      <c r="K9" s="270">
        <f>'WA Def 191010'!E83/-1000000</f>
        <v>-3.8494386956210014</v>
      </c>
      <c r="L9" s="270">
        <f>'WA Def 191010'!E91/-1000000</f>
        <v>-5.0597053680260018</v>
      </c>
      <c r="M9" s="270">
        <f>'WA Def 191010'!E99/-1000000</f>
        <v>-6.0831075290700021</v>
      </c>
      <c r="N9" s="270">
        <f>'WA Def 191010'!F99/-1000000</f>
        <v>3.1801240000000015E-2</v>
      </c>
    </row>
    <row r="10" spans="1:34">
      <c r="A10" s="271" t="s">
        <v>21</v>
      </c>
      <c r="B10" s="272">
        <f>SUM(B8:B9)</f>
        <v>5.8820827254316796</v>
      </c>
      <c r="C10" s="272">
        <f>SUM(C8:C9)</f>
        <v>-2.9706212739077906</v>
      </c>
      <c r="D10" s="272">
        <f t="shared" ref="D10:N10" si="1">SUM(D8:D9)</f>
        <v>-3.3090131473387885</v>
      </c>
      <c r="E10" s="272">
        <f t="shared" si="1"/>
        <v>-8.1079273796789142E-2</v>
      </c>
      <c r="F10" s="272">
        <f t="shared" ref="F10" si="2">SUM(F8:F9)</f>
        <v>-0.308347354710788</v>
      </c>
      <c r="G10" s="272">
        <f t="shared" si="1"/>
        <v>-0.22459324820778825</v>
      </c>
      <c r="H10" s="272">
        <f t="shared" si="1"/>
        <v>-6.4215939541787392E-2</v>
      </c>
      <c r="I10" s="272">
        <f t="shared" si="1"/>
        <v>-0.35530118313978565</v>
      </c>
      <c r="J10" s="272">
        <f t="shared" si="1"/>
        <v>-1.1947726686667868</v>
      </c>
      <c r="K10" s="272">
        <f t="shared" ref="K10" si="3">SUM(K8:K9)</f>
        <v>-1.971867582573789</v>
      </c>
      <c r="L10" s="272">
        <f t="shared" si="1"/>
        <v>-2.5358680265537896</v>
      </c>
      <c r="M10" s="272">
        <f t="shared" ref="M10" si="4">SUM(M8:M9)</f>
        <v>-2.744581501929789</v>
      </c>
      <c r="N10" s="272">
        <f t="shared" si="1"/>
        <v>-6.051306289070002</v>
      </c>
    </row>
    <row r="12" spans="1:34">
      <c r="A12" s="267" t="s">
        <v>221</v>
      </c>
    </row>
    <row r="13" spans="1:34">
      <c r="A13" s="268"/>
      <c r="B13" s="269" t="str">
        <f>TEXT(B4,"mmmmm-YY")</f>
        <v>O-12</v>
      </c>
      <c r="C13" s="269" t="str">
        <f>TEXT(C4,"mmmmm")</f>
        <v>N</v>
      </c>
      <c r="D13" s="269" t="str">
        <f>TEXT(D4,"mmmmm")</f>
        <v>D</v>
      </c>
      <c r="E13" s="269" t="str">
        <f t="shared" ref="E13:F13" si="5">TEXT(E4,"mmmmm-YY")</f>
        <v>J-13</v>
      </c>
      <c r="F13" s="269" t="str">
        <f t="shared" si="5"/>
        <v>F-13</v>
      </c>
      <c r="G13" s="269" t="str">
        <f t="shared" ref="G13:L13" si="6">TEXT(G4,"mmmmm")</f>
        <v>M</v>
      </c>
      <c r="H13" s="269" t="str">
        <f t="shared" si="6"/>
        <v>A</v>
      </c>
      <c r="I13" s="269" t="str">
        <f t="shared" si="6"/>
        <v>M</v>
      </c>
      <c r="J13" s="269" t="str">
        <f t="shared" si="6"/>
        <v>J</v>
      </c>
      <c r="K13" s="269" t="str">
        <f t="shared" ref="K13" si="7">TEXT(K4,"mmmmm")</f>
        <v>J</v>
      </c>
      <c r="L13" s="269" t="str">
        <f t="shared" si="6"/>
        <v>A</v>
      </c>
      <c r="M13" s="269" t="str">
        <f t="shared" ref="M13" si="8">TEXT(M4,"mmmmm")</f>
        <v>S</v>
      </c>
      <c r="N13" s="269" t="s">
        <v>245</v>
      </c>
    </row>
    <row r="14" spans="1:34">
      <c r="A14" t="s">
        <v>2</v>
      </c>
      <c r="B14" s="270">
        <f>('ID Def 191010'!D20+'ID Holdback 191015'!D16)/-1000000</f>
        <v>2.1383911983473967</v>
      </c>
      <c r="C14" s="270">
        <f>('ID Def 191010'!D29+'ID Holdback 191015'!D23)/-1000000</f>
        <v>1.2444255776995812</v>
      </c>
      <c r="D14" s="270">
        <f>('ID Def 191010'!D47+'ID Holdback 191015'!D30)/-1000000</f>
        <v>0.87195540999758092</v>
      </c>
      <c r="E14" s="270">
        <f>('ID Def 191010'!D56+'ID Holdback 191015'!D37)/-1000000</f>
        <v>1.6660490220255828</v>
      </c>
      <c r="F14" s="270">
        <f>('ID Def 191010'!D65+'ID Holdback 191015'!D45)/-1000000</f>
        <v>1.2966995405455823</v>
      </c>
      <c r="G14" s="270">
        <f>('ID Def 191010'!D74+'ID Holdback 191015'!D53)/-1000000</f>
        <v>1.1561449650525837</v>
      </c>
      <c r="H14" s="270">
        <f>('ID Def 191010'!D83+'ID Holdback 191015'!D61)/-1000000</f>
        <v>1.2996516898465837</v>
      </c>
      <c r="I14" s="270">
        <f>('ID Def 191010'!D92+'ID Holdback 191015'!D69)/-1000000</f>
        <v>1.5610150065365844</v>
      </c>
      <c r="J14" s="270">
        <f>('ID Def 191010'!D101+'ID Holdback 191015'!D77)/-1000000</f>
        <v>1.6482739833225839</v>
      </c>
      <c r="K14" s="270">
        <f>('ID Def 191010'!D110+'ID Holdback 191015'!D85)/-1000000</f>
        <v>1.8954571715485831</v>
      </c>
      <c r="L14" s="270">
        <f>('ID Def 191010'!D119+'ID Holdback 191015'!D93)/-1000000</f>
        <v>2.2528616869035827</v>
      </c>
      <c r="M14" s="270">
        <f>('ID Def 191010'!D128+'ID Holdback 191015'!D101)/-1000000</f>
        <v>2.7080381318555831</v>
      </c>
      <c r="N14" s="270">
        <f>('ID Def 191010'!D137+'ID Holdback 191015'!D109)/-1000000</f>
        <v>0.56600077745999999</v>
      </c>
    </row>
    <row r="15" spans="1:34">
      <c r="A15" t="s">
        <v>3</v>
      </c>
      <c r="B15" s="270">
        <f>('ID Def 191010'!E20+'ID Holdback 191015'!E16)/-1000000</f>
        <v>-0.82418407251353221</v>
      </c>
      <c r="C15" s="270">
        <f>('ID Def 191010'!E29+'ID Holdback 191015'!E23)/-1000000</f>
        <v>-0.80322416033553246</v>
      </c>
      <c r="D15" s="270">
        <f>('ID Def 191010'!E47+'ID Holdback 191015'!E30)/-1000000</f>
        <v>-0.39310178017253256</v>
      </c>
      <c r="E15" s="270">
        <f>('ID Def 191010'!E56+'ID Holdback 191015'!E37)/-1000000</f>
        <v>0.17129077183746722</v>
      </c>
      <c r="F15" s="270">
        <f>('ID Def 191010'!E65+'ID Holdback 191015'!E45)/-1000000</f>
        <v>0.35307272873146694</v>
      </c>
      <c r="G15" s="270">
        <f>('ID Def 191010'!E74+'ID Holdback 191015'!E53)/-1000000</f>
        <v>0.56382016840146643</v>
      </c>
      <c r="H15" s="270">
        <f>('ID Def 191010'!E83+'ID Holdback 191015'!E61)/-1000000</f>
        <v>0.53955121001146655</v>
      </c>
      <c r="I15" s="270">
        <f>('ID Def 191010'!E92+'ID Holdback 191015'!E69)/-1000000</f>
        <v>0.18205832733946647</v>
      </c>
      <c r="J15" s="270">
        <f>('ID Def 191010'!E101+'ID Holdback 191015'!E77)/-1000000</f>
        <v>-0.22184721294953361</v>
      </c>
      <c r="K15" s="270">
        <f>('ID Def 191010'!E110+'ID Holdback 191015'!E85)/-1000000</f>
        <v>-0.73848372468853407</v>
      </c>
      <c r="L15" s="270">
        <f>('ID Def 191010'!E119+'ID Holdback 191015'!E93)/-1000000</f>
        <v>-1.2085874236835343</v>
      </c>
      <c r="M15" s="270">
        <f>('ID Def 191010'!E128+'ID Holdback 191015'!E101)/-1000000</f>
        <v>-1.5854874293295345</v>
      </c>
      <c r="N15" s="270">
        <f>('ID Def 191010'!E137+'ID Holdback 191015'!E109)/-1000000</f>
        <v>-8.1480250077000355E-2</v>
      </c>
    </row>
    <row r="16" spans="1:34">
      <c r="A16" s="271" t="s">
        <v>21</v>
      </c>
      <c r="B16" s="272">
        <f>SUM(B14:B15)</f>
        <v>1.3142071258338643</v>
      </c>
      <c r="C16" s="272">
        <f>SUM(C14:C15)</f>
        <v>0.44120141736404872</v>
      </c>
      <c r="D16" s="272">
        <f t="shared" ref="D16:L16" si="9">SUM(D14:D15)</f>
        <v>0.47885362982504837</v>
      </c>
      <c r="E16" s="272">
        <f t="shared" si="9"/>
        <v>1.83733979386305</v>
      </c>
      <c r="F16" s="272">
        <f t="shared" ref="F16" si="10">SUM(F14:F15)</f>
        <v>1.6497722692770493</v>
      </c>
      <c r="G16" s="272">
        <f t="shared" si="9"/>
        <v>1.7199651334540502</v>
      </c>
      <c r="H16" s="272">
        <f t="shared" si="9"/>
        <v>1.8392028998580503</v>
      </c>
      <c r="I16" s="272">
        <f t="shared" si="9"/>
        <v>1.7430733338760509</v>
      </c>
      <c r="J16" s="272">
        <f t="shared" si="9"/>
        <v>1.4264267703730502</v>
      </c>
      <c r="K16" s="272">
        <f t="shared" si="9"/>
        <v>1.156973446860049</v>
      </c>
      <c r="L16" s="272">
        <f t="shared" si="9"/>
        <v>1.0442742632200483</v>
      </c>
      <c r="M16" s="272">
        <f t="shared" ref="M16:N16" si="11">SUM(M14:M15)</f>
        <v>1.1225507025260486</v>
      </c>
      <c r="N16" s="272">
        <f t="shared" si="11"/>
        <v>0.48452052738299967</v>
      </c>
    </row>
    <row r="51" ht="9.75" customHeight="1"/>
  </sheetData>
  <mergeCells count="10">
    <mergeCell ref="C1:K1"/>
    <mergeCell ref="C2:K2"/>
    <mergeCell ref="C3:K3"/>
    <mergeCell ref="P4:X4"/>
    <mergeCell ref="Z4:AG4"/>
    <mergeCell ref="P1:X1"/>
    <mergeCell ref="P2:X2"/>
    <mergeCell ref="Z2:AH2"/>
    <mergeCell ref="P3:X3"/>
    <mergeCell ref="Z3:AH3"/>
  </mergeCells>
  <printOptions horizontalCentered="1"/>
  <pageMargins left="0.7" right="0.7" top="0.75" bottom="0.5" header="0.3" footer="0.3"/>
  <pageSetup scale="79" orientation="landscape" r:id="rId1"/>
  <headerFooter>
    <oddFooter>&amp;L&amp;F - &amp;A</oddFooter>
  </headerFooter>
  <customProperties>
    <customPr name="xxe4aPID" r:id="rId2"/>
  </customProperties>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abColor rgb="FF00CC66"/>
    <pageSetUpPr fitToPage="1"/>
  </sheetPr>
  <dimension ref="A1:X1485"/>
  <sheetViews>
    <sheetView showGridLines="0" zoomScale="70" zoomScaleNormal="70" workbookViewId="0">
      <pane ySplit="1" topLeftCell="A23" activePane="bottomLeft" state="frozen"/>
      <selection activeCell="B67" sqref="B67"/>
      <selection pane="bottomLeft" activeCell="B67" sqref="B67"/>
    </sheetView>
  </sheetViews>
  <sheetFormatPr defaultColWidth="16" defaultRowHeight="15"/>
  <cols>
    <col min="1" max="1" width="44.85546875" style="384" customWidth="1"/>
    <col min="2" max="2" width="25.5703125" style="384" customWidth="1"/>
    <col min="3" max="5" width="25.28515625" style="384" customWidth="1"/>
    <col min="6" max="6" width="46.140625" style="385" customWidth="1"/>
    <col min="7" max="7" width="2.7109375" style="30" customWidth="1"/>
    <col min="8" max="8" width="4.28515625" style="384" customWidth="1"/>
    <col min="9" max="9" width="26.7109375" style="384" customWidth="1"/>
    <col min="10" max="10" width="19" style="384" customWidth="1"/>
    <col min="11" max="11" width="22" style="384" customWidth="1"/>
    <col min="12" max="12" width="20.42578125" style="384" customWidth="1"/>
    <col min="13" max="13" width="26.28515625" style="384" customWidth="1"/>
    <col min="14" max="14" width="21.85546875" style="384" bestFit="1" customWidth="1"/>
    <col min="15" max="15" width="23.85546875" style="384" customWidth="1"/>
    <col min="16" max="16" width="20.85546875" style="384" bestFit="1" customWidth="1"/>
    <col min="17" max="18" width="16" style="384"/>
    <col min="19" max="19" width="16.28515625" style="384" bestFit="1" customWidth="1"/>
    <col min="20" max="16384" width="16" style="384"/>
  </cols>
  <sheetData>
    <row r="1" spans="1:16" ht="16.5" thickBot="1">
      <c r="A1" s="145" t="s">
        <v>64</v>
      </c>
      <c r="B1" s="29"/>
      <c r="C1" s="530">
        <v>201707</v>
      </c>
      <c r="D1" s="530">
        <v>201708</v>
      </c>
      <c r="E1" s="530" t="s">
        <v>318</v>
      </c>
      <c r="F1" s="530" t="s">
        <v>319</v>
      </c>
      <c r="I1" s="530">
        <f>D1</f>
        <v>201708</v>
      </c>
      <c r="J1" s="385"/>
      <c r="K1" s="162" t="s">
        <v>69</v>
      </c>
      <c r="L1" s="126" t="s">
        <v>3</v>
      </c>
      <c r="M1" s="126" t="s">
        <v>3</v>
      </c>
      <c r="N1" s="126" t="s">
        <v>66</v>
      </c>
      <c r="O1" s="126" t="s">
        <v>66</v>
      </c>
      <c r="P1" s="385"/>
    </row>
    <row r="2" spans="1:16" ht="15.75">
      <c r="C2" s="31"/>
      <c r="D2" s="31"/>
      <c r="E2" s="31"/>
      <c r="F2" s="31"/>
      <c r="I2" s="385"/>
      <c r="J2" s="385"/>
      <c r="K2" s="163" t="s">
        <v>32</v>
      </c>
      <c r="L2" s="164" t="s">
        <v>65</v>
      </c>
      <c r="M2" s="164" t="s">
        <v>65</v>
      </c>
      <c r="N2" s="164" t="s">
        <v>67</v>
      </c>
      <c r="O2" s="164" t="s">
        <v>67</v>
      </c>
      <c r="P2" s="385"/>
    </row>
    <row r="3" spans="1:16" ht="16.5" thickBot="1">
      <c r="A3" s="63" t="s">
        <v>110</v>
      </c>
      <c r="C3" s="32"/>
      <c r="D3" s="32"/>
      <c r="E3" s="32"/>
      <c r="F3" s="32"/>
      <c r="G3" s="33"/>
      <c r="I3" s="50" t="s">
        <v>72</v>
      </c>
      <c r="J3" s="385"/>
      <c r="K3" s="165" t="s">
        <v>68</v>
      </c>
      <c r="L3" s="165" t="s">
        <v>35</v>
      </c>
      <c r="M3" s="165" t="s">
        <v>63</v>
      </c>
      <c r="N3" s="165" t="s">
        <v>35</v>
      </c>
      <c r="O3" s="165" t="s">
        <v>63</v>
      </c>
      <c r="P3" s="385"/>
    </row>
    <row r="4" spans="1:16" ht="15.75">
      <c r="A4" s="385" t="s">
        <v>88</v>
      </c>
      <c r="C4" s="573">
        <v>4598122.63</v>
      </c>
      <c r="D4" s="573">
        <v>4598122.63</v>
      </c>
      <c r="E4" s="573">
        <f>D4-C4</f>
        <v>0</v>
      </c>
      <c r="F4" s="122"/>
      <c r="G4" s="34"/>
      <c r="I4" s="385"/>
      <c r="J4" s="385"/>
      <c r="K4" s="11"/>
      <c r="L4" s="385"/>
      <c r="M4" s="385"/>
      <c r="O4" s="385"/>
      <c r="P4" s="385"/>
    </row>
    <row r="5" spans="1:16" ht="14.25" customHeight="1">
      <c r="A5" s="385" t="s">
        <v>31</v>
      </c>
      <c r="C5" s="573">
        <v>44456.57</v>
      </c>
      <c r="D5" s="573">
        <v>42807.439999999995</v>
      </c>
      <c r="E5" s="573">
        <f t="shared" ref="E5:E63" si="0">D5-C5</f>
        <v>-1649.1300000000047</v>
      </c>
      <c r="F5" s="122"/>
      <c r="G5" s="34"/>
      <c r="I5" s="385"/>
      <c r="J5" s="385"/>
      <c r="K5" s="11"/>
      <c r="L5" s="596">
        <v>0.70530000000000004</v>
      </c>
      <c r="M5" s="596">
        <v>0.29470000000000002</v>
      </c>
      <c r="N5" s="445">
        <f>ROUND(J45/(J45+N43),4)</f>
        <v>0.61480000000000001</v>
      </c>
      <c r="O5" s="445">
        <f>1-N5</f>
        <v>0.38519999999999999</v>
      </c>
      <c r="P5" s="385"/>
    </row>
    <row r="6" spans="1:16" ht="16.5" thickBot="1">
      <c r="A6" s="49" t="s">
        <v>30</v>
      </c>
      <c r="C6" s="574">
        <v>-3242371.84</v>
      </c>
      <c r="D6" s="574">
        <v>-3242371.84</v>
      </c>
      <c r="E6" s="574">
        <f t="shared" si="0"/>
        <v>0</v>
      </c>
      <c r="F6" s="122"/>
      <c r="G6" s="34"/>
      <c r="I6" s="385"/>
      <c r="J6" s="385"/>
      <c r="K6" s="385"/>
      <c r="L6" s="385"/>
      <c r="M6" s="385"/>
      <c r="N6" s="385"/>
      <c r="O6" s="385"/>
      <c r="P6" s="385"/>
    </row>
    <row r="7" spans="1:16" ht="16.5" thickBot="1">
      <c r="A7" s="66" t="s">
        <v>140</v>
      </c>
      <c r="C7" s="100">
        <v>1400207.3600000003</v>
      </c>
      <c r="D7" s="100">
        <v>1398558.2300000004</v>
      </c>
      <c r="E7" s="100">
        <f t="shared" si="0"/>
        <v>-1649.1299999998882</v>
      </c>
      <c r="F7" s="100"/>
      <c r="G7" s="35"/>
      <c r="I7" s="166" t="s">
        <v>139</v>
      </c>
      <c r="J7" s="166"/>
      <c r="K7" s="125">
        <f>D34</f>
        <v>2229985.0300000003</v>
      </c>
      <c r="L7" s="167">
        <f>K7*L5</f>
        <v>1572808.4416590002</v>
      </c>
      <c r="M7" s="167">
        <f>K7*M5</f>
        <v>657176.58834100014</v>
      </c>
      <c r="N7" s="167"/>
      <c r="O7" s="167"/>
      <c r="P7" s="385"/>
    </row>
    <row r="8" spans="1:16" ht="15.75">
      <c r="A8" s="384" t="s">
        <v>89</v>
      </c>
      <c r="C8" s="573">
        <v>191512.75</v>
      </c>
      <c r="D8" s="573">
        <v>191512.75</v>
      </c>
      <c r="E8" s="573">
        <f t="shared" si="0"/>
        <v>0</v>
      </c>
      <c r="F8" s="122"/>
      <c r="G8" s="35"/>
      <c r="I8" s="385"/>
      <c r="J8" s="385"/>
      <c r="K8" s="168"/>
      <c r="L8" s="168"/>
      <c r="M8" s="168"/>
      <c r="N8" s="168"/>
      <c r="O8" s="168"/>
      <c r="P8" s="385"/>
    </row>
    <row r="9" spans="1:16" ht="15.75">
      <c r="A9" s="385" t="s">
        <v>90</v>
      </c>
      <c r="C9" s="573">
        <v>6176.25</v>
      </c>
      <c r="D9" s="573">
        <v>6446.71</v>
      </c>
      <c r="E9" s="573">
        <f t="shared" si="0"/>
        <v>270.46000000000004</v>
      </c>
      <c r="F9" s="122"/>
      <c r="G9" s="36"/>
      <c r="I9" s="166" t="s">
        <v>119</v>
      </c>
      <c r="J9" s="385"/>
      <c r="K9" s="167">
        <f>D56</f>
        <v>-1823262.9799999995</v>
      </c>
      <c r="L9" s="167"/>
      <c r="M9" s="167"/>
      <c r="N9" s="167">
        <f>K9*N5</f>
        <v>-1120942.0801039997</v>
      </c>
      <c r="O9" s="167">
        <f>K9*O5</f>
        <v>-702320.89989599981</v>
      </c>
      <c r="P9" s="385"/>
    </row>
    <row r="10" spans="1:16" ht="15.75">
      <c r="A10" s="49" t="s">
        <v>91</v>
      </c>
      <c r="C10" s="574">
        <v>-3418.47</v>
      </c>
      <c r="D10" s="574">
        <v>-3418.47</v>
      </c>
      <c r="E10" s="574">
        <f t="shared" si="0"/>
        <v>0</v>
      </c>
      <c r="F10" s="122"/>
      <c r="G10" s="36"/>
      <c r="I10" s="169" t="s">
        <v>44</v>
      </c>
      <c r="J10" s="385"/>
      <c r="K10" s="167">
        <f>D57</f>
        <v>-60364.39</v>
      </c>
      <c r="L10" s="167"/>
      <c r="M10" s="167"/>
      <c r="N10" s="167">
        <f>K10</f>
        <v>-60364.39</v>
      </c>
      <c r="O10" s="167"/>
      <c r="P10" s="385"/>
    </row>
    <row r="11" spans="1:16">
      <c r="A11" s="66" t="s">
        <v>145</v>
      </c>
      <c r="C11" s="100">
        <v>194270.53</v>
      </c>
      <c r="D11" s="100">
        <v>194540.99</v>
      </c>
      <c r="E11" s="100">
        <f t="shared" si="0"/>
        <v>270.45999999999185</v>
      </c>
      <c r="F11" s="100"/>
      <c r="G11" s="36"/>
      <c r="I11" s="169" t="s">
        <v>45</v>
      </c>
      <c r="J11" s="385"/>
      <c r="K11" s="170">
        <f>D58</f>
        <v>-38982.51</v>
      </c>
      <c r="L11" s="167"/>
      <c r="M11" s="167"/>
      <c r="N11" s="170"/>
      <c r="O11" s="170">
        <f>K11</f>
        <v>-38982.51</v>
      </c>
      <c r="P11" s="385"/>
    </row>
    <row r="12" spans="1:16" ht="15.75">
      <c r="A12" s="384" t="s">
        <v>165</v>
      </c>
      <c r="C12" s="573">
        <v>196478.01</v>
      </c>
      <c r="D12" s="573">
        <v>188427.39</v>
      </c>
      <c r="E12" s="573">
        <f t="shared" si="0"/>
        <v>-8050.6199999999953</v>
      </c>
      <c r="F12" s="122"/>
      <c r="G12" s="36"/>
      <c r="I12" s="169" t="s">
        <v>138</v>
      </c>
      <c r="J12" s="385"/>
      <c r="K12" s="167">
        <f>K9+K10+K11</f>
        <v>-1922609.8799999994</v>
      </c>
      <c r="L12" s="167"/>
      <c r="M12" s="167"/>
      <c r="N12" s="167">
        <f>SUM(N9:N11)</f>
        <v>-1181306.4701039996</v>
      </c>
      <c r="O12" s="167">
        <f>SUM(O9:O11)</f>
        <v>-741303.40989599982</v>
      </c>
      <c r="P12" s="385"/>
    </row>
    <row r="13" spans="1:16" ht="16.5" thickBot="1">
      <c r="A13" s="49" t="s">
        <v>166</v>
      </c>
      <c r="C13" s="559">
        <v>0</v>
      </c>
      <c r="D13" s="559">
        <v>0</v>
      </c>
      <c r="E13" s="559">
        <f t="shared" si="0"/>
        <v>0</v>
      </c>
      <c r="F13" s="122"/>
      <c r="G13" s="36"/>
      <c r="I13" s="171"/>
      <c r="J13" s="172"/>
      <c r="K13" s="173"/>
      <c r="L13" s="174"/>
      <c r="M13" s="173"/>
      <c r="N13" s="168"/>
      <c r="O13" s="173"/>
      <c r="P13" s="385"/>
    </row>
    <row r="14" spans="1:16" ht="16.5" thickBot="1">
      <c r="A14" s="66" t="s">
        <v>92</v>
      </c>
      <c r="C14" s="100">
        <v>196478.01</v>
      </c>
      <c r="D14" s="100">
        <v>188427.39</v>
      </c>
      <c r="E14" s="100">
        <f t="shared" si="0"/>
        <v>-8050.6199999999953</v>
      </c>
      <c r="F14" s="100"/>
      <c r="G14" s="37"/>
      <c r="I14" s="50" t="s">
        <v>69</v>
      </c>
      <c r="J14" s="175"/>
      <c r="K14" s="125">
        <f>K12+K7</f>
        <v>307375.15000000084</v>
      </c>
      <c r="L14" s="176">
        <f>SUM(L7:L13)</f>
        <v>1572808.4416590002</v>
      </c>
      <c r="M14" s="176">
        <f>SUM(M7:M13)</f>
        <v>657176.58834100014</v>
      </c>
      <c r="N14" s="176">
        <f>N12</f>
        <v>-1181306.4701039996</v>
      </c>
      <c r="O14" s="176">
        <f>O12</f>
        <v>-741303.40989599982</v>
      </c>
      <c r="P14" s="385"/>
    </row>
    <row r="15" spans="1:16" ht="15.75">
      <c r="A15" s="384" t="s">
        <v>183</v>
      </c>
      <c r="C15" s="573">
        <v>459104.7</v>
      </c>
      <c r="D15" s="573">
        <v>440292.23</v>
      </c>
      <c r="E15" s="573">
        <f t="shared" si="0"/>
        <v>-18812.47000000003</v>
      </c>
      <c r="F15" s="122"/>
      <c r="G15" s="36"/>
      <c r="I15" s="171"/>
      <c r="J15" s="172" t="s">
        <v>102</v>
      </c>
      <c r="K15" s="173">
        <f>K14-D61</f>
        <v>0</v>
      </c>
      <c r="L15" s="177"/>
      <c r="M15" s="173">
        <f>M7+L7-K7</f>
        <v>0</v>
      </c>
      <c r="N15" s="385"/>
      <c r="O15" s="173">
        <f>K12-N14-O14</f>
        <v>0</v>
      </c>
      <c r="P15" s="385"/>
    </row>
    <row r="16" spans="1:16" ht="15.75">
      <c r="A16" s="49" t="s">
        <v>184</v>
      </c>
      <c r="C16" s="559">
        <v>0</v>
      </c>
      <c r="D16" s="559">
        <v>0</v>
      </c>
      <c r="E16" s="559">
        <f t="shared" si="0"/>
        <v>0</v>
      </c>
      <c r="F16" s="122"/>
      <c r="G16" s="36"/>
      <c r="I16" s="178"/>
      <c r="J16" s="172"/>
      <c r="K16" s="179"/>
      <c r="L16" s="180"/>
      <c r="M16" s="179"/>
      <c r="N16" s="385"/>
      <c r="O16" s="179"/>
      <c r="P16" s="385"/>
    </row>
    <row r="17" spans="1:16" ht="15.75" thickBot="1">
      <c r="A17" s="66" t="s">
        <v>185</v>
      </c>
      <c r="C17" s="100">
        <v>459104.7</v>
      </c>
      <c r="D17" s="100">
        <v>440292.23</v>
      </c>
      <c r="E17" s="100">
        <f t="shared" si="0"/>
        <v>-18812.47000000003</v>
      </c>
      <c r="F17" s="100"/>
      <c r="G17" s="37"/>
      <c r="I17" s="171"/>
      <c r="J17" s="172"/>
      <c r="K17" s="179"/>
      <c r="L17" s="180"/>
      <c r="M17" s="183"/>
      <c r="N17" s="385"/>
      <c r="O17" s="179"/>
      <c r="P17" s="385"/>
    </row>
    <row r="18" spans="1:16" ht="16.5" thickBot="1">
      <c r="A18" s="384" t="s">
        <v>163</v>
      </c>
      <c r="C18" s="573">
        <v>77532.850000000006</v>
      </c>
      <c r="D18" s="573">
        <v>73501.070000000007</v>
      </c>
      <c r="E18" s="573">
        <f t="shared" si="0"/>
        <v>-4031.7799999999988</v>
      </c>
      <c r="F18" s="122"/>
      <c r="G18" s="36"/>
      <c r="I18" s="639" t="s">
        <v>134</v>
      </c>
      <c r="J18" s="640"/>
      <c r="K18" s="640"/>
      <c r="L18" s="641"/>
      <c r="M18" s="639" t="s">
        <v>135</v>
      </c>
      <c r="N18" s="640"/>
      <c r="O18" s="640"/>
      <c r="P18" s="641"/>
    </row>
    <row r="19" spans="1:16" ht="15.75">
      <c r="A19" s="46" t="s">
        <v>164</v>
      </c>
      <c r="C19" s="574">
        <v>-7861.34</v>
      </c>
      <c r="D19" s="574">
        <v>-4284.96</v>
      </c>
      <c r="E19" s="574">
        <f t="shared" si="0"/>
        <v>3576.38</v>
      </c>
      <c r="F19" s="122"/>
      <c r="G19" s="36"/>
      <c r="I19" s="201" t="s">
        <v>108</v>
      </c>
      <c r="J19" s="164" t="s">
        <v>33</v>
      </c>
      <c r="K19" s="164" t="s">
        <v>33</v>
      </c>
      <c r="L19" s="164" t="s">
        <v>33</v>
      </c>
      <c r="M19" s="201" t="s">
        <v>108</v>
      </c>
      <c r="N19" s="164" t="s">
        <v>33</v>
      </c>
      <c r="O19" s="164" t="s">
        <v>33</v>
      </c>
      <c r="P19" s="185" t="s">
        <v>33</v>
      </c>
    </row>
    <row r="20" spans="1:16" ht="16.5" thickBot="1">
      <c r="A20" s="67" t="s">
        <v>93</v>
      </c>
      <c r="C20" s="100">
        <v>69671.510000000009</v>
      </c>
      <c r="D20" s="100">
        <v>69216.11</v>
      </c>
      <c r="E20" s="100">
        <f t="shared" si="0"/>
        <v>-455.40000000000873</v>
      </c>
      <c r="F20" s="100"/>
      <c r="G20" s="36"/>
      <c r="I20" s="195" t="s">
        <v>162</v>
      </c>
      <c r="J20" s="165" t="s">
        <v>101</v>
      </c>
      <c r="K20" s="165" t="s">
        <v>36</v>
      </c>
      <c r="L20" s="165" t="s">
        <v>34</v>
      </c>
      <c r="M20" s="195" t="s">
        <v>162</v>
      </c>
      <c r="N20" s="165" t="s">
        <v>101</v>
      </c>
      <c r="O20" s="165" t="s">
        <v>36</v>
      </c>
      <c r="P20" s="165" t="s">
        <v>34</v>
      </c>
    </row>
    <row r="21" spans="1:16" ht="15.75">
      <c r="A21" s="46" t="s">
        <v>149</v>
      </c>
      <c r="C21" s="574">
        <v>1850</v>
      </c>
      <c r="D21" s="574">
        <v>1720.29</v>
      </c>
      <c r="E21" s="574">
        <f t="shared" si="0"/>
        <v>-129.71000000000004</v>
      </c>
      <c r="F21" s="122"/>
      <c r="G21" s="36"/>
      <c r="I21" s="184"/>
      <c r="J21" s="12"/>
      <c r="K21" s="12"/>
      <c r="L21" s="185"/>
      <c r="M21" s="129"/>
      <c r="N21" s="13"/>
      <c r="O21" s="13"/>
      <c r="P21" s="205"/>
    </row>
    <row r="22" spans="1:16" ht="18" customHeight="1">
      <c r="A22" s="65" t="s">
        <v>149</v>
      </c>
      <c r="C22" s="100">
        <v>1850</v>
      </c>
      <c r="D22" s="100">
        <v>1720.29</v>
      </c>
      <c r="E22" s="100">
        <f t="shared" si="0"/>
        <v>-129.71000000000004</v>
      </c>
      <c r="F22" s="100"/>
      <c r="G22" s="36"/>
      <c r="I22" s="199" t="s">
        <v>126</v>
      </c>
      <c r="J22" s="7"/>
      <c r="K22" s="7"/>
      <c r="L22" s="98"/>
      <c r="M22" s="199" t="s">
        <v>126</v>
      </c>
      <c r="N22" s="7"/>
      <c r="O22" s="7"/>
      <c r="P22" s="98"/>
    </row>
    <row r="23" spans="1:16" ht="15.75">
      <c r="A23" s="208" t="s">
        <v>180</v>
      </c>
      <c r="C23" s="100">
        <v>0</v>
      </c>
      <c r="D23" s="100">
        <v>0</v>
      </c>
      <c r="E23" s="100">
        <f t="shared" si="0"/>
        <v>0</v>
      </c>
      <c r="F23" s="100"/>
      <c r="G23" s="36"/>
      <c r="I23" s="200" t="s">
        <v>37</v>
      </c>
      <c r="J23" s="568">
        <v>2080707</v>
      </c>
      <c r="K23" s="599">
        <v>0.12678</v>
      </c>
      <c r="L23" s="196">
        <f t="shared" ref="L23:L31" si="1">J23*K23</f>
        <v>263792.03346000001</v>
      </c>
      <c r="M23" s="200" t="s">
        <v>37</v>
      </c>
      <c r="N23" s="568">
        <v>986275</v>
      </c>
      <c r="O23" s="599">
        <v>0.11330999999999999</v>
      </c>
      <c r="P23" s="196">
        <f>N23*O23</f>
        <v>111754.82024999999</v>
      </c>
    </row>
    <row r="24" spans="1:16" ht="15.75">
      <c r="A24" s="208" t="s">
        <v>186</v>
      </c>
      <c r="C24" s="312">
        <v>0</v>
      </c>
      <c r="D24" s="312">
        <v>0</v>
      </c>
      <c r="E24" s="312">
        <f t="shared" si="0"/>
        <v>0</v>
      </c>
      <c r="F24" s="122"/>
      <c r="G24" s="36"/>
      <c r="I24" s="200" t="s">
        <v>306</v>
      </c>
      <c r="J24" s="568">
        <v>2393</v>
      </c>
      <c r="K24" s="599">
        <v>0.12678</v>
      </c>
      <c r="L24" s="196">
        <f t="shared" si="1"/>
        <v>303.38454000000002</v>
      </c>
      <c r="M24" s="200" t="s">
        <v>38</v>
      </c>
      <c r="N24" s="568">
        <v>1366641</v>
      </c>
      <c r="O24" s="599">
        <v>0.11330999999999999</v>
      </c>
      <c r="P24" s="196">
        <f t="shared" ref="P24:P27" si="2">N24*O24</f>
        <v>154854.09170999998</v>
      </c>
    </row>
    <row r="25" spans="1:16" ht="15.75">
      <c r="A25" s="208" t="s">
        <v>189</v>
      </c>
      <c r="C25" s="314">
        <v>0</v>
      </c>
      <c r="D25" s="314">
        <v>0</v>
      </c>
      <c r="E25" s="314">
        <f t="shared" si="0"/>
        <v>0</v>
      </c>
      <c r="F25" s="561"/>
      <c r="G25" s="36"/>
      <c r="I25" s="200" t="s">
        <v>38</v>
      </c>
      <c r="J25" s="568">
        <v>1463939</v>
      </c>
      <c r="K25" s="599">
        <v>0.11865000000000001</v>
      </c>
      <c r="L25" s="196">
        <f t="shared" si="1"/>
        <v>173696.36235000001</v>
      </c>
      <c r="M25" s="200" t="s">
        <v>39</v>
      </c>
      <c r="N25" s="568">
        <v>82239</v>
      </c>
      <c r="O25" s="599">
        <v>0.11330999999999999</v>
      </c>
      <c r="P25" s="196">
        <f t="shared" si="2"/>
        <v>9318.5010899999997</v>
      </c>
    </row>
    <row r="26" spans="1:16" ht="15.75">
      <c r="A26" s="209" t="s">
        <v>188</v>
      </c>
      <c r="C26" s="315">
        <v>0</v>
      </c>
      <c r="D26" s="315">
        <v>0</v>
      </c>
      <c r="E26" s="315">
        <f t="shared" si="0"/>
        <v>0</v>
      </c>
      <c r="F26" s="561"/>
      <c r="G26" s="36"/>
      <c r="I26" s="200" t="s">
        <v>39</v>
      </c>
      <c r="J26" s="568">
        <v>0</v>
      </c>
      <c r="K26" s="599">
        <v>0.11865000000000001</v>
      </c>
      <c r="L26" s="196">
        <f t="shared" si="1"/>
        <v>0</v>
      </c>
      <c r="M26" s="200" t="s">
        <v>40</v>
      </c>
      <c r="N26" s="568">
        <v>0</v>
      </c>
      <c r="O26" s="599">
        <v>0.11330999999999999</v>
      </c>
      <c r="P26" s="196">
        <f t="shared" si="2"/>
        <v>0</v>
      </c>
    </row>
    <row r="27" spans="1:16" ht="15.75">
      <c r="A27" s="65" t="s">
        <v>96</v>
      </c>
      <c r="C27" s="100">
        <v>0</v>
      </c>
      <c r="D27" s="100">
        <v>0</v>
      </c>
      <c r="E27" s="100">
        <f t="shared" si="0"/>
        <v>0</v>
      </c>
      <c r="F27" s="100"/>
      <c r="G27" s="36"/>
      <c r="I27" s="200" t="s">
        <v>40</v>
      </c>
      <c r="J27" s="568">
        <v>291721</v>
      </c>
      <c r="K27" s="599">
        <v>0.11541</v>
      </c>
      <c r="L27" s="196">
        <f t="shared" si="1"/>
        <v>33667.52061</v>
      </c>
      <c r="M27" s="200" t="s">
        <v>41</v>
      </c>
      <c r="N27" s="568">
        <v>0</v>
      </c>
      <c r="O27" s="599">
        <v>0.11330999999999999</v>
      </c>
      <c r="P27" s="196">
        <f t="shared" si="2"/>
        <v>0</v>
      </c>
    </row>
    <row r="28" spans="1:16" ht="16.5" thickBot="1">
      <c r="A28" s="210" t="s">
        <v>150</v>
      </c>
      <c r="C28" s="312">
        <v>0</v>
      </c>
      <c r="D28" s="312">
        <v>0</v>
      </c>
      <c r="E28" s="312">
        <f t="shared" si="0"/>
        <v>0</v>
      </c>
      <c r="F28" s="122"/>
      <c r="G28" s="37"/>
      <c r="I28" s="200" t="s">
        <v>41</v>
      </c>
      <c r="J28" s="568">
        <v>24662</v>
      </c>
      <c r="K28" s="599">
        <v>0.11541</v>
      </c>
      <c r="L28" s="196">
        <f t="shared" si="1"/>
        <v>2846.2414199999998</v>
      </c>
      <c r="M28" s="199" t="s">
        <v>127</v>
      </c>
      <c r="N28" s="181">
        <f>SUM(N23:N27)</f>
        <v>2435155</v>
      </c>
      <c r="O28" s="182"/>
      <c r="P28" s="197">
        <f>SUM(P23:P27)</f>
        <v>275927.41304999992</v>
      </c>
    </row>
    <row r="29" spans="1:16" ht="17.25" thickTop="1" thickBot="1">
      <c r="A29" s="210" t="s">
        <v>167</v>
      </c>
      <c r="B29" s="385"/>
      <c r="C29" s="312">
        <v>0</v>
      </c>
      <c r="D29" s="312">
        <v>0</v>
      </c>
      <c r="E29" s="312">
        <f t="shared" si="0"/>
        <v>0</v>
      </c>
      <c r="F29" s="122"/>
      <c r="G29" s="36"/>
      <c r="I29" s="200" t="s">
        <v>42</v>
      </c>
      <c r="J29" s="568">
        <v>0</v>
      </c>
      <c r="K29" s="599">
        <v>7.4310000000000001E-2</v>
      </c>
      <c r="L29" s="196">
        <f t="shared" si="1"/>
        <v>0</v>
      </c>
      <c r="M29" s="199"/>
      <c r="N29" s="231">
        <v>2435155</v>
      </c>
      <c r="O29" s="187" t="s">
        <v>102</v>
      </c>
      <c r="P29" s="465">
        <f>P28/N28</f>
        <v>0.11330999999999997</v>
      </c>
    </row>
    <row r="30" spans="1:16" ht="16.5" thickBot="1">
      <c r="A30" s="2" t="s">
        <v>111</v>
      </c>
      <c r="C30" s="125">
        <v>2321582.1100000003</v>
      </c>
      <c r="D30" s="125">
        <v>2292755.2400000002</v>
      </c>
      <c r="E30" s="125">
        <f t="shared" si="0"/>
        <v>-28826.870000000112</v>
      </c>
      <c r="F30" s="571"/>
      <c r="G30" s="37"/>
      <c r="I30" s="200" t="s">
        <v>43</v>
      </c>
      <c r="J30" s="568">
        <v>23786</v>
      </c>
      <c r="K30" s="599">
        <v>7.4310000000000001E-2</v>
      </c>
      <c r="L30" s="196">
        <f t="shared" si="1"/>
        <v>1767.53766</v>
      </c>
      <c r="M30" s="200"/>
      <c r="N30" s="230">
        <f>N28-N29</f>
        <v>0</v>
      </c>
      <c r="O30" s="182"/>
      <c r="P30" s="198"/>
    </row>
    <row r="31" spans="1:16" ht="15.75">
      <c r="A31" s="384" t="s">
        <v>112</v>
      </c>
      <c r="C31" s="573">
        <v>0</v>
      </c>
      <c r="D31" s="573">
        <v>-17801.02</v>
      </c>
      <c r="E31" s="573">
        <f t="shared" si="0"/>
        <v>-17801.02</v>
      </c>
      <c r="F31" s="122"/>
      <c r="G31" s="39"/>
      <c r="I31" s="200" t="s">
        <v>74</v>
      </c>
      <c r="J31" s="568">
        <v>2338940</v>
      </c>
      <c r="K31" s="599">
        <v>5.4000000000000001E-4</v>
      </c>
      <c r="L31" s="196">
        <f t="shared" si="1"/>
        <v>1263.0276000000001</v>
      </c>
      <c r="M31" s="153"/>
      <c r="N31" s="7"/>
      <c r="O31" s="182"/>
      <c r="P31" s="198"/>
    </row>
    <row r="32" spans="1:16" ht="16.5" thickBot="1">
      <c r="A32" s="2" t="s">
        <v>116</v>
      </c>
      <c r="B32" s="2" t="s">
        <v>117</v>
      </c>
      <c r="C32" s="576">
        <v>2321582.1100000003</v>
      </c>
      <c r="D32" s="576">
        <v>2274954.2200000002</v>
      </c>
      <c r="E32" s="576">
        <f t="shared" si="0"/>
        <v>-46627.89000000013</v>
      </c>
      <c r="F32" s="571"/>
      <c r="G32" s="40"/>
      <c r="I32" s="199" t="s">
        <v>127</v>
      </c>
      <c r="J32" s="181">
        <f>SUM(J23:J31)</f>
        <v>6226148</v>
      </c>
      <c r="K32" s="7"/>
      <c r="L32" s="197">
        <f>SUM(L23:L31)</f>
        <v>477336.10763999994</v>
      </c>
      <c r="M32" s="192"/>
      <c r="N32" s="193"/>
      <c r="O32" s="7"/>
      <c r="P32" s="190"/>
    </row>
    <row r="33" spans="1:20" ht="17.25" thickTop="1" thickBot="1">
      <c r="A33" s="384" t="s">
        <v>113</v>
      </c>
      <c r="C33" s="576">
        <v>-42771.479999999996</v>
      </c>
      <c r="D33" s="576">
        <v>-44969.189999999995</v>
      </c>
      <c r="E33" s="576">
        <f t="shared" si="0"/>
        <v>-2197.7099999999991</v>
      </c>
      <c r="F33" s="571"/>
      <c r="G33" s="36"/>
      <c r="I33" s="186"/>
      <c r="J33" s="231">
        <v>6226148</v>
      </c>
      <c r="K33" s="187" t="s">
        <v>102</v>
      </c>
      <c r="L33" s="216">
        <f>L32/J32</f>
        <v>7.6666360587637802E-2</v>
      </c>
      <c r="M33" s="192"/>
      <c r="N33" s="193"/>
      <c r="O33" s="7"/>
      <c r="P33" s="98"/>
    </row>
    <row r="34" spans="1:20" ht="16.5" thickBot="1">
      <c r="A34" s="2" t="s">
        <v>114</v>
      </c>
      <c r="C34" s="125">
        <v>2278810.6300000004</v>
      </c>
      <c r="D34" s="125">
        <v>2229985.0300000003</v>
      </c>
      <c r="E34" s="125">
        <f t="shared" si="0"/>
        <v>-48825.600000000093</v>
      </c>
      <c r="F34" s="571"/>
      <c r="G34" s="36"/>
      <c r="I34" s="153"/>
      <c r="J34" s="230">
        <f>J32-J33</f>
        <v>0</v>
      </c>
      <c r="K34" s="7"/>
      <c r="L34" s="98"/>
      <c r="M34" s="192"/>
      <c r="N34" s="191"/>
      <c r="O34" s="7"/>
      <c r="P34" s="98"/>
    </row>
    <row r="35" spans="1:20" ht="18" customHeight="1">
      <c r="A35" s="2"/>
      <c r="C35" s="101"/>
      <c r="D35" s="101"/>
      <c r="E35" s="101">
        <f t="shared" si="0"/>
        <v>0</v>
      </c>
      <c r="F35" s="571"/>
      <c r="G35" s="36"/>
      <c r="I35" s="184"/>
      <c r="J35" s="12"/>
      <c r="K35" s="12"/>
      <c r="L35" s="185"/>
      <c r="M35" s="199" t="s">
        <v>128</v>
      </c>
      <c r="N35" s="637"/>
      <c r="O35" s="637"/>
      <c r="P35" s="638"/>
    </row>
    <row r="36" spans="1:20" ht="15.75">
      <c r="A36" s="16" t="s">
        <v>94</v>
      </c>
      <c r="B36" s="2"/>
      <c r="C36" s="100"/>
      <c r="D36" s="100"/>
      <c r="E36" s="100">
        <f t="shared" si="0"/>
        <v>0</v>
      </c>
      <c r="F36" s="100"/>
      <c r="G36" s="36"/>
      <c r="I36" s="199" t="s">
        <v>128</v>
      </c>
      <c r="J36" s="7"/>
      <c r="K36" s="7"/>
      <c r="L36" s="98"/>
      <c r="M36" s="200" t="s">
        <v>37</v>
      </c>
      <c r="N36" s="611">
        <f>N23</f>
        <v>986275</v>
      </c>
      <c r="O36" s="599">
        <v>0.23895</v>
      </c>
      <c r="P36" s="196">
        <f t="shared" ref="P36:P42" si="3">N36*O36</f>
        <v>235670.41125</v>
      </c>
      <c r="S36" s="273"/>
      <c r="T36" s="273"/>
    </row>
    <row r="37" spans="1:20" ht="15.75">
      <c r="A37" s="410" t="s">
        <v>129</v>
      </c>
      <c r="B37" s="614" t="s">
        <v>115</v>
      </c>
      <c r="C37" s="615">
        <v>8310205.4500000002</v>
      </c>
      <c r="D37" s="615">
        <v>7642183.6399999997</v>
      </c>
      <c r="E37" s="615">
        <f t="shared" si="0"/>
        <v>-668021.81000000052</v>
      </c>
      <c r="F37" s="122" t="s">
        <v>320</v>
      </c>
      <c r="G37" s="36"/>
      <c r="I37" s="200" t="s">
        <v>37</v>
      </c>
      <c r="J37" s="611">
        <f>J23</f>
        <v>2080707</v>
      </c>
      <c r="K37" s="599">
        <v>0.23860000000000001</v>
      </c>
      <c r="L37" s="196">
        <f t="shared" ref="L37:L44" si="4">J37*K37</f>
        <v>496456.69020000001</v>
      </c>
      <c r="M37" s="200" t="s">
        <v>38</v>
      </c>
      <c r="N37" s="611">
        <f>N24</f>
        <v>1366641</v>
      </c>
      <c r="O37" s="599">
        <v>0.23895</v>
      </c>
      <c r="P37" s="196">
        <f t="shared" si="3"/>
        <v>326558.86695</v>
      </c>
      <c r="S37" s="273"/>
      <c r="T37" s="273"/>
    </row>
    <row r="38" spans="1:20" ht="15.75">
      <c r="A38" s="144" t="s">
        <v>14</v>
      </c>
      <c r="B38" s="613" t="s">
        <v>115</v>
      </c>
      <c r="C38" s="573">
        <v>0</v>
      </c>
      <c r="D38" s="573">
        <v>0</v>
      </c>
      <c r="E38" s="573">
        <f t="shared" si="0"/>
        <v>0</v>
      </c>
      <c r="F38" s="122"/>
      <c r="G38" s="36"/>
      <c r="I38" s="200" t="s">
        <v>306</v>
      </c>
      <c r="J38" s="611">
        <f>J24</f>
        <v>2393</v>
      </c>
      <c r="K38" s="599">
        <v>0.23860000000000001</v>
      </c>
      <c r="L38" s="196">
        <f t="shared" si="4"/>
        <v>570.96979999999996</v>
      </c>
      <c r="M38" s="200" t="s">
        <v>39</v>
      </c>
      <c r="N38" s="611">
        <f>N25</f>
        <v>82239</v>
      </c>
      <c r="O38" s="599">
        <v>0.23895</v>
      </c>
      <c r="P38" s="196">
        <f t="shared" si="3"/>
        <v>19651.009050000001</v>
      </c>
      <c r="S38" s="273"/>
      <c r="T38" s="273"/>
    </row>
    <row r="39" spans="1:20" ht="15.75">
      <c r="A39" s="7" t="s">
        <v>146</v>
      </c>
      <c r="B39" s="613" t="s">
        <v>147</v>
      </c>
      <c r="C39" s="573">
        <v>-1156.3399999999999</v>
      </c>
      <c r="D39" s="573">
        <v>-54851.29</v>
      </c>
      <c r="E39" s="573">
        <f t="shared" si="0"/>
        <v>-53694.950000000004</v>
      </c>
      <c r="F39" s="122"/>
      <c r="G39" s="36"/>
      <c r="I39" s="200" t="s">
        <v>38</v>
      </c>
      <c r="J39" s="611">
        <f t="shared" ref="J39:J44" si="5">J25</f>
        <v>1463939</v>
      </c>
      <c r="K39" s="599">
        <v>0.23860000000000001</v>
      </c>
      <c r="L39" s="196">
        <f t="shared" si="4"/>
        <v>349295.84539999999</v>
      </c>
      <c r="M39" s="200" t="s">
        <v>40</v>
      </c>
      <c r="N39" s="611">
        <f>N26</f>
        <v>0</v>
      </c>
      <c r="O39" s="599">
        <v>0.23895</v>
      </c>
      <c r="P39" s="196">
        <f t="shared" si="3"/>
        <v>0</v>
      </c>
      <c r="S39" s="273"/>
      <c r="T39" s="273"/>
    </row>
    <row r="40" spans="1:20" ht="15.75">
      <c r="A40" s="7" t="s">
        <v>131</v>
      </c>
      <c r="B40" s="613" t="s">
        <v>132</v>
      </c>
      <c r="C40" s="573">
        <v>261096.29</v>
      </c>
      <c r="D40" s="573">
        <v>306159.90999999997</v>
      </c>
      <c r="E40" s="573">
        <f t="shared" si="0"/>
        <v>45063.619999999966</v>
      </c>
      <c r="F40" s="122"/>
      <c r="G40" s="36"/>
      <c r="I40" s="200" t="s">
        <v>39</v>
      </c>
      <c r="J40" s="611">
        <f t="shared" si="5"/>
        <v>0</v>
      </c>
      <c r="K40" s="599">
        <v>0.23860000000000001</v>
      </c>
      <c r="L40" s="196">
        <f t="shared" si="4"/>
        <v>0</v>
      </c>
      <c r="M40" s="200" t="s">
        <v>41</v>
      </c>
      <c r="N40" s="611">
        <f>N27</f>
        <v>0</v>
      </c>
      <c r="O40" s="599">
        <v>0.23895</v>
      </c>
      <c r="P40" s="196">
        <f t="shared" si="3"/>
        <v>0</v>
      </c>
      <c r="S40" s="273"/>
      <c r="T40" s="273"/>
    </row>
    <row r="41" spans="1:20" ht="15.75">
      <c r="A41" s="7" t="s">
        <v>153</v>
      </c>
      <c r="B41" s="6" t="s">
        <v>155</v>
      </c>
      <c r="C41" s="573">
        <v>21511.93</v>
      </c>
      <c r="D41" s="573">
        <v>54490.6</v>
      </c>
      <c r="E41" s="573">
        <f t="shared" si="0"/>
        <v>32978.67</v>
      </c>
      <c r="F41" s="122"/>
      <c r="G41" s="36"/>
      <c r="I41" s="200" t="s">
        <v>40</v>
      </c>
      <c r="J41" s="611">
        <f t="shared" si="5"/>
        <v>291721</v>
      </c>
      <c r="K41" s="599">
        <v>0.23860000000000001</v>
      </c>
      <c r="L41" s="196">
        <f t="shared" si="4"/>
        <v>69604.630600000004</v>
      </c>
      <c r="M41" s="200" t="s">
        <v>42</v>
      </c>
      <c r="N41" s="568">
        <v>0</v>
      </c>
      <c r="O41" s="599">
        <v>0.23895</v>
      </c>
      <c r="P41" s="196">
        <f t="shared" si="3"/>
        <v>0</v>
      </c>
      <c r="S41" s="273"/>
      <c r="T41" s="273"/>
    </row>
    <row r="42" spans="1:20" ht="16.5" thickBot="1">
      <c r="A42" s="7" t="s">
        <v>178</v>
      </c>
      <c r="B42" s="613" t="s">
        <v>179</v>
      </c>
      <c r="C42" s="573">
        <v>371821.59</v>
      </c>
      <c r="D42" s="573">
        <v>350599.55</v>
      </c>
      <c r="E42" s="573">
        <f t="shared" si="0"/>
        <v>-21222.040000000037</v>
      </c>
      <c r="F42" s="122"/>
      <c r="G42" s="37"/>
      <c r="I42" s="200" t="s">
        <v>41</v>
      </c>
      <c r="J42" s="611">
        <f t="shared" si="5"/>
        <v>24662</v>
      </c>
      <c r="K42" s="599">
        <v>0.23860000000000001</v>
      </c>
      <c r="L42" s="196">
        <f t="shared" si="4"/>
        <v>5884.3532000000005</v>
      </c>
      <c r="M42" s="200" t="s">
        <v>43</v>
      </c>
      <c r="N42" s="612">
        <v>0</v>
      </c>
      <c r="O42" s="599">
        <v>0.23895</v>
      </c>
      <c r="P42" s="196">
        <f t="shared" si="3"/>
        <v>0</v>
      </c>
      <c r="S42" s="273"/>
      <c r="T42" s="273"/>
    </row>
    <row r="43" spans="1:20" ht="16.5" thickBot="1">
      <c r="A43" s="85" t="s">
        <v>123</v>
      </c>
      <c r="B43" s="12"/>
      <c r="C43" s="125">
        <v>8963478.9199999999</v>
      </c>
      <c r="D43" s="125">
        <v>8298582.4099999992</v>
      </c>
      <c r="E43" s="125">
        <f t="shared" si="0"/>
        <v>-664896.51000000071</v>
      </c>
      <c r="F43" s="571"/>
      <c r="G43" s="36"/>
      <c r="I43" s="200" t="s">
        <v>42</v>
      </c>
      <c r="J43" s="611">
        <f t="shared" si="5"/>
        <v>0</v>
      </c>
      <c r="K43" s="599">
        <v>0.23860000000000001</v>
      </c>
      <c r="L43" s="196">
        <f t="shared" si="4"/>
        <v>0</v>
      </c>
      <c r="M43" s="199" t="s">
        <v>133</v>
      </c>
      <c r="N43" s="181">
        <f>SUM(N36:N42)</f>
        <v>2435155</v>
      </c>
      <c r="O43" s="182"/>
      <c r="P43" s="197">
        <f>SUM(P36:P42)</f>
        <v>581880.28725000005</v>
      </c>
    </row>
    <row r="44" spans="1:20" ht="16.5" thickBot="1">
      <c r="A44" s="616" t="s">
        <v>177</v>
      </c>
      <c r="B44" s="617" t="s">
        <v>120</v>
      </c>
      <c r="C44" s="615">
        <v>-454618.72999999992</v>
      </c>
      <c r="D44" s="615">
        <v>-1686409.35</v>
      </c>
      <c r="E44" s="615">
        <f t="shared" si="0"/>
        <v>-1231790.6200000001</v>
      </c>
      <c r="F44" s="122" t="s">
        <v>321</v>
      </c>
      <c r="G44" s="37"/>
      <c r="I44" s="200" t="s">
        <v>43</v>
      </c>
      <c r="J44" s="611">
        <f t="shared" si="5"/>
        <v>23786</v>
      </c>
      <c r="K44" s="599">
        <v>0.23860000000000001</v>
      </c>
      <c r="L44" s="196">
        <f t="shared" si="4"/>
        <v>5675.3396000000002</v>
      </c>
      <c r="M44" s="194"/>
      <c r="N44" s="232">
        <v>2435155</v>
      </c>
      <c r="O44" s="189" t="s">
        <v>102</v>
      </c>
      <c r="P44" s="217">
        <f>P43/N43</f>
        <v>0.23895000000000002</v>
      </c>
    </row>
    <row r="45" spans="1:20" ht="16.5" thickBot="1">
      <c r="A45" s="211" t="s">
        <v>168</v>
      </c>
      <c r="B45" s="6" t="s">
        <v>115</v>
      </c>
      <c r="C45" s="122">
        <v>0</v>
      </c>
      <c r="D45" s="122">
        <v>0</v>
      </c>
      <c r="E45" s="122">
        <f t="shared" si="0"/>
        <v>0</v>
      </c>
      <c r="F45" s="122"/>
      <c r="G45" s="39"/>
      <c r="I45" s="199" t="s">
        <v>133</v>
      </c>
      <c r="J45" s="181">
        <f>SUM(J37:J44)</f>
        <v>3887208</v>
      </c>
      <c r="K45" s="182"/>
      <c r="L45" s="197">
        <f>SUM(L37:L44)</f>
        <v>927487.82880000002</v>
      </c>
      <c r="M45" s="85"/>
      <c r="N45" s="231"/>
      <c r="O45" s="187"/>
      <c r="P45" s="560"/>
    </row>
    <row r="46" spans="1:20" ht="19.5" customHeight="1" thickTop="1" thickBot="1">
      <c r="A46" s="144" t="s">
        <v>169</v>
      </c>
      <c r="B46" s="6" t="s">
        <v>115</v>
      </c>
      <c r="C46" s="122">
        <v>0</v>
      </c>
      <c r="D46" s="122">
        <v>0</v>
      </c>
      <c r="E46" s="122">
        <f t="shared" si="0"/>
        <v>0</v>
      </c>
      <c r="F46" s="122"/>
      <c r="G46" s="40"/>
      <c r="I46" s="188"/>
      <c r="J46" s="232">
        <v>3887208</v>
      </c>
      <c r="K46" s="189" t="s">
        <v>102</v>
      </c>
      <c r="L46" s="215">
        <f>L45/J45</f>
        <v>0.23860000000000001</v>
      </c>
      <c r="M46" s="85"/>
      <c r="N46" s="231"/>
      <c r="O46" s="187"/>
      <c r="P46" s="560"/>
    </row>
    <row r="47" spans="1:20" ht="19.5" customHeight="1">
      <c r="A47" s="384" t="s">
        <v>137</v>
      </c>
      <c r="B47" s="6" t="s">
        <v>115</v>
      </c>
      <c r="C47" s="573">
        <v>0</v>
      </c>
      <c r="D47" s="573">
        <v>0</v>
      </c>
      <c r="E47" s="573">
        <f t="shared" si="0"/>
        <v>0</v>
      </c>
      <c r="F47" s="122"/>
      <c r="G47" s="36"/>
      <c r="I47" s="385"/>
      <c r="J47" s="230">
        <f>J45-J46</f>
        <v>0</v>
      </c>
      <c r="K47" s="385"/>
      <c r="L47" s="385"/>
      <c r="M47" s="124"/>
      <c r="N47" s="230">
        <f>N43-N44</f>
        <v>0</v>
      </c>
      <c r="O47" s="385"/>
      <c r="P47" s="124"/>
    </row>
    <row r="48" spans="1:20" ht="16.5" thickBot="1">
      <c r="A48" s="144" t="s">
        <v>305</v>
      </c>
      <c r="B48" s="6" t="s">
        <v>115</v>
      </c>
      <c r="C48" s="573">
        <v>7000</v>
      </c>
      <c r="D48" s="573">
        <v>7000</v>
      </c>
      <c r="E48" s="573">
        <f t="shared" si="0"/>
        <v>0</v>
      </c>
      <c r="F48" s="122"/>
      <c r="G48" s="36"/>
      <c r="I48" s="385"/>
      <c r="J48" s="385"/>
      <c r="K48" s="385"/>
      <c r="L48" s="385"/>
      <c r="M48" s="124"/>
      <c r="N48" s="114"/>
      <c r="O48" s="385"/>
      <c r="P48" s="68"/>
    </row>
    <row r="49" spans="1:24" ht="15.75">
      <c r="A49" s="7" t="s">
        <v>130</v>
      </c>
      <c r="B49" s="613" t="s">
        <v>152</v>
      </c>
      <c r="C49" s="573">
        <v>27365.119999999999</v>
      </c>
      <c r="D49" s="573">
        <v>17272.150000000001</v>
      </c>
      <c r="E49" s="573">
        <f t="shared" si="0"/>
        <v>-10092.969999999998</v>
      </c>
      <c r="F49" s="122"/>
      <c r="G49" s="36"/>
      <c r="I49" s="385"/>
      <c r="J49" s="114"/>
      <c r="K49" s="129" t="s">
        <v>35</v>
      </c>
      <c r="L49" s="13" t="s">
        <v>35</v>
      </c>
      <c r="M49" s="13" t="s">
        <v>63</v>
      </c>
      <c r="N49" s="127" t="s">
        <v>70</v>
      </c>
      <c r="O49" s="124"/>
      <c r="P49" s="385"/>
    </row>
    <row r="50" spans="1:24" ht="16.5" thickBot="1">
      <c r="A50" s="7" t="s">
        <v>222</v>
      </c>
      <c r="B50" s="613" t="s">
        <v>152</v>
      </c>
      <c r="C50" s="573">
        <v>700.49</v>
      </c>
      <c r="D50" s="573">
        <v>1011.96</v>
      </c>
      <c r="E50" s="573">
        <f t="shared" si="0"/>
        <v>311.47000000000003</v>
      </c>
      <c r="F50" s="122"/>
      <c r="G50" s="37"/>
      <c r="I50" s="50" t="s">
        <v>73</v>
      </c>
      <c r="J50" s="385"/>
      <c r="K50" s="130" t="s">
        <v>2</v>
      </c>
      <c r="L50" s="131" t="s">
        <v>3</v>
      </c>
      <c r="M50" s="131" t="s">
        <v>2</v>
      </c>
      <c r="N50" s="128" t="s">
        <v>3</v>
      </c>
      <c r="O50" s="385"/>
      <c r="P50" s="385"/>
    </row>
    <row r="51" spans="1:24" ht="15.75">
      <c r="A51" s="7" t="s">
        <v>309</v>
      </c>
      <c r="B51" s="613" t="s">
        <v>152</v>
      </c>
      <c r="C51" s="573">
        <v>4150.05</v>
      </c>
      <c r="D51" s="573">
        <v>4806.32</v>
      </c>
      <c r="E51" s="573">
        <f t="shared" si="0"/>
        <v>656.26999999999953</v>
      </c>
      <c r="F51" s="122"/>
      <c r="G51" s="36"/>
      <c r="I51" s="385"/>
      <c r="J51" s="385"/>
      <c r="K51" s="151"/>
      <c r="L51" s="152"/>
      <c r="M51" s="152"/>
      <c r="N51" s="152"/>
      <c r="O51" s="126" t="s">
        <v>103</v>
      </c>
      <c r="P51" s="385"/>
    </row>
    <row r="52" spans="1:24" ht="15.75">
      <c r="A52" s="22" t="s">
        <v>118</v>
      </c>
      <c r="B52" s="6"/>
      <c r="C52" s="603">
        <v>42771.479999999996</v>
      </c>
      <c r="D52" s="603">
        <v>44969.189999999995</v>
      </c>
      <c r="E52" s="603">
        <f t="shared" si="0"/>
        <v>2197.7099999999991</v>
      </c>
      <c r="F52" s="100"/>
      <c r="G52" s="33"/>
      <c r="I52" s="385" t="s">
        <v>136</v>
      </c>
      <c r="J52" s="385"/>
      <c r="K52" s="212">
        <f>N12</f>
        <v>-1181306.4701039996</v>
      </c>
      <c r="L52" s="115">
        <f>L14</f>
        <v>1572808.4416590002</v>
      </c>
      <c r="M52" s="115">
        <f>O12</f>
        <v>-741303.40989599982</v>
      </c>
      <c r="N52" s="115">
        <f>M14</f>
        <v>657176.58834100014</v>
      </c>
      <c r="O52" s="132">
        <f>SUM(K52:N52)</f>
        <v>307375.15000000095</v>
      </c>
      <c r="P52" s="385"/>
    </row>
    <row r="53" spans="1:24" ht="16.5" thickBot="1">
      <c r="A53" s="385" t="s">
        <v>316</v>
      </c>
      <c r="B53" s="613" t="s">
        <v>317</v>
      </c>
      <c r="C53" s="573">
        <v>50484.03</v>
      </c>
      <c r="D53" s="573">
        <v>44496.21</v>
      </c>
      <c r="E53" s="573">
        <f t="shared" si="0"/>
        <v>-5987.82</v>
      </c>
      <c r="F53" s="122"/>
      <c r="G53" s="33"/>
      <c r="I53" s="384" t="s">
        <v>109</v>
      </c>
      <c r="K53" s="212">
        <f>-L45</f>
        <v>-927487.82880000002</v>
      </c>
      <c r="L53" s="115">
        <f>-L32</f>
        <v>-477336.10763999994</v>
      </c>
      <c r="M53" s="115">
        <f>-P43</f>
        <v>-581880.28725000005</v>
      </c>
      <c r="N53" s="115">
        <f>-P28</f>
        <v>-275927.41304999992</v>
      </c>
      <c r="O53" s="261">
        <f>SUM(K53:N53)</f>
        <v>-2262631.63674</v>
      </c>
    </row>
    <row r="54" spans="1:24" ht="16.5" thickBot="1">
      <c r="A54" s="202" t="s">
        <v>124</v>
      </c>
      <c r="B54" s="618" t="s">
        <v>297</v>
      </c>
      <c r="C54" s="615">
        <v>-10242621.720000001</v>
      </c>
      <c r="D54" s="615">
        <v>-8179991.8699999992</v>
      </c>
      <c r="E54" s="615">
        <f t="shared" si="0"/>
        <v>2062629.8500000015</v>
      </c>
      <c r="F54" s="122" t="s">
        <v>322</v>
      </c>
      <c r="G54" s="36"/>
      <c r="I54" s="384" t="s">
        <v>86</v>
      </c>
      <c r="K54" s="234">
        <v>0</v>
      </c>
      <c r="L54" s="235">
        <v>0</v>
      </c>
      <c r="M54" s="235">
        <v>0</v>
      </c>
      <c r="N54" s="236">
        <v>0</v>
      </c>
      <c r="O54" s="214">
        <f>SUM(O52:O53)</f>
        <v>-1955256.4867399991</v>
      </c>
    </row>
    <row r="55" spans="1:24" ht="16.5" thickBot="1">
      <c r="A55" s="384" t="s">
        <v>313</v>
      </c>
      <c r="B55" s="6" t="s">
        <v>190</v>
      </c>
      <c r="C55" s="573">
        <v>-375000</v>
      </c>
      <c r="D55" s="573">
        <v>-375000</v>
      </c>
      <c r="E55" s="573">
        <f t="shared" si="0"/>
        <v>0</v>
      </c>
      <c r="F55" s="122"/>
      <c r="G55" s="36"/>
      <c r="I55" s="384" t="s">
        <v>71</v>
      </c>
      <c r="K55" s="125">
        <f>IFERROR(K52+K53+K54,0)</f>
        <v>-2108794.2989039999</v>
      </c>
      <c r="L55" s="125">
        <f>L52+L53+L54</f>
        <v>1095472.3340190002</v>
      </c>
      <c r="M55" s="125">
        <f>IFERROR(M52+M53+M54,0)</f>
        <v>-1323183.6971459999</v>
      </c>
      <c r="N55" s="125">
        <f>N52+N53+N54</f>
        <v>381249.17529100023</v>
      </c>
      <c r="O55" s="47">
        <f>SUM(K55:N55)</f>
        <v>-1955256.4867399994</v>
      </c>
    </row>
    <row r="56" spans="1:24" ht="16.5" thickBot="1">
      <c r="A56" s="82" t="s">
        <v>119</v>
      </c>
      <c r="B56" s="84"/>
      <c r="C56" s="160">
        <v>-1976290.3600000013</v>
      </c>
      <c r="D56" s="160">
        <v>-1823262.9799999995</v>
      </c>
      <c r="E56" s="160">
        <f t="shared" si="0"/>
        <v>153027.38000000175</v>
      </c>
      <c r="F56" s="571"/>
      <c r="G56" s="36"/>
      <c r="I56" s="240" t="s">
        <v>181</v>
      </c>
      <c r="K56" s="384" t="s">
        <v>173</v>
      </c>
      <c r="L56" s="5">
        <f>SUM(K55:L55)</f>
        <v>-1013321.9648849997</v>
      </c>
      <c r="M56" s="15" t="s">
        <v>174</v>
      </c>
      <c r="N56" s="384">
        <f>SUM(M55:N55)</f>
        <v>-941934.52185499971</v>
      </c>
      <c r="O56" s="213">
        <f>ROUND(O54-O55,3)</f>
        <v>0</v>
      </c>
      <c r="W56" s="42"/>
    </row>
    <row r="57" spans="1:24" ht="16.5" thickTop="1">
      <c r="A57" s="384" t="s">
        <v>121</v>
      </c>
      <c r="B57" s="6" t="s">
        <v>115</v>
      </c>
      <c r="C57" s="573">
        <v>1710.99</v>
      </c>
      <c r="D57" s="573">
        <v>-60364.39</v>
      </c>
      <c r="E57" s="573">
        <f t="shared" si="0"/>
        <v>-62075.38</v>
      </c>
      <c r="F57" s="122"/>
      <c r="G57" s="36"/>
      <c r="I57" s="397" t="s">
        <v>181</v>
      </c>
      <c r="K57" s="96"/>
    </row>
    <row r="58" spans="1:24" ht="16.5" thickBot="1">
      <c r="A58" s="384" t="s">
        <v>122</v>
      </c>
      <c r="B58" s="6" t="s">
        <v>115</v>
      </c>
      <c r="C58" s="573">
        <v>465.53</v>
      </c>
      <c r="D58" s="573">
        <v>-38982.51</v>
      </c>
      <c r="E58" s="573">
        <f t="shared" si="0"/>
        <v>-39448.04</v>
      </c>
      <c r="F58" s="122"/>
      <c r="G58" s="36"/>
      <c r="I58" s="397" t="s">
        <v>182</v>
      </c>
      <c r="K58" s="157"/>
      <c r="L58" s="120"/>
      <c r="M58" s="120"/>
      <c r="N58" s="204"/>
      <c r="O58" s="120"/>
    </row>
    <row r="59" spans="1:24" ht="16.5" thickBot="1">
      <c r="A59" s="2" t="s">
        <v>125</v>
      </c>
      <c r="B59" s="2"/>
      <c r="C59" s="160">
        <v>-1974113.8400000012</v>
      </c>
      <c r="D59" s="160">
        <v>-1922609.8799999994</v>
      </c>
      <c r="E59" s="160">
        <f t="shared" si="0"/>
        <v>51503.960000001825</v>
      </c>
      <c r="F59" s="571"/>
      <c r="G59" s="36"/>
      <c r="I59" s="546" t="s">
        <v>304</v>
      </c>
      <c r="J59" s="547" t="str">
        <f>IF(OR(AND(L56&gt;0,N56&gt;0),AND(L56&lt;0,N56&lt;0)),"OK","ERROR")</f>
        <v>OK</v>
      </c>
      <c r="K59" s="386" t="s">
        <v>295</v>
      </c>
      <c r="L59" s="387"/>
    </row>
    <row r="60" spans="1:24" ht="17.25" thickTop="1" thickBot="1">
      <c r="A60" s="2"/>
      <c r="C60" s="101"/>
      <c r="D60" s="101"/>
      <c r="E60" s="101">
        <f t="shared" si="0"/>
        <v>0</v>
      </c>
      <c r="F60" s="571"/>
      <c r="G60" s="36"/>
      <c r="K60" s="318" t="s">
        <v>175</v>
      </c>
      <c r="L60" s="319" t="s">
        <v>176</v>
      </c>
      <c r="M60" s="5"/>
    </row>
    <row r="61" spans="1:24" ht="16.5" thickBot="1">
      <c r="A61" s="9"/>
      <c r="B61" s="9" t="s">
        <v>95</v>
      </c>
      <c r="C61" s="125">
        <v>304696.78999999911</v>
      </c>
      <c r="D61" s="125">
        <v>307375.15000000084</v>
      </c>
      <c r="E61" s="125">
        <f t="shared" si="0"/>
        <v>2678.3600000017323</v>
      </c>
      <c r="F61" s="571"/>
      <c r="G61" s="36"/>
      <c r="K61" s="349" t="e">
        <f>'WA - Def-Amtz (current)'!BJ6+'WA - Def-Amtz (current)'!BJ8+'WA - Def-Amtz (current)'!BJ42+'WA - Def-Amtz (current)'!BJ43+'WA - Def-Amtz (current)'!BJ76+#REF!+#REF!+#REF!+#REF!</f>
        <v>#REF!</v>
      </c>
      <c r="L61" s="449" t="e">
        <f>'WA - Def-Amtz (current)'!BK7+'WA - Def-Amtz (current)'!BK44+'WA - Def-Amtz (current)'!BK77+#REF!+#REF!+#REF!+#REF!</f>
        <v>#REF!</v>
      </c>
      <c r="M61" s="384">
        <f>K53+L53+M53+N53</f>
        <v>-2262631.63674</v>
      </c>
    </row>
    <row r="62" spans="1:24" ht="15.75">
      <c r="A62" s="2"/>
      <c r="B62" s="9" t="s">
        <v>160</v>
      </c>
      <c r="C62" s="610">
        <v>304696.78999999998</v>
      </c>
      <c r="D62" s="610">
        <v>307375.15000000002</v>
      </c>
      <c r="E62" s="610">
        <f t="shared" si="0"/>
        <v>2678.3600000000442</v>
      </c>
      <c r="F62" s="619"/>
      <c r="G62" s="37"/>
      <c r="J62" s="5"/>
      <c r="L62" s="338" t="e">
        <f>K61-L61</f>
        <v>#REF!</v>
      </c>
      <c r="Q62" s="5"/>
      <c r="R62" s="5"/>
      <c r="S62" s="21"/>
    </row>
    <row r="63" spans="1:24" ht="15.75">
      <c r="A63" s="9"/>
      <c r="B63" s="9" t="s">
        <v>159</v>
      </c>
      <c r="C63" s="257">
        <v>0</v>
      </c>
      <c r="D63" s="257">
        <v>0</v>
      </c>
      <c r="E63" s="257">
        <f t="shared" si="0"/>
        <v>0</v>
      </c>
      <c r="F63" s="100"/>
      <c r="V63" s="6"/>
    </row>
    <row r="64" spans="1:24" ht="15.75">
      <c r="A64" s="44"/>
      <c r="C64" s="351"/>
      <c r="D64" s="351"/>
      <c r="E64" s="351"/>
      <c r="F64" s="620"/>
      <c r="G64" s="36"/>
      <c r="Q64" s="22"/>
      <c r="X64" s="2"/>
    </row>
    <row r="65" spans="1:24" ht="15.75">
      <c r="A65" s="44"/>
      <c r="C65" s="8"/>
      <c r="D65" s="8"/>
      <c r="E65" s="8"/>
      <c r="F65" s="8"/>
      <c r="G65" s="43"/>
      <c r="Q65" s="22"/>
      <c r="V65" s="23"/>
    </row>
    <row r="66" spans="1:24" ht="15.75">
      <c r="A66" s="2"/>
      <c r="C66" s="8"/>
      <c r="D66" s="8"/>
      <c r="E66" s="8"/>
      <c r="F66" s="8"/>
      <c r="G66" s="36"/>
      <c r="Q66" s="22"/>
      <c r="V66" s="24"/>
    </row>
    <row r="67" spans="1:24">
      <c r="C67" s="100"/>
      <c r="D67" s="100"/>
      <c r="E67" s="100"/>
      <c r="F67" s="100"/>
      <c r="G67" s="36"/>
      <c r="Q67" s="22"/>
      <c r="V67" s="25"/>
    </row>
    <row r="68" spans="1:24">
      <c r="G68" s="36"/>
      <c r="Q68" s="22"/>
      <c r="V68" s="24"/>
    </row>
    <row r="69" spans="1:24">
      <c r="G69" s="36"/>
      <c r="Q69" s="22"/>
    </row>
    <row r="70" spans="1:24">
      <c r="G70" s="37"/>
      <c r="Q70" s="22"/>
      <c r="V70" s="26"/>
    </row>
    <row r="71" spans="1:24">
      <c r="G71" s="36"/>
    </row>
    <row r="72" spans="1:24">
      <c r="G72" s="36"/>
    </row>
    <row r="73" spans="1:24">
      <c r="G73" s="36"/>
      <c r="V73" s="27"/>
    </row>
    <row r="74" spans="1:24">
      <c r="G74" s="45"/>
      <c r="U74" s="6"/>
      <c r="V74" s="6"/>
      <c r="W74" s="6"/>
    </row>
    <row r="76" spans="1:24">
      <c r="X76" s="28"/>
    </row>
    <row r="1477" spans="3:4">
      <c r="C1477" s="384">
        <v>-2130</v>
      </c>
      <c r="D1477" s="384">
        <v>-2130</v>
      </c>
    </row>
    <row r="1485" spans="3:4">
      <c r="C1485" s="384">
        <v>7002168</v>
      </c>
      <c r="D1485" s="384">
        <v>7002168</v>
      </c>
    </row>
  </sheetData>
  <mergeCells count="3">
    <mergeCell ref="I18:L18"/>
    <mergeCell ref="M18:P18"/>
    <mergeCell ref="N35:P35"/>
  </mergeCells>
  <conditionalFormatting sqref="D63 O56 L62">
    <cfRule type="cellIs" dxfId="251" priority="15" stopIfTrue="1" operator="equal">
      <formula>0</formula>
    </cfRule>
    <cfRule type="cellIs" dxfId="250" priority="16" stopIfTrue="1" operator="notEqual">
      <formula>0</formula>
    </cfRule>
  </conditionalFormatting>
  <conditionalFormatting sqref="J34 J47 N30 N47">
    <cfRule type="cellIs" dxfId="249" priority="14" operator="notEqual">
      <formula>0</formula>
    </cfRule>
  </conditionalFormatting>
  <conditionalFormatting sqref="D63">
    <cfRule type="cellIs" dxfId="248" priority="12" stopIfTrue="1" operator="equal">
      <formula>0</formula>
    </cfRule>
    <cfRule type="cellIs" dxfId="247" priority="13" stopIfTrue="1" operator="notEqual">
      <formula>0</formula>
    </cfRule>
  </conditionalFormatting>
  <conditionalFormatting sqref="N30">
    <cfRule type="cellIs" dxfId="246" priority="11" operator="notEqual">
      <formula>0</formula>
    </cfRule>
  </conditionalFormatting>
  <conditionalFormatting sqref="J59">
    <cfRule type="cellIs" dxfId="245" priority="10" operator="equal">
      <formula>"ERROR"</formula>
    </cfRule>
  </conditionalFormatting>
  <conditionalFormatting sqref="J59">
    <cfRule type="cellIs" dxfId="244" priority="9" operator="equal">
      <formula>"ERROR"</formula>
    </cfRule>
  </conditionalFormatting>
  <conditionalFormatting sqref="C63">
    <cfRule type="cellIs" dxfId="243" priority="7" stopIfTrue="1" operator="equal">
      <formula>0</formula>
    </cfRule>
    <cfRule type="cellIs" dxfId="242" priority="8" stopIfTrue="1" operator="notEqual">
      <formula>0</formula>
    </cfRule>
  </conditionalFormatting>
  <conditionalFormatting sqref="C63">
    <cfRule type="cellIs" dxfId="241" priority="5" stopIfTrue="1" operator="equal">
      <formula>0</formula>
    </cfRule>
    <cfRule type="cellIs" dxfId="240" priority="6" stopIfTrue="1" operator="notEqual">
      <formula>0</formula>
    </cfRule>
  </conditionalFormatting>
  <conditionalFormatting sqref="E63:F63">
    <cfRule type="cellIs" dxfId="239" priority="3" stopIfTrue="1" operator="equal">
      <formula>0</formula>
    </cfRule>
    <cfRule type="cellIs" dxfId="238" priority="4" stopIfTrue="1" operator="notEqual">
      <formula>0</formula>
    </cfRule>
  </conditionalFormatting>
  <conditionalFormatting sqref="E63:F63">
    <cfRule type="cellIs" dxfId="237" priority="1" stopIfTrue="1" operator="equal">
      <formula>0</formula>
    </cfRule>
    <cfRule type="cellIs" dxfId="236" priority="2" stopIfTrue="1" operator="notEqual">
      <formula>0</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customProperties>
    <customPr name="xxe4aPID" r:id="rId2"/>
  </customProperties>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13">
    <tabColor rgb="FF00CC66"/>
    <pageSetUpPr fitToPage="1"/>
  </sheetPr>
  <dimension ref="A1:U1485"/>
  <sheetViews>
    <sheetView showGridLines="0" topLeftCell="A35" zoomScale="70" zoomScaleNormal="70" workbookViewId="0">
      <selection activeCell="B67" sqref="B67"/>
    </sheetView>
  </sheetViews>
  <sheetFormatPr defaultColWidth="16" defaultRowHeight="15"/>
  <cols>
    <col min="1" max="1" width="44.85546875" style="384" customWidth="1"/>
    <col min="2" max="2" width="25.5703125" style="384" customWidth="1"/>
    <col min="3" max="3" width="25.28515625" style="384" customWidth="1"/>
    <col min="4" max="4" width="2.7109375" style="30" customWidth="1"/>
    <col min="5" max="5" width="4.28515625" style="384" customWidth="1"/>
    <col min="6" max="6" width="26.7109375" style="384" customWidth="1"/>
    <col min="7" max="7" width="19" style="384" customWidth="1"/>
    <col min="8" max="8" width="22" style="384" customWidth="1"/>
    <col min="9" max="9" width="20.42578125" style="384" customWidth="1"/>
    <col min="10" max="10" width="26.28515625" style="384" customWidth="1"/>
    <col min="11" max="11" width="21.85546875" style="384" bestFit="1" customWidth="1"/>
    <col min="12" max="12" width="23.85546875" style="384" customWidth="1"/>
    <col min="13" max="13" width="20.85546875" style="384" bestFit="1" customWidth="1"/>
    <col min="14" max="15" width="16" style="384"/>
    <col min="16" max="16" width="16.28515625" style="384" bestFit="1" customWidth="1"/>
    <col min="17" max="16384" width="16" style="384"/>
  </cols>
  <sheetData>
    <row r="1" spans="1:13" ht="16.5" thickBot="1">
      <c r="A1" s="145" t="s">
        <v>64</v>
      </c>
      <c r="B1" s="29"/>
      <c r="C1" s="530">
        <f>Jul!C1+1</f>
        <v>201708</v>
      </c>
      <c r="F1" s="530">
        <f>C1</f>
        <v>201708</v>
      </c>
      <c r="G1" s="385"/>
      <c r="H1" s="162" t="s">
        <v>69</v>
      </c>
      <c r="I1" s="126" t="s">
        <v>3</v>
      </c>
      <c r="J1" s="126" t="s">
        <v>3</v>
      </c>
      <c r="K1" s="126" t="s">
        <v>66</v>
      </c>
      <c r="L1" s="126" t="s">
        <v>66</v>
      </c>
      <c r="M1" s="385"/>
    </row>
    <row r="2" spans="1:13" ht="15.75">
      <c r="C2" s="31"/>
      <c r="F2" s="385"/>
      <c r="G2" s="385"/>
      <c r="H2" s="163" t="s">
        <v>32</v>
      </c>
      <c r="I2" s="164" t="s">
        <v>65</v>
      </c>
      <c r="J2" s="164" t="s">
        <v>65</v>
      </c>
      <c r="K2" s="164" t="s">
        <v>67</v>
      </c>
      <c r="L2" s="164" t="s">
        <v>67</v>
      </c>
      <c r="M2" s="385"/>
    </row>
    <row r="3" spans="1:13" ht="16.5" thickBot="1">
      <c r="A3" s="63" t="s">
        <v>110</v>
      </c>
      <c r="C3" s="32"/>
      <c r="D3" s="33"/>
      <c r="F3" s="50" t="s">
        <v>72</v>
      </c>
      <c r="G3" s="385"/>
      <c r="H3" s="165" t="s">
        <v>68</v>
      </c>
      <c r="I3" s="165" t="s">
        <v>35</v>
      </c>
      <c r="J3" s="165" t="s">
        <v>63</v>
      </c>
      <c r="K3" s="165" t="s">
        <v>35</v>
      </c>
      <c r="L3" s="165" t="s">
        <v>63</v>
      </c>
      <c r="M3" s="385"/>
    </row>
    <row r="4" spans="1:13" ht="15.75">
      <c r="A4" s="385" t="s">
        <v>88</v>
      </c>
      <c r="C4" s="573">
        <f>4598122.63</f>
        <v>4598122.63</v>
      </c>
      <c r="D4" s="34"/>
      <c r="F4" s="385"/>
      <c r="G4" s="385"/>
      <c r="H4" s="11"/>
      <c r="I4" s="385"/>
      <c r="J4" s="385"/>
      <c r="L4" s="385"/>
      <c r="M4" s="385"/>
    </row>
    <row r="5" spans="1:13" ht="14.25" customHeight="1">
      <c r="A5" s="385" t="s">
        <v>31</v>
      </c>
      <c r="C5" s="573">
        <f>42848.39+117.92-158.87</f>
        <v>42807.439999999995</v>
      </c>
      <c r="D5" s="34"/>
      <c r="F5" s="385"/>
      <c r="G5" s="385"/>
      <c r="H5" s="11"/>
      <c r="I5" s="596">
        <v>0.70530000000000004</v>
      </c>
      <c r="J5" s="596">
        <v>0.29470000000000002</v>
      </c>
      <c r="K5" s="445">
        <f>ROUND(G45/(G45+K43),4)</f>
        <v>0.61480000000000001</v>
      </c>
      <c r="L5" s="445">
        <f>1-K5</f>
        <v>0.38519999999999999</v>
      </c>
      <c r="M5" s="385"/>
    </row>
    <row r="6" spans="1:13" ht="16.5" thickBot="1">
      <c r="A6" s="49" t="s">
        <v>30</v>
      </c>
      <c r="C6" s="574">
        <f>-2343063.08-444850-127100-142987.5-81979.5-102391.76</f>
        <v>-3242371.84</v>
      </c>
      <c r="D6" s="34"/>
      <c r="F6" s="385"/>
      <c r="G6" s="385"/>
      <c r="H6" s="385"/>
      <c r="I6" s="385"/>
      <c r="J6" s="385"/>
      <c r="K6" s="385"/>
      <c r="L6" s="385"/>
      <c r="M6" s="385"/>
    </row>
    <row r="7" spans="1:13" ht="16.5" thickBot="1">
      <c r="A7" s="66" t="s">
        <v>140</v>
      </c>
      <c r="C7" s="100">
        <f>SUM(C4:C6)</f>
        <v>1398558.2300000004</v>
      </c>
      <c r="D7" s="35"/>
      <c r="F7" s="166" t="s">
        <v>139</v>
      </c>
      <c r="G7" s="166"/>
      <c r="H7" s="125">
        <f>C34</f>
        <v>2229985.0300000003</v>
      </c>
      <c r="I7" s="167">
        <f>H7*I5</f>
        <v>1572808.4416590002</v>
      </c>
      <c r="J7" s="167">
        <f>H7*J5</f>
        <v>657176.58834100014</v>
      </c>
      <c r="K7" s="167"/>
      <c r="L7" s="167"/>
      <c r="M7" s="385"/>
    </row>
    <row r="8" spans="1:13" ht="15.75">
      <c r="A8" s="384" t="s">
        <v>89</v>
      </c>
      <c r="C8" s="573">
        <v>191512.75</v>
      </c>
      <c r="D8" s="35"/>
      <c r="F8" s="385"/>
      <c r="G8" s="385"/>
      <c r="H8" s="168"/>
      <c r="I8" s="168"/>
      <c r="J8" s="168"/>
      <c r="K8" s="168"/>
      <c r="L8" s="168"/>
      <c r="M8" s="385"/>
    </row>
    <row r="9" spans="1:13" ht="15.75">
      <c r="A9" s="385" t="s">
        <v>90</v>
      </c>
      <c r="C9" s="573">
        <v>6446.71</v>
      </c>
      <c r="D9" s="36"/>
      <c r="F9" s="166" t="s">
        <v>119</v>
      </c>
      <c r="G9" s="385"/>
      <c r="H9" s="167">
        <f>C56</f>
        <v>-1823262.9799999995</v>
      </c>
      <c r="I9" s="167"/>
      <c r="J9" s="167"/>
      <c r="K9" s="167">
        <f>H9*K5</f>
        <v>-1120942.0801039997</v>
      </c>
      <c r="L9" s="167">
        <f>H9*L5</f>
        <v>-702320.89989599981</v>
      </c>
      <c r="M9" s="385"/>
    </row>
    <row r="10" spans="1:13" ht="15.75">
      <c r="A10" s="49" t="s">
        <v>91</v>
      </c>
      <c r="C10" s="574">
        <v>-3418.47</v>
      </c>
      <c r="D10" s="36"/>
      <c r="F10" s="169" t="s">
        <v>44</v>
      </c>
      <c r="G10" s="385"/>
      <c r="H10" s="167">
        <f>C57</f>
        <v>-60364.39</v>
      </c>
      <c r="I10" s="167"/>
      <c r="J10" s="167"/>
      <c r="K10" s="167">
        <f>H10</f>
        <v>-60364.39</v>
      </c>
      <c r="L10" s="167"/>
      <c r="M10" s="385"/>
    </row>
    <row r="11" spans="1:13">
      <c r="A11" s="66" t="s">
        <v>145</v>
      </c>
      <c r="C11" s="100">
        <f>SUM(C8:C10)</f>
        <v>194540.99</v>
      </c>
      <c r="D11" s="36"/>
      <c r="F11" s="169" t="s">
        <v>45</v>
      </c>
      <c r="G11" s="385"/>
      <c r="H11" s="170">
        <f>C58</f>
        <v>-38982.51</v>
      </c>
      <c r="I11" s="167"/>
      <c r="J11" s="167"/>
      <c r="K11" s="170"/>
      <c r="L11" s="170">
        <f>H11</f>
        <v>-38982.51</v>
      </c>
      <c r="M11" s="385"/>
    </row>
    <row r="12" spans="1:13" ht="15.75">
      <c r="A12" s="384" t="s">
        <v>165</v>
      </c>
      <c r="C12" s="573">
        <f>190268.51-1841.12</f>
        <v>188427.39</v>
      </c>
      <c r="D12" s="36"/>
      <c r="F12" s="169" t="s">
        <v>138</v>
      </c>
      <c r="G12" s="385"/>
      <c r="H12" s="167">
        <f>H9+H10+H11</f>
        <v>-1922609.8799999994</v>
      </c>
      <c r="I12" s="167" t="s">
        <v>323</v>
      </c>
      <c r="J12" s="167"/>
      <c r="K12" s="167">
        <f>SUM(K9:K11)</f>
        <v>-1181306.4701039996</v>
      </c>
      <c r="L12" s="167">
        <f>SUM(L9:L11)</f>
        <v>-741303.40989599982</v>
      </c>
      <c r="M12" s="385"/>
    </row>
    <row r="13" spans="1:13" ht="16.5" thickBot="1">
      <c r="A13" s="49" t="s">
        <v>166</v>
      </c>
      <c r="C13" s="559">
        <v>0</v>
      </c>
      <c r="D13" s="36"/>
      <c r="F13" s="171"/>
      <c r="G13" s="172"/>
      <c r="H13" s="173"/>
      <c r="I13" s="174"/>
      <c r="J13" s="173"/>
      <c r="K13" s="168"/>
      <c r="L13" s="173"/>
      <c r="M13" s="385"/>
    </row>
    <row r="14" spans="1:13" ht="16.5" thickBot="1">
      <c r="A14" s="66" t="s">
        <v>92</v>
      </c>
      <c r="C14" s="100">
        <f>SUM(C12:C13)</f>
        <v>188427.39</v>
      </c>
      <c r="D14" s="37"/>
      <c r="F14" s="50" t="s">
        <v>69</v>
      </c>
      <c r="G14" s="175"/>
      <c r="H14" s="125">
        <f>H12+H7</f>
        <v>307375.15000000084</v>
      </c>
      <c r="I14" s="176">
        <f>SUM(I7:I13)</f>
        <v>1572808.4416590002</v>
      </c>
      <c r="J14" s="176">
        <f>SUM(J7:J13)</f>
        <v>657176.58834100014</v>
      </c>
      <c r="K14" s="176">
        <f>K12</f>
        <v>-1181306.4701039996</v>
      </c>
      <c r="L14" s="176">
        <f>L12</f>
        <v>-741303.40989599982</v>
      </c>
      <c r="M14" s="385"/>
    </row>
    <row r="15" spans="1:13" ht="15.75">
      <c r="A15" s="384" t="s">
        <v>183</v>
      </c>
      <c r="C15" s="573">
        <f>444595.13-4302.9</f>
        <v>440292.23</v>
      </c>
      <c r="D15" s="36"/>
      <c r="F15" s="171"/>
      <c r="G15" s="172" t="s">
        <v>102</v>
      </c>
      <c r="H15" s="173">
        <f>H14-C61</f>
        <v>0</v>
      </c>
      <c r="I15" s="177"/>
      <c r="J15" s="173">
        <f>J7+I7-H7</f>
        <v>0</v>
      </c>
      <c r="K15" s="385"/>
      <c r="L15" s="173">
        <f>H12-K14-L14</f>
        <v>0</v>
      </c>
      <c r="M15" s="385"/>
    </row>
    <row r="16" spans="1:13" ht="15.75">
      <c r="A16" s="49" t="s">
        <v>184</v>
      </c>
      <c r="C16" s="559">
        <v>0</v>
      </c>
      <c r="D16" s="36"/>
      <c r="F16" s="178"/>
      <c r="G16" s="172"/>
      <c r="H16" s="179"/>
      <c r="I16" s="180"/>
      <c r="J16" s="179"/>
      <c r="K16" s="385"/>
      <c r="L16" s="179"/>
      <c r="M16" s="385"/>
    </row>
    <row r="17" spans="1:13" ht="15.75" thickBot="1">
      <c r="A17" s="66" t="s">
        <v>185</v>
      </c>
      <c r="C17" s="100">
        <f>SUM(C15:C16)</f>
        <v>440292.23</v>
      </c>
      <c r="D17" s="37"/>
      <c r="F17" s="171"/>
      <c r="G17" s="172"/>
      <c r="H17" s="179"/>
      <c r="I17" s="180"/>
      <c r="J17" s="183"/>
      <c r="K17" s="385"/>
      <c r="L17" s="179"/>
      <c r="M17" s="385"/>
    </row>
    <row r="18" spans="1:13" ht="16.5" thickBot="1">
      <c r="A18" s="384" t="s">
        <v>163</v>
      </c>
      <c r="C18" s="573">
        <f>-1586.97+10413+64675.04</f>
        <v>73501.070000000007</v>
      </c>
      <c r="D18" s="36"/>
      <c r="F18" s="639" t="s">
        <v>134</v>
      </c>
      <c r="G18" s="640"/>
      <c r="H18" s="640"/>
      <c r="I18" s="641"/>
      <c r="J18" s="639" t="s">
        <v>135</v>
      </c>
      <c r="K18" s="640"/>
      <c r="L18" s="640"/>
      <c r="M18" s="641"/>
    </row>
    <row r="19" spans="1:13" ht="15.75">
      <c r="A19" s="46" t="s">
        <v>164</v>
      </c>
      <c r="C19" s="574">
        <f>-4284.96</f>
        <v>-4284.96</v>
      </c>
      <c r="D19" s="36"/>
      <c r="F19" s="201" t="s">
        <v>108</v>
      </c>
      <c r="G19" s="164" t="s">
        <v>33</v>
      </c>
      <c r="H19" s="164" t="s">
        <v>33</v>
      </c>
      <c r="I19" s="164" t="s">
        <v>33</v>
      </c>
      <c r="J19" s="201" t="s">
        <v>108</v>
      </c>
      <c r="K19" s="164" t="s">
        <v>33</v>
      </c>
      <c r="L19" s="164" t="s">
        <v>33</v>
      </c>
      <c r="M19" s="185" t="s">
        <v>33</v>
      </c>
    </row>
    <row r="20" spans="1:13" ht="16.5" thickBot="1">
      <c r="A20" s="67" t="s">
        <v>93</v>
      </c>
      <c r="C20" s="100">
        <f>SUM(C18:C19)</f>
        <v>69216.11</v>
      </c>
      <c r="D20" s="36"/>
      <c r="F20" s="195" t="s">
        <v>162</v>
      </c>
      <c r="G20" s="165" t="s">
        <v>101</v>
      </c>
      <c r="H20" s="165" t="s">
        <v>36</v>
      </c>
      <c r="I20" s="165" t="s">
        <v>34</v>
      </c>
      <c r="J20" s="195" t="s">
        <v>162</v>
      </c>
      <c r="K20" s="165" t="s">
        <v>101</v>
      </c>
      <c r="L20" s="165" t="s">
        <v>36</v>
      </c>
      <c r="M20" s="165" t="s">
        <v>34</v>
      </c>
    </row>
    <row r="21" spans="1:13" ht="15.75">
      <c r="A21" s="46" t="s">
        <v>149</v>
      </c>
      <c r="C21" s="574">
        <f>1850-129.71</f>
        <v>1720.29</v>
      </c>
      <c r="D21" s="36"/>
      <c r="F21" s="184"/>
      <c r="G21" s="12"/>
      <c r="H21" s="12"/>
      <c r="I21" s="185"/>
      <c r="J21" s="129"/>
      <c r="K21" s="13"/>
      <c r="L21" s="13"/>
      <c r="M21" s="205"/>
    </row>
    <row r="22" spans="1:13" ht="18" customHeight="1">
      <c r="A22" s="65" t="s">
        <v>149</v>
      </c>
      <c r="C22" s="100">
        <f>SUM(C21)</f>
        <v>1720.29</v>
      </c>
      <c r="D22" s="36"/>
      <c r="F22" s="199" t="s">
        <v>126</v>
      </c>
      <c r="G22" s="7"/>
      <c r="H22" s="7"/>
      <c r="I22" s="98"/>
      <c r="J22" s="199" t="s">
        <v>126</v>
      </c>
      <c r="K22" s="7"/>
      <c r="L22" s="7"/>
      <c r="M22" s="98"/>
    </row>
    <row r="23" spans="1:13" ht="15.75">
      <c r="A23" s="208" t="s">
        <v>180</v>
      </c>
      <c r="C23" s="100">
        <v>0</v>
      </c>
      <c r="D23" s="36"/>
      <c r="F23" s="200" t="s">
        <v>37</v>
      </c>
      <c r="G23" s="568">
        <v>2080707</v>
      </c>
      <c r="H23" s="599">
        <v>0.12678</v>
      </c>
      <c r="I23" s="196">
        <f t="shared" ref="I23:I31" si="0">G23*H23</f>
        <v>263792.03346000001</v>
      </c>
      <c r="J23" s="200" t="s">
        <v>37</v>
      </c>
      <c r="K23" s="568">
        <v>986275</v>
      </c>
      <c r="L23" s="599">
        <v>0.11330999999999999</v>
      </c>
      <c r="M23" s="196">
        <f>K23*L23</f>
        <v>111754.82024999999</v>
      </c>
    </row>
    <row r="24" spans="1:13" ht="15.75">
      <c r="A24" s="208" t="s">
        <v>186</v>
      </c>
      <c r="C24" s="312">
        <v>0</v>
      </c>
      <c r="D24" s="36"/>
      <c r="F24" s="200" t="s">
        <v>306</v>
      </c>
      <c r="G24" s="568">
        <v>2393</v>
      </c>
      <c r="H24" s="599">
        <v>0.12678</v>
      </c>
      <c r="I24" s="196">
        <f t="shared" si="0"/>
        <v>303.38454000000002</v>
      </c>
      <c r="J24" s="200" t="s">
        <v>38</v>
      </c>
      <c r="K24" s="568">
        <v>1366641</v>
      </c>
      <c r="L24" s="599">
        <v>0.11330999999999999</v>
      </c>
      <c r="M24" s="196">
        <f t="shared" ref="M24:M27" si="1">K24*L24</f>
        <v>154854.09170999998</v>
      </c>
    </row>
    <row r="25" spans="1:13" ht="15.75">
      <c r="A25" s="208" t="s">
        <v>189</v>
      </c>
      <c r="C25" s="314">
        <v>0</v>
      </c>
      <c r="D25" s="36"/>
      <c r="F25" s="200" t="s">
        <v>38</v>
      </c>
      <c r="G25" s="568">
        <v>1463939</v>
      </c>
      <c r="H25" s="599">
        <v>0.11865000000000001</v>
      </c>
      <c r="I25" s="196">
        <f t="shared" si="0"/>
        <v>173696.36235000001</v>
      </c>
      <c r="J25" s="200" t="s">
        <v>39</v>
      </c>
      <c r="K25" s="568">
        <v>82239</v>
      </c>
      <c r="L25" s="599">
        <v>0.11330999999999999</v>
      </c>
      <c r="M25" s="196">
        <f t="shared" si="1"/>
        <v>9318.5010899999997</v>
      </c>
    </row>
    <row r="26" spans="1:13" ht="15.75">
      <c r="A26" s="209" t="s">
        <v>188</v>
      </c>
      <c r="C26" s="315">
        <v>0</v>
      </c>
      <c r="D26" s="36"/>
      <c r="F26" s="200" t="s">
        <v>39</v>
      </c>
      <c r="G26" s="568">
        <v>0</v>
      </c>
      <c r="H26" s="599">
        <v>0.11865000000000001</v>
      </c>
      <c r="I26" s="196">
        <f t="shared" si="0"/>
        <v>0</v>
      </c>
      <c r="J26" s="200" t="s">
        <v>40</v>
      </c>
      <c r="K26" s="568">
        <v>0</v>
      </c>
      <c r="L26" s="599">
        <v>0.11330999999999999</v>
      </c>
      <c r="M26" s="196">
        <f t="shared" si="1"/>
        <v>0</v>
      </c>
    </row>
    <row r="27" spans="1:13" ht="15.75">
      <c r="A27" s="65" t="s">
        <v>96</v>
      </c>
      <c r="C27" s="100">
        <f>SUM(C23:C26)</f>
        <v>0</v>
      </c>
      <c r="D27" s="36"/>
      <c r="F27" s="200" t="s">
        <v>40</v>
      </c>
      <c r="G27" s="568">
        <v>291721</v>
      </c>
      <c r="H27" s="599">
        <v>0.11541</v>
      </c>
      <c r="I27" s="196">
        <f t="shared" si="0"/>
        <v>33667.52061</v>
      </c>
      <c r="J27" s="200" t="s">
        <v>41</v>
      </c>
      <c r="K27" s="568">
        <v>0</v>
      </c>
      <c r="L27" s="599">
        <v>0.11330999999999999</v>
      </c>
      <c r="M27" s="196">
        <f t="shared" si="1"/>
        <v>0</v>
      </c>
    </row>
    <row r="28" spans="1:13" ht="16.5" thickBot="1">
      <c r="A28" s="210" t="s">
        <v>150</v>
      </c>
      <c r="C28" s="312">
        <v>0</v>
      </c>
      <c r="D28" s="37"/>
      <c r="F28" s="200" t="s">
        <v>41</v>
      </c>
      <c r="G28" s="568">
        <v>24662</v>
      </c>
      <c r="H28" s="599">
        <v>0.11541</v>
      </c>
      <c r="I28" s="196">
        <f t="shared" si="0"/>
        <v>2846.2414199999998</v>
      </c>
      <c r="J28" s="199" t="s">
        <v>127</v>
      </c>
      <c r="K28" s="181">
        <f>SUM(K23:K27)</f>
        <v>2435155</v>
      </c>
      <c r="L28" s="182"/>
      <c r="M28" s="197">
        <f>SUM(M23:M27)</f>
        <v>275927.41304999992</v>
      </c>
    </row>
    <row r="29" spans="1:13" ht="17.25" thickTop="1" thickBot="1">
      <c r="A29" s="210" t="s">
        <v>167</v>
      </c>
      <c r="B29" s="385"/>
      <c r="C29" s="312">
        <v>0</v>
      </c>
      <c r="D29" s="36"/>
      <c r="F29" s="200" t="s">
        <v>42</v>
      </c>
      <c r="G29" s="568">
        <v>0</v>
      </c>
      <c r="H29" s="599">
        <v>7.4310000000000001E-2</v>
      </c>
      <c r="I29" s="196">
        <f t="shared" si="0"/>
        <v>0</v>
      </c>
      <c r="J29" s="199"/>
      <c r="K29" s="231">
        <v>2435155</v>
      </c>
      <c r="L29" s="187" t="s">
        <v>102</v>
      </c>
      <c r="M29" s="465">
        <f>M28/K28</f>
        <v>0.11330999999999997</v>
      </c>
    </row>
    <row r="30" spans="1:13" ht="16.5" thickBot="1">
      <c r="A30" s="2" t="s">
        <v>111</v>
      </c>
      <c r="C30" s="125">
        <f>C7+C11+C14+C17+C20+C22+C27+C28+C29</f>
        <v>2292755.2400000002</v>
      </c>
      <c r="D30" s="37"/>
      <c r="F30" s="200" t="s">
        <v>43</v>
      </c>
      <c r="G30" s="568">
        <v>23786</v>
      </c>
      <c r="H30" s="599">
        <v>7.4310000000000001E-2</v>
      </c>
      <c r="I30" s="196">
        <f t="shared" si="0"/>
        <v>1767.53766</v>
      </c>
      <c r="J30" s="200"/>
      <c r="K30" s="230">
        <f>K28-K29</f>
        <v>0</v>
      </c>
      <c r="L30" s="182"/>
      <c r="M30" s="198"/>
    </row>
    <row r="31" spans="1:13" ht="15.75">
      <c r="A31" s="384" t="s">
        <v>112</v>
      </c>
      <c r="C31" s="573">
        <v>-17801.02</v>
      </c>
      <c r="D31" s="39"/>
      <c r="F31" s="200" t="s">
        <v>74</v>
      </c>
      <c r="G31" s="568">
        <v>2338940</v>
      </c>
      <c r="H31" s="599">
        <v>5.4000000000000001E-4</v>
      </c>
      <c r="I31" s="196">
        <f t="shared" si="0"/>
        <v>1263.0276000000001</v>
      </c>
      <c r="J31" s="153"/>
      <c r="K31" s="7"/>
      <c r="L31" s="182"/>
      <c r="M31" s="198"/>
    </row>
    <row r="32" spans="1:13" ht="16.5" thickBot="1">
      <c r="A32" s="2" t="s">
        <v>116</v>
      </c>
      <c r="B32" s="2" t="s">
        <v>117</v>
      </c>
      <c r="C32" s="576">
        <f>C30+C31</f>
        <v>2274954.2200000002</v>
      </c>
      <c r="D32" s="40"/>
      <c r="F32" s="199" t="s">
        <v>127</v>
      </c>
      <c r="G32" s="181">
        <f>SUM(G23:G31)</f>
        <v>6226148</v>
      </c>
      <c r="H32" s="7"/>
      <c r="I32" s="197">
        <f>SUM(I23:I31)</f>
        <v>477336.10763999994</v>
      </c>
      <c r="J32" s="192"/>
      <c r="K32" s="193"/>
      <c r="L32" s="7"/>
      <c r="M32" s="190"/>
    </row>
    <row r="33" spans="1:17" ht="17.25" thickTop="1" thickBot="1">
      <c r="A33" s="384" t="s">
        <v>113</v>
      </c>
      <c r="C33" s="576">
        <f>-C5-C9-C13-C16-C19</f>
        <v>-44969.189999999995</v>
      </c>
      <c r="D33" s="36"/>
      <c r="F33" s="186"/>
      <c r="G33" s="231">
        <v>6226148</v>
      </c>
      <c r="H33" s="187" t="s">
        <v>102</v>
      </c>
      <c r="I33" s="216">
        <f>I32/G32</f>
        <v>7.6666360587637802E-2</v>
      </c>
      <c r="J33" s="192"/>
      <c r="K33" s="193"/>
      <c r="L33" s="7"/>
      <c r="M33" s="98"/>
    </row>
    <row r="34" spans="1:17" ht="16.5" thickBot="1">
      <c r="A34" s="2" t="s">
        <v>114</v>
      </c>
      <c r="C34" s="125">
        <f>SUM(C32:C33)</f>
        <v>2229985.0300000003</v>
      </c>
      <c r="D34" s="36"/>
      <c r="F34" s="153"/>
      <c r="G34" s="230">
        <f>G32-G33</f>
        <v>0</v>
      </c>
      <c r="H34" s="7"/>
      <c r="I34" s="98"/>
      <c r="J34" s="192"/>
      <c r="K34" s="191"/>
      <c r="L34" s="7"/>
      <c r="M34" s="98"/>
    </row>
    <row r="35" spans="1:17" ht="18" customHeight="1">
      <c r="A35" s="2"/>
      <c r="C35" s="101"/>
      <c r="D35" s="36"/>
      <c r="F35" s="184"/>
      <c r="G35" s="12"/>
      <c r="H35" s="12"/>
      <c r="I35" s="185"/>
      <c r="J35" s="199" t="s">
        <v>128</v>
      </c>
      <c r="K35" s="637"/>
      <c r="L35" s="637"/>
      <c r="M35" s="638"/>
    </row>
    <row r="36" spans="1:17" ht="15.75">
      <c r="A36" s="16" t="s">
        <v>94</v>
      </c>
      <c r="B36" s="2"/>
      <c r="C36" s="100"/>
      <c r="D36" s="36"/>
      <c r="F36" s="199" t="s">
        <v>128</v>
      </c>
      <c r="G36" s="7"/>
      <c r="H36" s="7"/>
      <c r="I36" s="98"/>
      <c r="J36" s="200" t="s">
        <v>37</v>
      </c>
      <c r="K36" s="611">
        <f>K23</f>
        <v>986275</v>
      </c>
      <c r="L36" s="599">
        <v>0.23895</v>
      </c>
      <c r="M36" s="196">
        <f t="shared" ref="M36:M42" si="2">K36*L36</f>
        <v>235670.41125</v>
      </c>
      <c r="P36" s="273"/>
      <c r="Q36" s="273"/>
    </row>
    <row r="37" spans="1:17" ht="15.75">
      <c r="A37" s="7" t="s">
        <v>129</v>
      </c>
      <c r="B37" s="535" t="s">
        <v>115</v>
      </c>
      <c r="C37" s="573">
        <v>7642183.6399999997</v>
      </c>
      <c r="D37" s="36"/>
      <c r="F37" s="200" t="s">
        <v>37</v>
      </c>
      <c r="G37" s="611">
        <f>G23</f>
        <v>2080707</v>
      </c>
      <c r="H37" s="599">
        <v>0.23860000000000001</v>
      </c>
      <c r="I37" s="196">
        <f t="shared" ref="I37:I44" si="3">G37*H37</f>
        <v>496456.69020000001</v>
      </c>
      <c r="J37" s="200" t="s">
        <v>38</v>
      </c>
      <c r="K37" s="611">
        <f>K24</f>
        <v>1366641</v>
      </c>
      <c r="L37" s="599">
        <v>0.23895</v>
      </c>
      <c r="M37" s="196">
        <f t="shared" si="2"/>
        <v>326558.86695</v>
      </c>
      <c r="P37" s="273"/>
      <c r="Q37" s="273"/>
    </row>
    <row r="38" spans="1:17" ht="15.75">
      <c r="A38" s="144" t="s">
        <v>14</v>
      </c>
      <c r="B38" s="535" t="s">
        <v>115</v>
      </c>
      <c r="C38" s="573">
        <v>0</v>
      </c>
      <c r="D38" s="36"/>
      <c r="F38" s="200" t="s">
        <v>306</v>
      </c>
      <c r="G38" s="611">
        <f>G24</f>
        <v>2393</v>
      </c>
      <c r="H38" s="599">
        <v>0.23860000000000001</v>
      </c>
      <c r="I38" s="196">
        <f t="shared" si="3"/>
        <v>570.96979999999996</v>
      </c>
      <c r="J38" s="200" t="s">
        <v>39</v>
      </c>
      <c r="K38" s="611">
        <f>K25</f>
        <v>82239</v>
      </c>
      <c r="L38" s="599">
        <v>0.23895</v>
      </c>
      <c r="M38" s="196">
        <f t="shared" si="2"/>
        <v>19651.009050000001</v>
      </c>
      <c r="P38" s="273"/>
      <c r="Q38" s="273"/>
    </row>
    <row r="39" spans="1:17" ht="15.75">
      <c r="A39" s="7" t="s">
        <v>146</v>
      </c>
      <c r="B39" s="535" t="s">
        <v>147</v>
      </c>
      <c r="C39" s="573">
        <v>-54851.29</v>
      </c>
      <c r="D39" s="36"/>
      <c r="F39" s="200" t="s">
        <v>38</v>
      </c>
      <c r="G39" s="611">
        <f t="shared" ref="G39:G44" si="4">G25</f>
        <v>1463939</v>
      </c>
      <c r="H39" s="599">
        <v>0.23860000000000001</v>
      </c>
      <c r="I39" s="196">
        <f t="shared" si="3"/>
        <v>349295.84539999999</v>
      </c>
      <c r="J39" s="200" t="s">
        <v>40</v>
      </c>
      <c r="K39" s="611">
        <f>K26</f>
        <v>0</v>
      </c>
      <c r="L39" s="599">
        <v>0.23895</v>
      </c>
      <c r="M39" s="196">
        <f t="shared" si="2"/>
        <v>0</v>
      </c>
      <c r="P39" s="273"/>
      <c r="Q39" s="273"/>
    </row>
    <row r="40" spans="1:17" ht="15.75">
      <c r="A40" s="7" t="s">
        <v>131</v>
      </c>
      <c r="B40" s="535" t="s">
        <v>132</v>
      </c>
      <c r="C40" s="573">
        <v>306159.90999999997</v>
      </c>
      <c r="D40" s="36"/>
      <c r="F40" s="200" t="s">
        <v>39</v>
      </c>
      <c r="G40" s="611">
        <f t="shared" si="4"/>
        <v>0</v>
      </c>
      <c r="H40" s="599">
        <v>0.23860000000000001</v>
      </c>
      <c r="I40" s="196">
        <f t="shared" si="3"/>
        <v>0</v>
      </c>
      <c r="J40" s="200" t="s">
        <v>41</v>
      </c>
      <c r="K40" s="611">
        <f>K27</f>
        <v>0</v>
      </c>
      <c r="L40" s="599">
        <v>0.23895</v>
      </c>
      <c r="M40" s="196">
        <f t="shared" si="2"/>
        <v>0</v>
      </c>
      <c r="P40" s="273"/>
      <c r="Q40" s="273"/>
    </row>
    <row r="41" spans="1:17" ht="15.75">
      <c r="A41" s="7" t="s">
        <v>153</v>
      </c>
      <c r="B41" s="6" t="s">
        <v>155</v>
      </c>
      <c r="C41" s="573">
        <v>54490.6</v>
      </c>
      <c r="D41" s="36"/>
      <c r="F41" s="200" t="s">
        <v>40</v>
      </c>
      <c r="G41" s="611">
        <f t="shared" si="4"/>
        <v>291721</v>
      </c>
      <c r="H41" s="599">
        <v>0.23860000000000001</v>
      </c>
      <c r="I41" s="196">
        <f t="shared" si="3"/>
        <v>69604.630600000004</v>
      </c>
      <c r="J41" s="200" t="s">
        <v>42</v>
      </c>
      <c r="K41" s="568">
        <v>0</v>
      </c>
      <c r="L41" s="599">
        <v>0.23895</v>
      </c>
      <c r="M41" s="196">
        <f t="shared" si="2"/>
        <v>0</v>
      </c>
      <c r="P41" s="273"/>
      <c r="Q41" s="273"/>
    </row>
    <row r="42" spans="1:17" ht="16.5" thickBot="1">
      <c r="A42" s="7" t="s">
        <v>178</v>
      </c>
      <c r="B42" s="535" t="s">
        <v>179</v>
      </c>
      <c r="C42" s="573">
        <v>350599.55</v>
      </c>
      <c r="D42" s="37"/>
      <c r="F42" s="200" t="s">
        <v>41</v>
      </c>
      <c r="G42" s="611">
        <f t="shared" si="4"/>
        <v>24662</v>
      </c>
      <c r="H42" s="599">
        <v>0.23860000000000001</v>
      </c>
      <c r="I42" s="196">
        <f t="shared" si="3"/>
        <v>5884.3532000000005</v>
      </c>
      <c r="J42" s="200" t="s">
        <v>43</v>
      </c>
      <c r="K42" s="612">
        <v>0</v>
      </c>
      <c r="L42" s="599">
        <v>0.23895</v>
      </c>
      <c r="M42" s="196">
        <f t="shared" si="2"/>
        <v>0</v>
      </c>
      <c r="P42" s="273"/>
      <c r="Q42" s="273"/>
    </row>
    <row r="43" spans="1:17" ht="16.5" thickBot="1">
      <c r="A43" s="85" t="s">
        <v>123</v>
      </c>
      <c r="B43" s="12"/>
      <c r="C43" s="125">
        <f>SUM(C37:C42)</f>
        <v>8298582.4099999992</v>
      </c>
      <c r="D43" s="36"/>
      <c r="F43" s="200" t="s">
        <v>42</v>
      </c>
      <c r="G43" s="611">
        <f t="shared" si="4"/>
        <v>0</v>
      </c>
      <c r="H43" s="599">
        <v>0.23860000000000001</v>
      </c>
      <c r="I43" s="196">
        <f t="shared" si="3"/>
        <v>0</v>
      </c>
      <c r="J43" s="199" t="s">
        <v>133</v>
      </c>
      <c r="K43" s="181">
        <f>SUM(K36:K42)</f>
        <v>2435155</v>
      </c>
      <c r="L43" s="182"/>
      <c r="M43" s="197">
        <f>SUM(M36:M42)</f>
        <v>581880.28725000005</v>
      </c>
    </row>
    <row r="44" spans="1:17" ht="16.5" thickBot="1">
      <c r="A44" s="83" t="s">
        <v>177</v>
      </c>
      <c r="B44" s="84" t="s">
        <v>120</v>
      </c>
      <c r="C44" s="573">
        <f>-2108794.83+422385.48</f>
        <v>-1686409.35</v>
      </c>
      <c r="D44" s="37"/>
      <c r="F44" s="200" t="s">
        <v>43</v>
      </c>
      <c r="G44" s="611">
        <f t="shared" si="4"/>
        <v>23786</v>
      </c>
      <c r="H44" s="599">
        <v>0.23860000000000001</v>
      </c>
      <c r="I44" s="196">
        <f t="shared" si="3"/>
        <v>5675.3396000000002</v>
      </c>
      <c r="J44" s="194"/>
      <c r="K44" s="232">
        <v>2435155</v>
      </c>
      <c r="L44" s="189" t="s">
        <v>102</v>
      </c>
      <c r="M44" s="217">
        <f>M43/K43</f>
        <v>0.23895000000000002</v>
      </c>
    </row>
    <row r="45" spans="1:17" ht="16.5" thickBot="1">
      <c r="A45" s="211" t="s">
        <v>168</v>
      </c>
      <c r="B45" s="6" t="s">
        <v>115</v>
      </c>
      <c r="C45" s="122">
        <v>0</v>
      </c>
      <c r="D45" s="39"/>
      <c r="F45" s="199" t="s">
        <v>133</v>
      </c>
      <c r="G45" s="181">
        <f>SUM(G37:G44)</f>
        <v>3887208</v>
      </c>
      <c r="H45" s="182"/>
      <c r="I45" s="197">
        <f>SUM(I37:I44)</f>
        <v>927487.82880000002</v>
      </c>
      <c r="J45" s="85"/>
      <c r="K45" s="231"/>
      <c r="L45" s="187"/>
      <c r="M45" s="560"/>
    </row>
    <row r="46" spans="1:17" ht="19.5" customHeight="1" thickTop="1" thickBot="1">
      <c r="A46" s="144" t="s">
        <v>169</v>
      </c>
      <c r="B46" s="6" t="s">
        <v>115</v>
      </c>
      <c r="C46" s="122">
        <v>0</v>
      </c>
      <c r="D46" s="40"/>
      <c r="F46" s="188"/>
      <c r="G46" s="232">
        <v>3887208</v>
      </c>
      <c r="H46" s="189" t="s">
        <v>102</v>
      </c>
      <c r="I46" s="215">
        <f>I45/G45</f>
        <v>0.23860000000000001</v>
      </c>
      <c r="J46" s="85"/>
      <c r="K46" s="231"/>
      <c r="L46" s="187"/>
      <c r="M46" s="560"/>
    </row>
    <row r="47" spans="1:17" ht="19.5" customHeight="1">
      <c r="A47" s="384" t="s">
        <v>137</v>
      </c>
      <c r="B47" s="6" t="s">
        <v>115</v>
      </c>
      <c r="C47" s="573">
        <v>0</v>
      </c>
      <c r="D47" s="36"/>
      <c r="F47" s="385"/>
      <c r="G47" s="230">
        <f>G45-G46</f>
        <v>0</v>
      </c>
      <c r="H47" s="385"/>
      <c r="I47" s="385"/>
      <c r="J47" s="124"/>
      <c r="K47" s="230">
        <f>K43-K44</f>
        <v>0</v>
      </c>
      <c r="L47" s="385"/>
      <c r="M47" s="124"/>
    </row>
    <row r="48" spans="1:17" ht="16.5" thickBot="1">
      <c r="A48" s="144" t="s">
        <v>305</v>
      </c>
      <c r="B48" s="6" t="s">
        <v>115</v>
      </c>
      <c r="C48" s="573">
        <v>7000</v>
      </c>
      <c r="D48" s="36"/>
      <c r="F48" s="385"/>
      <c r="G48" s="385"/>
      <c r="H48" s="385"/>
      <c r="I48" s="385"/>
      <c r="J48" s="124"/>
      <c r="K48" s="114"/>
      <c r="L48" s="385"/>
      <c r="M48" s="68"/>
    </row>
    <row r="49" spans="1:21" ht="15.75">
      <c r="A49" s="7" t="s">
        <v>130</v>
      </c>
      <c r="B49" s="535" t="s">
        <v>152</v>
      </c>
      <c r="C49" s="573">
        <v>17272.150000000001</v>
      </c>
      <c r="D49" s="36"/>
      <c r="F49" s="385"/>
      <c r="G49" s="114"/>
      <c r="H49" s="129" t="s">
        <v>35</v>
      </c>
      <c r="I49" s="13" t="s">
        <v>35</v>
      </c>
      <c r="J49" s="13" t="s">
        <v>63</v>
      </c>
      <c r="K49" s="127" t="s">
        <v>70</v>
      </c>
      <c r="L49" s="124"/>
      <c r="M49" s="385"/>
    </row>
    <row r="50" spans="1:21" ht="16.5" thickBot="1">
      <c r="A50" s="7" t="s">
        <v>222</v>
      </c>
      <c r="B50" s="535" t="s">
        <v>152</v>
      </c>
      <c r="C50" s="573">
        <v>1011.96</v>
      </c>
      <c r="D50" s="37"/>
      <c r="F50" s="50" t="s">
        <v>73</v>
      </c>
      <c r="G50" s="385"/>
      <c r="H50" s="130" t="s">
        <v>2</v>
      </c>
      <c r="I50" s="131" t="s">
        <v>3</v>
      </c>
      <c r="J50" s="131" t="s">
        <v>2</v>
      </c>
      <c r="K50" s="128" t="s">
        <v>3</v>
      </c>
      <c r="L50" s="385"/>
      <c r="M50" s="385"/>
    </row>
    <row r="51" spans="1:21" ht="15.75">
      <c r="A51" s="7" t="s">
        <v>309</v>
      </c>
      <c r="B51" s="535" t="s">
        <v>152</v>
      </c>
      <c r="C51" s="573">
        <v>4806.32</v>
      </c>
      <c r="D51" s="36"/>
      <c r="F51" s="385"/>
      <c r="G51" s="385"/>
      <c r="H51" s="151"/>
      <c r="I51" s="152"/>
      <c r="J51" s="152"/>
      <c r="K51" s="152"/>
      <c r="L51" s="126" t="s">
        <v>103</v>
      </c>
      <c r="M51" s="385"/>
    </row>
    <row r="52" spans="1:21" ht="15.75">
      <c r="A52" s="22" t="s">
        <v>118</v>
      </c>
      <c r="B52" s="6"/>
      <c r="C52" s="603">
        <f>-C33</f>
        <v>44969.189999999995</v>
      </c>
      <c r="D52" s="33"/>
      <c r="F52" s="385" t="s">
        <v>136</v>
      </c>
      <c r="G52" s="385"/>
      <c r="H52" s="212">
        <f>K12</f>
        <v>-1181306.4701039996</v>
      </c>
      <c r="I52" s="115">
        <f>I14</f>
        <v>1572808.4416590002</v>
      </c>
      <c r="J52" s="115">
        <f>L12</f>
        <v>-741303.40989599982</v>
      </c>
      <c r="K52" s="115">
        <f>J14</f>
        <v>657176.58834100014</v>
      </c>
      <c r="L52" s="132">
        <f>SUM(H52:K52)</f>
        <v>307375.15000000095</v>
      </c>
      <c r="M52" s="385"/>
    </row>
    <row r="53" spans="1:21" ht="16.5" thickBot="1">
      <c r="A53" s="385" t="s">
        <v>316</v>
      </c>
      <c r="B53" s="609" t="s">
        <v>317</v>
      </c>
      <c r="C53" s="573">
        <f>10285.55+0.05+34210.61</f>
        <v>44496.21</v>
      </c>
      <c r="D53" s="33"/>
      <c r="F53" s="384" t="s">
        <v>109</v>
      </c>
      <c r="H53" s="212">
        <f>-I45</f>
        <v>-927487.82880000002</v>
      </c>
      <c r="I53" s="115">
        <f>-I32</f>
        <v>-477336.10763999994</v>
      </c>
      <c r="J53" s="115">
        <f>-M43</f>
        <v>-581880.28725000005</v>
      </c>
      <c r="K53" s="115">
        <f>-M28</f>
        <v>-275927.41304999992</v>
      </c>
      <c r="L53" s="261">
        <f>SUM(H53:K53)</f>
        <v>-2262631.63674</v>
      </c>
    </row>
    <row r="54" spans="1:21" ht="16.5" thickBot="1">
      <c r="A54" s="382" t="s">
        <v>124</v>
      </c>
      <c r="B54" s="473" t="s">
        <v>297</v>
      </c>
      <c r="C54" s="573">
        <f>-268611.14-3188020.17-4723360.56</f>
        <v>-8179991.8699999992</v>
      </c>
      <c r="D54" s="36"/>
      <c r="F54" s="384" t="s">
        <v>86</v>
      </c>
      <c r="H54" s="234">
        <v>0</v>
      </c>
      <c r="I54" s="235">
        <v>0</v>
      </c>
      <c r="J54" s="235">
        <v>0</v>
      </c>
      <c r="K54" s="236">
        <v>0</v>
      </c>
      <c r="L54" s="214">
        <f>SUM(L52:L53)</f>
        <v>-1955256.4867399991</v>
      </c>
    </row>
    <row r="55" spans="1:21" ht="16.5" thickBot="1">
      <c r="A55" s="384" t="s">
        <v>313</v>
      </c>
      <c r="B55" s="6" t="s">
        <v>190</v>
      </c>
      <c r="C55" s="573">
        <v>-375000</v>
      </c>
      <c r="D55" s="36"/>
      <c r="F55" s="384" t="s">
        <v>71</v>
      </c>
      <c r="H55" s="125">
        <f>IFERROR(H52+H53+H54,0)</f>
        <v>-2108794.2989039999</v>
      </c>
      <c r="I55" s="125">
        <f>I52+I53+I54</f>
        <v>1095472.3340190002</v>
      </c>
      <c r="J55" s="125">
        <f>IFERROR(J52+J53+J54,0)</f>
        <v>-1323183.6971459999</v>
      </c>
      <c r="K55" s="125">
        <f>K52+K53+K54</f>
        <v>381249.17529100023</v>
      </c>
      <c r="L55" s="47">
        <f>SUM(H55:K55)</f>
        <v>-1955256.4867399994</v>
      </c>
    </row>
    <row r="56" spans="1:21" ht="16.5" thickBot="1">
      <c r="A56" s="82" t="s">
        <v>119</v>
      </c>
      <c r="B56" s="84"/>
      <c r="C56" s="160">
        <f>SUM(C43:C55)</f>
        <v>-1823262.9799999995</v>
      </c>
      <c r="D56" s="36"/>
      <c r="F56" s="240" t="s">
        <v>181</v>
      </c>
      <c r="H56" s="384" t="s">
        <v>173</v>
      </c>
      <c r="I56" s="5">
        <f>SUM(H55:I55)</f>
        <v>-1013321.9648849997</v>
      </c>
      <c r="J56" s="15" t="s">
        <v>174</v>
      </c>
      <c r="K56" s="384">
        <f>SUM(J55:K55)</f>
        <v>-941934.52185499971</v>
      </c>
      <c r="L56" s="213">
        <f>ROUND(L54-L55,3)</f>
        <v>0</v>
      </c>
      <c r="T56" s="42"/>
    </row>
    <row r="57" spans="1:21" ht="16.5" thickTop="1">
      <c r="A57" s="384" t="s">
        <v>121</v>
      </c>
      <c r="B57" s="6" t="s">
        <v>115</v>
      </c>
      <c r="C57" s="573">
        <v>-60364.39</v>
      </c>
      <c r="D57" s="36"/>
      <c r="F57" s="397" t="s">
        <v>181</v>
      </c>
      <c r="H57" s="96"/>
    </row>
    <row r="58" spans="1:21" ht="16.5" thickBot="1">
      <c r="A58" s="384" t="s">
        <v>122</v>
      </c>
      <c r="B58" s="6" t="s">
        <v>115</v>
      </c>
      <c r="C58" s="573">
        <v>-38982.51</v>
      </c>
      <c r="D58" s="36"/>
      <c r="F58" s="397" t="s">
        <v>182</v>
      </c>
      <c r="H58" s="157"/>
      <c r="I58" s="120"/>
      <c r="J58" s="120"/>
      <c r="K58" s="204"/>
      <c r="L58" s="120"/>
    </row>
    <row r="59" spans="1:21" ht="16.5" thickBot="1">
      <c r="A59" s="2" t="s">
        <v>125</v>
      </c>
      <c r="B59" s="2"/>
      <c r="C59" s="160">
        <f>SUM(C56:C58)</f>
        <v>-1922609.8799999994</v>
      </c>
      <c r="D59" s="36"/>
      <c r="F59" s="546" t="s">
        <v>304</v>
      </c>
      <c r="G59" s="547" t="str">
        <f>IF(OR(AND(I56&gt;0,K56&gt;0),AND(I56&lt;0,K56&lt;0)),"OK","ERROR")</f>
        <v>OK</v>
      </c>
      <c r="H59" s="386" t="s">
        <v>295</v>
      </c>
      <c r="I59" s="387"/>
    </row>
    <row r="60" spans="1:21" ht="17.25" thickTop="1" thickBot="1">
      <c r="A60" s="2"/>
      <c r="C60" s="101"/>
      <c r="D60" s="36"/>
      <c r="H60" s="318" t="s">
        <v>175</v>
      </c>
      <c r="I60" s="319" t="s">
        <v>176</v>
      </c>
      <c r="J60" s="5"/>
    </row>
    <row r="61" spans="1:21" ht="16.5" thickBot="1">
      <c r="A61" s="9"/>
      <c r="B61" s="9" t="s">
        <v>95</v>
      </c>
      <c r="C61" s="125">
        <f>C59+C34</f>
        <v>307375.15000000084</v>
      </c>
      <c r="D61" s="36"/>
      <c r="H61" s="349" t="e">
        <f>SUM(#REF!,#REF!,#REF!,#REF!,#REF!,#REF!)</f>
        <v>#REF!</v>
      </c>
      <c r="I61" s="449" t="e">
        <f>SUM(#REF!,#REF!,#REF!,#REF!,#REF!,#REF!)</f>
        <v>#REF!</v>
      </c>
      <c r="J61" s="384">
        <f>H53+I53+J53+K53</f>
        <v>-2262631.63674</v>
      </c>
    </row>
    <row r="62" spans="1:21" ht="15.75">
      <c r="A62" s="2"/>
      <c r="B62" s="9" t="s">
        <v>160</v>
      </c>
      <c r="C62" s="610">
        <v>307375.15000000002</v>
      </c>
      <c r="D62" s="37"/>
      <c r="G62" s="5"/>
      <c r="I62" s="338" t="e">
        <f>H61-I61</f>
        <v>#REF!</v>
      </c>
      <c r="N62" s="5"/>
      <c r="O62" s="5"/>
      <c r="P62" s="21"/>
    </row>
    <row r="63" spans="1:21" ht="15.75">
      <c r="A63" s="9"/>
      <c r="B63" s="9" t="s">
        <v>159</v>
      </c>
      <c r="C63" s="257">
        <f>ROUND(C61-C62,2)</f>
        <v>0</v>
      </c>
      <c r="S63" s="6"/>
    </row>
    <row r="64" spans="1:21" ht="15.75">
      <c r="A64" s="44"/>
      <c r="C64" s="351"/>
      <c r="D64" s="36"/>
      <c r="N64" s="22"/>
      <c r="U64" s="2"/>
    </row>
    <row r="65" spans="1:21" ht="15.75">
      <c r="A65" s="44"/>
      <c r="C65" s="8"/>
      <c r="D65" s="43"/>
      <c r="N65" s="22"/>
      <c r="S65" s="23"/>
    </row>
    <row r="66" spans="1:21" ht="15.75">
      <c r="A66" s="2"/>
      <c r="C66" s="8"/>
      <c r="D66" s="36"/>
      <c r="N66" s="22"/>
      <c r="S66" s="24"/>
    </row>
    <row r="67" spans="1:21">
      <c r="C67" s="100"/>
      <c r="D67" s="36"/>
      <c r="N67" s="22"/>
      <c r="S67" s="25"/>
    </row>
    <row r="68" spans="1:21">
      <c r="D68" s="36"/>
      <c r="N68" s="22"/>
      <c r="S68" s="24"/>
    </row>
    <row r="69" spans="1:21">
      <c r="D69" s="36"/>
      <c r="N69" s="22"/>
    </row>
    <row r="70" spans="1:21">
      <c r="D70" s="37"/>
      <c r="N70" s="22"/>
      <c r="S70" s="26"/>
    </row>
    <row r="71" spans="1:21">
      <c r="D71" s="36"/>
    </row>
    <row r="72" spans="1:21">
      <c r="D72" s="36"/>
    </row>
    <row r="73" spans="1:21">
      <c r="D73" s="36"/>
      <c r="S73" s="27"/>
    </row>
    <row r="74" spans="1:21">
      <c r="D74" s="45"/>
      <c r="R74" s="6"/>
      <c r="S74" s="6"/>
      <c r="T74" s="6"/>
    </row>
    <row r="76" spans="1:21">
      <c r="U76" s="28"/>
    </row>
    <row r="1477" spans="3:3">
      <c r="C1477" s="384">
        <v>-2130</v>
      </c>
    </row>
    <row r="1485" spans="3:3">
      <c r="C1485" s="384">
        <f>7004298-2130</f>
        <v>7002168</v>
      </c>
    </row>
  </sheetData>
  <mergeCells count="3">
    <mergeCell ref="F18:I18"/>
    <mergeCell ref="J18:M18"/>
    <mergeCell ref="K35:M35"/>
  </mergeCells>
  <conditionalFormatting sqref="C63 L56 I62">
    <cfRule type="cellIs" dxfId="235" priority="7" stopIfTrue="1" operator="equal">
      <formula>0</formula>
    </cfRule>
    <cfRule type="cellIs" dxfId="234" priority="8" stopIfTrue="1" operator="notEqual">
      <formula>0</formula>
    </cfRule>
  </conditionalFormatting>
  <conditionalFormatting sqref="G34 G47 K30 K47">
    <cfRule type="cellIs" dxfId="233" priority="6" operator="notEqual">
      <formula>0</formula>
    </cfRule>
  </conditionalFormatting>
  <conditionalFormatting sqref="C63">
    <cfRule type="cellIs" dxfId="232" priority="4" stopIfTrue="1" operator="equal">
      <formula>0</formula>
    </cfRule>
    <cfRule type="cellIs" dxfId="231" priority="5" stopIfTrue="1" operator="notEqual">
      <formula>0</formula>
    </cfRule>
  </conditionalFormatting>
  <conditionalFormatting sqref="K30">
    <cfRule type="cellIs" dxfId="230" priority="3" operator="notEqual">
      <formula>0</formula>
    </cfRule>
  </conditionalFormatting>
  <conditionalFormatting sqref="G59">
    <cfRule type="cellIs" dxfId="229" priority="2" operator="equal">
      <formula>"ERROR"</formula>
    </cfRule>
  </conditionalFormatting>
  <conditionalFormatting sqref="G59">
    <cfRule type="cellIs" dxfId="228" priority="1" operator="equal">
      <formula>"ERROR"</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customProperties>
    <customPr name="xxe4aPID" r:id="rId2"/>
  </customProperties>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14">
    <tabColor rgb="FF00CC66"/>
    <pageSetUpPr fitToPage="1"/>
  </sheetPr>
  <dimension ref="A1:U1485"/>
  <sheetViews>
    <sheetView showGridLines="0" zoomScale="70" zoomScaleNormal="70" workbookViewId="0">
      <selection activeCell="B67" sqref="B67"/>
    </sheetView>
  </sheetViews>
  <sheetFormatPr defaultColWidth="16" defaultRowHeight="15"/>
  <cols>
    <col min="1" max="1" width="44.85546875" style="384" customWidth="1"/>
    <col min="2" max="2" width="25.5703125" style="384" customWidth="1"/>
    <col min="3" max="3" width="25.28515625" style="384" customWidth="1"/>
    <col min="4" max="4" width="2.7109375" style="30" customWidth="1"/>
    <col min="5" max="5" width="4.28515625" style="384" customWidth="1"/>
    <col min="6" max="6" width="26.7109375" style="384" customWidth="1"/>
    <col min="7" max="7" width="19" style="384" customWidth="1"/>
    <col min="8" max="8" width="22" style="384" customWidth="1"/>
    <col min="9" max="9" width="18.5703125" style="384" customWidth="1"/>
    <col min="10" max="10" width="26.28515625" style="384" customWidth="1"/>
    <col min="11" max="11" width="21.85546875" style="384" bestFit="1" customWidth="1"/>
    <col min="12" max="12" width="23.85546875" style="384" customWidth="1"/>
    <col min="13" max="13" width="20.85546875" style="384" bestFit="1" customWidth="1"/>
    <col min="14" max="15" width="16" style="384"/>
    <col min="16" max="16" width="16.28515625" style="384" bestFit="1" customWidth="1"/>
    <col min="17" max="16384" width="16" style="384"/>
  </cols>
  <sheetData>
    <row r="1" spans="1:13" ht="16.5" thickBot="1">
      <c r="A1" s="145" t="s">
        <v>64</v>
      </c>
      <c r="B1" s="29"/>
      <c r="C1" s="530">
        <f>Aug!C1+1</f>
        <v>201709</v>
      </c>
      <c r="F1" s="530">
        <f>C1</f>
        <v>201709</v>
      </c>
      <c r="G1" s="385"/>
      <c r="H1" s="162" t="s">
        <v>69</v>
      </c>
      <c r="I1" s="126" t="s">
        <v>3</v>
      </c>
      <c r="J1" s="126" t="s">
        <v>3</v>
      </c>
      <c r="K1" s="126" t="s">
        <v>66</v>
      </c>
      <c r="L1" s="126" t="s">
        <v>66</v>
      </c>
      <c r="M1" s="385"/>
    </row>
    <row r="2" spans="1:13" ht="15.75">
      <c r="C2" s="31"/>
      <c r="F2" s="385"/>
      <c r="G2" s="385"/>
      <c r="H2" s="163" t="s">
        <v>32</v>
      </c>
      <c r="I2" s="164" t="s">
        <v>65</v>
      </c>
      <c r="J2" s="164" t="s">
        <v>65</v>
      </c>
      <c r="K2" s="164" t="s">
        <v>67</v>
      </c>
      <c r="L2" s="164" t="s">
        <v>67</v>
      </c>
      <c r="M2" s="385"/>
    </row>
    <row r="3" spans="1:13" ht="16.5" thickBot="1">
      <c r="A3" s="63" t="s">
        <v>110</v>
      </c>
      <c r="C3" s="32"/>
      <c r="D3" s="33"/>
      <c r="F3" s="50" t="s">
        <v>72</v>
      </c>
      <c r="G3" s="385"/>
      <c r="H3" s="165" t="s">
        <v>68</v>
      </c>
      <c r="I3" s="165" t="s">
        <v>35</v>
      </c>
      <c r="J3" s="165" t="s">
        <v>63</v>
      </c>
      <c r="K3" s="165" t="s">
        <v>35</v>
      </c>
      <c r="L3" s="165" t="s">
        <v>63</v>
      </c>
      <c r="M3" s="385"/>
    </row>
    <row r="4" spans="1:13" ht="15.75">
      <c r="A4" s="385" t="s">
        <v>88</v>
      </c>
      <c r="C4" s="564">
        <v>4449796.09</v>
      </c>
      <c r="D4" s="34"/>
      <c r="F4" s="385"/>
      <c r="G4" s="385"/>
      <c r="H4" s="11"/>
      <c r="I4" s="385"/>
      <c r="J4" s="385"/>
      <c r="L4" s="385"/>
      <c r="M4" s="385"/>
    </row>
    <row r="5" spans="1:13" ht="14.25" customHeight="1">
      <c r="A5" s="385" t="s">
        <v>31</v>
      </c>
      <c r="C5" s="564">
        <f>-158.87+52291.14-3.67</f>
        <v>52128.6</v>
      </c>
      <c r="D5" s="34"/>
      <c r="F5" s="385"/>
      <c r="G5" s="385"/>
      <c r="H5" s="11"/>
      <c r="I5" s="596">
        <v>0.70530000000000004</v>
      </c>
      <c r="J5" s="596">
        <v>0.29470000000000002</v>
      </c>
      <c r="K5" s="445">
        <f>ROUND(G45/(G45+K43),4)</f>
        <v>0.69520000000000004</v>
      </c>
      <c r="L5" s="445">
        <f>1-K5</f>
        <v>0.30479999999999996</v>
      </c>
      <c r="M5" s="385"/>
    </row>
    <row r="6" spans="1:13" ht="16.5" thickBot="1">
      <c r="A6" s="49" t="s">
        <v>30</v>
      </c>
      <c r="C6" s="565">
        <f>-2267480.4-430500-123000-138375-79335-99088.8</f>
        <v>-3137779.1999999997</v>
      </c>
      <c r="D6" s="34"/>
      <c r="F6" s="385"/>
      <c r="G6" s="385"/>
      <c r="H6" s="385"/>
      <c r="I6" s="385"/>
      <c r="J6" s="385"/>
      <c r="K6" s="385"/>
      <c r="L6" s="385"/>
      <c r="M6" s="385"/>
    </row>
    <row r="7" spans="1:13" ht="16.5" thickBot="1">
      <c r="A7" s="66" t="s">
        <v>140</v>
      </c>
      <c r="C7" s="100">
        <f>SUM(C4:C6)</f>
        <v>1364145.4899999998</v>
      </c>
      <c r="D7" s="35"/>
      <c r="F7" s="166" t="s">
        <v>139</v>
      </c>
      <c r="G7" s="166"/>
      <c r="H7" s="125">
        <f>C34</f>
        <v>2206853.9699999997</v>
      </c>
      <c r="I7" s="167">
        <f>H7*I5</f>
        <v>1556494.1050409998</v>
      </c>
      <c r="J7" s="167">
        <f>H7*J5</f>
        <v>650359.86495899991</v>
      </c>
      <c r="K7" s="167"/>
      <c r="L7" s="167"/>
      <c r="M7" s="385"/>
    </row>
    <row r="8" spans="1:13" ht="15.75">
      <c r="A8" s="384" t="s">
        <v>89</v>
      </c>
      <c r="C8" s="564">
        <v>185334.94</v>
      </c>
      <c r="D8" s="35"/>
      <c r="F8" s="385"/>
      <c r="G8" s="385"/>
      <c r="H8" s="168"/>
      <c r="I8" s="168"/>
      <c r="J8" s="168"/>
      <c r="K8" s="168"/>
      <c r="L8" s="168"/>
      <c r="M8" s="385"/>
    </row>
    <row r="9" spans="1:13" ht="15.75">
      <c r="A9" s="385" t="s">
        <v>90</v>
      </c>
      <c r="C9" s="564">
        <f>6179.64</f>
        <v>6179.64</v>
      </c>
      <c r="D9" s="36"/>
      <c r="F9" s="166" t="s">
        <v>119</v>
      </c>
      <c r="G9" s="385"/>
      <c r="H9" s="167">
        <f>C56</f>
        <v>-2101836.6999999993</v>
      </c>
      <c r="I9" s="167"/>
      <c r="J9" s="167"/>
      <c r="K9" s="167">
        <f>H9*K5</f>
        <v>-1461196.8738399995</v>
      </c>
      <c r="L9" s="167">
        <f>H9*L5</f>
        <v>-640639.82615999971</v>
      </c>
      <c r="M9" s="385"/>
    </row>
    <row r="10" spans="1:13" ht="15.75">
      <c r="A10" s="49" t="s">
        <v>91</v>
      </c>
      <c r="C10" s="565">
        <v>-3308.2</v>
      </c>
      <c r="D10" s="36"/>
      <c r="F10" s="169" t="s">
        <v>44</v>
      </c>
      <c r="G10" s="385"/>
      <c r="H10" s="167">
        <f>C57</f>
        <v>47628.89</v>
      </c>
      <c r="I10" s="167"/>
      <c r="J10" s="167"/>
      <c r="K10" s="167">
        <f>H10</f>
        <v>47628.89</v>
      </c>
      <c r="L10" s="167"/>
      <c r="M10" s="385"/>
    </row>
    <row r="11" spans="1:13">
      <c r="A11" s="66" t="s">
        <v>145</v>
      </c>
      <c r="C11" s="100">
        <f>SUM(C8:C10)</f>
        <v>188206.38</v>
      </c>
      <c r="D11" s="36"/>
      <c r="F11" s="169" t="s">
        <v>45</v>
      </c>
      <c r="G11" s="385"/>
      <c r="H11" s="170">
        <f>C58</f>
        <v>35166.93</v>
      </c>
      <c r="I11" s="167"/>
      <c r="J11" s="167"/>
      <c r="K11" s="170"/>
      <c r="L11" s="170">
        <f>H11</f>
        <v>35166.93</v>
      </c>
      <c r="M11" s="385"/>
    </row>
    <row r="12" spans="1:13" ht="15.75">
      <c r="A12" s="384" t="s">
        <v>165</v>
      </c>
      <c r="C12" s="564">
        <f>2422.9+190529.81</f>
        <v>192952.71</v>
      </c>
      <c r="D12" s="36"/>
      <c r="F12" s="169" t="s">
        <v>138</v>
      </c>
      <c r="G12" s="385"/>
      <c r="H12" s="167">
        <f>H9+H10+H11</f>
        <v>-2019040.8799999994</v>
      </c>
      <c r="I12" s="167"/>
      <c r="J12" s="167"/>
      <c r="K12" s="167">
        <f>SUM(K9:K11)</f>
        <v>-1413567.9838399997</v>
      </c>
      <c r="L12" s="167">
        <f>SUM(L9:L11)</f>
        <v>-605472.89615999965</v>
      </c>
      <c r="M12" s="385"/>
    </row>
    <row r="13" spans="1:13" ht="16.5" thickBot="1">
      <c r="A13" s="49" t="s">
        <v>166</v>
      </c>
      <c r="C13" s="313">
        <v>0</v>
      </c>
      <c r="D13" s="36"/>
      <c r="F13" s="171"/>
      <c r="G13" s="172"/>
      <c r="H13" s="173"/>
      <c r="I13" s="174"/>
      <c r="J13" s="173"/>
      <c r="K13" s="168"/>
      <c r="L13" s="173"/>
      <c r="M13" s="385"/>
    </row>
    <row r="14" spans="1:13" ht="16.5" thickBot="1">
      <c r="A14" s="66" t="s">
        <v>92</v>
      </c>
      <c r="C14" s="100">
        <f>SUM(C12:C13)</f>
        <v>192952.71</v>
      </c>
      <c r="D14" s="37"/>
      <c r="F14" s="50" t="s">
        <v>69</v>
      </c>
      <c r="G14" s="175"/>
      <c r="H14" s="125">
        <f>H12+H7</f>
        <v>187813.09000000032</v>
      </c>
      <c r="I14" s="176">
        <f>SUM(I7:I13)</f>
        <v>1556494.1050409998</v>
      </c>
      <c r="J14" s="176">
        <f>SUM(J7:J13)</f>
        <v>650359.86495899991</v>
      </c>
      <c r="K14" s="176">
        <f>K12</f>
        <v>-1413567.9838399997</v>
      </c>
      <c r="L14" s="176">
        <f>L12</f>
        <v>-605472.89615999965</v>
      </c>
      <c r="M14" s="385"/>
    </row>
    <row r="15" spans="1:13" ht="15.75">
      <c r="A15" s="384" t="s">
        <v>183</v>
      </c>
      <c r="C15" s="564">
        <f>445205.68+5661.51</f>
        <v>450867.19</v>
      </c>
      <c r="D15" s="36"/>
      <c r="F15" s="171"/>
      <c r="G15" s="172" t="s">
        <v>102</v>
      </c>
      <c r="H15" s="173">
        <f>H14-C61</f>
        <v>0</v>
      </c>
      <c r="I15" s="177"/>
      <c r="J15" s="173">
        <f>J7+I7-H7</f>
        <v>0</v>
      </c>
      <c r="K15" s="385"/>
      <c r="L15" s="173">
        <f>H12-K14-L14</f>
        <v>0</v>
      </c>
      <c r="M15" s="385"/>
    </row>
    <row r="16" spans="1:13" ht="15.75">
      <c r="A16" s="49" t="s">
        <v>184</v>
      </c>
      <c r="C16" s="313">
        <v>0</v>
      </c>
      <c r="D16" s="36"/>
      <c r="F16" s="178"/>
      <c r="G16" s="172"/>
      <c r="H16" s="179"/>
      <c r="I16" s="180"/>
      <c r="J16" s="179"/>
      <c r="K16" s="385"/>
      <c r="L16" s="179"/>
      <c r="M16" s="385"/>
    </row>
    <row r="17" spans="1:13" ht="15.75" thickBot="1">
      <c r="A17" s="66" t="s">
        <v>185</v>
      </c>
      <c r="C17" s="100">
        <f>SUM(C15:C16)</f>
        <v>450867.19</v>
      </c>
      <c r="D17" s="37"/>
      <c r="F17" s="171"/>
      <c r="G17" s="172"/>
      <c r="H17" s="179"/>
      <c r="I17" s="180"/>
      <c r="J17" s="183"/>
      <c r="K17" s="385"/>
      <c r="L17" s="179"/>
      <c r="M17" s="385"/>
    </row>
    <row r="18" spans="1:13" ht="16.5" thickBot="1">
      <c r="A18" s="384" t="s">
        <v>163</v>
      </c>
      <c r="C18" s="564">
        <f>10427.3+965.36+64763.86</f>
        <v>76156.52</v>
      </c>
      <c r="D18" s="36"/>
      <c r="F18" s="639" t="s">
        <v>134</v>
      </c>
      <c r="G18" s="640"/>
      <c r="H18" s="640"/>
      <c r="I18" s="641"/>
      <c r="J18" s="639" t="s">
        <v>135</v>
      </c>
      <c r="K18" s="640"/>
      <c r="L18" s="640"/>
      <c r="M18" s="641"/>
    </row>
    <row r="19" spans="1:13" ht="15.75">
      <c r="A19" s="46" t="s">
        <v>164</v>
      </c>
      <c r="C19" s="565">
        <v>-4871.8100000000004</v>
      </c>
      <c r="D19" s="36"/>
      <c r="F19" s="201" t="s">
        <v>108</v>
      </c>
      <c r="G19" s="164" t="s">
        <v>33</v>
      </c>
      <c r="H19" s="164" t="s">
        <v>33</v>
      </c>
      <c r="I19" s="164" t="s">
        <v>33</v>
      </c>
      <c r="J19" s="201" t="s">
        <v>108</v>
      </c>
      <c r="K19" s="164" t="s">
        <v>33</v>
      </c>
      <c r="L19" s="164" t="s">
        <v>33</v>
      </c>
      <c r="M19" s="185" t="s">
        <v>33</v>
      </c>
    </row>
    <row r="20" spans="1:13" ht="16.5" thickBot="1">
      <c r="A20" s="67" t="s">
        <v>93</v>
      </c>
      <c r="C20" s="100">
        <f>SUM(C18:C19)</f>
        <v>71284.710000000006</v>
      </c>
      <c r="D20" s="36"/>
      <c r="F20" s="195" t="s">
        <v>162</v>
      </c>
      <c r="G20" s="165" t="s">
        <v>101</v>
      </c>
      <c r="H20" s="165" t="s">
        <v>36</v>
      </c>
      <c r="I20" s="165" t="s">
        <v>34</v>
      </c>
      <c r="J20" s="195" t="s">
        <v>162</v>
      </c>
      <c r="K20" s="165" t="s">
        <v>101</v>
      </c>
      <c r="L20" s="165" t="s">
        <v>36</v>
      </c>
      <c r="M20" s="165" t="s">
        <v>34</v>
      </c>
    </row>
    <row r="21" spans="1:13" ht="15.75">
      <c r="A21" s="46" t="s">
        <v>149</v>
      </c>
      <c r="C21" s="565">
        <f>-118.03+1850</f>
        <v>1731.97</v>
      </c>
      <c r="D21" s="36"/>
      <c r="F21" s="184"/>
      <c r="G21" s="12"/>
      <c r="H21" s="12"/>
      <c r="I21" s="185"/>
      <c r="J21" s="129"/>
      <c r="K21" s="13"/>
      <c r="L21" s="13"/>
      <c r="M21" s="205"/>
    </row>
    <row r="22" spans="1:13" ht="18" customHeight="1">
      <c r="A22" s="65" t="s">
        <v>149</v>
      </c>
      <c r="C22" s="100">
        <f>SUM(C21)</f>
        <v>1731.97</v>
      </c>
      <c r="D22" s="36"/>
      <c r="F22" s="199" t="s">
        <v>126</v>
      </c>
      <c r="G22" s="7"/>
      <c r="H22" s="7"/>
      <c r="I22" s="98"/>
      <c r="J22" s="199" t="s">
        <v>126</v>
      </c>
      <c r="K22" s="7"/>
      <c r="L22" s="7"/>
      <c r="M22" s="98"/>
    </row>
    <row r="23" spans="1:13" ht="15.75">
      <c r="A23" s="208" t="s">
        <v>180</v>
      </c>
      <c r="C23" s="100">
        <v>0</v>
      </c>
      <c r="D23" s="36"/>
      <c r="F23" s="200" t="s">
        <v>37</v>
      </c>
      <c r="G23" s="568">
        <v>3147236</v>
      </c>
      <c r="H23" s="599">
        <v>0.12678</v>
      </c>
      <c r="I23" s="196">
        <f t="shared" ref="I23:I31" si="0">G23*H23</f>
        <v>399006.58007999999</v>
      </c>
      <c r="J23" s="200" t="s">
        <v>37</v>
      </c>
      <c r="K23" s="568">
        <v>1445438</v>
      </c>
      <c r="L23" s="599">
        <v>0.11330999999999999</v>
      </c>
      <c r="M23" s="196">
        <f>K23*L23</f>
        <v>163782.57978</v>
      </c>
    </row>
    <row r="24" spans="1:13" ht="15.75">
      <c r="A24" s="208" t="s">
        <v>186</v>
      </c>
      <c r="C24" s="312">
        <v>0</v>
      </c>
      <c r="D24" s="36"/>
      <c r="F24" s="200" t="s">
        <v>306</v>
      </c>
      <c r="G24" s="568">
        <v>3920</v>
      </c>
      <c r="H24" s="599">
        <v>0.12678</v>
      </c>
      <c r="I24" s="196">
        <f t="shared" si="0"/>
        <v>496.9776</v>
      </c>
      <c r="J24" s="200" t="s">
        <v>38</v>
      </c>
      <c r="K24" s="568">
        <v>991953</v>
      </c>
      <c r="L24" s="599">
        <v>0.11330999999999999</v>
      </c>
      <c r="M24" s="196">
        <f t="shared" ref="M24:M27" si="1">K24*L24</f>
        <v>112398.19442999999</v>
      </c>
    </row>
    <row r="25" spans="1:13" ht="15.75">
      <c r="A25" s="208" t="s">
        <v>189</v>
      </c>
      <c r="C25" s="314">
        <v>0</v>
      </c>
      <c r="D25" s="36"/>
      <c r="F25" s="200" t="s">
        <v>38</v>
      </c>
      <c r="G25" s="568">
        <v>2165313</v>
      </c>
      <c r="H25" s="599">
        <v>0.11865000000000001</v>
      </c>
      <c r="I25" s="196">
        <f t="shared" si="0"/>
        <v>256914.38745000001</v>
      </c>
      <c r="J25" s="200" t="s">
        <v>39</v>
      </c>
      <c r="K25" s="568">
        <v>71733</v>
      </c>
      <c r="L25" s="599">
        <v>0.11330999999999999</v>
      </c>
      <c r="M25" s="196">
        <f t="shared" si="1"/>
        <v>8128.0662299999995</v>
      </c>
    </row>
    <row r="26" spans="1:13" ht="15.75">
      <c r="A26" s="209" t="s">
        <v>188</v>
      </c>
      <c r="C26" s="315">
        <v>0</v>
      </c>
      <c r="D26" s="36"/>
      <c r="F26" s="200" t="s">
        <v>39</v>
      </c>
      <c r="G26" s="568">
        <v>0</v>
      </c>
      <c r="H26" s="599">
        <v>0.11865000000000001</v>
      </c>
      <c r="I26" s="196">
        <f t="shared" si="0"/>
        <v>0</v>
      </c>
      <c r="J26" s="200" t="s">
        <v>40</v>
      </c>
      <c r="K26" s="568">
        <v>0</v>
      </c>
      <c r="L26" s="599">
        <v>0.11330999999999999</v>
      </c>
      <c r="M26" s="196">
        <f t="shared" si="1"/>
        <v>0</v>
      </c>
    </row>
    <row r="27" spans="1:13" ht="15.75">
      <c r="A27" s="65" t="s">
        <v>96</v>
      </c>
      <c r="C27" s="100">
        <f>SUM(C23:C26)</f>
        <v>0</v>
      </c>
      <c r="D27" s="36"/>
      <c r="F27" s="200" t="s">
        <v>40</v>
      </c>
      <c r="G27" s="568">
        <v>348558</v>
      </c>
      <c r="H27" s="599">
        <v>0.11541</v>
      </c>
      <c r="I27" s="196">
        <f t="shared" si="0"/>
        <v>40227.078779999996</v>
      </c>
      <c r="J27" s="200" t="s">
        <v>41</v>
      </c>
      <c r="K27" s="568">
        <v>0</v>
      </c>
      <c r="L27" s="599">
        <v>0.11330999999999999</v>
      </c>
      <c r="M27" s="196">
        <f t="shared" si="1"/>
        <v>0</v>
      </c>
    </row>
    <row r="28" spans="1:13" ht="16.5" thickBot="1">
      <c r="A28" s="210" t="s">
        <v>150</v>
      </c>
      <c r="C28" s="312">
        <v>0</v>
      </c>
      <c r="D28" s="37"/>
      <c r="F28" s="200" t="s">
        <v>41</v>
      </c>
      <c r="G28" s="568">
        <v>26763</v>
      </c>
      <c r="H28" s="599">
        <v>0.11541</v>
      </c>
      <c r="I28" s="196">
        <f t="shared" si="0"/>
        <v>3088.71783</v>
      </c>
      <c r="J28" s="199" t="s">
        <v>127</v>
      </c>
      <c r="K28" s="181">
        <f>SUM(K23:K27)</f>
        <v>2509124</v>
      </c>
      <c r="L28" s="182"/>
      <c r="M28" s="197">
        <f>SUM(M23:M27)</f>
        <v>284308.84044</v>
      </c>
    </row>
    <row r="29" spans="1:13" ht="17.25" thickTop="1" thickBot="1">
      <c r="A29" s="210" t="s">
        <v>167</v>
      </c>
      <c r="B29" s="385"/>
      <c r="C29" s="312">
        <v>0</v>
      </c>
      <c r="D29" s="36"/>
      <c r="F29" s="200" t="s">
        <v>42</v>
      </c>
      <c r="G29" s="568">
        <v>0</v>
      </c>
      <c r="H29" s="599">
        <v>7.4310000000000001E-2</v>
      </c>
      <c r="I29" s="196">
        <f t="shared" si="0"/>
        <v>0</v>
      </c>
      <c r="J29" s="199"/>
      <c r="K29" s="231">
        <v>2509124</v>
      </c>
      <c r="L29" s="187" t="s">
        <v>102</v>
      </c>
      <c r="M29" s="465">
        <f>M28/K28</f>
        <v>0.11330999999999999</v>
      </c>
    </row>
    <row r="30" spans="1:13" ht="16.5" thickBot="1">
      <c r="A30" s="2" t="s">
        <v>111</v>
      </c>
      <c r="C30" s="125">
        <f>C7+C11+C14+C17+C20+C22+C27+C28+C29</f>
        <v>2269188.4499999997</v>
      </c>
      <c r="D30" s="37"/>
      <c r="F30" s="200" t="s">
        <v>43</v>
      </c>
      <c r="G30" s="568">
        <v>31578</v>
      </c>
      <c r="H30" s="599">
        <v>7.4310000000000001E-2</v>
      </c>
      <c r="I30" s="196">
        <f t="shared" si="0"/>
        <v>2346.5611800000001</v>
      </c>
      <c r="J30" s="200"/>
      <c r="K30" s="230">
        <f>K28-K29</f>
        <v>0</v>
      </c>
      <c r="L30" s="182"/>
      <c r="M30" s="198"/>
    </row>
    <row r="31" spans="1:13" ht="15.75">
      <c r="A31" s="384" t="s">
        <v>112</v>
      </c>
      <c r="C31" s="564">
        <v>-8898.0499999999993</v>
      </c>
      <c r="D31" s="39"/>
      <c r="F31" s="200" t="s">
        <v>74</v>
      </c>
      <c r="G31" s="568">
        <v>2209861</v>
      </c>
      <c r="H31" s="599">
        <v>5.4000000000000001E-4</v>
      </c>
      <c r="I31" s="196">
        <f t="shared" si="0"/>
        <v>1193.32494</v>
      </c>
      <c r="J31" s="153"/>
      <c r="K31" s="7"/>
      <c r="L31" s="182"/>
      <c r="M31" s="198"/>
    </row>
    <row r="32" spans="1:13" ht="16.5" thickBot="1">
      <c r="A32" s="2" t="s">
        <v>116</v>
      </c>
      <c r="B32" s="2" t="s">
        <v>117</v>
      </c>
      <c r="C32" s="571">
        <f>C30+C31</f>
        <v>2260290.4</v>
      </c>
      <c r="D32" s="40"/>
      <c r="F32" s="199" t="s">
        <v>127</v>
      </c>
      <c r="G32" s="181">
        <f>SUM(G23:G31)</f>
        <v>7933229</v>
      </c>
      <c r="H32" s="7"/>
      <c r="I32" s="197">
        <f>SUM(I23:I31)</f>
        <v>703273.62785999989</v>
      </c>
      <c r="J32" s="192"/>
      <c r="K32" s="193"/>
      <c r="L32" s="7"/>
      <c r="M32" s="190"/>
    </row>
    <row r="33" spans="1:17" ht="17.25" thickTop="1" thickBot="1">
      <c r="A33" s="384" t="s">
        <v>113</v>
      </c>
      <c r="C33" s="571">
        <f>-C5-C9-C13-C16-C19</f>
        <v>-53436.43</v>
      </c>
      <c r="D33" s="36"/>
      <c r="F33" s="186"/>
      <c r="G33" s="231">
        <v>7933229</v>
      </c>
      <c r="H33" s="187" t="s">
        <v>102</v>
      </c>
      <c r="I33" s="216">
        <f>I32/G32</f>
        <v>8.8649102132309546E-2</v>
      </c>
      <c r="J33" s="192"/>
      <c r="K33" s="193"/>
      <c r="L33" s="7"/>
      <c r="M33" s="98"/>
    </row>
    <row r="34" spans="1:17" ht="16.5" thickBot="1">
      <c r="A34" s="2" t="s">
        <v>114</v>
      </c>
      <c r="C34" s="125">
        <f>SUM(C32:C33)</f>
        <v>2206853.9699999997</v>
      </c>
      <c r="D34" s="36"/>
      <c r="F34" s="153"/>
      <c r="G34" s="230">
        <f>G32-G33</f>
        <v>0</v>
      </c>
      <c r="H34" s="7"/>
      <c r="I34" s="98"/>
      <c r="J34" s="192"/>
      <c r="K34" s="191"/>
      <c r="L34" s="7"/>
      <c r="M34" s="98"/>
    </row>
    <row r="35" spans="1:17" ht="18" customHeight="1">
      <c r="A35" s="2"/>
      <c r="C35" s="101"/>
      <c r="D35" s="36"/>
      <c r="F35" s="184"/>
      <c r="G35" s="12"/>
      <c r="H35" s="12"/>
      <c r="I35" s="185"/>
      <c r="J35" s="199" t="s">
        <v>128</v>
      </c>
      <c r="K35" s="637"/>
      <c r="L35" s="637"/>
      <c r="M35" s="638"/>
    </row>
    <row r="36" spans="1:17" ht="15.75">
      <c r="A36" s="16" t="s">
        <v>94</v>
      </c>
      <c r="B36" s="2"/>
      <c r="C36" s="100"/>
      <c r="D36" s="36"/>
      <c r="F36" s="199" t="s">
        <v>128</v>
      </c>
      <c r="G36" s="7"/>
      <c r="H36" s="7"/>
      <c r="I36" s="98"/>
      <c r="J36" s="200" t="s">
        <v>37</v>
      </c>
      <c r="K36" s="263">
        <f>K23</f>
        <v>1445438</v>
      </c>
      <c r="L36" s="599">
        <v>0.23895</v>
      </c>
      <c r="M36" s="196">
        <f t="shared" ref="M36:M42" si="2">K36*L36</f>
        <v>345387.41009999998</v>
      </c>
      <c r="P36" s="273"/>
      <c r="Q36" s="273"/>
    </row>
    <row r="37" spans="1:17" ht="15.75">
      <c r="A37" s="7" t="s">
        <v>129</v>
      </c>
      <c r="B37" s="535" t="s">
        <v>115</v>
      </c>
      <c r="C37" s="564">
        <v>6729629.6500000004</v>
      </c>
      <c r="D37" s="36"/>
      <c r="F37" s="200" t="s">
        <v>37</v>
      </c>
      <c r="G37" s="263">
        <f>G23</f>
        <v>3147236</v>
      </c>
      <c r="H37" s="599">
        <v>0.23860000000000001</v>
      </c>
      <c r="I37" s="196">
        <f t="shared" ref="I37:I44" si="3">G37*H37</f>
        <v>750930.50959999999</v>
      </c>
      <c r="J37" s="200" t="s">
        <v>38</v>
      </c>
      <c r="K37" s="263">
        <f>K24</f>
        <v>991953</v>
      </c>
      <c r="L37" s="599">
        <v>0.23895</v>
      </c>
      <c r="M37" s="196">
        <f t="shared" si="2"/>
        <v>237027.16934999998</v>
      </c>
      <c r="P37" s="273"/>
      <c r="Q37" s="273"/>
    </row>
    <row r="38" spans="1:17" ht="15.75">
      <c r="A38" s="144" t="s">
        <v>14</v>
      </c>
      <c r="B38" s="535" t="s">
        <v>115</v>
      </c>
      <c r="C38" s="564">
        <v>0</v>
      </c>
      <c r="D38" s="36"/>
      <c r="F38" s="200" t="s">
        <v>306</v>
      </c>
      <c r="G38" s="263">
        <f>G24</f>
        <v>3920</v>
      </c>
      <c r="H38" s="599">
        <v>0.23860000000000001</v>
      </c>
      <c r="I38" s="196">
        <f t="shared" si="3"/>
        <v>935.31200000000001</v>
      </c>
      <c r="J38" s="200" t="s">
        <v>39</v>
      </c>
      <c r="K38" s="263">
        <f>K25</f>
        <v>71733</v>
      </c>
      <c r="L38" s="599">
        <v>0.23895</v>
      </c>
      <c r="M38" s="196">
        <f t="shared" si="2"/>
        <v>17140.600350000001</v>
      </c>
      <c r="P38" s="273"/>
      <c r="Q38" s="273"/>
    </row>
    <row r="39" spans="1:17" ht="15.75">
      <c r="A39" s="7" t="s">
        <v>146</v>
      </c>
      <c r="B39" s="535" t="s">
        <v>147</v>
      </c>
      <c r="C39" s="564">
        <v>-66478.23</v>
      </c>
      <c r="D39" s="36"/>
      <c r="F39" s="200" t="s">
        <v>38</v>
      </c>
      <c r="G39" s="263">
        <f t="shared" ref="G39:G44" si="4">G25</f>
        <v>2165313</v>
      </c>
      <c r="H39" s="599">
        <v>0.23860000000000001</v>
      </c>
      <c r="I39" s="196">
        <f t="shared" si="3"/>
        <v>516643.68180000002</v>
      </c>
      <c r="J39" s="200" t="s">
        <v>40</v>
      </c>
      <c r="K39" s="263">
        <f>K26</f>
        <v>0</v>
      </c>
      <c r="L39" s="599">
        <v>0.23895</v>
      </c>
      <c r="M39" s="196">
        <f t="shared" si="2"/>
        <v>0</v>
      </c>
      <c r="P39" s="273"/>
      <c r="Q39" s="273"/>
    </row>
    <row r="40" spans="1:17" ht="15.75">
      <c r="A40" s="7" t="s">
        <v>131</v>
      </c>
      <c r="B40" s="535" t="s">
        <v>132</v>
      </c>
      <c r="C40" s="564">
        <v>501077.48</v>
      </c>
      <c r="D40" s="36"/>
      <c r="F40" s="200" t="s">
        <v>39</v>
      </c>
      <c r="G40" s="263">
        <f t="shared" si="4"/>
        <v>0</v>
      </c>
      <c r="H40" s="599">
        <v>0.23860000000000001</v>
      </c>
      <c r="I40" s="196">
        <f t="shared" si="3"/>
        <v>0</v>
      </c>
      <c r="J40" s="200" t="s">
        <v>41</v>
      </c>
      <c r="K40" s="263">
        <f>K27</f>
        <v>0</v>
      </c>
      <c r="L40" s="599">
        <v>0.23895</v>
      </c>
      <c r="M40" s="196">
        <f t="shared" si="2"/>
        <v>0</v>
      </c>
      <c r="P40" s="273"/>
      <c r="Q40" s="273"/>
    </row>
    <row r="41" spans="1:17" ht="15.75">
      <c r="A41" s="7" t="s">
        <v>153</v>
      </c>
      <c r="B41" s="6" t="s">
        <v>155</v>
      </c>
      <c r="C41" s="564">
        <v>70508.509999999995</v>
      </c>
      <c r="D41" s="36"/>
      <c r="F41" s="200" t="s">
        <v>40</v>
      </c>
      <c r="G41" s="263">
        <f t="shared" si="4"/>
        <v>348558</v>
      </c>
      <c r="H41" s="599">
        <v>0.23860000000000001</v>
      </c>
      <c r="I41" s="196">
        <f t="shared" si="3"/>
        <v>83165.938800000004</v>
      </c>
      <c r="J41" s="200" t="s">
        <v>42</v>
      </c>
      <c r="K41" s="263">
        <v>0</v>
      </c>
      <c r="L41" s="599">
        <v>0.23895</v>
      </c>
      <c r="M41" s="196">
        <f t="shared" si="2"/>
        <v>0</v>
      </c>
      <c r="P41" s="273"/>
      <c r="Q41" s="273"/>
    </row>
    <row r="42" spans="1:17" ht="16.5" thickBot="1">
      <c r="A42" s="7" t="s">
        <v>178</v>
      </c>
      <c r="B42" s="535" t="s">
        <v>179</v>
      </c>
      <c r="C42" s="564">
        <v>223276.34</v>
      </c>
      <c r="D42" s="37"/>
      <c r="F42" s="200" t="s">
        <v>41</v>
      </c>
      <c r="G42" s="263">
        <f t="shared" si="4"/>
        <v>26763</v>
      </c>
      <c r="H42" s="599">
        <v>0.23860000000000001</v>
      </c>
      <c r="I42" s="196">
        <f t="shared" si="3"/>
        <v>6385.6518000000005</v>
      </c>
      <c r="J42" s="200" t="s">
        <v>43</v>
      </c>
      <c r="K42" s="577">
        <v>0</v>
      </c>
      <c r="L42" s="599">
        <v>0.23895</v>
      </c>
      <c r="M42" s="196">
        <f t="shared" si="2"/>
        <v>0</v>
      </c>
      <c r="P42" s="273"/>
      <c r="Q42" s="273"/>
    </row>
    <row r="43" spans="1:17" ht="16.5" thickBot="1">
      <c r="A43" s="85" t="s">
        <v>123</v>
      </c>
      <c r="B43" s="12"/>
      <c r="C43" s="125">
        <f>SUM(C37:C42)</f>
        <v>7458013.75</v>
      </c>
      <c r="D43" s="36"/>
      <c r="F43" s="200" t="s">
        <v>42</v>
      </c>
      <c r="G43" s="263">
        <f t="shared" si="4"/>
        <v>0</v>
      </c>
      <c r="H43" s="599">
        <v>0.23860000000000001</v>
      </c>
      <c r="I43" s="196">
        <f t="shared" si="3"/>
        <v>0</v>
      </c>
      <c r="J43" s="199" t="s">
        <v>133</v>
      </c>
      <c r="K43" s="181">
        <f>SUM(K36:K42)</f>
        <v>2509124</v>
      </c>
      <c r="L43" s="182"/>
      <c r="M43" s="197">
        <f>SUM(M36:M42)</f>
        <v>599555.17979999993</v>
      </c>
    </row>
    <row r="44" spans="1:17" ht="16.5" thickBot="1">
      <c r="A44" s="83" t="s">
        <v>177</v>
      </c>
      <c r="B44" s="84" t="s">
        <v>120</v>
      </c>
      <c r="C44" s="564">
        <v>-2859927.24</v>
      </c>
      <c r="D44" s="37"/>
      <c r="F44" s="200" t="s">
        <v>43</v>
      </c>
      <c r="G44" s="263">
        <f t="shared" si="4"/>
        <v>31578</v>
      </c>
      <c r="H44" s="599">
        <v>0.23860000000000001</v>
      </c>
      <c r="I44" s="196">
        <f t="shared" si="3"/>
        <v>7534.5108</v>
      </c>
      <c r="J44" s="194"/>
      <c r="K44" s="232">
        <v>2509124</v>
      </c>
      <c r="L44" s="189" t="s">
        <v>102</v>
      </c>
      <c r="M44" s="217">
        <f>M43/K43</f>
        <v>0.23894999999999997</v>
      </c>
    </row>
    <row r="45" spans="1:17" ht="16.5" thickBot="1">
      <c r="A45" s="211" t="s">
        <v>168</v>
      </c>
      <c r="B45" s="6" t="s">
        <v>115</v>
      </c>
      <c r="C45" s="122">
        <v>0</v>
      </c>
      <c r="D45" s="39"/>
      <c r="F45" s="199" t="s">
        <v>133</v>
      </c>
      <c r="G45" s="181">
        <f>SUM(G37:G44)</f>
        <v>5723368</v>
      </c>
      <c r="H45" s="182"/>
      <c r="I45" s="197">
        <f>SUM(I37:I44)</f>
        <v>1365595.6048000001</v>
      </c>
      <c r="J45" s="85"/>
      <c r="K45" s="231"/>
      <c r="L45" s="187"/>
      <c r="M45" s="560"/>
    </row>
    <row r="46" spans="1:17" ht="19.5" customHeight="1" thickTop="1" thickBot="1">
      <c r="A46" s="144" t="s">
        <v>169</v>
      </c>
      <c r="B46" s="6" t="s">
        <v>115</v>
      </c>
      <c r="C46" s="122">
        <v>0</v>
      </c>
      <c r="D46" s="40"/>
      <c r="F46" s="188"/>
      <c r="G46" s="232">
        <v>5723368</v>
      </c>
      <c r="H46" s="189" t="s">
        <v>102</v>
      </c>
      <c r="I46" s="215">
        <f>I45/G45</f>
        <v>0.23860000000000001</v>
      </c>
      <c r="J46" s="85"/>
      <c r="K46" s="231"/>
      <c r="L46" s="187"/>
      <c r="M46" s="560"/>
    </row>
    <row r="47" spans="1:17" ht="19.5" customHeight="1">
      <c r="A47" s="384" t="s">
        <v>137</v>
      </c>
      <c r="B47" s="6" t="s">
        <v>115</v>
      </c>
      <c r="C47" s="564">
        <v>0</v>
      </c>
      <c r="D47" s="36"/>
      <c r="F47" s="385"/>
      <c r="G47" s="230">
        <f>G45-G46</f>
        <v>0</v>
      </c>
      <c r="H47" s="385"/>
      <c r="I47" s="385"/>
      <c r="J47" s="124"/>
      <c r="K47" s="230">
        <f>K43-K44</f>
        <v>0</v>
      </c>
      <c r="L47" s="385"/>
      <c r="M47" s="124"/>
    </row>
    <row r="48" spans="1:17" ht="16.5" thickBot="1">
      <c r="A48" s="144" t="s">
        <v>305</v>
      </c>
      <c r="B48" s="6" t="s">
        <v>115</v>
      </c>
      <c r="C48" s="564">
        <v>7000</v>
      </c>
      <c r="D48" s="36"/>
      <c r="F48" s="385"/>
      <c r="G48" s="385"/>
      <c r="H48" s="385"/>
      <c r="I48" s="385"/>
      <c r="J48" s="124"/>
      <c r="K48" s="114"/>
      <c r="L48" s="385"/>
      <c r="M48" s="68"/>
    </row>
    <row r="49" spans="1:21" ht="15.75">
      <c r="A49" s="7" t="s">
        <v>130</v>
      </c>
      <c r="B49" s="535" t="s">
        <v>152</v>
      </c>
      <c r="C49" s="564">
        <v>22597.94</v>
      </c>
      <c r="D49" s="36"/>
      <c r="F49" s="385"/>
      <c r="G49" s="114"/>
      <c r="H49" s="129" t="s">
        <v>35</v>
      </c>
      <c r="I49" s="13" t="s">
        <v>35</v>
      </c>
      <c r="J49" s="13" t="s">
        <v>63</v>
      </c>
      <c r="K49" s="127" t="s">
        <v>70</v>
      </c>
      <c r="L49" s="124"/>
      <c r="M49" s="385"/>
    </row>
    <row r="50" spans="1:21" ht="16.5" thickBot="1">
      <c r="A50" s="7" t="s">
        <v>222</v>
      </c>
      <c r="B50" s="535" t="s">
        <v>152</v>
      </c>
      <c r="C50" s="564">
        <v>623.04</v>
      </c>
      <c r="D50" s="36"/>
      <c r="F50" s="50" t="s">
        <v>73</v>
      </c>
      <c r="G50" s="385"/>
      <c r="H50" s="130" t="s">
        <v>2</v>
      </c>
      <c r="I50" s="131" t="s">
        <v>3</v>
      </c>
      <c r="J50" s="131" t="s">
        <v>2</v>
      </c>
      <c r="K50" s="128" t="s">
        <v>3</v>
      </c>
      <c r="L50" s="385"/>
      <c r="M50" s="385"/>
    </row>
    <row r="51" spans="1:21" ht="15.75">
      <c r="A51" s="7" t="s">
        <v>309</v>
      </c>
      <c r="B51" s="572" t="s">
        <v>152</v>
      </c>
      <c r="C51" s="564">
        <v>9312.73</v>
      </c>
      <c r="D51" s="36"/>
      <c r="F51" s="385"/>
      <c r="G51" s="385"/>
      <c r="H51" s="151"/>
      <c r="I51" s="152"/>
      <c r="J51" s="152"/>
      <c r="K51" s="152"/>
      <c r="L51" s="126" t="s">
        <v>103</v>
      </c>
      <c r="M51" s="385"/>
    </row>
    <row r="52" spans="1:21" ht="15.75">
      <c r="A52" s="22" t="s">
        <v>118</v>
      </c>
      <c r="B52" s="6"/>
      <c r="C52" s="100">
        <f>-C33</f>
        <v>53436.43</v>
      </c>
      <c r="D52" s="33"/>
      <c r="F52" s="385" t="s">
        <v>136</v>
      </c>
      <c r="G52" s="385"/>
      <c r="H52" s="212">
        <f>K12</f>
        <v>-1413567.9838399997</v>
      </c>
      <c r="I52" s="115">
        <f>I14</f>
        <v>1556494.1050409998</v>
      </c>
      <c r="J52" s="115">
        <f>L12</f>
        <v>-605472.89615999965</v>
      </c>
      <c r="K52" s="115">
        <f>J14</f>
        <v>650359.86495899991</v>
      </c>
      <c r="L52" s="132">
        <f>SUM(H52:K52)</f>
        <v>187813.09000000043</v>
      </c>
      <c r="M52" s="385"/>
    </row>
    <row r="53" spans="1:21" ht="16.5" thickBot="1">
      <c r="A53" s="385" t="s">
        <v>316</v>
      </c>
      <c r="B53" s="621" t="s">
        <v>317</v>
      </c>
      <c r="C53" s="564">
        <v>34777.67</v>
      </c>
      <c r="D53" s="33"/>
      <c r="F53" s="384" t="s">
        <v>109</v>
      </c>
      <c r="H53" s="212">
        <f>-I45</f>
        <v>-1365595.6048000001</v>
      </c>
      <c r="I53" s="115">
        <f>-I32</f>
        <v>-703273.62785999989</v>
      </c>
      <c r="J53" s="115">
        <f>-M43</f>
        <v>-599555.17979999993</v>
      </c>
      <c r="K53" s="115">
        <f>-M28</f>
        <v>-284308.84044</v>
      </c>
      <c r="L53" s="261">
        <f>SUM(H53:K53)</f>
        <v>-2952733.2528999997</v>
      </c>
    </row>
    <row r="54" spans="1:21" ht="16.5" thickBot="1">
      <c r="A54" s="382" t="s">
        <v>124</v>
      </c>
      <c r="B54" s="473" t="s">
        <v>297</v>
      </c>
      <c r="C54" s="564">
        <v>-6452671.0199999996</v>
      </c>
      <c r="D54" s="36"/>
      <c r="F54" s="384" t="s">
        <v>86</v>
      </c>
      <c r="H54" s="234">
        <v>0</v>
      </c>
      <c r="I54" s="235">
        <v>0</v>
      </c>
      <c r="J54" s="235">
        <v>0</v>
      </c>
      <c r="K54" s="236">
        <v>0</v>
      </c>
      <c r="L54" s="214">
        <f>SUM(L52:L53)</f>
        <v>-2764920.1628999994</v>
      </c>
    </row>
    <row r="55" spans="1:21" ht="16.5" thickBot="1">
      <c r="A55" s="384" t="s">
        <v>313</v>
      </c>
      <c r="B55" s="6" t="s">
        <v>190</v>
      </c>
      <c r="C55" s="564">
        <v>-375000</v>
      </c>
      <c r="D55" s="36"/>
      <c r="F55" s="384" t="s">
        <v>71</v>
      </c>
      <c r="H55" s="125">
        <f>IFERROR(H52+H53+H54,0)</f>
        <v>-2779163.5886399997</v>
      </c>
      <c r="I55" s="125">
        <f>I52+I53+I54</f>
        <v>853220.47718099994</v>
      </c>
      <c r="J55" s="125">
        <f>IFERROR(J52+J53+J54,0)</f>
        <v>-1205028.0759599996</v>
      </c>
      <c r="K55" s="125">
        <f>K52+K53+K54</f>
        <v>366051.02451899991</v>
      </c>
      <c r="L55" s="47">
        <f>SUM(H55:K55)</f>
        <v>-2764920.1628999994</v>
      </c>
    </row>
    <row r="56" spans="1:21" ht="16.5" thickBot="1">
      <c r="A56" s="82" t="s">
        <v>119</v>
      </c>
      <c r="B56" s="84"/>
      <c r="C56" s="160">
        <f>SUM(C43:C55)</f>
        <v>-2101836.6999999993</v>
      </c>
      <c r="D56" s="36"/>
      <c r="F56" s="240" t="s">
        <v>181</v>
      </c>
      <c r="H56" s="384" t="s">
        <v>173</v>
      </c>
      <c r="I56" s="5">
        <f>SUM(H55:I55)</f>
        <v>-1925943.1114589998</v>
      </c>
      <c r="J56" s="15" t="s">
        <v>174</v>
      </c>
      <c r="K56" s="384">
        <f>SUM(J55:K55)</f>
        <v>-838977.05144099961</v>
      </c>
      <c r="L56" s="213">
        <f>ROUND(L54-L55,3)</f>
        <v>0</v>
      </c>
      <c r="T56" s="42"/>
    </row>
    <row r="57" spans="1:21" ht="16.5" thickTop="1">
      <c r="A57" s="384" t="s">
        <v>121</v>
      </c>
      <c r="B57" s="6" t="s">
        <v>115</v>
      </c>
      <c r="C57" s="622">
        <v>47628.89</v>
      </c>
      <c r="D57" s="36"/>
      <c r="F57" s="397" t="s">
        <v>181</v>
      </c>
      <c r="H57" s="96"/>
    </row>
    <row r="58" spans="1:21" ht="16.5" thickBot="1">
      <c r="A58" s="384" t="s">
        <v>122</v>
      </c>
      <c r="B58" s="6" t="s">
        <v>115</v>
      </c>
      <c r="C58" s="622">
        <v>35166.93</v>
      </c>
      <c r="D58" s="36"/>
      <c r="F58" s="397" t="s">
        <v>182</v>
      </c>
      <c r="H58" s="157"/>
      <c r="I58" s="120"/>
      <c r="J58" s="120"/>
      <c r="K58" s="204"/>
      <c r="L58" s="120"/>
    </row>
    <row r="59" spans="1:21" ht="16.5" thickBot="1">
      <c r="A59" s="2" t="s">
        <v>125</v>
      </c>
      <c r="B59" s="2"/>
      <c r="C59" s="160">
        <f>SUM(C56:C58)</f>
        <v>-2019040.8799999994</v>
      </c>
      <c r="D59" s="36"/>
      <c r="F59" s="546" t="s">
        <v>304</v>
      </c>
      <c r="G59" s="547" t="str">
        <f>IF(OR(AND(I56&gt;0,K56&gt;0),AND(I56&lt;0,K56&lt;0)),"OK","ERROR")</f>
        <v>OK</v>
      </c>
      <c r="H59" s="386" t="s">
        <v>295</v>
      </c>
      <c r="I59" s="387"/>
    </row>
    <row r="60" spans="1:21" ht="17.25" thickTop="1" thickBot="1">
      <c r="A60" s="2"/>
      <c r="C60" s="101"/>
      <c r="D60" s="36"/>
      <c r="H60" s="318" t="s">
        <v>175</v>
      </c>
      <c r="I60" s="319" t="s">
        <v>176</v>
      </c>
      <c r="J60" s="5"/>
    </row>
    <row r="61" spans="1:21" ht="16.5" thickBot="1">
      <c r="A61" s="9"/>
      <c r="B61" s="9" t="s">
        <v>95</v>
      </c>
      <c r="C61" s="125">
        <f>C59+C34</f>
        <v>187813.09000000032</v>
      </c>
      <c r="D61" s="36"/>
      <c r="H61" s="349" t="e">
        <f>SUM(#REF!,#REF!,#REF!,#REF!,#REF!,#REF!)</f>
        <v>#REF!</v>
      </c>
      <c r="I61" s="449" t="e">
        <f>SUM(#REF!,#REF!,#REF!,#REF!,#REF!,#REF!)</f>
        <v>#REF!</v>
      </c>
      <c r="J61" s="384">
        <f>H53+I53+J53+K53</f>
        <v>-2952733.2528999997</v>
      </c>
    </row>
    <row r="62" spans="1:21" ht="15.75">
      <c r="A62" s="2"/>
      <c r="B62" s="9" t="s">
        <v>160</v>
      </c>
      <c r="C62" s="350">
        <v>187813.09</v>
      </c>
      <c r="D62" s="37"/>
      <c r="G62" s="5"/>
      <c r="I62" s="338" t="e">
        <f>H61-I61</f>
        <v>#REF!</v>
      </c>
      <c r="N62" s="5"/>
      <c r="O62" s="5"/>
      <c r="P62" s="21"/>
    </row>
    <row r="63" spans="1:21" ht="15.75">
      <c r="A63" s="9"/>
      <c r="B63" s="9" t="s">
        <v>159</v>
      </c>
      <c r="C63" s="257">
        <f>ROUND(C61-C62,2)</f>
        <v>0</v>
      </c>
      <c r="S63" s="6"/>
    </row>
    <row r="64" spans="1:21" ht="15.75">
      <c r="A64" s="44"/>
      <c r="C64" s="351"/>
      <c r="D64" s="36"/>
      <c r="N64" s="22"/>
      <c r="U64" s="2"/>
    </row>
    <row r="65" spans="1:21" ht="15.75">
      <c r="A65" s="44"/>
      <c r="C65" s="8"/>
      <c r="D65" s="43"/>
      <c r="N65" s="22"/>
      <c r="S65" s="23"/>
    </row>
    <row r="66" spans="1:21" ht="15.75">
      <c r="A66" s="2"/>
      <c r="C66" s="8"/>
      <c r="D66" s="36"/>
      <c r="N66" s="22"/>
      <c r="S66" s="24"/>
    </row>
    <row r="67" spans="1:21">
      <c r="C67" s="100"/>
      <c r="D67" s="36"/>
      <c r="N67" s="22"/>
      <c r="S67" s="25"/>
    </row>
    <row r="68" spans="1:21">
      <c r="D68" s="36"/>
      <c r="N68" s="22"/>
      <c r="S68" s="24"/>
    </row>
    <row r="69" spans="1:21">
      <c r="D69" s="36"/>
      <c r="N69" s="22"/>
    </row>
    <row r="70" spans="1:21">
      <c r="D70" s="37"/>
      <c r="N70" s="22"/>
      <c r="S70" s="26"/>
    </row>
    <row r="71" spans="1:21">
      <c r="D71" s="36"/>
    </row>
    <row r="72" spans="1:21">
      <c r="D72" s="36"/>
    </row>
    <row r="73" spans="1:21">
      <c r="D73" s="36"/>
      <c r="S73" s="27"/>
    </row>
    <row r="74" spans="1:21">
      <c r="D74" s="45"/>
      <c r="R74" s="6"/>
      <c r="S74" s="6"/>
      <c r="T74" s="6"/>
    </row>
    <row r="76" spans="1:21">
      <c r="U76" s="28"/>
    </row>
    <row r="1477" spans="3:3">
      <c r="C1477" s="384">
        <v>-2130</v>
      </c>
    </row>
    <row r="1485" spans="3:3">
      <c r="C1485" s="384">
        <f>7004298-2130</f>
        <v>7002168</v>
      </c>
    </row>
  </sheetData>
  <mergeCells count="3">
    <mergeCell ref="F18:I18"/>
    <mergeCell ref="J18:M18"/>
    <mergeCell ref="K35:M35"/>
  </mergeCells>
  <conditionalFormatting sqref="C63 L56 I62">
    <cfRule type="cellIs" dxfId="227" priority="7" stopIfTrue="1" operator="equal">
      <formula>0</formula>
    </cfRule>
    <cfRule type="cellIs" dxfId="226" priority="8" stopIfTrue="1" operator="notEqual">
      <formula>0</formula>
    </cfRule>
  </conditionalFormatting>
  <conditionalFormatting sqref="G34 G47 K30 K47">
    <cfRule type="cellIs" dxfId="225" priority="6" operator="notEqual">
      <formula>0</formula>
    </cfRule>
  </conditionalFormatting>
  <conditionalFormatting sqref="C63">
    <cfRule type="cellIs" dxfId="224" priority="4" stopIfTrue="1" operator="equal">
      <formula>0</formula>
    </cfRule>
    <cfRule type="cellIs" dxfId="223" priority="5" stopIfTrue="1" operator="notEqual">
      <formula>0</formula>
    </cfRule>
  </conditionalFormatting>
  <conditionalFormatting sqref="K30">
    <cfRule type="cellIs" dxfId="222" priority="3" operator="notEqual">
      <formula>0</formula>
    </cfRule>
  </conditionalFormatting>
  <conditionalFormatting sqref="G59">
    <cfRule type="cellIs" dxfId="221" priority="2" operator="equal">
      <formula>"ERROR"</formula>
    </cfRule>
  </conditionalFormatting>
  <conditionalFormatting sqref="G59">
    <cfRule type="cellIs" dxfId="220" priority="1" operator="equal">
      <formula>"ERROR"</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customProperties>
    <customPr name="xxe4aPID" r:id="rId2"/>
  </customProperties>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15">
    <tabColor rgb="FF00CC66"/>
    <pageSetUpPr fitToPage="1"/>
  </sheetPr>
  <dimension ref="A1:U1485"/>
  <sheetViews>
    <sheetView showGridLines="0" topLeftCell="A16" zoomScale="70" zoomScaleNormal="70" workbookViewId="0">
      <selection activeCell="B67" sqref="B67"/>
    </sheetView>
  </sheetViews>
  <sheetFormatPr defaultColWidth="16" defaultRowHeight="15"/>
  <cols>
    <col min="1" max="1" width="44.85546875" style="384" customWidth="1"/>
    <col min="2" max="2" width="25.5703125" style="384" customWidth="1"/>
    <col min="3" max="3" width="25.28515625" style="384" customWidth="1"/>
    <col min="4" max="4" width="2.7109375" style="30" customWidth="1"/>
    <col min="5" max="5" width="4.28515625" style="384" customWidth="1"/>
    <col min="6" max="6" width="26.7109375" style="384" customWidth="1"/>
    <col min="7" max="7" width="19" style="384" customWidth="1"/>
    <col min="8" max="8" width="22" style="384" customWidth="1"/>
    <col min="9" max="9" width="20.42578125" style="384" customWidth="1"/>
    <col min="10" max="10" width="26.28515625" style="384" customWidth="1"/>
    <col min="11" max="11" width="21.85546875" style="384" bestFit="1" customWidth="1"/>
    <col min="12" max="12" width="23.85546875" style="384" customWidth="1"/>
    <col min="13" max="13" width="20.85546875" style="384" bestFit="1" customWidth="1"/>
    <col min="14" max="15" width="16" style="384"/>
    <col min="16" max="16" width="16.28515625" style="384" bestFit="1" customWidth="1"/>
    <col min="17" max="16384" width="16" style="384"/>
  </cols>
  <sheetData>
    <row r="1" spans="1:13" ht="16.5" thickBot="1">
      <c r="A1" s="145" t="s">
        <v>64</v>
      </c>
      <c r="B1" s="29"/>
      <c r="C1" s="530">
        <f>Sep!C1+1</f>
        <v>201710</v>
      </c>
      <c r="F1" s="530">
        <f>C1</f>
        <v>201710</v>
      </c>
      <c r="G1" s="385"/>
      <c r="H1" s="162" t="s">
        <v>69</v>
      </c>
      <c r="I1" s="126" t="s">
        <v>3</v>
      </c>
      <c r="J1" s="126" t="s">
        <v>3</v>
      </c>
      <c r="K1" s="126" t="s">
        <v>66</v>
      </c>
      <c r="L1" s="126" t="s">
        <v>66</v>
      </c>
      <c r="M1" s="385"/>
    </row>
    <row r="2" spans="1:13" ht="15.75">
      <c r="C2" s="31"/>
      <c r="F2" s="385"/>
      <c r="G2" s="385"/>
      <c r="H2" s="163" t="s">
        <v>32</v>
      </c>
      <c r="I2" s="164" t="s">
        <v>65</v>
      </c>
      <c r="J2" s="164" t="s">
        <v>65</v>
      </c>
      <c r="K2" s="164" t="s">
        <v>67</v>
      </c>
      <c r="L2" s="164" t="s">
        <v>67</v>
      </c>
      <c r="M2" s="385"/>
    </row>
    <row r="3" spans="1:13" ht="16.5" thickBot="1">
      <c r="A3" s="63" t="s">
        <v>110</v>
      </c>
      <c r="C3" s="32"/>
      <c r="D3" s="33"/>
      <c r="F3" s="50" t="s">
        <v>72</v>
      </c>
      <c r="G3" s="385"/>
      <c r="H3" s="165" t="s">
        <v>68</v>
      </c>
      <c r="I3" s="165" t="s">
        <v>35</v>
      </c>
      <c r="J3" s="165" t="s">
        <v>63</v>
      </c>
      <c r="K3" s="165" t="s">
        <v>35</v>
      </c>
      <c r="L3" s="165" t="s">
        <v>63</v>
      </c>
      <c r="M3" s="385"/>
    </row>
    <row r="4" spans="1:13" ht="15.75">
      <c r="A4" s="385" t="s">
        <v>88</v>
      </c>
      <c r="C4" s="573">
        <v>4598122.63</v>
      </c>
      <c r="D4" s="34"/>
      <c r="F4" s="385"/>
      <c r="G4" s="385"/>
      <c r="H4" s="11"/>
      <c r="I4" s="385"/>
      <c r="J4" s="385"/>
      <c r="L4" s="385"/>
      <c r="M4" s="385"/>
    </row>
    <row r="5" spans="1:13" ht="14.25" customHeight="1">
      <c r="A5" s="385" t="s">
        <v>31</v>
      </c>
      <c r="C5" s="573">
        <f>44271.01-335.72</f>
        <v>43935.29</v>
      </c>
      <c r="D5" s="34"/>
      <c r="F5" s="385"/>
      <c r="G5" s="385"/>
      <c r="H5" s="11"/>
      <c r="I5" s="596">
        <v>0.70530000000000004</v>
      </c>
      <c r="J5" s="596">
        <v>0.29470000000000002</v>
      </c>
      <c r="K5" s="445">
        <f>ROUND(G45/(G45+K43),4)</f>
        <v>0.65280000000000005</v>
      </c>
      <c r="L5" s="445">
        <f>1-K5</f>
        <v>0.34719999999999995</v>
      </c>
      <c r="M5" s="385"/>
    </row>
    <row r="6" spans="1:13" ht="16.5" thickBot="1">
      <c r="A6" s="49" t="s">
        <v>30</v>
      </c>
      <c r="C6" s="574">
        <f>-2343063.08-444850-127100-142987.5-81979.5-102391.76</f>
        <v>-3242371.84</v>
      </c>
      <c r="D6" s="34"/>
      <c r="F6" s="385"/>
      <c r="G6" s="385"/>
      <c r="H6" s="385"/>
      <c r="I6" s="385"/>
      <c r="J6" s="385"/>
      <c r="K6" s="385"/>
      <c r="L6" s="385"/>
      <c r="M6" s="385"/>
    </row>
    <row r="7" spans="1:13" ht="16.5" thickBot="1">
      <c r="A7" s="66" t="s">
        <v>140</v>
      </c>
      <c r="C7" s="100">
        <f>SUM(C4:C6)</f>
        <v>1399686.08</v>
      </c>
      <c r="D7" s="35"/>
      <c r="F7" s="166" t="s">
        <v>139</v>
      </c>
      <c r="G7" s="166"/>
      <c r="H7" s="125">
        <f>C34</f>
        <v>2275593.7600000007</v>
      </c>
      <c r="I7" s="167">
        <f>H7*I5</f>
        <v>1604976.2789280005</v>
      </c>
      <c r="J7" s="167">
        <f>H7*J5</f>
        <v>670617.48107200023</v>
      </c>
      <c r="K7" s="167"/>
      <c r="L7" s="167"/>
      <c r="M7" s="385"/>
    </row>
    <row r="8" spans="1:13" ht="15.75">
      <c r="A8" s="384" t="s">
        <v>89</v>
      </c>
      <c r="C8" s="573">
        <v>252729.32</v>
      </c>
      <c r="D8" s="35"/>
      <c r="F8" s="385"/>
      <c r="G8" s="385"/>
      <c r="H8" s="168"/>
      <c r="I8" s="168"/>
      <c r="J8" s="168"/>
      <c r="K8" s="168"/>
      <c r="L8" s="168"/>
      <c r="M8" s="385"/>
    </row>
    <row r="9" spans="1:13" ht="15.75">
      <c r="A9" s="385" t="s">
        <v>90</v>
      </c>
      <c r="C9" s="573">
        <f>7767.77</f>
        <v>7767.77</v>
      </c>
      <c r="D9" s="36"/>
      <c r="F9" s="166" t="s">
        <v>119</v>
      </c>
      <c r="G9" s="385"/>
      <c r="H9" s="167">
        <f>C56</f>
        <v>21894.780000001192</v>
      </c>
      <c r="I9" s="167"/>
      <c r="J9" s="167"/>
      <c r="K9" s="167">
        <f>H9*K5</f>
        <v>14292.91238400078</v>
      </c>
      <c r="L9" s="167">
        <f>H9*L5</f>
        <v>7601.8676160004125</v>
      </c>
      <c r="M9" s="385"/>
    </row>
    <row r="10" spans="1:13" ht="15.75">
      <c r="A10" s="49" t="s">
        <v>91</v>
      </c>
      <c r="C10" s="574">
        <v>-3418.47</v>
      </c>
      <c r="D10" s="36"/>
      <c r="F10" s="169" t="s">
        <v>44</v>
      </c>
      <c r="G10" s="385"/>
      <c r="H10" s="167">
        <f>C57</f>
        <v>104499.94</v>
      </c>
      <c r="I10" s="167"/>
      <c r="J10" s="167"/>
      <c r="K10" s="167">
        <f>H10</f>
        <v>104499.94</v>
      </c>
      <c r="L10" s="167"/>
      <c r="M10" s="385"/>
    </row>
    <row r="11" spans="1:13">
      <c r="A11" s="66" t="s">
        <v>145</v>
      </c>
      <c r="C11" s="100">
        <f>SUM(C8:C10)</f>
        <v>257078.62</v>
      </c>
      <c r="D11" s="36"/>
      <c r="F11" s="169" t="s">
        <v>45</v>
      </c>
      <c r="G11" s="385"/>
      <c r="H11" s="170">
        <f>C58</f>
        <v>52075.57</v>
      </c>
      <c r="I11" s="167"/>
      <c r="J11" s="167"/>
      <c r="K11" s="170"/>
      <c r="L11" s="170">
        <f>H11</f>
        <v>52075.57</v>
      </c>
      <c r="M11" s="385"/>
    </row>
    <row r="12" spans="1:13" ht="15.75">
      <c r="A12" s="384" t="s">
        <v>165</v>
      </c>
      <c r="C12" s="573">
        <f>184258.8-2631.9</f>
        <v>181626.9</v>
      </c>
      <c r="D12" s="36"/>
      <c r="F12" s="169" t="s">
        <v>138</v>
      </c>
      <c r="G12" s="385"/>
      <c r="H12" s="167">
        <f>H9+H10+H11</f>
        <v>178470.2900000012</v>
      </c>
      <c r="I12" s="167"/>
      <c r="J12" s="167"/>
      <c r="K12" s="167">
        <f>SUM(K9:K11)</f>
        <v>118792.85238400078</v>
      </c>
      <c r="L12" s="167">
        <f>SUM(L9:L11)</f>
        <v>59677.43761600041</v>
      </c>
      <c r="M12" s="385"/>
    </row>
    <row r="13" spans="1:13" ht="16.5" thickBot="1">
      <c r="A13" s="49" t="s">
        <v>166</v>
      </c>
      <c r="C13" s="313">
        <v>0</v>
      </c>
      <c r="D13" s="36"/>
      <c r="F13" s="171"/>
      <c r="G13" s="172"/>
      <c r="H13" s="173"/>
      <c r="I13" s="174"/>
      <c r="J13" s="173"/>
      <c r="K13" s="168"/>
      <c r="L13" s="173"/>
      <c r="M13" s="385"/>
    </row>
    <row r="14" spans="1:13" ht="16.5" thickBot="1">
      <c r="A14" s="66" t="s">
        <v>92</v>
      </c>
      <c r="C14" s="100">
        <f>SUM(C12:C13)</f>
        <v>181626.9</v>
      </c>
      <c r="D14" s="37"/>
      <c r="F14" s="50" t="s">
        <v>69</v>
      </c>
      <c r="G14" s="175"/>
      <c r="H14" s="125">
        <f>H12+H7</f>
        <v>2454064.0500000017</v>
      </c>
      <c r="I14" s="176">
        <f>SUM(I7:I13)</f>
        <v>1604976.2789280005</v>
      </c>
      <c r="J14" s="176">
        <f>SUM(J7:J13)</f>
        <v>670617.48107200023</v>
      </c>
      <c r="K14" s="176">
        <f>K12</f>
        <v>118792.85238400078</v>
      </c>
      <c r="L14" s="176">
        <f>L12</f>
        <v>59677.43761600041</v>
      </c>
      <c r="M14" s="385"/>
    </row>
    <row r="15" spans="1:13" ht="15.75">
      <c r="A15" s="384" t="s">
        <v>183</v>
      </c>
      <c r="C15" s="573">
        <f>430552.37-6149.4</f>
        <v>424402.97</v>
      </c>
      <c r="D15" s="36"/>
      <c r="F15" s="171"/>
      <c r="G15" s="172" t="s">
        <v>102</v>
      </c>
      <c r="H15" s="173">
        <f>H14-C61</f>
        <v>0</v>
      </c>
      <c r="I15" s="177"/>
      <c r="J15" s="173">
        <f>J7+I7-H7</f>
        <v>0</v>
      </c>
      <c r="K15" s="385"/>
      <c r="L15" s="173">
        <f>H12-K14-L14</f>
        <v>0</v>
      </c>
      <c r="M15" s="385"/>
    </row>
    <row r="16" spans="1:13" ht="15.75">
      <c r="A16" s="49" t="s">
        <v>184</v>
      </c>
      <c r="C16" s="313">
        <v>0</v>
      </c>
      <c r="D16" s="36"/>
      <c r="F16" s="178"/>
      <c r="G16" s="172"/>
      <c r="H16" s="179"/>
      <c r="I16" s="180"/>
      <c r="J16" s="179"/>
      <c r="K16" s="385"/>
      <c r="L16" s="179"/>
      <c r="M16" s="385"/>
    </row>
    <row r="17" spans="1:13" ht="15.75" thickBot="1">
      <c r="A17" s="66" t="s">
        <v>185</v>
      </c>
      <c r="C17" s="100">
        <f>SUM(C15:C16)</f>
        <v>424402.97</v>
      </c>
      <c r="D17" s="37"/>
      <c r="F17" s="171"/>
      <c r="G17" s="172"/>
      <c r="H17" s="179"/>
      <c r="I17" s="180"/>
      <c r="J17" s="183"/>
      <c r="K17" s="385"/>
      <c r="L17" s="179"/>
      <c r="M17" s="385"/>
    </row>
    <row r="18" spans="1:13" ht="16.5" thickBot="1">
      <c r="A18" s="384" t="s">
        <v>163</v>
      </c>
      <c r="C18" s="573">
        <f>10084.1+62632.24-1041.77</f>
        <v>71674.569999999992</v>
      </c>
      <c r="D18" s="36"/>
      <c r="F18" s="639" t="s">
        <v>134</v>
      </c>
      <c r="G18" s="640"/>
      <c r="H18" s="640"/>
      <c r="I18" s="641"/>
      <c r="J18" s="639" t="s">
        <v>135</v>
      </c>
      <c r="K18" s="640"/>
      <c r="L18" s="640"/>
      <c r="M18" s="641"/>
    </row>
    <row r="19" spans="1:13" ht="15.75">
      <c r="A19" s="46" t="s">
        <v>164</v>
      </c>
      <c r="C19" s="574">
        <v>-7230.95</v>
      </c>
      <c r="D19" s="36"/>
      <c r="F19" s="201" t="s">
        <v>108</v>
      </c>
      <c r="G19" s="164" t="s">
        <v>33</v>
      </c>
      <c r="H19" s="164" t="s">
        <v>33</v>
      </c>
      <c r="I19" s="164" t="s">
        <v>33</v>
      </c>
      <c r="J19" s="201" t="s">
        <v>108</v>
      </c>
      <c r="K19" s="164" t="s">
        <v>33</v>
      </c>
      <c r="L19" s="164" t="s">
        <v>33</v>
      </c>
      <c r="M19" s="185" t="s">
        <v>33</v>
      </c>
    </row>
    <row r="20" spans="1:13" ht="16.5" thickBot="1">
      <c r="A20" s="67" t="s">
        <v>93</v>
      </c>
      <c r="C20" s="100">
        <f>SUM(C18:C19)</f>
        <v>64443.619999999995</v>
      </c>
      <c r="D20" s="36"/>
      <c r="F20" s="195" t="s">
        <v>162</v>
      </c>
      <c r="G20" s="165" t="s">
        <v>101</v>
      </c>
      <c r="H20" s="165" t="s">
        <v>36</v>
      </c>
      <c r="I20" s="165" t="s">
        <v>34</v>
      </c>
      <c r="J20" s="195" t="s">
        <v>162</v>
      </c>
      <c r="K20" s="165" t="s">
        <v>101</v>
      </c>
      <c r="L20" s="165" t="s">
        <v>36</v>
      </c>
      <c r="M20" s="165" t="s">
        <v>34</v>
      </c>
    </row>
    <row r="21" spans="1:13" ht="15.75">
      <c r="A21" s="46" t="s">
        <v>149</v>
      </c>
      <c r="C21" s="574">
        <f>1850-118.03</f>
        <v>1731.97</v>
      </c>
      <c r="D21" s="36"/>
      <c r="F21" s="184"/>
      <c r="G21" s="12"/>
      <c r="H21" s="12"/>
      <c r="I21" s="185"/>
      <c r="J21" s="129"/>
      <c r="K21" s="13"/>
      <c r="L21" s="13"/>
      <c r="M21" s="205"/>
    </row>
    <row r="22" spans="1:13" ht="18" customHeight="1">
      <c r="A22" s="65" t="s">
        <v>149</v>
      </c>
      <c r="C22" s="100">
        <f>SUM(C21)</f>
        <v>1731.97</v>
      </c>
      <c r="D22" s="36"/>
      <c r="F22" s="199" t="s">
        <v>126</v>
      </c>
      <c r="G22" s="7"/>
      <c r="H22" s="7"/>
      <c r="I22" s="98"/>
      <c r="J22" s="199" t="s">
        <v>126</v>
      </c>
      <c r="K22" s="7"/>
      <c r="L22" s="7"/>
      <c r="M22" s="98"/>
    </row>
    <row r="23" spans="1:13" ht="15.75">
      <c r="A23" s="208" t="s">
        <v>180</v>
      </c>
      <c r="C23" s="100">
        <v>0</v>
      </c>
      <c r="D23" s="36"/>
      <c r="F23" s="200" t="s">
        <v>37</v>
      </c>
      <c r="G23" s="568">
        <v>8835836</v>
      </c>
      <c r="H23" s="599">
        <v>0.12678</v>
      </c>
      <c r="I23" s="196">
        <f t="shared" ref="I23:I31" si="0">G23*H23</f>
        <v>1120207.2880800001</v>
      </c>
      <c r="J23" s="200" t="s">
        <v>37</v>
      </c>
      <c r="K23" s="568">
        <v>4795103</v>
      </c>
      <c r="L23" s="599">
        <v>0.11330999999999999</v>
      </c>
      <c r="M23" s="196">
        <f>K23*L23</f>
        <v>543333.12092999998</v>
      </c>
    </row>
    <row r="24" spans="1:13" ht="15.75">
      <c r="A24" s="208" t="s">
        <v>186</v>
      </c>
      <c r="C24" s="312">
        <v>0</v>
      </c>
      <c r="D24" s="36"/>
      <c r="F24" s="200" t="s">
        <v>306</v>
      </c>
      <c r="G24" s="568">
        <v>13952</v>
      </c>
      <c r="H24" s="599">
        <v>0.12678</v>
      </c>
      <c r="I24" s="196">
        <f t="shared" si="0"/>
        <v>1768.83456</v>
      </c>
      <c r="J24" s="200" t="s">
        <v>38</v>
      </c>
      <c r="K24" s="568">
        <v>1966749</v>
      </c>
      <c r="L24" s="599">
        <v>0.11330999999999999</v>
      </c>
      <c r="M24" s="196">
        <f t="shared" ref="M24:M27" si="1">K24*L24</f>
        <v>222852.32918999999</v>
      </c>
    </row>
    <row r="25" spans="1:13" ht="15.75">
      <c r="A25" s="208" t="s">
        <v>189</v>
      </c>
      <c r="C25" s="314">
        <v>0</v>
      </c>
      <c r="D25" s="36"/>
      <c r="F25" s="200" t="s">
        <v>38</v>
      </c>
      <c r="G25" s="568">
        <v>3629858</v>
      </c>
      <c r="H25" s="599">
        <v>0.11865000000000001</v>
      </c>
      <c r="I25" s="196">
        <f t="shared" si="0"/>
        <v>430682.65170000005</v>
      </c>
      <c r="J25" s="200" t="s">
        <v>39</v>
      </c>
      <c r="K25" s="568">
        <v>47715</v>
      </c>
      <c r="L25" s="599">
        <v>0.11330999999999999</v>
      </c>
      <c r="M25" s="196">
        <f t="shared" si="1"/>
        <v>5406.5866499999993</v>
      </c>
    </row>
    <row r="26" spans="1:13" ht="15.75">
      <c r="A26" s="209" t="s">
        <v>188</v>
      </c>
      <c r="C26" s="315">
        <v>0</v>
      </c>
      <c r="D26" s="36"/>
      <c r="F26" s="200" t="s">
        <v>39</v>
      </c>
      <c r="G26" s="568">
        <v>0</v>
      </c>
      <c r="H26" s="599">
        <v>0.11865000000000001</v>
      </c>
      <c r="I26" s="196">
        <f t="shared" si="0"/>
        <v>0</v>
      </c>
      <c r="J26" s="200" t="s">
        <v>40</v>
      </c>
      <c r="K26" s="568">
        <v>0</v>
      </c>
      <c r="L26" s="599">
        <v>0.11330999999999999</v>
      </c>
      <c r="M26" s="196">
        <f t="shared" si="1"/>
        <v>0</v>
      </c>
    </row>
    <row r="27" spans="1:13" ht="15.75">
      <c r="A27" s="65" t="s">
        <v>96</v>
      </c>
      <c r="C27" s="100">
        <f>SUM(C23:C26)</f>
        <v>0</v>
      </c>
      <c r="D27" s="36"/>
      <c r="F27" s="200" t="s">
        <v>40</v>
      </c>
      <c r="G27" s="568">
        <v>248414</v>
      </c>
      <c r="H27" s="599">
        <v>0.11541</v>
      </c>
      <c r="I27" s="196">
        <f t="shared" si="0"/>
        <v>28669.459739999998</v>
      </c>
      <c r="J27" s="200" t="s">
        <v>41</v>
      </c>
      <c r="K27" s="568">
        <v>0</v>
      </c>
      <c r="L27" s="599">
        <v>0.11330999999999999</v>
      </c>
      <c r="M27" s="196">
        <f t="shared" si="1"/>
        <v>0</v>
      </c>
    </row>
    <row r="28" spans="1:13" ht="16.5" thickBot="1">
      <c r="A28" s="210" t="s">
        <v>150</v>
      </c>
      <c r="C28" s="312">
        <v>0</v>
      </c>
      <c r="D28" s="37"/>
      <c r="F28" s="200" t="s">
        <v>41</v>
      </c>
      <c r="G28" s="568">
        <v>34226</v>
      </c>
      <c r="H28" s="599">
        <v>0.11541</v>
      </c>
      <c r="I28" s="196">
        <f t="shared" si="0"/>
        <v>3950.0226600000001</v>
      </c>
      <c r="J28" s="199" t="s">
        <v>127</v>
      </c>
      <c r="K28" s="181">
        <f>SUM(K23:K27)</f>
        <v>6809567</v>
      </c>
      <c r="L28" s="182"/>
      <c r="M28" s="197">
        <f>SUM(M23:M27)</f>
        <v>771592.03676999989</v>
      </c>
    </row>
    <row r="29" spans="1:13" ht="17.25" thickTop="1" thickBot="1">
      <c r="A29" s="210" t="s">
        <v>167</v>
      </c>
      <c r="B29" s="385"/>
      <c r="C29" s="312">
        <v>0</v>
      </c>
      <c r="D29" s="36"/>
      <c r="F29" s="200" t="s">
        <v>42</v>
      </c>
      <c r="G29" s="568">
        <v>0</v>
      </c>
      <c r="H29" s="599">
        <v>7.4310000000000001E-2</v>
      </c>
      <c r="I29" s="196">
        <f t="shared" si="0"/>
        <v>0</v>
      </c>
      <c r="J29" s="199"/>
      <c r="K29" s="231">
        <v>6809567</v>
      </c>
      <c r="L29" s="187" t="s">
        <v>102</v>
      </c>
      <c r="M29" s="465">
        <f>M28/K28</f>
        <v>0.11330999999999998</v>
      </c>
    </row>
    <row r="30" spans="1:13" ht="16.5" thickBot="1">
      <c r="A30" s="2" t="s">
        <v>111</v>
      </c>
      <c r="C30" s="125">
        <f>C7+C11+C14+C17+C20+C22+C27+C28+C29</f>
        <v>2328970.1600000006</v>
      </c>
      <c r="D30" s="37"/>
      <c r="F30" s="200" t="s">
        <v>43</v>
      </c>
      <c r="G30" s="568">
        <v>40231</v>
      </c>
      <c r="H30" s="599">
        <v>7.4310000000000001E-2</v>
      </c>
      <c r="I30" s="196">
        <f t="shared" si="0"/>
        <v>2989.5656100000001</v>
      </c>
      <c r="J30" s="200"/>
      <c r="K30" s="230">
        <f>K28-K29</f>
        <v>0</v>
      </c>
      <c r="L30" s="182"/>
      <c r="M30" s="198"/>
    </row>
    <row r="31" spans="1:13" ht="15.75">
      <c r="A31" s="384" t="s">
        <v>112</v>
      </c>
      <c r="C31" s="573">
        <v>-8904.2900000000009</v>
      </c>
      <c r="D31" s="39"/>
      <c r="F31" s="200" t="s">
        <v>74</v>
      </c>
      <c r="G31" s="568">
        <v>3085921</v>
      </c>
      <c r="H31" s="599">
        <v>5.4000000000000001E-4</v>
      </c>
      <c r="I31" s="196">
        <f t="shared" si="0"/>
        <v>1666.39734</v>
      </c>
      <c r="J31" s="153"/>
      <c r="K31" s="7"/>
      <c r="L31" s="182"/>
      <c r="M31" s="198"/>
    </row>
    <row r="32" spans="1:13" ht="16.5" thickBot="1">
      <c r="A32" s="2" t="s">
        <v>116</v>
      </c>
      <c r="B32" s="2" t="s">
        <v>117</v>
      </c>
      <c r="C32" s="571">
        <f>C30+C31</f>
        <v>2320065.8700000006</v>
      </c>
      <c r="D32" s="40"/>
      <c r="F32" s="199" t="s">
        <v>127</v>
      </c>
      <c r="G32" s="181">
        <f>SUM(G23:G31)</f>
        <v>15888438</v>
      </c>
      <c r="H32" s="7"/>
      <c r="I32" s="197">
        <f>SUM(I23:I31)</f>
        <v>1589934.2196900002</v>
      </c>
      <c r="J32" s="192"/>
      <c r="K32" s="193"/>
      <c r="L32" s="7"/>
      <c r="M32" s="190"/>
    </row>
    <row r="33" spans="1:17" ht="17.25" thickTop="1" thickBot="1">
      <c r="A33" s="384" t="s">
        <v>113</v>
      </c>
      <c r="C33" s="311">
        <f>-C5-C9-C13-C16-C19</f>
        <v>-44472.11</v>
      </c>
      <c r="D33" s="36"/>
      <c r="F33" s="186"/>
      <c r="G33" s="231">
        <v>15888438</v>
      </c>
      <c r="H33" s="187" t="s">
        <v>102</v>
      </c>
      <c r="I33" s="216">
        <f>I32/G32</f>
        <v>0.10006862976020678</v>
      </c>
      <c r="J33" s="192"/>
      <c r="K33" s="193"/>
      <c r="L33" s="7"/>
      <c r="M33" s="98"/>
    </row>
    <row r="34" spans="1:17" ht="16.5" thickBot="1">
      <c r="A34" s="2" t="s">
        <v>114</v>
      </c>
      <c r="C34" s="125">
        <f>SUM(C32:C33)</f>
        <v>2275593.7600000007</v>
      </c>
      <c r="D34" s="36"/>
      <c r="F34" s="153"/>
      <c r="G34" s="230">
        <f>G32-G33</f>
        <v>0</v>
      </c>
      <c r="H34" s="7"/>
      <c r="I34" s="98"/>
      <c r="J34" s="192"/>
      <c r="K34" s="191"/>
      <c r="L34" s="7"/>
      <c r="M34" s="98"/>
    </row>
    <row r="35" spans="1:17" ht="18" customHeight="1">
      <c r="A35" s="2"/>
      <c r="C35" s="101"/>
      <c r="D35" s="36"/>
      <c r="F35" s="184"/>
      <c r="G35" s="12"/>
      <c r="H35" s="12"/>
      <c r="I35" s="185"/>
      <c r="J35" s="199" t="s">
        <v>128</v>
      </c>
      <c r="K35" s="637"/>
      <c r="L35" s="637"/>
      <c r="M35" s="638"/>
    </row>
    <row r="36" spans="1:17" ht="15.75">
      <c r="A36" s="16" t="s">
        <v>94</v>
      </c>
      <c r="B36" s="2"/>
      <c r="C36" s="100"/>
      <c r="D36" s="36"/>
      <c r="F36" s="199" t="s">
        <v>128</v>
      </c>
      <c r="G36" s="7"/>
      <c r="H36" s="7"/>
      <c r="I36" s="98"/>
      <c r="J36" s="200" t="s">
        <v>37</v>
      </c>
      <c r="K36" s="611">
        <f>K23</f>
        <v>4795103</v>
      </c>
      <c r="L36" s="599">
        <v>0.23895</v>
      </c>
      <c r="M36" s="196">
        <f t="shared" ref="M36:M42" si="2">K36*L36</f>
        <v>1145789.86185</v>
      </c>
      <c r="P36" s="273"/>
      <c r="Q36" s="273"/>
    </row>
    <row r="37" spans="1:17" ht="15.75">
      <c r="A37" s="7" t="s">
        <v>129</v>
      </c>
      <c r="B37" s="535" t="s">
        <v>115</v>
      </c>
      <c r="C37" s="573">
        <v>3301870.41</v>
      </c>
      <c r="D37" s="36"/>
      <c r="F37" s="200" t="s">
        <v>37</v>
      </c>
      <c r="G37" s="611">
        <f>G23</f>
        <v>8835836</v>
      </c>
      <c r="H37" s="599">
        <v>0.23860000000000001</v>
      </c>
      <c r="I37" s="196">
        <f>G37*H37</f>
        <v>2108230.4696</v>
      </c>
      <c r="J37" s="200" t="s">
        <v>38</v>
      </c>
      <c r="K37" s="611">
        <f>K24</f>
        <v>1966749</v>
      </c>
      <c r="L37" s="599">
        <v>0.23895</v>
      </c>
      <c r="M37" s="196">
        <f t="shared" si="2"/>
        <v>469954.67355000001</v>
      </c>
      <c r="P37" s="273"/>
      <c r="Q37" s="273"/>
    </row>
    <row r="38" spans="1:17" ht="15.75">
      <c r="A38" s="144" t="s">
        <v>14</v>
      </c>
      <c r="B38" s="535" t="s">
        <v>115</v>
      </c>
      <c r="C38" s="573">
        <v>0</v>
      </c>
      <c r="D38" s="36"/>
      <c r="F38" s="200" t="s">
        <v>306</v>
      </c>
      <c r="G38" s="611">
        <f>G24</f>
        <v>13952</v>
      </c>
      <c r="H38" s="599">
        <v>0.23860000000000001</v>
      </c>
      <c r="I38" s="196">
        <f t="shared" ref="I38:I44" si="3">G38*H38</f>
        <v>3328.9472000000001</v>
      </c>
      <c r="J38" s="200" t="s">
        <v>39</v>
      </c>
      <c r="K38" s="611">
        <f>K25</f>
        <v>47715</v>
      </c>
      <c r="L38" s="599">
        <v>0.23895</v>
      </c>
      <c r="M38" s="196">
        <f t="shared" si="2"/>
        <v>11401.499249999999</v>
      </c>
      <c r="P38" s="273"/>
      <c r="Q38" s="273"/>
    </row>
    <row r="39" spans="1:17" ht="15.75">
      <c r="A39" s="7" t="s">
        <v>146</v>
      </c>
      <c r="B39" s="535" t="s">
        <v>147</v>
      </c>
      <c r="C39" s="573">
        <v>-81142.62</v>
      </c>
      <c r="D39" s="36"/>
      <c r="F39" s="200" t="s">
        <v>38</v>
      </c>
      <c r="G39" s="611">
        <f t="shared" ref="G39:G44" si="4">G25</f>
        <v>3629858</v>
      </c>
      <c r="H39" s="599">
        <v>0.23860000000000001</v>
      </c>
      <c r="I39" s="196">
        <f t="shared" si="3"/>
        <v>866084.11880000005</v>
      </c>
      <c r="J39" s="200" t="s">
        <v>40</v>
      </c>
      <c r="K39" s="611">
        <f>K26</f>
        <v>0</v>
      </c>
      <c r="L39" s="599">
        <v>0.23895</v>
      </c>
      <c r="M39" s="196">
        <f t="shared" si="2"/>
        <v>0</v>
      </c>
      <c r="P39" s="273"/>
      <c r="Q39" s="273"/>
    </row>
    <row r="40" spans="1:17" ht="15.75">
      <c r="A40" s="7" t="s">
        <v>131</v>
      </c>
      <c r="B40" s="535" t="s">
        <v>132</v>
      </c>
      <c r="C40" s="573">
        <v>1084919.76</v>
      </c>
      <c r="D40" s="36"/>
      <c r="F40" s="200" t="s">
        <v>39</v>
      </c>
      <c r="G40" s="611">
        <f t="shared" si="4"/>
        <v>0</v>
      </c>
      <c r="H40" s="599">
        <v>0.23860000000000001</v>
      </c>
      <c r="I40" s="196">
        <f t="shared" si="3"/>
        <v>0</v>
      </c>
      <c r="J40" s="200" t="s">
        <v>41</v>
      </c>
      <c r="K40" s="611">
        <f>K27</f>
        <v>0</v>
      </c>
      <c r="L40" s="599">
        <v>0.23895</v>
      </c>
      <c r="M40" s="196">
        <f t="shared" si="2"/>
        <v>0</v>
      </c>
      <c r="P40" s="273"/>
      <c r="Q40" s="273"/>
    </row>
    <row r="41" spans="1:17" ht="15.75">
      <c r="A41" s="7" t="s">
        <v>153</v>
      </c>
      <c r="B41" s="6" t="s">
        <v>155</v>
      </c>
      <c r="C41" s="573">
        <v>-9731.43</v>
      </c>
      <c r="D41" s="36"/>
      <c r="F41" s="200" t="s">
        <v>40</v>
      </c>
      <c r="G41" s="611">
        <f t="shared" si="4"/>
        <v>248414</v>
      </c>
      <c r="H41" s="599">
        <v>0.23860000000000001</v>
      </c>
      <c r="I41" s="196">
        <f t="shared" si="3"/>
        <v>59271.580399999999</v>
      </c>
      <c r="J41" s="200" t="s">
        <v>42</v>
      </c>
      <c r="K41" s="568">
        <v>0</v>
      </c>
      <c r="L41" s="599">
        <v>0.23895</v>
      </c>
      <c r="M41" s="196">
        <f t="shared" si="2"/>
        <v>0</v>
      </c>
      <c r="P41" s="273"/>
      <c r="Q41" s="273"/>
    </row>
    <row r="42" spans="1:17" ht="16.5" thickBot="1">
      <c r="A42" s="7" t="s">
        <v>178</v>
      </c>
      <c r="B42" s="535" t="s">
        <v>179</v>
      </c>
      <c r="C42" s="573">
        <v>143152.29</v>
      </c>
      <c r="D42" s="37"/>
      <c r="F42" s="200" t="s">
        <v>41</v>
      </c>
      <c r="G42" s="611">
        <f t="shared" si="4"/>
        <v>34226</v>
      </c>
      <c r="H42" s="599">
        <v>0.23860000000000001</v>
      </c>
      <c r="I42" s="196">
        <f t="shared" si="3"/>
        <v>8166.3236000000006</v>
      </c>
      <c r="J42" s="200" t="s">
        <v>43</v>
      </c>
      <c r="K42" s="612">
        <v>0</v>
      </c>
      <c r="L42" s="599">
        <v>0.23895</v>
      </c>
      <c r="M42" s="196">
        <f t="shared" si="2"/>
        <v>0</v>
      </c>
      <c r="P42" s="273"/>
      <c r="Q42" s="273"/>
    </row>
    <row r="43" spans="1:17" ht="16.5" thickBot="1">
      <c r="A43" s="85" t="s">
        <v>123</v>
      </c>
      <c r="B43" s="12"/>
      <c r="C43" s="125">
        <f>SUM(C37:C42)</f>
        <v>4439068.41</v>
      </c>
      <c r="D43" s="36"/>
      <c r="F43" s="200" t="s">
        <v>42</v>
      </c>
      <c r="G43" s="611">
        <f t="shared" si="4"/>
        <v>0</v>
      </c>
      <c r="H43" s="599">
        <v>0.23860000000000001</v>
      </c>
      <c r="I43" s="196">
        <f t="shared" si="3"/>
        <v>0</v>
      </c>
      <c r="J43" s="199" t="s">
        <v>133</v>
      </c>
      <c r="K43" s="181">
        <f>SUM(K36:K42)</f>
        <v>6809567</v>
      </c>
      <c r="L43" s="182"/>
      <c r="M43" s="197">
        <f>SUM(M36:M42)</f>
        <v>1627146.03465</v>
      </c>
    </row>
    <row r="44" spans="1:17" ht="16.5" thickBot="1">
      <c r="A44" s="83" t="s">
        <v>177</v>
      </c>
      <c r="B44" s="84" t="s">
        <v>120</v>
      </c>
      <c r="C44" s="573">
        <f>-138770.47+1042908.8</f>
        <v>904138.33000000007</v>
      </c>
      <c r="D44" s="37"/>
      <c r="F44" s="200" t="s">
        <v>43</v>
      </c>
      <c r="G44" s="611">
        <f t="shared" si="4"/>
        <v>40231</v>
      </c>
      <c r="H44" s="599">
        <v>0.23860000000000001</v>
      </c>
      <c r="I44" s="196">
        <f t="shared" si="3"/>
        <v>9599.1165999999994</v>
      </c>
      <c r="J44" s="194"/>
      <c r="K44" s="232">
        <v>6809567</v>
      </c>
      <c r="L44" s="189" t="s">
        <v>102</v>
      </c>
      <c r="M44" s="217">
        <f>M43/K43</f>
        <v>0.23895</v>
      </c>
    </row>
    <row r="45" spans="1:17" ht="16.5" thickBot="1">
      <c r="A45" s="211" t="s">
        <v>168</v>
      </c>
      <c r="B45" s="6" t="s">
        <v>115</v>
      </c>
      <c r="C45" s="122">
        <v>0</v>
      </c>
      <c r="D45" s="39"/>
      <c r="F45" s="199" t="s">
        <v>133</v>
      </c>
      <c r="G45" s="181">
        <f>SUM(G37:G44)</f>
        <v>12802517</v>
      </c>
      <c r="H45" s="182"/>
      <c r="I45" s="197">
        <f>SUM(I37:I44)</f>
        <v>3054680.5561999995</v>
      </c>
      <c r="J45" s="124"/>
      <c r="K45" s="230">
        <f>K43-K44</f>
        <v>0</v>
      </c>
      <c r="L45" s="385"/>
      <c r="M45" s="124"/>
    </row>
    <row r="46" spans="1:17" ht="19.5" customHeight="1" thickTop="1" thickBot="1">
      <c r="A46" s="144" t="s">
        <v>169</v>
      </c>
      <c r="B46" s="6" t="s">
        <v>115</v>
      </c>
      <c r="C46" s="122">
        <v>0</v>
      </c>
      <c r="D46" s="40"/>
      <c r="F46" s="188"/>
      <c r="G46" s="232">
        <v>12802517</v>
      </c>
      <c r="H46" s="189" t="s">
        <v>102</v>
      </c>
      <c r="I46" s="215">
        <f>I45/G45</f>
        <v>0.23859999999999995</v>
      </c>
      <c r="J46" s="124"/>
      <c r="K46" s="114"/>
      <c r="L46" s="385"/>
      <c r="M46" s="68"/>
    </row>
    <row r="47" spans="1:17" ht="19.5" customHeight="1">
      <c r="A47" s="384" t="s">
        <v>137</v>
      </c>
      <c r="B47" s="6" t="s">
        <v>115</v>
      </c>
      <c r="C47" s="573">
        <v>0</v>
      </c>
      <c r="D47" s="36"/>
      <c r="F47" s="385"/>
      <c r="G47" s="230">
        <f>G45-G46</f>
        <v>0</v>
      </c>
      <c r="H47" s="385"/>
      <c r="I47" s="385"/>
      <c r="J47" s="124"/>
      <c r="K47" s="114"/>
      <c r="L47" s="385"/>
      <c r="M47" s="68"/>
    </row>
    <row r="48" spans="1:17" ht="16.5" thickBot="1">
      <c r="A48" s="144" t="s">
        <v>305</v>
      </c>
      <c r="B48" s="6" t="s">
        <v>115</v>
      </c>
      <c r="C48" s="573">
        <v>7000</v>
      </c>
      <c r="D48" s="36"/>
      <c r="F48" s="385"/>
      <c r="G48" s="385"/>
      <c r="H48" s="385"/>
      <c r="I48" s="385"/>
      <c r="J48" s="124"/>
      <c r="K48" s="114"/>
      <c r="L48" s="385"/>
      <c r="M48" s="68"/>
    </row>
    <row r="49" spans="1:21" ht="15.75">
      <c r="A49" s="7" t="s">
        <v>130</v>
      </c>
      <c r="B49" s="535" t="s">
        <v>152</v>
      </c>
      <c r="C49" s="573">
        <v>18045.689999999999</v>
      </c>
      <c r="D49" s="36"/>
      <c r="F49" s="385"/>
      <c r="G49" s="114"/>
      <c r="H49" s="129" t="s">
        <v>35</v>
      </c>
      <c r="I49" s="13" t="s">
        <v>35</v>
      </c>
      <c r="J49" s="13" t="s">
        <v>63</v>
      </c>
      <c r="K49" s="127" t="s">
        <v>70</v>
      </c>
      <c r="L49" s="124"/>
      <c r="M49" s="385"/>
    </row>
    <row r="50" spans="1:21" ht="16.5" thickBot="1">
      <c r="A50" s="7" t="s">
        <v>222</v>
      </c>
      <c r="B50" s="535" t="s">
        <v>152</v>
      </c>
      <c r="C50" s="573">
        <v>1352.29</v>
      </c>
      <c r="D50" s="36"/>
      <c r="F50" s="50" t="s">
        <v>73</v>
      </c>
      <c r="G50" s="385"/>
      <c r="H50" s="130" t="s">
        <v>2</v>
      </c>
      <c r="I50" s="131" t="s">
        <v>3</v>
      </c>
      <c r="J50" s="131" t="s">
        <v>2</v>
      </c>
      <c r="K50" s="128" t="s">
        <v>3</v>
      </c>
      <c r="L50" s="385"/>
      <c r="M50" s="385"/>
    </row>
    <row r="51" spans="1:21" ht="15.75">
      <c r="A51" s="7" t="s">
        <v>309</v>
      </c>
      <c r="B51" s="578" t="s">
        <v>152</v>
      </c>
      <c r="C51" s="573">
        <v>6694.18</v>
      </c>
      <c r="D51" s="33"/>
      <c r="F51" s="385"/>
      <c r="G51" s="385"/>
      <c r="H51" s="151"/>
      <c r="I51" s="152"/>
      <c r="J51" s="152"/>
      <c r="K51" s="152"/>
      <c r="L51" s="126" t="s">
        <v>103</v>
      </c>
      <c r="M51" s="385"/>
    </row>
    <row r="52" spans="1:21" ht="15.75">
      <c r="A52" s="22" t="s">
        <v>118</v>
      </c>
      <c r="B52" s="6"/>
      <c r="C52" s="603">
        <f>-C33</f>
        <v>44472.11</v>
      </c>
      <c r="D52" s="36"/>
      <c r="F52" s="385" t="s">
        <v>136</v>
      </c>
      <c r="G52" s="385"/>
      <c r="H52" s="212">
        <f>K12</f>
        <v>118792.85238400078</v>
      </c>
      <c r="I52" s="115">
        <f>I14</f>
        <v>1604976.2789280005</v>
      </c>
      <c r="J52" s="115">
        <f>L12</f>
        <v>59677.43761600041</v>
      </c>
      <c r="K52" s="115">
        <f>J14</f>
        <v>670617.48107200023</v>
      </c>
      <c r="L52" s="132">
        <f>SUM(H52:K52)</f>
        <v>2454064.0500000017</v>
      </c>
      <c r="M52" s="385"/>
    </row>
    <row r="53" spans="1:21" ht="16.5" thickBot="1">
      <c r="A53" s="385" t="s">
        <v>316</v>
      </c>
      <c r="B53" s="623" t="s">
        <v>317</v>
      </c>
      <c r="C53" s="573">
        <v>7278.33</v>
      </c>
      <c r="D53" s="36"/>
      <c r="F53" s="384" t="s">
        <v>109</v>
      </c>
      <c r="H53" s="212">
        <f>-I45</f>
        <v>-3054680.5561999995</v>
      </c>
      <c r="I53" s="115">
        <f>-I32</f>
        <v>-1589934.2196900002</v>
      </c>
      <c r="J53" s="115">
        <f>-M43</f>
        <v>-1627146.03465</v>
      </c>
      <c r="K53" s="115">
        <f>-M28</f>
        <v>-771592.03676999989</v>
      </c>
      <c r="L53" s="261">
        <f>SUM(H53:K53)</f>
        <v>-7043352.8473100001</v>
      </c>
    </row>
    <row r="54" spans="1:21" ht="16.5" thickBot="1">
      <c r="A54" s="382" t="s">
        <v>124</v>
      </c>
      <c r="B54" s="473" t="s">
        <v>297</v>
      </c>
      <c r="C54" s="573">
        <v>-5031154.5599999996</v>
      </c>
      <c r="D54" s="36"/>
      <c r="F54" s="384" t="s">
        <v>86</v>
      </c>
      <c r="H54" s="234">
        <v>0</v>
      </c>
      <c r="I54" s="235">
        <v>0</v>
      </c>
      <c r="J54" s="235">
        <v>0</v>
      </c>
      <c r="K54" s="236">
        <v>0</v>
      </c>
      <c r="L54" s="214">
        <f>SUM(L52:L53)</f>
        <v>-4589288.7973099984</v>
      </c>
    </row>
    <row r="55" spans="1:21" ht="16.5" thickBot="1">
      <c r="A55" s="384" t="s">
        <v>313</v>
      </c>
      <c r="B55" s="6" t="s">
        <v>190</v>
      </c>
      <c r="C55" s="573">
        <v>-375000</v>
      </c>
      <c r="D55" s="36"/>
      <c r="F55" s="384" t="s">
        <v>71</v>
      </c>
      <c r="H55" s="125">
        <f>IFERROR(H52+H53+H54,0)</f>
        <v>-2935887.7038159985</v>
      </c>
      <c r="I55" s="125">
        <f>I52+I53+I54</f>
        <v>15042.059238000307</v>
      </c>
      <c r="J55" s="125">
        <f>IFERROR(J52+J53+J54,0)</f>
        <v>-1567468.5970339996</v>
      </c>
      <c r="K55" s="125">
        <f>K52+K53+K54</f>
        <v>-100974.55569799966</v>
      </c>
      <c r="L55" s="47">
        <f>SUM(H55:K55)</f>
        <v>-4589288.7973099975</v>
      </c>
    </row>
    <row r="56" spans="1:21" ht="16.5" thickBot="1">
      <c r="A56" s="82" t="s">
        <v>119</v>
      </c>
      <c r="B56" s="84"/>
      <c r="C56" s="160">
        <f>SUM(C43:C55)</f>
        <v>21894.780000001192</v>
      </c>
      <c r="D56" s="36"/>
      <c r="F56" s="240" t="s">
        <v>181</v>
      </c>
      <c r="H56" s="384" t="s">
        <v>173</v>
      </c>
      <c r="I56" s="5">
        <f>SUM(H55:I55)</f>
        <v>-2920845.6445779982</v>
      </c>
      <c r="J56" s="15" t="s">
        <v>174</v>
      </c>
      <c r="K56" s="384">
        <f>SUM(J55:K55)</f>
        <v>-1668443.1527319993</v>
      </c>
      <c r="L56" s="213">
        <f>ROUND(L54-L55,3)</f>
        <v>0</v>
      </c>
      <c r="T56" s="42"/>
    </row>
    <row r="57" spans="1:21" ht="16.5" thickTop="1">
      <c r="A57" s="384" t="s">
        <v>121</v>
      </c>
      <c r="B57" s="6" t="s">
        <v>115</v>
      </c>
      <c r="C57" s="573">
        <v>104499.94</v>
      </c>
      <c r="D57" s="36"/>
      <c r="F57" s="397" t="s">
        <v>181</v>
      </c>
      <c r="H57" s="96"/>
    </row>
    <row r="58" spans="1:21" ht="16.5" thickBot="1">
      <c r="A58" s="384" t="s">
        <v>122</v>
      </c>
      <c r="B58" s="6" t="s">
        <v>115</v>
      </c>
      <c r="C58" s="573">
        <v>52075.57</v>
      </c>
      <c r="D58" s="36"/>
      <c r="F58" s="397" t="s">
        <v>182</v>
      </c>
      <c r="H58" s="157"/>
      <c r="I58" s="120"/>
      <c r="J58" s="120"/>
      <c r="K58" s="204"/>
      <c r="L58" s="120"/>
    </row>
    <row r="59" spans="1:21" ht="16.5" thickBot="1">
      <c r="A59" s="2" t="s">
        <v>125</v>
      </c>
      <c r="B59" s="2"/>
      <c r="C59" s="160">
        <f>SUM(C56:C58)</f>
        <v>178470.2900000012</v>
      </c>
      <c r="D59" s="36"/>
      <c r="F59" s="546" t="s">
        <v>304</v>
      </c>
      <c r="G59" s="548"/>
      <c r="H59" s="386" t="s">
        <v>295</v>
      </c>
      <c r="I59" s="387"/>
    </row>
    <row r="60" spans="1:21" ht="17.25" thickTop="1" thickBot="1">
      <c r="A60" s="2"/>
      <c r="C60" s="101"/>
      <c r="D60" s="36"/>
      <c r="H60" s="318" t="s">
        <v>175</v>
      </c>
      <c r="I60" s="319" t="s">
        <v>176</v>
      </c>
      <c r="J60" s="5"/>
    </row>
    <row r="61" spans="1:21" ht="16.5" thickBot="1">
      <c r="A61" s="9"/>
      <c r="B61" s="9" t="s">
        <v>95</v>
      </c>
      <c r="C61" s="125">
        <f>C59+C34</f>
        <v>2454064.0500000017</v>
      </c>
      <c r="D61" s="37"/>
      <c r="H61" s="349" t="e">
        <f>SUM('WA - Def-Amtz (current)'!BJ5:BJ10,'WA - Def-Amtz (current)'!BJ41:BJ46,'WA - Def-Amtz (current)'!BJ76:BJ79,#REF!,#REF!,#REF!)</f>
        <v>#REF!</v>
      </c>
      <c r="I61" s="449" t="e">
        <f>SUM('WA - Def-Amtz (current)'!BK5:BK10,'WA - Def-Amtz (current)'!BK41:BK46,'WA - Def-Amtz (current)'!BK76:BK79,#REF!,#REF!,#REF!)</f>
        <v>#REF!</v>
      </c>
    </row>
    <row r="62" spans="1:21" ht="15.75">
      <c r="A62" s="2"/>
      <c r="B62" s="9" t="s">
        <v>160</v>
      </c>
      <c r="C62" s="350">
        <v>2454064.0499999998</v>
      </c>
      <c r="G62" s="5"/>
      <c r="I62" s="338" t="e">
        <f>H61-I61</f>
        <v>#REF!</v>
      </c>
      <c r="P62" s="21"/>
    </row>
    <row r="63" spans="1:21" ht="15.75">
      <c r="A63" s="9"/>
      <c r="B63" s="9" t="s">
        <v>159</v>
      </c>
      <c r="C63" s="257">
        <f>ROUND(C61-C62,2)</f>
        <v>0</v>
      </c>
      <c r="D63" s="36"/>
      <c r="N63" s="5"/>
      <c r="O63" s="5"/>
      <c r="S63" s="6"/>
    </row>
    <row r="64" spans="1:21" ht="15.75">
      <c r="A64" s="44"/>
      <c r="C64" s="351"/>
      <c r="D64" s="43"/>
      <c r="U64" s="2"/>
    </row>
    <row r="65" spans="1:21" ht="15.75">
      <c r="A65" s="44"/>
      <c r="C65" s="8"/>
      <c r="D65" s="36"/>
      <c r="N65" s="22"/>
      <c r="S65" s="23"/>
    </row>
    <row r="66" spans="1:21" ht="15.75">
      <c r="A66" s="2"/>
      <c r="C66" s="8"/>
      <c r="D66" s="36"/>
      <c r="I66" s="96"/>
      <c r="N66" s="22"/>
      <c r="S66" s="24"/>
    </row>
    <row r="67" spans="1:21">
      <c r="C67" s="100"/>
      <c r="D67" s="36"/>
      <c r="I67" s="96"/>
      <c r="N67" s="22"/>
      <c r="S67" s="25"/>
    </row>
    <row r="68" spans="1:21">
      <c r="D68" s="36"/>
      <c r="N68" s="22"/>
      <c r="S68" s="24"/>
    </row>
    <row r="69" spans="1:21">
      <c r="D69" s="37"/>
      <c r="N69" s="22"/>
    </row>
    <row r="70" spans="1:21">
      <c r="D70" s="36"/>
      <c r="N70" s="22"/>
      <c r="S70" s="26"/>
    </row>
    <row r="71" spans="1:21">
      <c r="D71" s="36"/>
      <c r="N71" s="22"/>
    </row>
    <row r="72" spans="1:21">
      <c r="D72" s="36"/>
    </row>
    <row r="73" spans="1:21">
      <c r="D73" s="45"/>
      <c r="S73" s="27"/>
    </row>
    <row r="74" spans="1:21">
      <c r="R74" s="6"/>
      <c r="S74" s="6"/>
      <c r="T74" s="6"/>
    </row>
    <row r="76" spans="1:21">
      <c r="U76" s="28"/>
    </row>
    <row r="1477" spans="3:3">
      <c r="C1477" s="384">
        <v>-2130</v>
      </c>
    </row>
    <row r="1485" spans="3:3">
      <c r="C1485" s="384">
        <f>7004298-2130</f>
        <v>7002168</v>
      </c>
    </row>
  </sheetData>
  <mergeCells count="3">
    <mergeCell ref="F18:I18"/>
    <mergeCell ref="J18:M18"/>
    <mergeCell ref="K35:M35"/>
  </mergeCells>
  <conditionalFormatting sqref="C63 L56 I62">
    <cfRule type="cellIs" dxfId="219" priority="7" stopIfTrue="1" operator="equal">
      <formula>0</formula>
    </cfRule>
    <cfRule type="cellIs" dxfId="218" priority="8" stopIfTrue="1" operator="notEqual">
      <formula>0</formula>
    </cfRule>
  </conditionalFormatting>
  <conditionalFormatting sqref="G34 G47 K30 K45">
    <cfRule type="cellIs" dxfId="217" priority="6" operator="notEqual">
      <formula>0</formula>
    </cfRule>
  </conditionalFormatting>
  <conditionalFormatting sqref="C63">
    <cfRule type="cellIs" dxfId="216" priority="4" stopIfTrue="1" operator="equal">
      <formula>0</formula>
    </cfRule>
    <cfRule type="cellIs" dxfId="215" priority="5" stopIfTrue="1" operator="notEqual">
      <formula>0</formula>
    </cfRule>
  </conditionalFormatting>
  <conditionalFormatting sqref="K30">
    <cfRule type="cellIs" dxfId="214" priority="3" operator="notEqual">
      <formula>0</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customProperties>
    <customPr name="xxe4aPID" r:id="rId2"/>
  </customProperties>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16">
    <tabColor rgb="FF00CC66"/>
    <pageSetUpPr fitToPage="1"/>
  </sheetPr>
  <dimension ref="A1:U1485"/>
  <sheetViews>
    <sheetView showGridLines="0" topLeftCell="A42" zoomScale="70" zoomScaleNormal="70" workbookViewId="0">
      <selection activeCell="B67" sqref="B67"/>
    </sheetView>
  </sheetViews>
  <sheetFormatPr defaultColWidth="16" defaultRowHeight="15"/>
  <cols>
    <col min="1" max="1" width="44.85546875" style="384" customWidth="1"/>
    <col min="2" max="2" width="25.5703125" style="384" customWidth="1"/>
    <col min="3" max="3" width="25.28515625" style="384" customWidth="1"/>
    <col min="4" max="4" width="2.7109375" style="30" customWidth="1"/>
    <col min="5" max="5" width="4.28515625" style="384" customWidth="1"/>
    <col min="6" max="6" width="26.7109375" style="384" customWidth="1"/>
    <col min="7" max="7" width="19" style="384" customWidth="1"/>
    <col min="8" max="8" width="22" style="384" customWidth="1"/>
    <col min="9" max="9" width="20.42578125" style="384" customWidth="1"/>
    <col min="10" max="10" width="26.28515625" style="384" customWidth="1"/>
    <col min="11" max="11" width="21.85546875" style="384" bestFit="1" customWidth="1"/>
    <col min="12" max="12" width="23.85546875" style="384" customWidth="1"/>
    <col min="13" max="13" width="20.85546875" style="384" bestFit="1" customWidth="1"/>
    <col min="14" max="15" width="16" style="384"/>
    <col min="16" max="16" width="16.28515625" style="384" bestFit="1" customWidth="1"/>
    <col min="17" max="16384" width="16" style="384"/>
  </cols>
  <sheetData>
    <row r="1" spans="1:13" ht="16.5" thickBot="1">
      <c r="A1" s="145" t="s">
        <v>64</v>
      </c>
      <c r="B1" s="29"/>
      <c r="C1" s="530">
        <f>Oct!C1+1</f>
        <v>201711</v>
      </c>
      <c r="F1" s="530">
        <f>C1</f>
        <v>201711</v>
      </c>
      <c r="G1" s="385"/>
      <c r="H1" s="162" t="s">
        <v>69</v>
      </c>
      <c r="I1" s="126" t="s">
        <v>3</v>
      </c>
      <c r="J1" s="126" t="s">
        <v>3</v>
      </c>
      <c r="K1" s="126" t="s">
        <v>66</v>
      </c>
      <c r="L1" s="126" t="s">
        <v>66</v>
      </c>
      <c r="M1" s="385"/>
    </row>
    <row r="2" spans="1:13" ht="15.75">
      <c r="C2" s="31"/>
      <c r="F2" s="385"/>
      <c r="G2" s="385"/>
      <c r="H2" s="163" t="s">
        <v>32</v>
      </c>
      <c r="I2" s="164" t="s">
        <v>65</v>
      </c>
      <c r="J2" s="164" t="s">
        <v>65</v>
      </c>
      <c r="K2" s="164" t="s">
        <v>67</v>
      </c>
      <c r="L2" s="164" t="s">
        <v>67</v>
      </c>
      <c r="M2" s="385"/>
    </row>
    <row r="3" spans="1:13" ht="16.5" thickBot="1">
      <c r="A3" s="63" t="s">
        <v>110</v>
      </c>
      <c r="C3" s="32"/>
      <c r="D3" s="33"/>
      <c r="F3" s="50" t="s">
        <v>72</v>
      </c>
      <c r="G3" s="385"/>
      <c r="H3" s="165" t="s">
        <v>68</v>
      </c>
      <c r="I3" s="165" t="s">
        <v>35</v>
      </c>
      <c r="J3" s="165" t="s">
        <v>63</v>
      </c>
      <c r="K3" s="165" t="s">
        <v>35</v>
      </c>
      <c r="L3" s="165" t="s">
        <v>63</v>
      </c>
      <c r="M3" s="385"/>
    </row>
    <row r="4" spans="1:13" ht="15.75">
      <c r="A4" s="385" t="s">
        <v>88</v>
      </c>
      <c r="C4" s="573">
        <f>3691648.69</f>
        <v>3691648.69</v>
      </c>
      <c r="D4" s="34"/>
      <c r="F4" s="385"/>
      <c r="G4" s="385"/>
      <c r="H4" s="11"/>
      <c r="I4" s="385"/>
      <c r="J4" s="385"/>
      <c r="L4" s="385"/>
      <c r="M4" s="385"/>
    </row>
    <row r="5" spans="1:13" ht="14.25" customHeight="1">
      <c r="A5" s="385" t="s">
        <v>31</v>
      </c>
      <c r="C5" s="573">
        <f>-189.1+68263.39</f>
        <v>68074.289999999994</v>
      </c>
      <c r="D5" s="34"/>
      <c r="F5" s="385"/>
      <c r="G5" s="385"/>
      <c r="H5" s="11"/>
      <c r="I5" s="596">
        <v>0.69059999999999999</v>
      </c>
      <c r="J5" s="596">
        <v>0.30940000000000001</v>
      </c>
      <c r="K5" s="445">
        <f>ROUND(G45/(G45+K43),4)</f>
        <v>0.67859999999999998</v>
      </c>
      <c r="L5" s="445">
        <f>1-K5</f>
        <v>0.32140000000000002</v>
      </c>
      <c r="M5" s="385"/>
    </row>
    <row r="6" spans="1:13" ht="16.5" thickBot="1">
      <c r="A6" s="49" t="s">
        <v>30</v>
      </c>
      <c r="C6" s="574">
        <f>-79335-99088.8-1509333-430500-123000-138375</f>
        <v>-2379631.7999999998</v>
      </c>
      <c r="D6" s="34"/>
      <c r="F6" s="385"/>
      <c r="G6" s="385"/>
      <c r="H6" s="385"/>
      <c r="I6" s="385"/>
      <c r="J6" s="385"/>
      <c r="K6" s="385"/>
      <c r="L6" s="385"/>
      <c r="M6" s="385"/>
    </row>
    <row r="7" spans="1:13" ht="16.5" thickBot="1">
      <c r="A7" s="66" t="s">
        <v>140</v>
      </c>
      <c r="C7" s="100">
        <f>SUM(C4:C6)</f>
        <v>1380091.1800000002</v>
      </c>
      <c r="D7" s="35"/>
      <c r="F7" s="166" t="s">
        <v>139</v>
      </c>
      <c r="G7" s="166"/>
      <c r="H7" s="125">
        <f>C34</f>
        <v>2243835.91</v>
      </c>
      <c r="I7" s="167">
        <f>H7*I5</f>
        <v>1549593.079446</v>
      </c>
      <c r="J7" s="167">
        <f>H7*J5</f>
        <v>694242.8305540001</v>
      </c>
      <c r="K7" s="167"/>
      <c r="L7" s="167"/>
      <c r="M7" s="385"/>
    </row>
    <row r="8" spans="1:13" ht="15.75">
      <c r="A8" s="384" t="s">
        <v>89</v>
      </c>
      <c r="C8" s="573">
        <v>244576.79</v>
      </c>
      <c r="D8" s="35"/>
      <c r="F8" s="385"/>
      <c r="G8" s="385"/>
      <c r="H8" s="168"/>
      <c r="I8" s="168"/>
      <c r="J8" s="168"/>
      <c r="K8" s="168"/>
      <c r="L8" s="168"/>
      <c r="M8" s="385"/>
    </row>
    <row r="9" spans="1:13" ht="15.75">
      <c r="A9" s="385" t="s">
        <v>90</v>
      </c>
      <c r="C9" s="573">
        <f>8418.02</f>
        <v>8418.02</v>
      </c>
      <c r="D9" s="36"/>
      <c r="F9" s="166" t="s">
        <v>119</v>
      </c>
      <c r="G9" s="385"/>
      <c r="H9" s="167">
        <f>C56</f>
        <v>6394422.21</v>
      </c>
      <c r="I9" s="167"/>
      <c r="J9" s="167"/>
      <c r="K9" s="167">
        <f>H9*K5</f>
        <v>4339254.9117059996</v>
      </c>
      <c r="L9" s="167">
        <f>H9*L5</f>
        <v>2055167.2982940001</v>
      </c>
      <c r="M9" s="385"/>
    </row>
    <row r="10" spans="1:13" ht="15.75">
      <c r="A10" s="49" t="s">
        <v>91</v>
      </c>
      <c r="C10" s="574">
        <v>-3308.2</v>
      </c>
      <c r="D10" s="36"/>
      <c r="F10" s="169" t="s">
        <v>44</v>
      </c>
      <c r="G10" s="385"/>
      <c r="H10" s="167">
        <f>C57</f>
        <v>-108566.91</v>
      </c>
      <c r="I10" s="167"/>
      <c r="J10" s="167"/>
      <c r="K10" s="167">
        <f>H10</f>
        <v>-108566.91</v>
      </c>
      <c r="L10" s="167"/>
      <c r="M10" s="385"/>
    </row>
    <row r="11" spans="1:13">
      <c r="A11" s="66" t="s">
        <v>145</v>
      </c>
      <c r="C11" s="100">
        <f>SUM(C8:C10)</f>
        <v>249686.61</v>
      </c>
      <c r="D11" s="36"/>
      <c r="F11" s="169" t="s">
        <v>45</v>
      </c>
      <c r="G11" s="385"/>
      <c r="H11" s="170">
        <f>C58</f>
        <v>-54352.7</v>
      </c>
      <c r="I11" s="167"/>
      <c r="J11" s="167"/>
      <c r="K11" s="170"/>
      <c r="L11" s="170">
        <f>H11</f>
        <v>-54352.7</v>
      </c>
      <c r="M11" s="385"/>
    </row>
    <row r="12" spans="1:13" ht="15.75">
      <c r="A12" s="384" t="s">
        <v>165</v>
      </c>
      <c r="C12" s="573">
        <f>2747.14+184211.28</f>
        <v>186958.42</v>
      </c>
      <c r="D12" s="36"/>
      <c r="F12" s="169" t="s">
        <v>138</v>
      </c>
      <c r="G12" s="385"/>
      <c r="H12" s="167">
        <f>H9+H10+H11</f>
        <v>6231502.5999999996</v>
      </c>
      <c r="I12" s="167"/>
      <c r="J12" s="167"/>
      <c r="K12" s="167">
        <f>SUM(K9:K11)</f>
        <v>4230688.0017059995</v>
      </c>
      <c r="L12" s="167">
        <f>SUM(L9:L11)</f>
        <v>2000814.5982940001</v>
      </c>
      <c r="M12" s="385"/>
    </row>
    <row r="13" spans="1:13" ht="16.5" thickBot="1">
      <c r="A13" s="49" t="s">
        <v>166</v>
      </c>
      <c r="C13" s="559">
        <v>0</v>
      </c>
      <c r="D13" s="36"/>
      <c r="F13" s="171"/>
      <c r="G13" s="172"/>
      <c r="H13" s="173"/>
      <c r="I13" s="174"/>
      <c r="J13" s="173"/>
      <c r="K13" s="168"/>
      <c r="L13" s="173"/>
      <c r="M13" s="385"/>
    </row>
    <row r="14" spans="1:13" ht="16.5" thickBot="1">
      <c r="A14" s="66" t="s">
        <v>92</v>
      </c>
      <c r="C14" s="100">
        <f>SUM(C12:C13)</f>
        <v>186958.42</v>
      </c>
      <c r="D14" s="37"/>
      <c r="F14" s="50" t="s">
        <v>69</v>
      </c>
      <c r="G14" s="175"/>
      <c r="H14" s="125">
        <f>H12+H7</f>
        <v>8475338.5099999998</v>
      </c>
      <c r="I14" s="176">
        <f>SUM(I7:I13)</f>
        <v>1549593.079446</v>
      </c>
      <c r="J14" s="176">
        <f>SUM(J7:J13)</f>
        <v>694242.8305540001</v>
      </c>
      <c r="K14" s="176">
        <f>K12</f>
        <v>4230688.0017059995</v>
      </c>
      <c r="L14" s="176">
        <f>L12</f>
        <v>2000814.5982940001</v>
      </c>
      <c r="M14" s="385"/>
    </row>
    <row r="15" spans="1:13" ht="15.75">
      <c r="A15" s="384" t="s">
        <v>183</v>
      </c>
      <c r="C15" s="573">
        <f>430441.35+6419.15</f>
        <v>436860.5</v>
      </c>
      <c r="D15" s="36"/>
      <c r="F15" s="171"/>
      <c r="G15" s="172" t="s">
        <v>102</v>
      </c>
      <c r="H15" s="173">
        <f>H14-C61</f>
        <v>0</v>
      </c>
      <c r="I15" s="177"/>
      <c r="J15" s="173">
        <f>J7+I7-H7</f>
        <v>0</v>
      </c>
      <c r="K15" s="385"/>
      <c r="L15" s="173">
        <f>H12-K14-L14</f>
        <v>0</v>
      </c>
      <c r="M15" s="385"/>
    </row>
    <row r="16" spans="1:13" ht="15.75">
      <c r="A16" s="49" t="s">
        <v>184</v>
      </c>
      <c r="C16" s="559">
        <v>0</v>
      </c>
      <c r="D16" s="36"/>
      <c r="F16" s="178"/>
      <c r="G16" s="172"/>
      <c r="H16" s="179"/>
      <c r="I16" s="180"/>
      <c r="J16" s="179"/>
      <c r="K16" s="385"/>
      <c r="L16" s="179"/>
      <c r="M16" s="385"/>
    </row>
    <row r="17" spans="1:14" ht="15.75" thickBot="1">
      <c r="A17" s="66" t="s">
        <v>185</v>
      </c>
      <c r="C17" s="100">
        <f>SUM(C15:C16)</f>
        <v>436860.5</v>
      </c>
      <c r="D17" s="37"/>
      <c r="F17" s="171"/>
      <c r="G17" s="172"/>
      <c r="H17" s="179"/>
      <c r="I17" s="180"/>
      <c r="J17" s="183"/>
      <c r="K17" s="385"/>
      <c r="L17" s="179"/>
      <c r="M17" s="385"/>
    </row>
    <row r="18" spans="1:14" ht="16.5" thickBot="1">
      <c r="A18" s="384" t="s">
        <v>163</v>
      </c>
      <c r="C18" s="573">
        <f>62616.1+10081.5+1226.07</f>
        <v>73923.670000000013</v>
      </c>
      <c r="D18" s="36"/>
      <c r="F18" s="639" t="s">
        <v>134</v>
      </c>
      <c r="G18" s="640"/>
      <c r="H18" s="640"/>
      <c r="I18" s="641"/>
      <c r="J18" s="639" t="s">
        <v>135</v>
      </c>
      <c r="K18" s="640"/>
      <c r="L18" s="640"/>
      <c r="M18" s="641"/>
    </row>
    <row r="19" spans="1:14" ht="15.75">
      <c r="A19" s="46" t="s">
        <v>164</v>
      </c>
      <c r="C19" s="574">
        <f>-1101.09</f>
        <v>-1101.0899999999999</v>
      </c>
      <c r="D19" s="36"/>
      <c r="F19" s="201" t="s">
        <v>108</v>
      </c>
      <c r="G19" s="164" t="s">
        <v>33</v>
      </c>
      <c r="H19" s="164" t="s">
        <v>33</v>
      </c>
      <c r="I19" s="164" t="s">
        <v>33</v>
      </c>
      <c r="J19" s="201" t="s">
        <v>108</v>
      </c>
      <c r="K19" s="164" t="s">
        <v>33</v>
      </c>
      <c r="L19" s="164" t="s">
        <v>33</v>
      </c>
      <c r="M19" s="185" t="s">
        <v>33</v>
      </c>
    </row>
    <row r="20" spans="1:14" ht="16.5" thickBot="1">
      <c r="A20" s="67" t="s">
        <v>93</v>
      </c>
      <c r="C20" s="100">
        <f>SUM(C18:C19)</f>
        <v>72822.580000000016</v>
      </c>
      <c r="D20" s="36"/>
      <c r="F20" s="195" t="s">
        <v>162</v>
      </c>
      <c r="G20" s="165" t="s">
        <v>101</v>
      </c>
      <c r="H20" s="165" t="s">
        <v>36</v>
      </c>
      <c r="I20" s="165" t="s">
        <v>34</v>
      </c>
      <c r="J20" s="195" t="s">
        <v>162</v>
      </c>
      <c r="K20" s="165" t="s">
        <v>101</v>
      </c>
      <c r="L20" s="165" t="s">
        <v>36</v>
      </c>
      <c r="M20" s="165" t="s">
        <v>34</v>
      </c>
    </row>
    <row r="21" spans="1:14" ht="15.75">
      <c r="A21" s="46" t="s">
        <v>149</v>
      </c>
      <c r="C21" s="574">
        <f>-118.03+1850</f>
        <v>1731.97</v>
      </c>
      <c r="D21" s="36"/>
      <c r="F21" s="184"/>
      <c r="G21" s="12"/>
      <c r="H21" s="12"/>
      <c r="I21" s="185"/>
      <c r="J21" s="129"/>
      <c r="K21" s="13"/>
      <c r="L21" s="13"/>
      <c r="M21" s="205"/>
    </row>
    <row r="22" spans="1:14" ht="18" customHeight="1">
      <c r="A22" s="65" t="s">
        <v>149</v>
      </c>
      <c r="C22" s="100">
        <f>SUM(C21)</f>
        <v>1731.97</v>
      </c>
      <c r="D22" s="36"/>
      <c r="F22" s="199" t="s">
        <v>126</v>
      </c>
      <c r="G22" s="7"/>
      <c r="H22" s="7"/>
      <c r="I22" s="98"/>
      <c r="J22" s="199" t="s">
        <v>126</v>
      </c>
      <c r="K22" s="7"/>
      <c r="L22" s="7"/>
      <c r="M22" s="98"/>
    </row>
    <row r="23" spans="1:14" ht="15.75">
      <c r="A23" s="208" t="s">
        <v>180</v>
      </c>
      <c r="C23" s="100">
        <v>0</v>
      </c>
      <c r="D23" s="36"/>
      <c r="F23" s="200" t="s">
        <v>37</v>
      </c>
      <c r="G23" s="566">
        <v>14838696</v>
      </c>
      <c r="H23" s="389" t="s">
        <v>307</v>
      </c>
      <c r="I23" s="588">
        <v>1571425</v>
      </c>
      <c r="J23" s="200" t="s">
        <v>37</v>
      </c>
      <c r="K23" s="566">
        <v>7458719</v>
      </c>
      <c r="L23" s="389" t="s">
        <v>307</v>
      </c>
      <c r="M23" s="588">
        <v>789761</v>
      </c>
    </row>
    <row r="24" spans="1:14" ht="15.75">
      <c r="A24" s="208" t="s">
        <v>186</v>
      </c>
      <c r="C24" s="122">
        <v>0</v>
      </c>
      <c r="D24" s="36"/>
      <c r="F24" s="200" t="s">
        <v>306</v>
      </c>
      <c r="G24" s="566">
        <v>20740</v>
      </c>
      <c r="H24" s="389" t="s">
        <v>307</v>
      </c>
      <c r="I24" s="588">
        <v>2193</v>
      </c>
      <c r="J24" s="200" t="s">
        <v>38</v>
      </c>
      <c r="K24" s="566">
        <v>2362350</v>
      </c>
      <c r="L24" s="389" t="s">
        <v>307</v>
      </c>
      <c r="M24" s="588">
        <v>248894</v>
      </c>
    </row>
    <row r="25" spans="1:14" ht="15.75">
      <c r="A25" s="208" t="s">
        <v>189</v>
      </c>
      <c r="C25" s="561">
        <v>0</v>
      </c>
      <c r="D25" s="36"/>
      <c r="F25" s="200" t="s">
        <v>38</v>
      </c>
      <c r="G25" s="566">
        <v>5325716</v>
      </c>
      <c r="H25" s="389" t="s">
        <v>307</v>
      </c>
      <c r="I25" s="588">
        <v>506311</v>
      </c>
      <c r="J25" s="200" t="s">
        <v>39</v>
      </c>
      <c r="K25" s="566">
        <v>35223</v>
      </c>
      <c r="L25" s="389" t="s">
        <v>307</v>
      </c>
      <c r="M25" s="588">
        <v>3853</v>
      </c>
    </row>
    <row r="26" spans="1:14" ht="15.75">
      <c r="A26" s="209" t="s">
        <v>188</v>
      </c>
      <c r="C26" s="562">
        <v>0</v>
      </c>
      <c r="D26" s="36"/>
      <c r="F26" s="200" t="s">
        <v>39</v>
      </c>
      <c r="G26" s="566">
        <v>153941</v>
      </c>
      <c r="H26" s="389" t="s">
        <v>307</v>
      </c>
      <c r="I26" s="588">
        <v>16784</v>
      </c>
      <c r="J26" s="200" t="s">
        <v>40</v>
      </c>
      <c r="K26" s="566">
        <v>0</v>
      </c>
      <c r="L26" s="389" t="s">
        <v>307</v>
      </c>
      <c r="M26" s="588">
        <v>0</v>
      </c>
    </row>
    <row r="27" spans="1:14" ht="15.75">
      <c r="A27" s="65" t="s">
        <v>96</v>
      </c>
      <c r="C27" s="100">
        <f>SUM(C23:C26)</f>
        <v>0</v>
      </c>
      <c r="D27" s="36"/>
      <c r="F27" s="200" t="s">
        <v>40</v>
      </c>
      <c r="G27" s="566">
        <v>458380</v>
      </c>
      <c r="H27" s="389" t="s">
        <v>307</v>
      </c>
      <c r="I27" s="588">
        <v>46985</v>
      </c>
      <c r="J27" s="200" t="s">
        <v>41</v>
      </c>
      <c r="K27" s="566">
        <v>0</v>
      </c>
      <c r="L27" s="389" t="s">
        <v>307</v>
      </c>
      <c r="M27" s="588">
        <f t="shared" ref="M27" si="0">K27*L27</f>
        <v>0</v>
      </c>
    </row>
    <row r="28" spans="1:14" ht="16.5" thickBot="1">
      <c r="A28" s="210" t="s">
        <v>150</v>
      </c>
      <c r="C28" s="312">
        <v>0</v>
      </c>
      <c r="D28" s="37"/>
      <c r="F28" s="200" t="s">
        <v>41</v>
      </c>
      <c r="G28" s="566">
        <v>-87780</v>
      </c>
      <c r="H28" s="389" t="s">
        <v>307</v>
      </c>
      <c r="I28" s="588">
        <v>-9655</v>
      </c>
      <c r="J28" s="199" t="s">
        <v>127</v>
      </c>
      <c r="K28" s="181">
        <f>SUM(K23:K27)</f>
        <v>9856292</v>
      </c>
      <c r="L28" s="182"/>
      <c r="M28" s="197">
        <f>SUM(M23:M27)</f>
        <v>1042508</v>
      </c>
      <c r="N28" s="384">
        <f>M28/(M28+I32)</f>
        <v>0.32733511385522762</v>
      </c>
    </row>
    <row r="29" spans="1:14" ht="17.25" thickTop="1" thickBot="1">
      <c r="A29" s="210" t="s">
        <v>167</v>
      </c>
      <c r="B29" s="385"/>
      <c r="C29" s="312">
        <v>0</v>
      </c>
      <c r="D29" s="36"/>
      <c r="F29" s="200" t="s">
        <v>42</v>
      </c>
      <c r="G29" s="566">
        <v>0</v>
      </c>
      <c r="H29" s="389" t="s">
        <v>307</v>
      </c>
      <c r="I29" s="588">
        <v>0</v>
      </c>
      <c r="J29" s="199"/>
      <c r="K29" s="231">
        <v>9856292</v>
      </c>
      <c r="L29" s="187" t="s">
        <v>102</v>
      </c>
      <c r="M29" s="196">
        <f>M28/K28</f>
        <v>0.10577081117320794</v>
      </c>
    </row>
    <row r="30" spans="1:14" ht="16.5" thickBot="1">
      <c r="A30" s="2" t="s">
        <v>111</v>
      </c>
      <c r="C30" s="125">
        <f>C7+C11+C14+C17+C20+C22+C27+C28+C29</f>
        <v>2328151.2600000002</v>
      </c>
      <c r="D30" s="37"/>
      <c r="F30" s="200" t="s">
        <v>43</v>
      </c>
      <c r="G30" s="566">
        <v>98095</v>
      </c>
      <c r="H30" s="389" t="s">
        <v>307</v>
      </c>
      <c r="I30" s="588">
        <v>6459</v>
      </c>
      <c r="J30" s="200"/>
      <c r="K30" s="230">
        <f>K28-K29</f>
        <v>0</v>
      </c>
      <c r="L30" s="182"/>
      <c r="M30" s="198"/>
    </row>
    <row r="31" spans="1:14" ht="15.75">
      <c r="A31" s="384" t="s">
        <v>112</v>
      </c>
      <c r="C31" s="573">
        <v>-8924.1299999999992</v>
      </c>
      <c r="D31" s="39"/>
      <c r="F31" s="200" t="s">
        <v>74</v>
      </c>
      <c r="G31" s="566">
        <v>3418526</v>
      </c>
      <c r="H31" s="389" t="s">
        <v>307</v>
      </c>
      <c r="I31" s="588">
        <v>1824</v>
      </c>
      <c r="J31" s="153"/>
      <c r="K31" s="7"/>
      <c r="L31" s="182"/>
      <c r="M31" s="198"/>
    </row>
    <row r="32" spans="1:14" ht="16.5" thickBot="1">
      <c r="A32" s="2" t="s">
        <v>116</v>
      </c>
      <c r="B32" s="2" t="s">
        <v>117</v>
      </c>
      <c r="C32" s="571">
        <f>C30+C31</f>
        <v>2319227.1300000004</v>
      </c>
      <c r="D32" s="40"/>
      <c r="F32" s="199" t="s">
        <v>127</v>
      </c>
      <c r="G32" s="181">
        <f>SUM(G23:G31)</f>
        <v>24226314</v>
      </c>
      <c r="H32" s="7"/>
      <c r="I32" s="197">
        <f>SUM(I23:I31)</f>
        <v>2142326</v>
      </c>
      <c r="J32" s="192"/>
      <c r="K32" s="193"/>
      <c r="L32" s="7"/>
      <c r="M32" s="190"/>
    </row>
    <row r="33" spans="1:17" ht="17.25" thickTop="1" thickBot="1">
      <c r="A33" s="384" t="s">
        <v>113</v>
      </c>
      <c r="C33" s="571">
        <f>-C5-C9-C13-C16-C19</f>
        <v>-75391.22</v>
      </c>
      <c r="D33" s="36"/>
      <c r="F33" s="186"/>
      <c r="G33" s="231">
        <v>24226314</v>
      </c>
      <c r="H33" s="187" t="s">
        <v>102</v>
      </c>
      <c r="I33" s="216">
        <f>I32/G32</f>
        <v>8.8429713244862596E-2</v>
      </c>
      <c r="J33" s="192"/>
      <c r="K33" s="193"/>
      <c r="L33" s="7"/>
      <c r="M33" s="98"/>
    </row>
    <row r="34" spans="1:17" ht="16.5" thickBot="1">
      <c r="A34" s="2" t="s">
        <v>114</v>
      </c>
      <c r="C34" s="125">
        <f>SUM(C32:C33)</f>
        <v>2243835.91</v>
      </c>
      <c r="D34" s="36"/>
      <c r="F34" s="153"/>
      <c r="G34" s="230">
        <f>G32-G33</f>
        <v>0</v>
      </c>
      <c r="H34" s="7"/>
      <c r="I34" s="98"/>
      <c r="J34" s="192"/>
      <c r="K34" s="191"/>
      <c r="L34" s="7"/>
      <c r="M34" s="98"/>
    </row>
    <row r="35" spans="1:17" ht="18" customHeight="1">
      <c r="A35" s="2"/>
      <c r="C35" s="101"/>
      <c r="D35" s="36"/>
      <c r="F35" s="184"/>
      <c r="G35" s="12"/>
      <c r="H35" s="12"/>
      <c r="I35" s="185"/>
      <c r="J35" s="199" t="s">
        <v>128</v>
      </c>
      <c r="K35" s="637"/>
      <c r="L35" s="637"/>
      <c r="M35" s="638"/>
    </row>
    <row r="36" spans="1:17" ht="15.75">
      <c r="A36" s="16" t="s">
        <v>94</v>
      </c>
      <c r="B36" s="2"/>
      <c r="C36" s="100"/>
      <c r="D36" s="36"/>
      <c r="F36" s="199" t="s">
        <v>128</v>
      </c>
      <c r="G36" s="7"/>
      <c r="H36" s="7"/>
      <c r="I36" s="98"/>
      <c r="J36" s="200" t="s">
        <v>37</v>
      </c>
      <c r="K36" s="585">
        <f>K23</f>
        <v>7458719</v>
      </c>
      <c r="L36" s="389" t="s">
        <v>307</v>
      </c>
      <c r="M36" s="588">
        <v>1621007</v>
      </c>
      <c r="P36" s="273"/>
      <c r="Q36" s="273"/>
    </row>
    <row r="37" spans="1:17" ht="15.75">
      <c r="A37" s="7" t="s">
        <v>129</v>
      </c>
      <c r="B37" s="535" t="s">
        <v>115</v>
      </c>
      <c r="C37" s="564">
        <v>10529095.66</v>
      </c>
      <c r="D37" s="36"/>
      <c r="F37" s="200" t="s">
        <v>37</v>
      </c>
      <c r="G37" s="611">
        <f>G23</f>
        <v>14838696</v>
      </c>
      <c r="H37" s="389" t="s">
        <v>307</v>
      </c>
      <c r="I37" s="588">
        <v>3296806</v>
      </c>
      <c r="J37" s="200" t="s">
        <v>38</v>
      </c>
      <c r="K37" s="585">
        <f>K24</f>
        <v>2362350</v>
      </c>
      <c r="L37" s="389" t="s">
        <v>307</v>
      </c>
      <c r="M37" s="588">
        <v>509054</v>
      </c>
      <c r="P37" s="273"/>
      <c r="Q37" s="273"/>
    </row>
    <row r="38" spans="1:17" ht="15.75">
      <c r="A38" s="144" t="s">
        <v>14</v>
      </c>
      <c r="B38" s="535" t="s">
        <v>115</v>
      </c>
      <c r="C38" s="122">
        <v>0</v>
      </c>
      <c r="D38" s="36"/>
      <c r="F38" s="200" t="s">
        <v>306</v>
      </c>
      <c r="G38" s="611">
        <f>G24</f>
        <v>20740</v>
      </c>
      <c r="H38" s="389" t="s">
        <v>307</v>
      </c>
      <c r="I38" s="588">
        <v>4612</v>
      </c>
      <c r="J38" s="200" t="s">
        <v>39</v>
      </c>
      <c r="K38" s="585">
        <f>K25</f>
        <v>35223</v>
      </c>
      <c r="L38" s="389" t="s">
        <v>307</v>
      </c>
      <c r="M38" s="588">
        <v>7973</v>
      </c>
      <c r="P38" s="273"/>
      <c r="Q38" s="273"/>
    </row>
    <row r="39" spans="1:17" ht="15.75">
      <c r="A39" s="7" t="s">
        <v>146</v>
      </c>
      <c r="B39" s="535" t="s">
        <v>147</v>
      </c>
      <c r="C39" s="564">
        <v>-95896.08</v>
      </c>
      <c r="D39" s="36"/>
      <c r="F39" s="200" t="s">
        <v>38</v>
      </c>
      <c r="G39" s="611">
        <f t="shared" ref="G39:G44" si="1">G25</f>
        <v>5325716</v>
      </c>
      <c r="H39" s="389" t="s">
        <v>307</v>
      </c>
      <c r="I39" s="588">
        <v>1178508</v>
      </c>
      <c r="J39" s="200" t="s">
        <v>40</v>
      </c>
      <c r="K39" s="585">
        <f>K26</f>
        <v>0</v>
      </c>
      <c r="L39" s="389" t="s">
        <v>307</v>
      </c>
      <c r="M39" s="588">
        <v>0</v>
      </c>
      <c r="P39" s="273"/>
      <c r="Q39" s="273"/>
    </row>
    <row r="40" spans="1:17" ht="15.75">
      <c r="A40" s="7" t="s">
        <v>131</v>
      </c>
      <c r="B40" s="535" t="s">
        <v>132</v>
      </c>
      <c r="C40" s="564">
        <v>1748289.38</v>
      </c>
      <c r="D40" s="36"/>
      <c r="F40" s="200" t="s">
        <v>39</v>
      </c>
      <c r="G40" s="611">
        <f t="shared" si="1"/>
        <v>153941</v>
      </c>
      <c r="H40" s="389" t="s">
        <v>307</v>
      </c>
      <c r="I40" s="588">
        <v>37115</v>
      </c>
      <c r="J40" s="200" t="s">
        <v>41</v>
      </c>
      <c r="K40" s="585">
        <f>K27</f>
        <v>0</v>
      </c>
      <c r="L40" s="389" t="s">
        <v>307</v>
      </c>
      <c r="M40" s="588">
        <v>0</v>
      </c>
      <c r="P40" s="273"/>
      <c r="Q40" s="273"/>
    </row>
    <row r="41" spans="1:17" ht="15.75">
      <c r="A41" s="7" t="s">
        <v>153</v>
      </c>
      <c r="B41" s="6" t="s">
        <v>155</v>
      </c>
      <c r="C41" s="564">
        <f>39040.01-26739.64</f>
        <v>12300.370000000003</v>
      </c>
      <c r="D41" s="36"/>
      <c r="F41" s="200" t="s">
        <v>40</v>
      </c>
      <c r="G41" s="611">
        <f t="shared" si="1"/>
        <v>458380</v>
      </c>
      <c r="H41" s="389" t="s">
        <v>307</v>
      </c>
      <c r="I41" s="588">
        <v>98901</v>
      </c>
      <c r="J41" s="200" t="s">
        <v>42</v>
      </c>
      <c r="K41" s="566">
        <v>0</v>
      </c>
      <c r="L41" s="389" t="s">
        <v>307</v>
      </c>
      <c r="M41" s="588">
        <v>0</v>
      </c>
      <c r="P41" s="273"/>
      <c r="Q41" s="273"/>
    </row>
    <row r="42" spans="1:17" ht="16.5" thickBot="1">
      <c r="A42" s="7" t="s">
        <v>178</v>
      </c>
      <c r="B42" s="535" t="s">
        <v>179</v>
      </c>
      <c r="C42" s="564">
        <v>509848.88</v>
      </c>
      <c r="D42" s="37"/>
      <c r="F42" s="200" t="s">
        <v>41</v>
      </c>
      <c r="G42" s="611">
        <f t="shared" si="1"/>
        <v>-87780</v>
      </c>
      <c r="H42" s="389" t="s">
        <v>307</v>
      </c>
      <c r="I42" s="588">
        <v>-21349</v>
      </c>
      <c r="J42" s="200" t="s">
        <v>43</v>
      </c>
      <c r="K42" s="586">
        <v>0</v>
      </c>
      <c r="L42" s="389" t="s">
        <v>307</v>
      </c>
      <c r="M42" s="588">
        <v>0</v>
      </c>
      <c r="P42" s="273"/>
      <c r="Q42" s="273"/>
    </row>
    <row r="43" spans="1:17" ht="16.5" thickBot="1">
      <c r="A43" s="85" t="s">
        <v>123</v>
      </c>
      <c r="B43" s="12"/>
      <c r="C43" s="125">
        <f>SUM(C37:C42)</f>
        <v>12703638.210000001</v>
      </c>
      <c r="D43" s="36"/>
      <c r="F43" s="200" t="s">
        <v>42</v>
      </c>
      <c r="G43" s="611">
        <f t="shared" si="1"/>
        <v>0</v>
      </c>
      <c r="H43" s="389" t="s">
        <v>307</v>
      </c>
      <c r="I43" s="588">
        <v>0</v>
      </c>
      <c r="J43" s="199" t="s">
        <v>133</v>
      </c>
      <c r="K43" s="181">
        <f>SUM(K36:K42)</f>
        <v>9856292</v>
      </c>
      <c r="L43" s="182"/>
      <c r="M43" s="197">
        <f>SUM(M36:M42)</f>
        <v>2138034</v>
      </c>
      <c r="N43" s="384">
        <f>M43/(M43+I45)</f>
        <v>0.31650260999475072</v>
      </c>
    </row>
    <row r="44" spans="1:17" ht="16.5" thickBot="1">
      <c r="A44" s="83" t="s">
        <v>177</v>
      </c>
      <c r="B44" s="84" t="s">
        <v>120</v>
      </c>
      <c r="C44" s="564">
        <f>-467703.91+428730.4</f>
        <v>-38973.509999999951</v>
      </c>
      <c r="D44" s="37"/>
      <c r="F44" s="200" t="s">
        <v>43</v>
      </c>
      <c r="G44" s="611">
        <f t="shared" si="1"/>
        <v>98095</v>
      </c>
      <c r="H44" s="389" t="s">
        <v>307</v>
      </c>
      <c r="I44" s="588">
        <v>22559</v>
      </c>
      <c r="J44" s="194"/>
      <c r="K44" s="232">
        <v>9856292</v>
      </c>
      <c r="L44" s="189" t="s">
        <v>102</v>
      </c>
      <c r="M44" s="217">
        <f>M43/K43</f>
        <v>0.2169207243454232</v>
      </c>
    </row>
    <row r="45" spans="1:17" ht="16.5" thickBot="1">
      <c r="A45" s="211" t="s">
        <v>168</v>
      </c>
      <c r="B45" s="6" t="s">
        <v>115</v>
      </c>
      <c r="C45" s="122">
        <v>0</v>
      </c>
      <c r="D45" s="39"/>
      <c r="F45" s="199" t="s">
        <v>133</v>
      </c>
      <c r="G45" s="181">
        <f>SUM(G37:G44)</f>
        <v>20807788</v>
      </c>
      <c r="H45" s="182"/>
      <c r="I45" s="197">
        <f>SUM(I37:I44)</f>
        <v>4617152</v>
      </c>
      <c r="J45" s="124"/>
      <c r="K45" s="230">
        <f>K43-K44</f>
        <v>0</v>
      </c>
      <c r="L45" s="385"/>
      <c r="M45" s="124"/>
    </row>
    <row r="46" spans="1:17" ht="19.5" customHeight="1" thickTop="1" thickBot="1">
      <c r="A46" s="144" t="s">
        <v>169</v>
      </c>
      <c r="B46" s="6" t="s">
        <v>115</v>
      </c>
      <c r="C46" s="122">
        <v>0</v>
      </c>
      <c r="D46" s="40"/>
      <c r="F46" s="188"/>
      <c r="G46" s="232">
        <v>20807788</v>
      </c>
      <c r="H46" s="189" t="s">
        <v>102</v>
      </c>
      <c r="I46" s="215">
        <f>I45/G45</f>
        <v>0.22189537878798074</v>
      </c>
      <c r="J46" s="124"/>
      <c r="K46" s="230"/>
      <c r="L46" s="385"/>
      <c r="M46" s="124"/>
    </row>
    <row r="47" spans="1:17" ht="19.5" customHeight="1">
      <c r="A47" s="384" t="s">
        <v>137</v>
      </c>
      <c r="B47" s="6" t="s">
        <v>115</v>
      </c>
      <c r="C47" s="122">
        <v>0</v>
      </c>
      <c r="D47" s="36"/>
      <c r="F47" s="385"/>
      <c r="G47" s="230">
        <f>G45-G46</f>
        <v>0</v>
      </c>
      <c r="H47" s="385"/>
      <c r="I47" s="385"/>
      <c r="J47" s="124"/>
      <c r="K47" s="230"/>
      <c r="L47" s="385"/>
      <c r="M47" s="124"/>
    </row>
    <row r="48" spans="1:17" ht="16.5" thickBot="1">
      <c r="A48" s="144" t="s">
        <v>305</v>
      </c>
      <c r="B48" s="6" t="s">
        <v>115</v>
      </c>
      <c r="C48" s="564">
        <v>7000</v>
      </c>
      <c r="D48" s="36"/>
      <c r="F48" s="385"/>
      <c r="G48" s="385"/>
      <c r="H48" s="385"/>
      <c r="I48" s="385"/>
      <c r="J48" s="124"/>
      <c r="K48" s="114"/>
      <c r="L48" s="385"/>
      <c r="M48" s="68"/>
    </row>
    <row r="49" spans="1:21" ht="15.75">
      <c r="A49" s="7" t="s">
        <v>130</v>
      </c>
      <c r="B49" s="535" t="s">
        <v>152</v>
      </c>
      <c r="C49" s="564">
        <v>18885.439999999999</v>
      </c>
      <c r="D49" s="36"/>
      <c r="F49" s="385"/>
      <c r="G49" s="114"/>
      <c r="H49" s="129" t="s">
        <v>35</v>
      </c>
      <c r="I49" s="13" t="s">
        <v>35</v>
      </c>
      <c r="J49" s="13" t="s">
        <v>63</v>
      </c>
      <c r="K49" s="127" t="s">
        <v>70</v>
      </c>
      <c r="L49" s="124"/>
      <c r="M49" s="385"/>
    </row>
    <row r="50" spans="1:21" ht="16.5" thickBot="1">
      <c r="A50" s="7" t="s">
        <v>222</v>
      </c>
      <c r="B50" s="535" t="s">
        <v>152</v>
      </c>
      <c r="C50" s="564">
        <v>2712.28</v>
      </c>
      <c r="D50" s="36"/>
      <c r="F50" s="50" t="s">
        <v>73</v>
      </c>
      <c r="G50" s="385"/>
      <c r="H50" s="130" t="s">
        <v>2</v>
      </c>
      <c r="I50" s="131" t="s">
        <v>3</v>
      </c>
      <c r="J50" s="131" t="s">
        <v>2</v>
      </c>
      <c r="K50" s="128" t="s">
        <v>3</v>
      </c>
      <c r="L50" s="385"/>
      <c r="M50" s="385"/>
    </row>
    <row r="51" spans="1:21" ht="15.75">
      <c r="A51" s="7" t="s">
        <v>309</v>
      </c>
      <c r="B51" s="582" t="s">
        <v>152</v>
      </c>
      <c r="C51" s="564">
        <v>5061.87</v>
      </c>
      <c r="D51" s="36"/>
      <c r="F51" s="385"/>
      <c r="G51" s="385"/>
      <c r="H51" s="151"/>
      <c r="I51" s="152"/>
      <c r="J51" s="152"/>
      <c r="K51" s="152"/>
      <c r="L51" s="126" t="s">
        <v>103</v>
      </c>
      <c r="M51" s="385"/>
    </row>
    <row r="52" spans="1:21" ht="15.75">
      <c r="A52" s="22" t="s">
        <v>118</v>
      </c>
      <c r="B52" s="6"/>
      <c r="C52" s="100">
        <f>-C33</f>
        <v>75391.22</v>
      </c>
      <c r="D52" s="33"/>
      <c r="F52" s="385"/>
      <c r="G52" s="385"/>
      <c r="H52" s="212">
        <f>K12</f>
        <v>4230688.0017059995</v>
      </c>
      <c r="I52" s="115">
        <f>I14</f>
        <v>1549593.079446</v>
      </c>
      <c r="J52" s="115">
        <f>L12</f>
        <v>2000814.5982940001</v>
      </c>
      <c r="K52" s="115">
        <f>J14</f>
        <v>694242.8305540001</v>
      </c>
      <c r="L52" s="132">
        <f>SUM(H52:K52)</f>
        <v>8475338.5099999998</v>
      </c>
      <c r="M52" s="385"/>
    </row>
    <row r="53" spans="1:21" ht="16.5" thickBot="1">
      <c r="A53" s="385" t="s">
        <v>316</v>
      </c>
      <c r="B53" s="630" t="s">
        <v>317</v>
      </c>
      <c r="C53" s="564">
        <v>10479.66</v>
      </c>
      <c r="D53" s="33"/>
      <c r="F53" s="385" t="s">
        <v>136</v>
      </c>
      <c r="G53" s="385"/>
      <c r="H53" s="212">
        <f>-I45</f>
        <v>-4617152</v>
      </c>
      <c r="I53" s="115">
        <f>-I32</f>
        <v>-2142326</v>
      </c>
      <c r="J53" s="115">
        <f>-M43</f>
        <v>-2138034</v>
      </c>
      <c r="K53" s="115">
        <f>-M28</f>
        <v>-1042508</v>
      </c>
      <c r="L53" s="261">
        <f>SUM(H53:K53)</f>
        <v>-9940020</v>
      </c>
    </row>
    <row r="54" spans="1:21" ht="16.5" thickBot="1">
      <c r="A54" s="382" t="s">
        <v>124</v>
      </c>
      <c r="B54" s="473" t="s">
        <v>297</v>
      </c>
      <c r="C54" s="564">
        <f>-472597.5-1501696.56-4040478.9</f>
        <v>-6014772.96</v>
      </c>
      <c r="D54" s="36"/>
      <c r="F54" s="384" t="s">
        <v>109</v>
      </c>
      <c r="H54" s="234">
        <v>0</v>
      </c>
      <c r="I54" s="235">
        <v>0</v>
      </c>
      <c r="J54" s="235">
        <v>0</v>
      </c>
      <c r="K54" s="236">
        <v>0</v>
      </c>
      <c r="L54" s="214">
        <f>SUM(L52:L53)</f>
        <v>-1464681.4900000002</v>
      </c>
    </row>
    <row r="55" spans="1:21" ht="16.5" thickBot="1">
      <c r="A55" s="384" t="s">
        <v>313</v>
      </c>
      <c r="B55" s="6" t="s">
        <v>190</v>
      </c>
      <c r="C55" s="564">
        <v>-375000</v>
      </c>
      <c r="D55" s="36"/>
      <c r="F55" s="384" t="s">
        <v>86</v>
      </c>
      <c r="H55" s="125">
        <f>IFERROR(H52+H53+H54,0)</f>
        <v>-386463.99829400051</v>
      </c>
      <c r="I55" s="125">
        <f>I52+I53+I54</f>
        <v>-592732.92055399995</v>
      </c>
      <c r="J55" s="125">
        <f>IFERROR(J52+J53+J54,0)</f>
        <v>-137219.40170599986</v>
      </c>
      <c r="K55" s="125">
        <f>K52+K53+K54</f>
        <v>-348265.1694459999</v>
      </c>
      <c r="L55" s="47">
        <f>SUM(H55:K55)</f>
        <v>-1464681.4900000002</v>
      </c>
    </row>
    <row r="56" spans="1:21" ht="16.5" thickBot="1">
      <c r="A56" s="82" t="s">
        <v>119</v>
      </c>
      <c r="B56" s="84"/>
      <c r="C56" s="160">
        <f>SUM(C43:C55)</f>
        <v>6394422.21</v>
      </c>
      <c r="D56" s="36"/>
      <c r="F56" s="384" t="s">
        <v>71</v>
      </c>
      <c r="H56" s="384" t="s">
        <v>173</v>
      </c>
      <c r="I56" s="5">
        <f>SUM(H55:I55)</f>
        <v>-979196.91884800047</v>
      </c>
      <c r="J56" s="15" t="s">
        <v>174</v>
      </c>
      <c r="K56" s="384">
        <f>SUM(J55:K55)</f>
        <v>-485484.57115199976</v>
      </c>
      <c r="L56" s="213">
        <f>ROUND(L54-L55,3)</f>
        <v>0</v>
      </c>
      <c r="T56" s="42"/>
    </row>
    <row r="57" spans="1:21" ht="16.5" thickTop="1">
      <c r="A57" s="384" t="s">
        <v>121</v>
      </c>
      <c r="B57" s="6" t="s">
        <v>115</v>
      </c>
      <c r="C57" s="564">
        <v>-108566.91</v>
      </c>
      <c r="D57" s="36"/>
      <c r="F57" s="240" t="s">
        <v>181</v>
      </c>
      <c r="H57" s="96"/>
    </row>
    <row r="58" spans="1:21" ht="16.5" thickBot="1">
      <c r="A58" s="384" t="s">
        <v>122</v>
      </c>
      <c r="B58" s="6" t="s">
        <v>115</v>
      </c>
      <c r="C58" s="564">
        <v>-54352.7</v>
      </c>
      <c r="D58" s="36"/>
      <c r="F58" s="397" t="s">
        <v>181</v>
      </c>
      <c r="H58" s="157"/>
      <c r="I58" s="120"/>
      <c r="J58" s="120"/>
      <c r="K58" s="204"/>
      <c r="L58" s="120"/>
    </row>
    <row r="59" spans="1:21" ht="16.5" thickBot="1">
      <c r="A59" s="2" t="s">
        <v>125</v>
      </c>
      <c r="B59" s="2"/>
      <c r="C59" s="160">
        <f>SUM(C56:C58)</f>
        <v>6231502.5999999996</v>
      </c>
      <c r="D59" s="36"/>
      <c r="F59" s="397" t="s">
        <v>182</v>
      </c>
      <c r="H59" s="386" t="s">
        <v>295</v>
      </c>
      <c r="I59" s="387"/>
    </row>
    <row r="60" spans="1:21" ht="17.25" thickTop="1" thickBot="1">
      <c r="A60" s="2"/>
      <c r="C60" s="101"/>
      <c r="D60" s="36"/>
      <c r="F60" s="546" t="s">
        <v>304</v>
      </c>
      <c r="G60" s="548"/>
      <c r="H60" s="318" t="s">
        <v>175</v>
      </c>
      <c r="I60" s="319" t="s">
        <v>176</v>
      </c>
      <c r="J60" s="5"/>
    </row>
    <row r="61" spans="1:21" ht="16.5" thickBot="1">
      <c r="A61" s="9"/>
      <c r="B61" s="9" t="s">
        <v>95</v>
      </c>
      <c r="C61" s="125">
        <f>C59+C34</f>
        <v>8475338.5099999998</v>
      </c>
      <c r="D61" s="36"/>
      <c r="H61" s="349" t="e">
        <f>SUM('WA - Def-Amtz (current)'!BJ5:BJ10,'WA - Def-Amtz (current)'!BJ41:BJ46,'WA - Def-Amtz (current)'!BJ76:BJ79,#REF!,#REF!,#REF!)</f>
        <v>#REF!</v>
      </c>
      <c r="I61" s="449" t="e">
        <f>SUM('WA - Def-Amtz (current)'!BK5:BK10,'WA - Def-Amtz (current)'!BK41:BK46,'WA - Def-Amtz (current)'!BK76:BK79,#REF!,#REF!,#REF!)</f>
        <v>#REF!</v>
      </c>
      <c r="J61" s="384">
        <f>H53+I53+J53+K53</f>
        <v>-9940020</v>
      </c>
    </row>
    <row r="62" spans="1:21" ht="15.75">
      <c r="A62" s="2"/>
      <c r="B62" s="9" t="s">
        <v>160</v>
      </c>
      <c r="C62" s="619">
        <v>8475338.5099999998</v>
      </c>
      <c r="D62" s="37"/>
      <c r="I62" s="338" t="e">
        <f>H61-I61</f>
        <v>#REF!</v>
      </c>
      <c r="N62" s="5"/>
      <c r="O62" s="5"/>
      <c r="P62" s="21"/>
    </row>
    <row r="63" spans="1:21" ht="15.75">
      <c r="A63" s="9"/>
      <c r="B63" s="9" t="s">
        <v>159</v>
      </c>
      <c r="C63" s="257">
        <f>ROUND(C61-C62,2)</f>
        <v>0</v>
      </c>
      <c r="G63" s="5"/>
      <c r="S63" s="6"/>
    </row>
    <row r="64" spans="1:21" ht="15.75">
      <c r="A64" s="44"/>
      <c r="C64" s="351"/>
      <c r="D64" s="36"/>
      <c r="N64" s="22"/>
      <c r="U64" s="2"/>
    </row>
    <row r="65" spans="1:21" ht="15.75">
      <c r="A65" s="44"/>
      <c r="C65" s="8"/>
      <c r="D65" s="43"/>
      <c r="N65" s="22"/>
      <c r="S65" s="23"/>
    </row>
    <row r="66" spans="1:21" ht="15.75">
      <c r="A66" s="2"/>
      <c r="C66" s="8"/>
      <c r="D66" s="36"/>
      <c r="N66" s="22"/>
      <c r="S66" s="24"/>
    </row>
    <row r="67" spans="1:21">
      <c r="C67" s="8"/>
      <c r="D67" s="36"/>
      <c r="N67" s="22"/>
      <c r="S67" s="25"/>
    </row>
    <row r="68" spans="1:21">
      <c r="D68" s="36"/>
      <c r="N68" s="22"/>
      <c r="S68" s="24"/>
    </row>
    <row r="69" spans="1:21">
      <c r="D69" s="36"/>
      <c r="N69" s="22"/>
    </row>
    <row r="70" spans="1:21">
      <c r="D70" s="37"/>
      <c r="N70" s="22"/>
      <c r="S70" s="26"/>
    </row>
    <row r="71" spans="1:21">
      <c r="D71" s="36"/>
    </row>
    <row r="72" spans="1:21">
      <c r="D72" s="36"/>
    </row>
    <row r="73" spans="1:21">
      <c r="D73" s="36"/>
      <c r="S73" s="27"/>
    </row>
    <row r="74" spans="1:21">
      <c r="D74" s="45"/>
      <c r="R74" s="6"/>
      <c r="S74" s="6"/>
      <c r="T74" s="6"/>
    </row>
    <row r="76" spans="1:21">
      <c r="U76" s="28"/>
    </row>
    <row r="1477" spans="3:3">
      <c r="C1477" s="384">
        <v>-2130</v>
      </c>
    </row>
    <row r="1485" spans="3:3">
      <c r="C1485" s="384">
        <f>7004298-2130</f>
        <v>7002168</v>
      </c>
    </row>
  </sheetData>
  <mergeCells count="3">
    <mergeCell ref="F18:I18"/>
    <mergeCell ref="J18:M18"/>
    <mergeCell ref="K35:M35"/>
  </mergeCells>
  <conditionalFormatting sqref="L56 I62 C63">
    <cfRule type="cellIs" dxfId="213" priority="7" stopIfTrue="1" operator="equal">
      <formula>0</formula>
    </cfRule>
    <cfRule type="cellIs" dxfId="212" priority="8" stopIfTrue="1" operator="notEqual">
      <formula>0</formula>
    </cfRule>
  </conditionalFormatting>
  <conditionalFormatting sqref="G34 G47 K30 K45:K47">
    <cfRule type="cellIs" dxfId="211" priority="6" operator="notEqual">
      <formula>0</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customProperties>
    <customPr name="xxe4aPID" r:id="rId2"/>
  </customProperties>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17">
    <tabColor rgb="FF00CC66"/>
    <pageSetUpPr fitToPage="1"/>
  </sheetPr>
  <dimension ref="A1:U1485"/>
  <sheetViews>
    <sheetView showGridLines="0" tabSelected="1" topLeftCell="A34" zoomScale="70" zoomScaleNormal="70" workbookViewId="0">
      <selection activeCell="I71" sqref="I71"/>
    </sheetView>
  </sheetViews>
  <sheetFormatPr defaultColWidth="16" defaultRowHeight="15"/>
  <cols>
    <col min="1" max="1" width="44.85546875" style="384" customWidth="1"/>
    <col min="2" max="2" width="25.5703125" style="384" customWidth="1"/>
    <col min="3" max="3" width="25.28515625" style="384" customWidth="1"/>
    <col min="4" max="4" width="2.7109375" style="30" customWidth="1"/>
    <col min="5" max="5" width="4.28515625" style="384" customWidth="1"/>
    <col min="6" max="6" width="26.7109375" style="384" customWidth="1"/>
    <col min="7" max="7" width="19" style="384" customWidth="1"/>
    <col min="8" max="8" width="22" style="384" customWidth="1"/>
    <col min="9" max="9" width="20.42578125" style="384" customWidth="1"/>
    <col min="10" max="10" width="26.28515625" style="384" customWidth="1"/>
    <col min="11" max="11" width="21.85546875" style="384" bestFit="1" customWidth="1"/>
    <col min="12" max="12" width="23.85546875" style="384" customWidth="1"/>
    <col min="13" max="13" width="20.85546875" style="384" bestFit="1" customWidth="1"/>
    <col min="14" max="15" width="16" style="384"/>
    <col min="16" max="16" width="16.28515625" style="384" bestFit="1" customWidth="1"/>
    <col min="17" max="16384" width="16" style="384"/>
  </cols>
  <sheetData>
    <row r="1" spans="1:13" ht="16.5" thickBot="1">
      <c r="A1" s="145" t="s">
        <v>64</v>
      </c>
      <c r="B1" s="29"/>
      <c r="C1" s="530">
        <f>Nov!C1+1</f>
        <v>201712</v>
      </c>
      <c r="F1" s="530">
        <f>C1</f>
        <v>201712</v>
      </c>
      <c r="G1" s="385"/>
      <c r="H1" s="162" t="s">
        <v>69</v>
      </c>
      <c r="I1" s="126" t="s">
        <v>3</v>
      </c>
      <c r="J1" s="126" t="s">
        <v>3</v>
      </c>
      <c r="K1" s="126" t="s">
        <v>66</v>
      </c>
      <c r="L1" s="126" t="s">
        <v>66</v>
      </c>
      <c r="M1" s="385"/>
    </row>
    <row r="2" spans="1:13" ht="15.75">
      <c r="C2" s="31"/>
      <c r="F2" s="385"/>
      <c r="G2" s="385"/>
      <c r="H2" s="163" t="s">
        <v>32</v>
      </c>
      <c r="I2" s="164" t="s">
        <v>65</v>
      </c>
      <c r="J2" s="164" t="s">
        <v>65</v>
      </c>
      <c r="K2" s="164" t="s">
        <v>67</v>
      </c>
      <c r="L2" s="164" t="s">
        <v>67</v>
      </c>
      <c r="M2" s="385"/>
    </row>
    <row r="3" spans="1:13" ht="16.5" thickBot="1">
      <c r="A3" s="63" t="s">
        <v>110</v>
      </c>
      <c r="C3" s="32"/>
      <c r="D3" s="33"/>
      <c r="F3" s="50" t="s">
        <v>72</v>
      </c>
      <c r="G3" s="385"/>
      <c r="H3" s="165" t="s">
        <v>68</v>
      </c>
      <c r="I3" s="165" t="s">
        <v>35</v>
      </c>
      <c r="J3" s="165" t="s">
        <v>63</v>
      </c>
      <c r="K3" s="165" t="s">
        <v>35</v>
      </c>
      <c r="L3" s="165" t="s">
        <v>63</v>
      </c>
      <c r="M3" s="385"/>
    </row>
    <row r="4" spans="1:13" ht="15.75">
      <c r="A4" s="385" t="s">
        <v>88</v>
      </c>
      <c r="C4" s="564">
        <v>3814703.65</v>
      </c>
      <c r="D4" s="34"/>
      <c r="F4" s="385"/>
      <c r="G4" s="385"/>
      <c r="H4" s="11"/>
      <c r="I4" s="385"/>
      <c r="J4" s="385"/>
      <c r="L4" s="385"/>
      <c r="M4" s="385"/>
    </row>
    <row r="5" spans="1:13" ht="14.25" customHeight="1">
      <c r="A5" s="385" t="s">
        <v>31</v>
      </c>
      <c r="C5" s="564">
        <f>144686.25-264085.8</f>
        <v>-119399.54999999999</v>
      </c>
      <c r="D5" s="34"/>
      <c r="F5" s="385"/>
      <c r="G5" s="385"/>
      <c r="H5" s="11"/>
      <c r="I5" s="596">
        <v>0.69059999999999999</v>
      </c>
      <c r="J5" s="596">
        <v>0.30940000000000001</v>
      </c>
      <c r="K5" s="445">
        <f>ROUND(G45/(G45+K43),4)</f>
        <v>0.68379999999999996</v>
      </c>
      <c r="L5" s="445">
        <f>1-K5</f>
        <v>0.31620000000000004</v>
      </c>
      <c r="M5" s="385"/>
    </row>
    <row r="6" spans="1:13" ht="16.5" thickBot="1">
      <c r="A6" s="49" t="s">
        <v>30</v>
      </c>
      <c r="C6" s="565">
        <f>-81979.5-102391.76-1559644.1-444850-127100-142987.5</f>
        <v>-2458952.8600000003</v>
      </c>
      <c r="D6" s="34"/>
      <c r="F6" s="385"/>
      <c r="G6" s="385"/>
      <c r="H6" s="385"/>
      <c r="I6" s="385"/>
      <c r="J6" s="385"/>
      <c r="K6" s="385"/>
      <c r="L6" s="385"/>
      <c r="M6" s="385"/>
    </row>
    <row r="7" spans="1:13" ht="16.5" thickBot="1">
      <c r="A7" s="66" t="s">
        <v>140</v>
      </c>
      <c r="C7" s="100">
        <f>SUM(C4:C6)</f>
        <v>1236351.2399999998</v>
      </c>
      <c r="D7" s="35"/>
      <c r="F7" s="166" t="s">
        <v>139</v>
      </c>
      <c r="G7" s="166"/>
      <c r="H7" s="125">
        <f>C34</f>
        <v>2311258.1400000006</v>
      </c>
      <c r="I7" s="167">
        <f>H7*I5</f>
        <v>1596154.8714840005</v>
      </c>
      <c r="J7" s="167">
        <f>H7*J5</f>
        <v>715103.26851600024</v>
      </c>
      <c r="K7" s="167"/>
      <c r="L7" s="167"/>
      <c r="M7" s="385"/>
    </row>
    <row r="8" spans="1:13" ht="15.75">
      <c r="A8" s="384" t="s">
        <v>89</v>
      </c>
      <c r="C8" s="564">
        <f>252729.32</f>
        <v>252729.32</v>
      </c>
      <c r="D8" s="35"/>
      <c r="F8" s="385"/>
      <c r="G8" s="385"/>
      <c r="H8" s="168"/>
      <c r="I8" s="168"/>
      <c r="J8" s="168"/>
      <c r="K8" s="168"/>
      <c r="L8" s="168"/>
      <c r="M8" s="385"/>
    </row>
    <row r="9" spans="1:13" ht="15.75">
      <c r="A9" s="385" t="s">
        <v>90</v>
      </c>
      <c r="C9" s="564">
        <f>8921.71</f>
        <v>8921.7099999999991</v>
      </c>
      <c r="D9" s="36"/>
      <c r="F9" s="166" t="s">
        <v>119</v>
      </c>
      <c r="G9" s="385"/>
      <c r="H9" s="167">
        <f>C56</f>
        <v>8170179.8899999931</v>
      </c>
      <c r="I9" s="167"/>
      <c r="J9" s="167"/>
      <c r="K9" s="167">
        <f>H9*K5</f>
        <v>5586769.0087819947</v>
      </c>
      <c r="L9" s="167">
        <f>H9*L5</f>
        <v>2583410.881217998</v>
      </c>
      <c r="M9" s="385"/>
    </row>
    <row r="10" spans="1:13" ht="15.75">
      <c r="A10" s="49" t="s">
        <v>91</v>
      </c>
      <c r="C10" s="565">
        <v>-3418.47</v>
      </c>
      <c r="D10" s="36"/>
      <c r="F10" s="169" t="s">
        <v>44</v>
      </c>
      <c r="G10" s="385"/>
      <c r="H10" s="167">
        <f>C57</f>
        <v>5267.34</v>
      </c>
      <c r="I10" s="167"/>
      <c r="J10" s="167"/>
      <c r="K10" s="167">
        <f>H10</f>
        <v>5267.34</v>
      </c>
      <c r="L10" s="167"/>
      <c r="M10" s="385"/>
    </row>
    <row r="11" spans="1:13">
      <c r="A11" s="66" t="s">
        <v>145</v>
      </c>
      <c r="C11" s="100">
        <f>SUM(C8:C10)</f>
        <v>258232.56</v>
      </c>
      <c r="D11" s="36"/>
      <c r="F11" s="169" t="s">
        <v>45</v>
      </c>
      <c r="G11" s="385"/>
      <c r="H11" s="170">
        <f>C58</f>
        <v>3644.06</v>
      </c>
      <c r="I11" s="167"/>
      <c r="J11" s="167"/>
      <c r="K11" s="170"/>
      <c r="L11" s="170">
        <f>H11</f>
        <v>3644.06</v>
      </c>
      <c r="M11" s="385"/>
    </row>
    <row r="12" spans="1:13" ht="15.75">
      <c r="A12" s="384" t="s">
        <v>165</v>
      </c>
      <c r="C12" s="564">
        <f>189318.35+1797.22</f>
        <v>191115.57</v>
      </c>
      <c r="D12" s="36"/>
      <c r="F12" s="169" t="s">
        <v>138</v>
      </c>
      <c r="G12" s="385"/>
      <c r="H12" s="167">
        <f>H9+H10+H11</f>
        <v>8179091.2899999926</v>
      </c>
      <c r="I12" s="167"/>
      <c r="J12" s="167"/>
      <c r="K12" s="167">
        <f>SUM(K9:K11)</f>
        <v>5592036.3487819945</v>
      </c>
      <c r="L12" s="167">
        <f>SUM(L9:L11)</f>
        <v>2587054.941217998</v>
      </c>
      <c r="M12" s="385"/>
    </row>
    <row r="13" spans="1:13" ht="16.5" thickBot="1">
      <c r="A13" s="49" t="s">
        <v>166</v>
      </c>
      <c r="C13" s="559">
        <v>0</v>
      </c>
      <c r="D13" s="36"/>
      <c r="F13" s="171"/>
      <c r="G13" s="172"/>
      <c r="H13" s="173"/>
      <c r="I13" s="174"/>
      <c r="J13" s="173"/>
      <c r="K13" s="168"/>
      <c r="L13" s="173"/>
      <c r="M13" s="385"/>
    </row>
    <row r="14" spans="1:13" ht="16.5" thickBot="1">
      <c r="A14" s="66" t="s">
        <v>92</v>
      </c>
      <c r="C14" s="100">
        <f>SUM(C12:C13)</f>
        <v>191115.57</v>
      </c>
      <c r="D14" s="37"/>
      <c r="F14" s="50" t="s">
        <v>69</v>
      </c>
      <c r="G14" s="175"/>
      <c r="H14" s="125">
        <f>H12+H7</f>
        <v>10490349.429999992</v>
      </c>
      <c r="I14" s="176">
        <f>SUM(I7:I13)</f>
        <v>1596154.8714840005</v>
      </c>
      <c r="J14" s="176">
        <f>SUM(J7:J13)</f>
        <v>715103.26851600024</v>
      </c>
      <c r="K14" s="176">
        <f>K12</f>
        <v>5592036.3487819945</v>
      </c>
      <c r="L14" s="176">
        <f>L12</f>
        <v>2587054.941217998</v>
      </c>
      <c r="M14" s="385"/>
    </row>
    <row r="15" spans="1:13" ht="15.75">
      <c r="A15" s="384" t="s">
        <v>183</v>
      </c>
      <c r="C15" s="564">
        <f>4199.51+442374.93</f>
        <v>446574.44</v>
      </c>
      <c r="D15" s="36"/>
      <c r="F15" s="171"/>
      <c r="G15" s="172" t="s">
        <v>102</v>
      </c>
      <c r="H15" s="173">
        <f>H14-C61</f>
        <v>0</v>
      </c>
      <c r="I15" s="177"/>
      <c r="J15" s="173">
        <f>J7+I7-H7</f>
        <v>0</v>
      </c>
      <c r="K15" s="385"/>
      <c r="L15" s="173">
        <f>H12-K14-L14</f>
        <v>0</v>
      </c>
      <c r="M15" s="385"/>
    </row>
    <row r="16" spans="1:13" ht="15.75">
      <c r="A16" s="49" t="s">
        <v>184</v>
      </c>
      <c r="C16" s="559">
        <v>0</v>
      </c>
      <c r="D16" s="36"/>
      <c r="F16" s="178"/>
      <c r="G16" s="172"/>
      <c r="H16" s="179"/>
      <c r="I16" s="180"/>
      <c r="J16" s="179"/>
      <c r="K16" s="385"/>
      <c r="L16" s="179"/>
      <c r="M16" s="385"/>
    </row>
    <row r="17" spans="1:13" ht="15.75" thickBot="1">
      <c r="A17" s="66" t="s">
        <v>185</v>
      </c>
      <c r="C17" s="100">
        <f>SUM(C15:C16)</f>
        <v>446574.44</v>
      </c>
      <c r="D17" s="37"/>
      <c r="F17" s="171"/>
      <c r="G17" s="172"/>
      <c r="H17" s="179"/>
      <c r="I17" s="180"/>
      <c r="J17" s="183"/>
      <c r="K17" s="385"/>
      <c r="L17" s="179"/>
      <c r="M17" s="385"/>
    </row>
    <row r="18" spans="1:13" ht="16.5" thickBot="1">
      <c r="A18" s="384" t="s">
        <v>163</v>
      </c>
      <c r="C18" s="564">
        <f>709.25+64352.07+10361</f>
        <v>75422.320000000007</v>
      </c>
      <c r="D18" s="36"/>
      <c r="F18" s="639" t="s">
        <v>134</v>
      </c>
      <c r="G18" s="640"/>
      <c r="H18" s="640"/>
      <c r="I18" s="641"/>
      <c r="J18" s="639" t="s">
        <v>135</v>
      </c>
      <c r="K18" s="640"/>
      <c r="L18" s="640"/>
      <c r="M18" s="641"/>
    </row>
    <row r="19" spans="1:13" ht="15.75">
      <c r="A19" s="46" t="s">
        <v>164</v>
      </c>
      <c r="C19" s="565">
        <v>-362.14</v>
      </c>
      <c r="D19" s="36"/>
      <c r="F19" s="201" t="s">
        <v>108</v>
      </c>
      <c r="G19" s="164" t="s">
        <v>33</v>
      </c>
      <c r="H19" s="164" t="s">
        <v>33</v>
      </c>
      <c r="I19" s="164" t="s">
        <v>33</v>
      </c>
      <c r="J19" s="201" t="s">
        <v>108</v>
      </c>
      <c r="K19" s="164" t="s">
        <v>33</v>
      </c>
      <c r="L19" s="164" t="s">
        <v>33</v>
      </c>
      <c r="M19" s="185" t="s">
        <v>33</v>
      </c>
    </row>
    <row r="20" spans="1:13" ht="16.5" thickBot="1">
      <c r="A20" s="67" t="s">
        <v>93</v>
      </c>
      <c r="C20" s="100">
        <f>SUM(C18:C19)</f>
        <v>75060.180000000008</v>
      </c>
      <c r="D20" s="36"/>
      <c r="F20" s="195" t="s">
        <v>162</v>
      </c>
      <c r="G20" s="165" t="s">
        <v>101</v>
      </c>
      <c r="H20" s="165" t="s">
        <v>36</v>
      </c>
      <c r="I20" s="165" t="s">
        <v>34</v>
      </c>
      <c r="J20" s="195" t="s">
        <v>162</v>
      </c>
      <c r="K20" s="165" t="s">
        <v>101</v>
      </c>
      <c r="L20" s="165" t="s">
        <v>36</v>
      </c>
      <c r="M20" s="165" t="s">
        <v>34</v>
      </c>
    </row>
    <row r="21" spans="1:13" ht="15.75">
      <c r="A21" s="46" t="s">
        <v>149</v>
      </c>
      <c r="C21" s="565">
        <f>1850-118.03</f>
        <v>1731.97</v>
      </c>
      <c r="D21" s="36"/>
      <c r="F21" s="184"/>
      <c r="G21" s="12"/>
      <c r="H21" s="12"/>
      <c r="I21" s="185"/>
      <c r="J21" s="129"/>
      <c r="K21" s="13"/>
      <c r="L21" s="13"/>
      <c r="M21" s="205"/>
    </row>
    <row r="22" spans="1:13" ht="18" customHeight="1">
      <c r="A22" s="65" t="s">
        <v>149</v>
      </c>
      <c r="C22" s="100">
        <f>SUM(C21)</f>
        <v>1731.97</v>
      </c>
      <c r="D22" s="36"/>
      <c r="F22" s="199" t="s">
        <v>126</v>
      </c>
      <c r="G22" s="7"/>
      <c r="H22" s="7"/>
      <c r="I22" s="98"/>
      <c r="J22" s="199" t="s">
        <v>126</v>
      </c>
      <c r="K22" s="7"/>
      <c r="L22" s="7"/>
      <c r="M22" s="98"/>
    </row>
    <row r="23" spans="1:13" ht="15.75">
      <c r="A23" s="208" t="s">
        <v>180</v>
      </c>
      <c r="C23" s="100">
        <v>0</v>
      </c>
      <c r="D23" s="36"/>
      <c r="F23" s="200" t="s">
        <v>37</v>
      </c>
      <c r="G23" s="566">
        <v>22763596</v>
      </c>
      <c r="H23" s="389" t="s">
        <v>307</v>
      </c>
      <c r="I23" s="588">
        <v>2442861</v>
      </c>
      <c r="J23" s="200" t="s">
        <v>37</v>
      </c>
      <c r="K23" s="566">
        <v>10866998</v>
      </c>
      <c r="L23" s="389" t="s">
        <v>307</v>
      </c>
      <c r="M23" s="588">
        <v>1142014</v>
      </c>
    </row>
    <row r="24" spans="1:13" ht="15.75">
      <c r="A24" s="208" t="s">
        <v>186</v>
      </c>
      <c r="C24" s="122">
        <v>0</v>
      </c>
      <c r="D24" s="36"/>
      <c r="F24" s="200" t="s">
        <v>306</v>
      </c>
      <c r="G24" s="566">
        <v>25043</v>
      </c>
      <c r="H24" s="389" t="s">
        <v>307</v>
      </c>
      <c r="I24" s="588">
        <v>2685</v>
      </c>
      <c r="J24" s="200" t="s">
        <v>38</v>
      </c>
      <c r="K24" s="566">
        <v>3547299</v>
      </c>
      <c r="L24" s="389" t="s">
        <v>307</v>
      </c>
      <c r="M24" s="588">
        <v>372958</v>
      </c>
    </row>
    <row r="25" spans="1:13" ht="15.75">
      <c r="A25" s="208" t="s">
        <v>189</v>
      </c>
      <c r="C25" s="561">
        <v>0</v>
      </c>
      <c r="D25" s="36"/>
      <c r="F25" s="200" t="s">
        <v>38</v>
      </c>
      <c r="G25" s="566">
        <v>7830439</v>
      </c>
      <c r="H25" s="389" t="s">
        <v>307</v>
      </c>
      <c r="I25" s="588">
        <v>768458</v>
      </c>
      <c r="J25" s="200" t="s">
        <v>39</v>
      </c>
      <c r="K25" s="566">
        <v>2676</v>
      </c>
      <c r="L25" s="389" t="s">
        <v>307</v>
      </c>
      <c r="M25" s="588">
        <v>281</v>
      </c>
    </row>
    <row r="26" spans="1:13" ht="15.75">
      <c r="A26" s="209" t="s">
        <v>188</v>
      </c>
      <c r="C26" s="315">
        <v>0</v>
      </c>
      <c r="D26" s="36"/>
      <c r="F26" s="200" t="s">
        <v>39</v>
      </c>
      <c r="G26" s="566">
        <v>22211</v>
      </c>
      <c r="H26" s="389" t="s">
        <v>307</v>
      </c>
      <c r="I26" s="588">
        <v>2187</v>
      </c>
      <c r="J26" s="200" t="s">
        <v>40</v>
      </c>
      <c r="K26" s="566">
        <v>0</v>
      </c>
      <c r="L26" s="389" t="s">
        <v>307</v>
      </c>
      <c r="M26" s="588">
        <v>0</v>
      </c>
    </row>
    <row r="27" spans="1:13" ht="15.75">
      <c r="A27" s="65" t="s">
        <v>96</v>
      </c>
      <c r="C27" s="100">
        <f>SUM(C23:C26)</f>
        <v>0</v>
      </c>
      <c r="D27" s="36"/>
      <c r="F27" s="200" t="s">
        <v>40</v>
      </c>
      <c r="G27" s="566">
        <v>377693</v>
      </c>
      <c r="H27" s="389" t="s">
        <v>307</v>
      </c>
      <c r="I27" s="588">
        <v>44396</v>
      </c>
      <c r="J27" s="200" t="s">
        <v>41</v>
      </c>
      <c r="K27" s="566">
        <v>0</v>
      </c>
      <c r="L27" s="389" t="s">
        <v>307</v>
      </c>
      <c r="M27" s="588">
        <f t="shared" ref="M27" si="0">K27*L27</f>
        <v>0</v>
      </c>
    </row>
    <row r="28" spans="1:13" ht="16.5" thickBot="1">
      <c r="A28" s="210" t="s">
        <v>150</v>
      </c>
      <c r="C28" s="312">
        <v>0</v>
      </c>
      <c r="D28" s="37"/>
      <c r="F28" s="200" t="s">
        <v>41</v>
      </c>
      <c r="G28" s="566">
        <v>47834</v>
      </c>
      <c r="H28" s="389" t="s">
        <v>307</v>
      </c>
      <c r="I28" s="588">
        <v>4793</v>
      </c>
      <c r="J28" s="199" t="s">
        <v>127</v>
      </c>
      <c r="K28" s="181">
        <f>SUM(K23:K27)</f>
        <v>14416973</v>
      </c>
      <c r="L28" s="182"/>
      <c r="M28" s="197">
        <f>SUM(M23:M27)</f>
        <v>1515253</v>
      </c>
    </row>
    <row r="29" spans="1:13" ht="17.25" thickTop="1" thickBot="1">
      <c r="A29" s="210" t="s">
        <v>167</v>
      </c>
      <c r="B29" s="385"/>
      <c r="C29" s="312">
        <v>0</v>
      </c>
      <c r="D29" s="36"/>
      <c r="F29" s="200" t="s">
        <v>42</v>
      </c>
      <c r="G29" s="566">
        <v>0</v>
      </c>
      <c r="H29" s="389" t="s">
        <v>307</v>
      </c>
      <c r="I29" s="588">
        <v>0</v>
      </c>
      <c r="J29" s="199"/>
      <c r="K29" s="231">
        <v>14416973</v>
      </c>
      <c r="L29" s="187" t="s">
        <v>102</v>
      </c>
      <c r="M29" s="196">
        <f>M28/K28</f>
        <v>0.10510202106919393</v>
      </c>
    </row>
    <row r="30" spans="1:13" ht="16.5" thickBot="1">
      <c r="A30" s="2" t="s">
        <v>111</v>
      </c>
      <c r="C30" s="125">
        <f>C7+C11+C14+C17+C20+C22+C27+C28+C29</f>
        <v>2209065.9600000004</v>
      </c>
      <c r="D30" s="37"/>
      <c r="F30" s="200" t="s">
        <v>43</v>
      </c>
      <c r="G30" s="566">
        <v>113048</v>
      </c>
      <c r="H30" s="389" t="s">
        <v>307</v>
      </c>
      <c r="I30" s="588">
        <v>7046</v>
      </c>
      <c r="J30" s="200"/>
      <c r="K30" s="230">
        <f>K28-K29</f>
        <v>0</v>
      </c>
      <c r="L30" s="182"/>
      <c r="M30" s="198"/>
    </row>
    <row r="31" spans="1:13" ht="15.75">
      <c r="A31" s="384" t="s">
        <v>112</v>
      </c>
      <c r="C31" s="564">
        <v>-8647.7999999999993</v>
      </c>
      <c r="D31" s="39"/>
      <c r="F31" s="200" t="s">
        <v>74</v>
      </c>
      <c r="G31" s="566">
        <v>3967685</v>
      </c>
      <c r="H31" s="389" t="s">
        <v>307</v>
      </c>
      <c r="I31" s="588">
        <v>2120</v>
      </c>
      <c r="J31" s="153"/>
      <c r="K31" s="7"/>
      <c r="L31" s="182"/>
      <c r="M31" s="198"/>
    </row>
    <row r="32" spans="1:13" ht="16.5" thickBot="1">
      <c r="A32" s="2" t="s">
        <v>116</v>
      </c>
      <c r="B32" s="2" t="s">
        <v>117</v>
      </c>
      <c r="C32" s="571">
        <f>C30+C31</f>
        <v>2200418.1600000006</v>
      </c>
      <c r="D32" s="40"/>
      <c r="F32" s="199" t="s">
        <v>127</v>
      </c>
      <c r="G32" s="181">
        <f>SUM(G23:G31)</f>
        <v>35147549</v>
      </c>
      <c r="H32" s="7"/>
      <c r="I32" s="197">
        <f>SUM(I23:I31)</f>
        <v>3274546</v>
      </c>
      <c r="J32" s="192"/>
      <c r="K32" s="193"/>
      <c r="L32" s="7"/>
      <c r="M32" s="190"/>
    </row>
    <row r="33" spans="1:17" ht="17.25" thickTop="1" thickBot="1">
      <c r="A33" s="384" t="s">
        <v>113</v>
      </c>
      <c r="C33" s="311">
        <f>-C5-C9-C13-C16-C19</f>
        <v>110839.98</v>
      </c>
      <c r="D33" s="36"/>
      <c r="F33" s="186"/>
      <c r="G33" s="231">
        <v>35147549</v>
      </c>
      <c r="H33" s="187" t="s">
        <v>102</v>
      </c>
      <c r="I33" s="216">
        <f>I32/G32</f>
        <v>9.3165699833009694E-2</v>
      </c>
      <c r="J33" s="192"/>
      <c r="K33" s="193"/>
      <c r="L33" s="7"/>
      <c r="M33" s="98"/>
    </row>
    <row r="34" spans="1:17" ht="16.5" thickBot="1">
      <c r="A34" s="2" t="s">
        <v>114</v>
      </c>
      <c r="C34" s="125">
        <f>SUM(C32:C33)</f>
        <v>2311258.1400000006</v>
      </c>
      <c r="D34" s="36"/>
      <c r="F34" s="153"/>
      <c r="G34" s="230">
        <f>G32-G33</f>
        <v>0</v>
      </c>
      <c r="H34" s="7"/>
      <c r="I34" s="98"/>
      <c r="J34" s="192"/>
      <c r="K34" s="191"/>
      <c r="L34" s="7"/>
      <c r="M34" s="98"/>
    </row>
    <row r="35" spans="1:17" ht="18" customHeight="1">
      <c r="A35" s="2"/>
      <c r="C35" s="101"/>
      <c r="D35" s="36"/>
      <c r="F35" s="184"/>
      <c r="G35" s="12"/>
      <c r="H35" s="12"/>
      <c r="I35" s="185"/>
      <c r="J35" s="199" t="s">
        <v>128</v>
      </c>
      <c r="K35" s="637"/>
      <c r="L35" s="637"/>
      <c r="M35" s="638"/>
    </row>
    <row r="36" spans="1:17" ht="15.75">
      <c r="A36" s="16" t="s">
        <v>94</v>
      </c>
      <c r="B36" s="2"/>
      <c r="C36" s="100"/>
      <c r="D36" s="36"/>
      <c r="F36" s="199" t="s">
        <v>128</v>
      </c>
      <c r="G36" s="7"/>
      <c r="H36" s="7"/>
      <c r="I36" s="98"/>
      <c r="J36" s="200" t="s">
        <v>37</v>
      </c>
      <c r="K36" s="585">
        <f>K23</f>
        <v>10866998</v>
      </c>
      <c r="L36" s="389" t="s">
        <v>307</v>
      </c>
      <c r="M36" s="588">
        <v>2363305</v>
      </c>
      <c r="P36" s="273"/>
      <c r="Q36" s="273"/>
    </row>
    <row r="37" spans="1:17" ht="15.75">
      <c r="A37" s="7" t="s">
        <v>129</v>
      </c>
      <c r="B37" s="535" t="s">
        <v>115</v>
      </c>
      <c r="C37" s="564">
        <v>9681385.6999999993</v>
      </c>
      <c r="D37" s="36"/>
      <c r="F37" s="200" t="s">
        <v>37</v>
      </c>
      <c r="G37" s="585">
        <f>G23</f>
        <v>22763596</v>
      </c>
      <c r="H37" s="389" t="s">
        <v>307</v>
      </c>
      <c r="I37" s="588">
        <v>4959905</v>
      </c>
      <c r="J37" s="200" t="s">
        <v>38</v>
      </c>
      <c r="K37" s="585">
        <f>K24</f>
        <v>3547299</v>
      </c>
      <c r="L37" s="389" t="s">
        <v>307</v>
      </c>
      <c r="M37" s="588">
        <v>771804</v>
      </c>
      <c r="P37" s="273"/>
      <c r="Q37" s="273"/>
    </row>
    <row r="38" spans="1:17" ht="15.75">
      <c r="A38" s="144" t="s">
        <v>14</v>
      </c>
      <c r="B38" s="535" t="s">
        <v>115</v>
      </c>
      <c r="C38" s="564">
        <v>0</v>
      </c>
      <c r="D38" s="36"/>
      <c r="F38" s="200" t="s">
        <v>306</v>
      </c>
      <c r="G38" s="585">
        <f>G24</f>
        <v>25043</v>
      </c>
      <c r="H38" s="389" t="s">
        <v>307</v>
      </c>
      <c r="I38" s="588">
        <v>5452</v>
      </c>
      <c r="J38" s="200" t="s">
        <v>39</v>
      </c>
      <c r="K38" s="585">
        <f>K25</f>
        <v>2676</v>
      </c>
      <c r="L38" s="389" t="s">
        <v>307</v>
      </c>
      <c r="M38" s="588">
        <v>582</v>
      </c>
      <c r="P38" s="273"/>
      <c r="Q38" s="273"/>
    </row>
    <row r="39" spans="1:17" ht="15.75">
      <c r="A39" s="7" t="s">
        <v>146</v>
      </c>
      <c r="B39" s="535" t="s">
        <v>147</v>
      </c>
      <c r="C39" s="564">
        <v>-80988.460000000006</v>
      </c>
      <c r="D39" s="36"/>
      <c r="F39" s="200" t="s">
        <v>38</v>
      </c>
      <c r="G39" s="585">
        <f t="shared" ref="G39:G44" si="1">G25</f>
        <v>7830439</v>
      </c>
      <c r="H39" s="389" t="s">
        <v>307</v>
      </c>
      <c r="I39" s="588">
        <v>1699326</v>
      </c>
      <c r="J39" s="200" t="s">
        <v>40</v>
      </c>
      <c r="K39" s="585">
        <f>K26</f>
        <v>0</v>
      </c>
      <c r="L39" s="389" t="s">
        <v>307</v>
      </c>
      <c r="M39" s="588">
        <v>0</v>
      </c>
      <c r="P39" s="273"/>
      <c r="Q39" s="273"/>
    </row>
    <row r="40" spans="1:17" ht="15.75">
      <c r="A40" s="7" t="s">
        <v>131</v>
      </c>
      <c r="B40" s="535" t="s">
        <v>132</v>
      </c>
      <c r="C40" s="564">
        <v>1903258.61</v>
      </c>
      <c r="D40" s="36"/>
      <c r="F40" s="200" t="s">
        <v>39</v>
      </c>
      <c r="G40" s="585">
        <f t="shared" si="1"/>
        <v>22211</v>
      </c>
      <c r="H40" s="389" t="s">
        <v>307</v>
      </c>
      <c r="I40" s="588">
        <v>4835</v>
      </c>
      <c r="J40" s="200" t="s">
        <v>41</v>
      </c>
      <c r="K40" s="585">
        <f>K27</f>
        <v>0</v>
      </c>
      <c r="L40" s="389" t="s">
        <v>307</v>
      </c>
      <c r="M40" s="588">
        <v>0</v>
      </c>
      <c r="P40" s="273"/>
      <c r="Q40" s="273"/>
    </row>
    <row r="41" spans="1:17" ht="15.75">
      <c r="A41" s="7" t="s">
        <v>153</v>
      </c>
      <c r="B41" s="6" t="s">
        <v>155</v>
      </c>
      <c r="C41" s="564">
        <v>-65900.42</v>
      </c>
      <c r="D41" s="36"/>
      <c r="F41" s="200" t="s">
        <v>40</v>
      </c>
      <c r="G41" s="585">
        <f t="shared" si="1"/>
        <v>377693</v>
      </c>
      <c r="H41" s="389" t="s">
        <v>307</v>
      </c>
      <c r="I41" s="588">
        <v>92839</v>
      </c>
      <c r="J41" s="200" t="s">
        <v>42</v>
      </c>
      <c r="K41" s="566">
        <v>0</v>
      </c>
      <c r="L41" s="389" t="s">
        <v>307</v>
      </c>
      <c r="M41" s="588">
        <v>0</v>
      </c>
      <c r="P41" s="273"/>
      <c r="Q41" s="273"/>
    </row>
    <row r="42" spans="1:17" ht="16.5" thickBot="1">
      <c r="A42" s="7" t="s">
        <v>178</v>
      </c>
      <c r="B42" s="535" t="s">
        <v>179</v>
      </c>
      <c r="C42" s="564">
        <v>545907.52</v>
      </c>
      <c r="D42" s="37"/>
      <c r="F42" s="200" t="s">
        <v>41</v>
      </c>
      <c r="G42" s="585">
        <f t="shared" si="1"/>
        <v>47834</v>
      </c>
      <c r="H42" s="389" t="s">
        <v>307</v>
      </c>
      <c r="I42" s="588">
        <v>10598</v>
      </c>
      <c r="J42" s="200" t="s">
        <v>43</v>
      </c>
      <c r="K42" s="586">
        <v>0</v>
      </c>
      <c r="L42" s="389" t="s">
        <v>307</v>
      </c>
      <c r="M42" s="588">
        <v>0</v>
      </c>
      <c r="P42" s="273"/>
      <c r="Q42" s="273"/>
    </row>
    <row r="43" spans="1:17" ht="16.5" thickBot="1">
      <c r="A43" s="85" t="s">
        <v>123</v>
      </c>
      <c r="B43" s="12"/>
      <c r="C43" s="125">
        <f>SUM(C37:C42)</f>
        <v>11983662.949999997</v>
      </c>
      <c r="D43" s="36"/>
      <c r="F43" s="200" t="s">
        <v>42</v>
      </c>
      <c r="G43" s="585">
        <f t="shared" si="1"/>
        <v>0</v>
      </c>
      <c r="H43" s="389" t="s">
        <v>307</v>
      </c>
      <c r="I43" s="588">
        <v>0</v>
      </c>
      <c r="J43" s="199" t="s">
        <v>133</v>
      </c>
      <c r="K43" s="181">
        <f>SUM(K36:K42)</f>
        <v>14416973</v>
      </c>
      <c r="L43" s="182"/>
      <c r="M43" s="197">
        <f>SUM(M36:M42)</f>
        <v>3135691</v>
      </c>
    </row>
    <row r="44" spans="1:17" ht="16.5" thickBot="1">
      <c r="A44" s="83" t="s">
        <v>177</v>
      </c>
      <c r="B44" s="84" t="s">
        <v>120</v>
      </c>
      <c r="C44" s="564">
        <f>-12758.63+6121088.52-68133.37+5988.15</f>
        <v>6046184.6699999999</v>
      </c>
      <c r="D44" s="37"/>
      <c r="F44" s="200" t="s">
        <v>43</v>
      </c>
      <c r="G44" s="585">
        <f t="shared" si="1"/>
        <v>113048</v>
      </c>
      <c r="H44" s="389" t="s">
        <v>307</v>
      </c>
      <c r="I44" s="588">
        <v>24607</v>
      </c>
      <c r="J44" s="194"/>
      <c r="K44" s="232">
        <v>14416973</v>
      </c>
      <c r="L44" s="189" t="s">
        <v>102</v>
      </c>
      <c r="M44" s="217">
        <f>M43/K43</f>
        <v>0.2174999564749133</v>
      </c>
    </row>
    <row r="45" spans="1:17" ht="16.5" thickBot="1">
      <c r="A45" s="211" t="s">
        <v>168</v>
      </c>
      <c r="B45" s="6" t="s">
        <v>115</v>
      </c>
      <c r="C45" s="122">
        <v>0</v>
      </c>
      <c r="D45" s="39"/>
      <c r="F45" s="199" t="s">
        <v>133</v>
      </c>
      <c r="G45" s="181">
        <f>SUM(G37:G44)</f>
        <v>31179864</v>
      </c>
      <c r="H45" s="182"/>
      <c r="I45" s="197">
        <f>SUM(I37:I44)</f>
        <v>6797562</v>
      </c>
      <c r="J45" s="124"/>
      <c r="K45" s="230">
        <f>K43-K44</f>
        <v>0</v>
      </c>
      <c r="L45" s="385"/>
      <c r="M45" s="124"/>
    </row>
    <row r="46" spans="1:17" ht="19.5" customHeight="1" thickTop="1" thickBot="1">
      <c r="A46" s="144" t="s">
        <v>169</v>
      </c>
      <c r="B46" s="6" t="s">
        <v>115</v>
      </c>
      <c r="C46" s="122">
        <v>0</v>
      </c>
      <c r="D46" s="40"/>
      <c r="F46" s="188"/>
      <c r="G46" s="232">
        <v>31179864</v>
      </c>
      <c r="H46" s="189" t="s">
        <v>102</v>
      </c>
      <c r="I46" s="215">
        <f>I45/G45</f>
        <v>0.21801127804790937</v>
      </c>
      <c r="J46" s="124"/>
      <c r="K46" s="114"/>
      <c r="L46" s="385"/>
      <c r="M46" s="68"/>
    </row>
    <row r="47" spans="1:17" ht="15.75">
      <c r="A47" s="384" t="s">
        <v>137</v>
      </c>
      <c r="B47" s="6" t="s">
        <v>115</v>
      </c>
      <c r="C47" s="564">
        <v>-118762.51</v>
      </c>
      <c r="D47" s="36"/>
      <c r="F47" s="385"/>
      <c r="G47" s="230">
        <f>G45-G46</f>
        <v>0</v>
      </c>
      <c r="H47" s="385"/>
      <c r="I47" s="385"/>
      <c r="J47" s="124"/>
      <c r="K47" s="114"/>
      <c r="L47" s="385"/>
      <c r="M47" s="68"/>
    </row>
    <row r="48" spans="1:17" ht="16.5" thickBot="1">
      <c r="A48" s="144" t="s">
        <v>305</v>
      </c>
      <c r="B48" s="6" t="s">
        <v>115</v>
      </c>
      <c r="C48" s="564">
        <v>7000</v>
      </c>
      <c r="D48" s="36"/>
      <c r="F48" s="385"/>
      <c r="G48" s="385"/>
      <c r="H48" s="385"/>
      <c r="I48" s="385"/>
      <c r="J48" s="124"/>
      <c r="K48" s="114"/>
      <c r="L48" s="385"/>
      <c r="M48" s="385"/>
    </row>
    <row r="49" spans="1:21" ht="15.75">
      <c r="A49" s="7" t="s">
        <v>130</v>
      </c>
      <c r="B49" s="535" t="s">
        <v>152</v>
      </c>
      <c r="C49" s="564">
        <v>22876.54</v>
      </c>
      <c r="D49" s="36"/>
      <c r="F49" s="385"/>
      <c r="G49" s="114"/>
      <c r="H49" s="129" t="s">
        <v>35</v>
      </c>
      <c r="I49" s="13" t="s">
        <v>35</v>
      </c>
      <c r="J49" s="13" t="s">
        <v>63</v>
      </c>
      <c r="K49" s="127" t="s">
        <v>70</v>
      </c>
      <c r="L49" s="124"/>
      <c r="M49" s="385"/>
    </row>
    <row r="50" spans="1:21" ht="16.5" thickBot="1">
      <c r="A50" s="7" t="s">
        <v>222</v>
      </c>
      <c r="B50" s="535" t="s">
        <v>152</v>
      </c>
      <c r="C50" s="564">
        <v>4085.49</v>
      </c>
      <c r="D50" s="37"/>
      <c r="F50" s="50" t="s">
        <v>73</v>
      </c>
      <c r="G50" s="385"/>
      <c r="H50" s="130" t="s">
        <v>2</v>
      </c>
      <c r="I50" s="131" t="s">
        <v>3</v>
      </c>
      <c r="J50" s="131" t="s">
        <v>2</v>
      </c>
      <c r="K50" s="128" t="s">
        <v>3</v>
      </c>
      <c r="L50" s="385"/>
      <c r="M50" s="385"/>
    </row>
    <row r="51" spans="1:21" ht="15.75">
      <c r="A51" s="7" t="s">
        <v>309</v>
      </c>
      <c r="B51" s="535" t="s">
        <v>152</v>
      </c>
      <c r="C51" s="564">
        <v>8192.9599999999991</v>
      </c>
      <c r="D51" s="36"/>
      <c r="F51" s="385"/>
      <c r="G51" s="385"/>
      <c r="H51" s="151"/>
      <c r="I51" s="152"/>
      <c r="J51" s="152"/>
      <c r="K51" s="152"/>
      <c r="L51" s="126" t="s">
        <v>103</v>
      </c>
      <c r="M51" s="385"/>
    </row>
    <row r="52" spans="1:21" ht="15.75">
      <c r="A52" s="22" t="s">
        <v>118</v>
      </c>
      <c r="B52" s="6"/>
      <c r="C52" s="100">
        <f>-C33</f>
        <v>-110839.98</v>
      </c>
      <c r="D52" s="33"/>
      <c r="F52" s="385" t="s">
        <v>136</v>
      </c>
      <c r="G52" s="385"/>
      <c r="H52" s="212">
        <f>K12</f>
        <v>5592036.3487819945</v>
      </c>
      <c r="I52" s="115">
        <f>I14</f>
        <v>1596154.8714840005</v>
      </c>
      <c r="J52" s="115">
        <f>L12</f>
        <v>2587054.941217998</v>
      </c>
      <c r="K52" s="115">
        <f>J14</f>
        <v>715103.26851600024</v>
      </c>
      <c r="L52" s="132">
        <f>SUM(H52:K52)</f>
        <v>10490349.429999992</v>
      </c>
    </row>
    <row r="53" spans="1:21" ht="16.5" thickBot="1">
      <c r="A53" s="385" t="s">
        <v>316</v>
      </c>
      <c r="B53" s="631" t="s">
        <v>317</v>
      </c>
      <c r="C53" s="564">
        <v>6406.34</v>
      </c>
      <c r="D53" s="36"/>
      <c r="F53" s="384" t="s">
        <v>109</v>
      </c>
      <c r="H53" s="212">
        <f>-I45</f>
        <v>-6797562</v>
      </c>
      <c r="I53" s="115">
        <f>-I32</f>
        <v>-3274546</v>
      </c>
      <c r="J53" s="115">
        <f>-M43</f>
        <v>-3135691</v>
      </c>
      <c r="K53" s="115">
        <f>-M28</f>
        <v>-1515253</v>
      </c>
      <c r="L53" s="261">
        <f>SUM(H53:K53)</f>
        <v>-14723052</v>
      </c>
    </row>
    <row r="54" spans="1:21" ht="16.5" thickBot="1">
      <c r="A54" s="382" t="s">
        <v>124</v>
      </c>
      <c r="B54" s="473" t="s">
        <v>297</v>
      </c>
      <c r="C54" s="564">
        <f>-249251.63-5848184.37-3206190.57</f>
        <v>-9303626.5700000003</v>
      </c>
      <c r="D54" s="36"/>
      <c r="F54" s="384" t="s">
        <v>86</v>
      </c>
      <c r="H54" s="234">
        <v>0</v>
      </c>
      <c r="I54" s="235">
        <v>0</v>
      </c>
      <c r="J54" s="235">
        <v>0</v>
      </c>
      <c r="K54" s="236">
        <v>0</v>
      </c>
      <c r="L54" s="214">
        <f>SUM(L52:L53)</f>
        <v>-4232702.5700000077</v>
      </c>
    </row>
    <row r="55" spans="1:21" ht="16.5" thickBot="1">
      <c r="A55" s="384" t="s">
        <v>313</v>
      </c>
      <c r="B55" s="6" t="s">
        <v>190</v>
      </c>
      <c r="C55" s="564">
        <v>-375000</v>
      </c>
      <c r="D55" s="36"/>
      <c r="F55" s="384" t="s">
        <v>71</v>
      </c>
      <c r="H55" s="125">
        <f>IFERROR(H52+H53+H54,0)</f>
        <v>-1205525.6512180055</v>
      </c>
      <c r="I55" s="125">
        <f>I52+I53+I54</f>
        <v>-1678391.1285159995</v>
      </c>
      <c r="J55" s="125">
        <f>IFERROR(J52+J53+J54,0)</f>
        <v>-548636.05878200196</v>
      </c>
      <c r="K55" s="125">
        <f>K52+K53+K54</f>
        <v>-800149.73148399976</v>
      </c>
      <c r="L55" s="47">
        <f>SUM(H55:K55)</f>
        <v>-4232702.5700000068</v>
      </c>
    </row>
    <row r="56" spans="1:21" ht="16.5" thickBot="1">
      <c r="A56" s="82" t="s">
        <v>119</v>
      </c>
      <c r="B56" s="84"/>
      <c r="C56" s="160">
        <f>SUM(C43:C55)</f>
        <v>8170179.8899999931</v>
      </c>
      <c r="D56" s="36"/>
      <c r="F56" s="240" t="s">
        <v>181</v>
      </c>
      <c r="H56" s="384" t="s">
        <v>173</v>
      </c>
      <c r="I56" s="5">
        <f>SUM(H55:I55)</f>
        <v>-2883916.7797340052</v>
      </c>
      <c r="J56" s="15" t="s">
        <v>174</v>
      </c>
      <c r="K56" s="384">
        <f>SUM(J55:K55)</f>
        <v>-1348785.7902660016</v>
      </c>
      <c r="L56" s="213">
        <f>ROUND(L54-L55,3)</f>
        <v>0</v>
      </c>
      <c r="T56" s="42"/>
    </row>
    <row r="57" spans="1:21" ht="16.5" thickTop="1">
      <c r="A57" s="384" t="s">
        <v>121</v>
      </c>
      <c r="B57" s="6" t="s">
        <v>115</v>
      </c>
      <c r="C57" s="564">
        <v>5267.34</v>
      </c>
      <c r="D57" s="36"/>
      <c r="F57" s="397" t="s">
        <v>181</v>
      </c>
      <c r="H57" s="96"/>
    </row>
    <row r="58" spans="1:21" ht="16.5" thickBot="1">
      <c r="A58" s="384" t="s">
        <v>122</v>
      </c>
      <c r="B58" s="6" t="s">
        <v>115</v>
      </c>
      <c r="C58" s="564">
        <v>3644.06</v>
      </c>
      <c r="D58" s="36"/>
      <c r="F58" s="397" t="s">
        <v>182</v>
      </c>
      <c r="H58" s="157"/>
      <c r="I58" s="120"/>
      <c r="J58" s="120"/>
      <c r="K58" s="204"/>
      <c r="L58" s="120"/>
    </row>
    <row r="59" spans="1:21" ht="16.5" thickBot="1">
      <c r="A59" s="2" t="s">
        <v>125</v>
      </c>
      <c r="B59" s="2"/>
      <c r="C59" s="160">
        <f>SUM(C56:C58)</f>
        <v>8179091.2899999926</v>
      </c>
      <c r="D59" s="36"/>
      <c r="F59" s="546" t="s">
        <v>304</v>
      </c>
      <c r="G59" s="547" t="str">
        <f>IF(OR(AND(I56&gt;0,K56&gt;0),AND(I56&lt;0,K56&lt;0)),"OK","ERROR")</f>
        <v>OK</v>
      </c>
      <c r="H59" s="386" t="s">
        <v>295</v>
      </c>
      <c r="I59" s="387"/>
    </row>
    <row r="60" spans="1:21" ht="17.25" thickTop="1" thickBot="1">
      <c r="A60" s="2"/>
      <c r="C60" s="101"/>
      <c r="D60" s="36"/>
      <c r="H60" s="318" t="s">
        <v>175</v>
      </c>
      <c r="I60" s="319" t="s">
        <v>176</v>
      </c>
      <c r="J60" s="5"/>
    </row>
    <row r="61" spans="1:21" ht="16.5" thickBot="1">
      <c r="A61" s="9"/>
      <c r="B61" s="9" t="s">
        <v>95</v>
      </c>
      <c r="C61" s="125">
        <f>C59+C34</f>
        <v>10490349.429999992</v>
      </c>
      <c r="D61" s="37"/>
      <c r="H61" s="349" t="e">
        <f>SUM('WA - Def-Amtz (current)'!BJ5:BJ10,'WA - Def-Amtz (current)'!BJ41:BJ46,'WA - Def-Amtz (current)'!BJ76:BJ79,#REF!,#REF!,#REF!)</f>
        <v>#REF!</v>
      </c>
      <c r="I61" s="449" t="e">
        <f>SUM('WA - Def-Amtz (current)'!BK5:BK10,'WA - Def-Amtz (current)'!BK41:BK46,'WA - Def-Amtz (current)'!BK76:BK79,#REF!,#REF!,#REF!)</f>
        <v>#REF!</v>
      </c>
      <c r="J61" s="384">
        <f>H53+I53+J53+K53</f>
        <v>-14723052</v>
      </c>
    </row>
    <row r="62" spans="1:21" ht="15.75">
      <c r="A62" s="2"/>
      <c r="B62" s="9" t="s">
        <v>160</v>
      </c>
      <c r="C62" s="350">
        <v>10490349.43</v>
      </c>
      <c r="G62" s="5"/>
      <c r="I62" s="338" t="e">
        <f>H61-I61</f>
        <v>#REF!</v>
      </c>
      <c r="N62" s="5"/>
      <c r="O62" s="5"/>
      <c r="P62" s="21"/>
    </row>
    <row r="63" spans="1:21" ht="15.75">
      <c r="A63" s="9"/>
      <c r="B63" s="9" t="s">
        <v>159</v>
      </c>
      <c r="C63" s="257">
        <f>ROUND(C61-C62,2)</f>
        <v>0</v>
      </c>
      <c r="D63" s="36"/>
      <c r="S63" s="6"/>
    </row>
    <row r="64" spans="1:21" ht="15.75">
      <c r="A64" s="44"/>
      <c r="C64" s="351"/>
      <c r="D64" s="43"/>
      <c r="N64" s="22"/>
      <c r="U64" s="2"/>
    </row>
    <row r="65" spans="1:21" ht="15.75">
      <c r="A65" s="44"/>
      <c r="C65" s="8"/>
      <c r="D65" s="36"/>
      <c r="N65" s="22"/>
      <c r="S65" s="23"/>
    </row>
    <row r="66" spans="1:21" ht="15.75">
      <c r="A66" s="2"/>
      <c r="C66" s="8"/>
      <c r="D66" s="36"/>
      <c r="N66" s="22"/>
      <c r="S66" s="24"/>
    </row>
    <row r="67" spans="1:21">
      <c r="C67" s="100"/>
      <c r="D67" s="36"/>
      <c r="N67" s="22"/>
      <c r="S67" s="25"/>
    </row>
    <row r="68" spans="1:21">
      <c r="D68" s="36"/>
      <c r="N68" s="22"/>
      <c r="S68" s="24"/>
    </row>
    <row r="69" spans="1:21">
      <c r="D69" s="37"/>
      <c r="N69" s="22"/>
    </row>
    <row r="70" spans="1:21">
      <c r="D70" s="36"/>
      <c r="N70" s="22"/>
      <c r="S70" s="26"/>
    </row>
    <row r="71" spans="1:21">
      <c r="D71" s="36"/>
    </row>
    <row r="72" spans="1:21">
      <c r="D72" s="36"/>
    </row>
    <row r="73" spans="1:21">
      <c r="D73" s="45"/>
      <c r="S73" s="27"/>
    </row>
    <row r="74" spans="1:21">
      <c r="R74" s="6"/>
      <c r="S74" s="6"/>
      <c r="T74" s="6"/>
    </row>
    <row r="76" spans="1:21">
      <c r="U76" s="28"/>
    </row>
    <row r="1477" spans="3:3">
      <c r="C1477" s="384">
        <v>-2130</v>
      </c>
    </row>
    <row r="1485" spans="3:3">
      <c r="C1485" s="384">
        <f>7004298-2130</f>
        <v>7002168</v>
      </c>
    </row>
  </sheetData>
  <mergeCells count="3">
    <mergeCell ref="F18:I18"/>
    <mergeCell ref="J18:M18"/>
    <mergeCell ref="K35:M35"/>
  </mergeCells>
  <conditionalFormatting sqref="C63 L56 I62">
    <cfRule type="cellIs" dxfId="210" priority="6" stopIfTrue="1" operator="equal">
      <formula>0</formula>
    </cfRule>
    <cfRule type="cellIs" dxfId="209" priority="7" stopIfTrue="1" operator="notEqual">
      <formula>0</formula>
    </cfRule>
  </conditionalFormatting>
  <conditionalFormatting sqref="G34 G47 K30 K45">
    <cfRule type="cellIs" dxfId="208" priority="5" operator="notEqual">
      <formula>0</formula>
    </cfRule>
  </conditionalFormatting>
  <conditionalFormatting sqref="C63">
    <cfRule type="cellIs" dxfId="207" priority="3" stopIfTrue="1" operator="equal">
      <formula>0</formula>
    </cfRule>
    <cfRule type="cellIs" dxfId="206" priority="4" stopIfTrue="1" operator="notEqual">
      <formula>0</formula>
    </cfRule>
  </conditionalFormatting>
  <conditionalFormatting sqref="K30">
    <cfRule type="cellIs" dxfId="205" priority="2" operator="notEqual">
      <formula>0</formula>
    </cfRule>
  </conditionalFormatting>
  <conditionalFormatting sqref="G59">
    <cfRule type="cellIs" dxfId="204" priority="1" operator="equal">
      <formula>"ERROR"</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customProperties>
    <customPr name="xxe4aPID" r:id="rId2"/>
  </customProperties>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rgb="FF00CC66"/>
    <pageSetUpPr fitToPage="1"/>
  </sheetPr>
  <dimension ref="A1:BM84"/>
  <sheetViews>
    <sheetView showGridLines="0" zoomScale="70" zoomScaleNormal="70" zoomScaleSheetLayoutView="85" workbookViewId="0">
      <pane xSplit="2" ySplit="3" topLeftCell="AW4" activePane="bottomRight" state="frozen"/>
      <selection pane="topRight" activeCell="C1" sqref="C1"/>
      <selection pane="bottomLeft" activeCell="A4" sqref="A4"/>
      <selection pane="bottomRight" activeCell="BC7" sqref="BC7"/>
    </sheetView>
  </sheetViews>
  <sheetFormatPr defaultColWidth="9.140625" defaultRowHeight="15.75" outlineLevelRow="1"/>
  <cols>
    <col min="1" max="1" width="17.28515625" style="480" customWidth="1"/>
    <col min="2" max="2" width="18.7109375" style="479" customWidth="1"/>
    <col min="3" max="3" width="17.5703125" style="480" customWidth="1"/>
    <col min="4" max="4" width="16.28515625" style="480" customWidth="1"/>
    <col min="5" max="5" width="15.5703125" style="480" hidden="1" customWidth="1"/>
    <col min="6" max="6" width="18.28515625" style="480" hidden="1" customWidth="1"/>
    <col min="7" max="7" width="16.28515625" style="480" hidden="1" customWidth="1"/>
    <col min="8" max="9" width="19.85546875" style="480" hidden="1" customWidth="1"/>
    <col min="10" max="10" width="16.28515625" style="480" hidden="1" customWidth="1"/>
    <col min="11" max="11" width="21.5703125" style="480" hidden="1" customWidth="1"/>
    <col min="12" max="20" width="16.28515625" style="480" hidden="1" customWidth="1"/>
    <col min="21" max="21" width="19.85546875" style="480" hidden="1" customWidth="1"/>
    <col min="22" max="22" width="16.28515625" style="480" hidden="1" customWidth="1"/>
    <col min="23" max="23" width="21.5703125" style="480" hidden="1" customWidth="1"/>
    <col min="24" max="34" width="16.28515625" style="480" hidden="1" customWidth="1"/>
    <col min="35" max="35" width="17.42578125" style="480" hidden="1" customWidth="1"/>
    <col min="36" max="36" width="15.5703125" style="480" hidden="1" customWidth="1"/>
    <col min="37" max="41" width="17.42578125" style="480" hidden="1" customWidth="1"/>
    <col min="42" max="42" width="17.5703125" style="480" hidden="1" customWidth="1"/>
    <col min="43" max="43" width="18.140625" style="480" hidden="1" customWidth="1"/>
    <col min="44" max="44" width="17.7109375" style="480" hidden="1" customWidth="1"/>
    <col min="45" max="45" width="18.7109375" style="480" hidden="1" customWidth="1"/>
    <col min="46" max="46" width="19.140625" style="480" hidden="1" customWidth="1"/>
    <col min="47" max="47" width="17.42578125" style="480" hidden="1" customWidth="1"/>
    <col min="48" max="48" width="16.7109375" style="480" hidden="1" customWidth="1"/>
    <col min="49" max="53" width="17.42578125" style="480" customWidth="1"/>
    <col min="54" max="54" width="16.28515625" style="480" customWidth="1"/>
    <col min="55" max="55" width="18.140625" style="480" customWidth="1"/>
    <col min="56" max="56" width="17.7109375" style="480" customWidth="1"/>
    <col min="57" max="57" width="3.42578125" style="555" customWidth="1"/>
    <col min="58" max="58" width="34.42578125" style="480" customWidth="1"/>
    <col min="59" max="59" width="14.42578125" style="521" bestFit="1" customWidth="1"/>
    <col min="60" max="60" width="4.7109375" style="480" bestFit="1" customWidth="1"/>
    <col min="61" max="61" width="5" style="480" bestFit="1" customWidth="1"/>
    <col min="62" max="62" width="18.28515625" style="480" customWidth="1"/>
    <col min="63" max="63" width="17.140625" style="480" bestFit="1" customWidth="1"/>
    <col min="64" max="64" width="0.42578125" style="480" customWidth="1"/>
    <col min="65" max="16384" width="9.140625" style="480"/>
  </cols>
  <sheetData>
    <row r="1" spans="1:65">
      <c r="A1" s="478" t="s">
        <v>261</v>
      </c>
      <c r="BF1" s="478" t="s">
        <v>296</v>
      </c>
      <c r="BI1" s="481" t="s">
        <v>315</v>
      </c>
      <c r="BJ1" s="481"/>
    </row>
    <row r="2" spans="1:65">
      <c r="A2" s="481" t="s">
        <v>262</v>
      </c>
    </row>
    <row r="3" spans="1:65" s="481" customFormat="1" ht="32.25" thickBot="1">
      <c r="A3" s="482">
        <v>191010</v>
      </c>
      <c r="B3" s="483" t="s">
        <v>252</v>
      </c>
      <c r="C3" s="484" t="s">
        <v>248</v>
      </c>
      <c r="D3" s="485" t="s">
        <v>257</v>
      </c>
      <c r="E3" s="482">
        <v>201309</v>
      </c>
      <c r="F3" s="482">
        <f>E3+1</f>
        <v>201310</v>
      </c>
      <c r="G3" s="482">
        <f>F3+1</f>
        <v>201311</v>
      </c>
      <c r="H3" s="482">
        <f>G3+1</f>
        <v>201312</v>
      </c>
      <c r="I3" s="482">
        <v>201401</v>
      </c>
      <c r="J3" s="482">
        <v>201402</v>
      </c>
      <c r="K3" s="482">
        <v>201403</v>
      </c>
      <c r="L3" s="482">
        <v>201404</v>
      </c>
      <c r="M3" s="482">
        <v>201405</v>
      </c>
      <c r="N3" s="482">
        <v>201406</v>
      </c>
      <c r="O3" s="482">
        <v>201407</v>
      </c>
      <c r="P3" s="482">
        <v>201408</v>
      </c>
      <c r="Q3" s="482">
        <v>201409</v>
      </c>
      <c r="R3" s="482">
        <v>201410</v>
      </c>
      <c r="S3" s="482">
        <v>201411</v>
      </c>
      <c r="T3" s="482">
        <v>201412</v>
      </c>
      <c r="U3" s="482">
        <v>201501</v>
      </c>
      <c r="V3" s="482">
        <f t="shared" ref="V3" si="0">U3+1</f>
        <v>201502</v>
      </c>
      <c r="W3" s="482">
        <f t="shared" ref="W3" si="1">V3+1</f>
        <v>201503</v>
      </c>
      <c r="X3" s="482">
        <f t="shared" ref="X3" si="2">W3+1</f>
        <v>201504</v>
      </c>
      <c r="Y3" s="482">
        <f t="shared" ref="Y3" si="3">X3+1</f>
        <v>201505</v>
      </c>
      <c r="Z3" s="482">
        <f t="shared" ref="Z3" si="4">Y3+1</f>
        <v>201506</v>
      </c>
      <c r="AA3" s="482">
        <f t="shared" ref="AA3" si="5">Z3+1</f>
        <v>201507</v>
      </c>
      <c r="AB3" s="482">
        <f t="shared" ref="AB3" si="6">AA3+1</f>
        <v>201508</v>
      </c>
      <c r="AC3" s="482">
        <f t="shared" ref="AC3" si="7">AB3+1</f>
        <v>201509</v>
      </c>
      <c r="AD3" s="482">
        <f t="shared" ref="AD3" si="8">AC3+1</f>
        <v>201510</v>
      </c>
      <c r="AE3" s="482">
        <f>AD3+1</f>
        <v>201511</v>
      </c>
      <c r="AF3" s="482">
        <f>AE3+1</f>
        <v>201512</v>
      </c>
      <c r="AG3" s="482">
        <v>201601</v>
      </c>
      <c r="AH3" s="482">
        <f>AG3+1</f>
        <v>201602</v>
      </c>
      <c r="AI3" s="482">
        <f t="shared" ref="AI3:AQ3" si="9">AH3+1</f>
        <v>201603</v>
      </c>
      <c r="AJ3" s="482">
        <f t="shared" si="9"/>
        <v>201604</v>
      </c>
      <c r="AK3" s="482">
        <f t="shared" si="9"/>
        <v>201605</v>
      </c>
      <c r="AL3" s="482">
        <f t="shared" si="9"/>
        <v>201606</v>
      </c>
      <c r="AM3" s="482">
        <f>AL3+1</f>
        <v>201607</v>
      </c>
      <c r="AN3" s="482">
        <f t="shared" si="9"/>
        <v>201608</v>
      </c>
      <c r="AO3" s="482">
        <f t="shared" si="9"/>
        <v>201609</v>
      </c>
      <c r="AP3" s="482">
        <f t="shared" si="9"/>
        <v>201610</v>
      </c>
      <c r="AQ3" s="482">
        <f t="shared" si="9"/>
        <v>201611</v>
      </c>
      <c r="AR3" s="482">
        <f>AQ3+1</f>
        <v>201612</v>
      </c>
      <c r="AS3" s="482">
        <v>201701</v>
      </c>
      <c r="AT3" s="482">
        <f>AS3+1</f>
        <v>201702</v>
      </c>
      <c r="AU3" s="482">
        <f t="shared" ref="AU3" si="10">AT3+1</f>
        <v>201703</v>
      </c>
      <c r="AV3" s="482">
        <f t="shared" ref="AV3" si="11">AU3+1</f>
        <v>201704</v>
      </c>
      <c r="AW3" s="482">
        <f t="shared" ref="AW3" si="12">AV3+1</f>
        <v>201705</v>
      </c>
      <c r="AX3" s="482">
        <f t="shared" ref="AX3" si="13">AW3+1</f>
        <v>201706</v>
      </c>
      <c r="AY3" s="482">
        <f>AX3+1</f>
        <v>201707</v>
      </c>
      <c r="AZ3" s="482">
        <f t="shared" ref="AZ3" si="14">AY3+1</f>
        <v>201708</v>
      </c>
      <c r="BA3" s="482">
        <f t="shared" ref="BA3" si="15">AZ3+1</f>
        <v>201709</v>
      </c>
      <c r="BB3" s="482">
        <f t="shared" ref="BB3" si="16">BA3+1</f>
        <v>201710</v>
      </c>
      <c r="BC3" s="482">
        <f t="shared" ref="BC3" si="17">BB3+1</f>
        <v>201711</v>
      </c>
      <c r="BD3" s="482">
        <f>BC3+1</f>
        <v>201712</v>
      </c>
      <c r="BE3" s="569"/>
      <c r="BG3" s="482"/>
    </row>
    <row r="4" spans="1:65" s="481" customFormat="1" ht="16.5" thickBot="1">
      <c r="B4" s="483" t="s">
        <v>253</v>
      </c>
      <c r="C4" s="480"/>
      <c r="E4" s="486">
        <v>3.2500000000000001E-2</v>
      </c>
      <c r="F4" s="486">
        <v>3.2500000000000001E-2</v>
      </c>
      <c r="G4" s="486">
        <v>3.2500000000000001E-2</v>
      </c>
      <c r="H4" s="486">
        <v>3.2500000000000001E-2</v>
      </c>
      <c r="I4" s="486">
        <v>3.2500000000000001E-2</v>
      </c>
      <c r="J4" s="486">
        <v>3.2500000000000001E-2</v>
      </c>
      <c r="K4" s="486">
        <v>3.2500000000000001E-2</v>
      </c>
      <c r="L4" s="486">
        <v>3.2500000000000001E-2</v>
      </c>
      <c r="M4" s="486">
        <v>3.2500000000000001E-2</v>
      </c>
      <c r="N4" s="486">
        <v>3.2500000000000001E-2</v>
      </c>
      <c r="O4" s="486">
        <v>3.2500000000000001E-2</v>
      </c>
      <c r="P4" s="486">
        <v>3.2500000000000001E-2</v>
      </c>
      <c r="Q4" s="486">
        <v>3.2500000000000001E-2</v>
      </c>
      <c r="R4" s="486">
        <v>3.2500000000000001E-2</v>
      </c>
      <c r="S4" s="486">
        <v>3.2500000000000001E-2</v>
      </c>
      <c r="T4" s="486">
        <v>3.2500000000000001E-2</v>
      </c>
      <c r="U4" s="486">
        <v>3.2500000000000001E-2</v>
      </c>
      <c r="V4" s="486">
        <v>3.2500000000000001E-2</v>
      </c>
      <c r="W4" s="486">
        <v>3.2500000000000001E-2</v>
      </c>
      <c r="X4" s="486">
        <v>3.2500000000000001E-2</v>
      </c>
      <c r="Y4" s="486">
        <v>3.2500000000000001E-2</v>
      </c>
      <c r="Z4" s="486">
        <v>3.2500000000000001E-2</v>
      </c>
      <c r="AA4" s="486">
        <v>3.2500000000000001E-2</v>
      </c>
      <c r="AB4" s="486">
        <v>3.2500000000000001E-2</v>
      </c>
      <c r="AC4" s="486">
        <v>3.2500000000000001E-2</v>
      </c>
      <c r="AD4" s="486">
        <v>3.2500000000000001E-2</v>
      </c>
      <c r="AE4" s="486">
        <v>3.2500000000000001E-2</v>
      </c>
      <c r="AF4" s="486">
        <v>3.2500000000000001E-2</v>
      </c>
      <c r="AG4" s="486">
        <v>3.2500000000000001E-2</v>
      </c>
      <c r="AH4" s="486">
        <v>3.2500000000000001E-2</v>
      </c>
      <c r="AI4" s="486">
        <v>3.2500000000000001E-2</v>
      </c>
      <c r="AJ4" s="486">
        <v>3.4599999999999999E-2</v>
      </c>
      <c r="AK4" s="486">
        <v>3.4599999999999999E-2</v>
      </c>
      <c r="AL4" s="486">
        <v>3.4599999999999999E-2</v>
      </c>
      <c r="AM4" s="486">
        <v>3.5000000000000003E-2</v>
      </c>
      <c r="AN4" s="575">
        <v>3.5000000000000003E-2</v>
      </c>
      <c r="AO4" s="486">
        <v>3.5000000000000003E-2</v>
      </c>
      <c r="AP4" s="486">
        <v>3.5000000000000003E-2</v>
      </c>
      <c r="AQ4" s="486">
        <v>3.5000000000000003E-2</v>
      </c>
      <c r="AR4" s="486">
        <v>3.5000000000000003E-2</v>
      </c>
      <c r="AS4" s="598">
        <v>3.5000000000000003E-2</v>
      </c>
      <c r="AT4" s="598">
        <v>3.5000000000000003E-2</v>
      </c>
      <c r="AU4" s="598">
        <v>3.5000000000000003E-2</v>
      </c>
      <c r="AV4" s="598">
        <v>3.7100000000000001E-2</v>
      </c>
      <c r="AW4" s="598">
        <v>3.7100000000000001E-2</v>
      </c>
      <c r="AX4" s="598">
        <v>3.7100000000000001E-2</v>
      </c>
      <c r="AY4" s="598">
        <v>3.9600000000000003E-2</v>
      </c>
      <c r="AZ4" s="598">
        <v>3.9600000000000003E-2</v>
      </c>
      <c r="BA4" s="598">
        <v>3.9600000000000003E-2</v>
      </c>
      <c r="BB4" s="598">
        <v>4.2099999999999999E-2</v>
      </c>
      <c r="BC4" s="598">
        <v>4.2099999999999999E-2</v>
      </c>
      <c r="BD4" s="598">
        <v>4.2099999999999999E-2</v>
      </c>
      <c r="BE4" s="569"/>
      <c r="BF4" s="539">
        <v>201712</v>
      </c>
      <c r="BG4" s="522"/>
      <c r="BH4" s="510"/>
      <c r="BI4" s="510"/>
      <c r="BJ4" s="510"/>
      <c r="BK4" s="511"/>
    </row>
    <row r="5" spans="1:65">
      <c r="B5" s="479" t="s">
        <v>250</v>
      </c>
      <c r="E5" s="480">
        <v>2497021.39</v>
      </c>
      <c r="F5" s="480">
        <f>E13</f>
        <v>2712780.2600000002</v>
      </c>
      <c r="G5" s="480">
        <f>F13</f>
        <v>2255013.9900000002</v>
      </c>
      <c r="H5" s="480">
        <f>G13</f>
        <v>-33498.738666789999</v>
      </c>
      <c r="I5" s="480">
        <v>-4220307.8686667895</v>
      </c>
      <c r="J5" s="480">
        <v>-4984433.4563877899</v>
      </c>
      <c r="K5" s="480">
        <v>-5871867.3473837869</v>
      </c>
      <c r="L5" s="480">
        <v>-5287493.0298517896</v>
      </c>
      <c r="M5" s="480">
        <v>-4882582.0171147902</v>
      </c>
      <c r="N5" s="480">
        <v>-4072260.114518791</v>
      </c>
      <c r="O5" s="480">
        <v>-3063910.5457287901</v>
      </c>
      <c r="P5" s="480">
        <v>-1998209.0562817894</v>
      </c>
      <c r="Q5" s="480">
        <v>-1241540.0398927876</v>
      </c>
      <c r="R5" s="480">
        <v>-752741.83775978826</v>
      </c>
      <c r="S5" s="480">
        <v>-587853.14358878916</v>
      </c>
      <c r="T5" s="480">
        <v>1779828.4686352164</v>
      </c>
      <c r="U5" s="480">
        <v>-165690.83250377711</v>
      </c>
      <c r="V5" s="480">
        <v>-1154882.2995837801</v>
      </c>
      <c r="W5" s="480">
        <v>-1694440.0214187815</v>
      </c>
      <c r="X5" s="480">
        <v>-683405.33395377884</v>
      </c>
      <c r="Y5" s="480">
        <v>-2769396.4708657796</v>
      </c>
      <c r="Z5" s="480">
        <v>-2940906.6891037785</v>
      </c>
      <c r="AA5" s="480">
        <v>-3112721.2246137792</v>
      </c>
      <c r="AB5" s="480">
        <v>-3464489.8670317773</v>
      </c>
      <c r="AC5" s="480">
        <v>-3555298.2266717753</v>
      </c>
      <c r="AD5" s="480">
        <v>-4755858.0107337767</v>
      </c>
      <c r="AE5" s="480">
        <v>-5900360.3440987766</v>
      </c>
      <c r="AF5" s="480">
        <f>AE13</f>
        <v>-4407824.1695987741</v>
      </c>
      <c r="AG5" s="480">
        <f t="shared" ref="AG5:AR5" si="18">AF13</f>
        <v>-6508323.8685397729</v>
      </c>
      <c r="AH5" s="480">
        <f t="shared" si="18"/>
        <v>-8439847.1132167727</v>
      </c>
      <c r="AI5" s="480">
        <f t="shared" si="18"/>
        <v>-9264796.9494047705</v>
      </c>
      <c r="AJ5" s="480">
        <f t="shared" si="18"/>
        <v>-10398819.535470769</v>
      </c>
      <c r="AK5" s="480">
        <f t="shared" si="18"/>
        <v>-12153304.785960769</v>
      </c>
      <c r="AL5" s="480">
        <f t="shared" si="18"/>
        <v>-12778894.072104771</v>
      </c>
      <c r="AM5" s="480">
        <f>AL13</f>
        <v>-14182183.944992768</v>
      </c>
      <c r="AN5" s="480">
        <f t="shared" si="18"/>
        <v>-15130761.40771677</v>
      </c>
      <c r="AO5" s="480">
        <f>AN13</f>
        <v>-15660034.00335677</v>
      </c>
      <c r="AP5" s="480">
        <f t="shared" si="18"/>
        <v>-16306032.832939774</v>
      </c>
      <c r="AQ5" s="480">
        <f>AP13</f>
        <v>-16534597.329101773</v>
      </c>
      <c r="AR5" s="480">
        <f t="shared" si="18"/>
        <v>-3075004.5709557864</v>
      </c>
      <c r="AS5" s="480">
        <f>AR13</f>
        <v>-6818269.0378097855</v>
      </c>
      <c r="AT5" s="480">
        <f>AS13</f>
        <v>-10248016.525328787</v>
      </c>
      <c r="AU5" s="480">
        <f>AT13</f>
        <v>-12338677.191237787</v>
      </c>
      <c r="AV5" s="480">
        <f t="shared" ref="AV5" si="19">AU13</f>
        <v>-13990367.081666788</v>
      </c>
      <c r="AW5" s="554">
        <f t="shared" ref="AW5" si="20">AV13</f>
        <v>-15173451.409781789</v>
      </c>
      <c r="AX5" s="480">
        <f t="shared" ref="AX5" si="21">AW13</f>
        <v>-15098116.96234579</v>
      </c>
      <c r="AY5" s="480">
        <f>AX13</f>
        <v>-14771177.38731979</v>
      </c>
      <c r="AZ5" s="554">
        <f t="shared" ref="AZ5" si="22">AY13</f>
        <v>-15909772.702550791</v>
      </c>
      <c r="BA5" s="480">
        <f>AZ13</f>
        <v>-16977268.897435792</v>
      </c>
      <c r="BB5" s="480">
        <f t="shared" ref="BB5" si="23">BA13</f>
        <v>-18962414.798894793</v>
      </c>
      <c r="BC5" s="480">
        <f>BB13</f>
        <v>-21954910.563472789</v>
      </c>
      <c r="BD5" s="480">
        <f t="shared" ref="BD5" si="24">BC13</f>
        <v>-8189815.5396147836</v>
      </c>
      <c r="BF5" s="494" t="s">
        <v>285</v>
      </c>
      <c r="BG5" s="523">
        <v>419600</v>
      </c>
      <c r="BH5" s="495" t="s">
        <v>281</v>
      </c>
      <c r="BI5" s="495" t="s">
        <v>282</v>
      </c>
      <c r="BJ5" s="515">
        <v>0</v>
      </c>
      <c r="BK5" s="516">
        <f>IF(SUMIF(AG3:BD3,BF4,AG8:BD8)&gt;0,SUMIF(AG3:BD3,BF4,AG8:BD8),0)</f>
        <v>0</v>
      </c>
      <c r="BM5" s="480" t="str">
        <f>_xll.GLW_Segment_Description(BG5,2,2)</f>
        <v>INTEREST ON ENERGY DEFERRALS</v>
      </c>
    </row>
    <row r="6" spans="1:65">
      <c r="B6" s="479" t="s">
        <v>310</v>
      </c>
      <c r="C6" s="480">
        <f t="shared" ref="C6:C12" si="25">SUM(AG6:AR6)</f>
        <v>-13172077.178500999</v>
      </c>
      <c r="D6" s="480">
        <f>-2523837.34+SUM(E6:AF6,E9:AE9)</f>
        <v>-7550270.0734567707</v>
      </c>
      <c r="E6" s="480">
        <v>-814688.69</v>
      </c>
      <c r="F6" s="480">
        <v>-726195.14</v>
      </c>
      <c r="G6" s="480">
        <v>-363626.87</v>
      </c>
      <c r="H6" s="480">
        <v>-1349424.41</v>
      </c>
      <c r="I6" s="480">
        <v>780719.13050599955</v>
      </c>
      <c r="J6" s="480">
        <v>666007.07733000256</v>
      </c>
      <c r="K6" s="480">
        <v>1165260.4529029969</v>
      </c>
      <c r="L6" s="480">
        <v>286815.84260799922</v>
      </c>
      <c r="M6" s="480">
        <v>-9385.0491200005636</v>
      </c>
      <c r="N6" s="480">
        <v>26985.713581000688</v>
      </c>
      <c r="O6" s="480">
        <v>-21317.404686999042</v>
      </c>
      <c r="P6" s="480">
        <v>-349090.61823999789</v>
      </c>
      <c r="Q6" s="480">
        <v>-532274.93525400059</v>
      </c>
      <c r="R6" s="480">
        <v>-727764.02710000053</v>
      </c>
      <c r="S6" s="480">
        <v>-2016344.4799999939</v>
      </c>
      <c r="T6" s="480">
        <v>-533760.94830399379</v>
      </c>
      <c r="U6" s="480">
        <v>688681.53940400109</v>
      </c>
      <c r="V6" s="480">
        <v>188634.08427399769</v>
      </c>
      <c r="W6" s="480">
        <v>1135107.4385570027</v>
      </c>
      <c r="X6" s="480">
        <v>-2310603.7085020011</v>
      </c>
      <c r="Y6" s="480">
        <v>-1026688.9535339989</v>
      </c>
      <c r="Z6" s="480">
        <v>-1511176.335440001</v>
      </c>
      <c r="AA6" s="579">
        <v>-1483614.197077998</v>
      </c>
      <c r="AB6" s="579">
        <v>-1288286.6270379988</v>
      </c>
      <c r="AC6" s="579">
        <v>-2088616.5970920017</v>
      </c>
      <c r="AD6" s="579">
        <v>-1862270.5500129997</v>
      </c>
      <c r="AE6" s="579">
        <v>-294955.25549999811</v>
      </c>
      <c r="AF6" s="579">
        <v>-532526.84243099857</v>
      </c>
      <c r="AG6" s="579">
        <v>-173856.58066100068</v>
      </c>
      <c r="AH6" s="579">
        <v>105835.91384800058</v>
      </c>
      <c r="AI6" s="579">
        <v>-604740.2805199977</v>
      </c>
      <c r="AJ6" s="579">
        <v>-2253526.4287800011</v>
      </c>
      <c r="AK6" s="579">
        <v>-1368171.1781060011</v>
      </c>
      <c r="AL6" s="579">
        <v>-2304890.4720699973</v>
      </c>
      <c r="AM6" s="624">
        <v>-1924994.8295020012</v>
      </c>
      <c r="AN6" s="624">
        <v>-1510253.5672820001</v>
      </c>
      <c r="AO6" s="624">
        <v>-1421303.766953001</v>
      </c>
      <c r="AP6" s="624">
        <v>-389419.70859999908</v>
      </c>
      <c r="AQ6" s="624">
        <v>-192874.3790970007</v>
      </c>
      <c r="AR6" s="624">
        <v>-1133881.9007779993</v>
      </c>
      <c r="AS6" s="624">
        <f>Jan!$H$55</f>
        <v>-491376.17008000147</v>
      </c>
      <c r="AT6" s="624">
        <f>Feb!$H$55</f>
        <v>-201411.09328799881</v>
      </c>
      <c r="AU6" s="624">
        <f>Mar!$H$55</f>
        <v>-696753.01067200163</v>
      </c>
      <c r="AV6" s="624">
        <f>Apr!$H$55</f>
        <v>-912928.80422000168</v>
      </c>
      <c r="AW6" s="624">
        <f>May!$H$55</f>
        <v>-482101.19766700035</v>
      </c>
      <c r="AX6" s="624">
        <f>Jun!$H$55</f>
        <v>-580245.48787200102</v>
      </c>
      <c r="AY6" s="554">
        <f>Jul!$H$55</f>
        <v>-2217856.2503400007</v>
      </c>
      <c r="AZ6" s="554">
        <f>Aug!$H$55</f>
        <v>-2108794.2989039999</v>
      </c>
      <c r="BA6" s="554">
        <f>Sep!$H$55</f>
        <v>-2779163.5886399997</v>
      </c>
      <c r="BB6" s="554">
        <f>Oct!$H$55</f>
        <v>-2935887.7038159985</v>
      </c>
      <c r="BC6" s="554">
        <f>Nov!$H$55</f>
        <v>-386463.99829400051</v>
      </c>
      <c r="BD6" s="480">
        <f>Dec!$H$55</f>
        <v>-1205525.6512180055</v>
      </c>
      <c r="BF6" s="496" t="s">
        <v>286</v>
      </c>
      <c r="BG6" s="524">
        <v>431600</v>
      </c>
      <c r="BH6" s="356" t="s">
        <v>281</v>
      </c>
      <c r="BI6" s="356" t="s">
        <v>282</v>
      </c>
      <c r="BJ6" s="379">
        <f>IF(SUMIF(AG3:BD3,BF4,AG8:BD8)&lt;0,-SUMIF(AG3:BD3,BF4,AG8:BD8),0)</f>
        <v>33791.47</v>
      </c>
      <c r="BK6" s="497">
        <v>0</v>
      </c>
      <c r="BM6" s="480" t="str">
        <f>_xll.GLW_Segment_Description(BG6,2,2)</f>
        <v>INTEREST EXPENSE ENERGY DEFERRALS</v>
      </c>
    </row>
    <row r="7" spans="1:65">
      <c r="B7" s="479" t="s">
        <v>251</v>
      </c>
      <c r="C7" s="480">
        <f t="shared" si="25"/>
        <v>-937925.71114799753</v>
      </c>
      <c r="D7" s="480">
        <f>5059705.37+SUM(E7:AF7,E10:AE10)</f>
        <v>1110916.7149170018</v>
      </c>
      <c r="E7" s="480">
        <v>1023402.16</v>
      </c>
      <c r="F7" s="480">
        <v>261710.75</v>
      </c>
      <c r="G7" s="480">
        <v>-780538.84</v>
      </c>
      <c r="H7" s="480">
        <v>-1676402.67</v>
      </c>
      <c r="I7" s="480">
        <v>-1532396.8182269996</v>
      </c>
      <c r="J7" s="480">
        <v>-1538759.6083259992</v>
      </c>
      <c r="K7" s="480">
        <v>-565794.93537099916</v>
      </c>
      <c r="L7" s="480">
        <v>131848.5201290003</v>
      </c>
      <c r="M7" s="480">
        <v>831816.90171599982</v>
      </c>
      <c r="N7" s="480">
        <v>991014.35520899994</v>
      </c>
      <c r="O7" s="480">
        <v>1093864.5741339996</v>
      </c>
      <c r="P7" s="480">
        <v>1110140.8646289995</v>
      </c>
      <c r="Q7" s="480">
        <v>1023770.0773869999</v>
      </c>
      <c r="R7" s="480">
        <v>894465.65127099957</v>
      </c>
      <c r="S7" s="480">
        <v>1314360.0922239996</v>
      </c>
      <c r="T7" s="480">
        <v>-1413941.2128349997</v>
      </c>
      <c r="U7" s="480">
        <v>-1606244.3564840001</v>
      </c>
      <c r="V7" s="480">
        <v>-724338.56610899908</v>
      </c>
      <c r="W7" s="480">
        <v>-120857.11109200004</v>
      </c>
      <c r="X7" s="480">
        <v>229663.83159000031</v>
      </c>
      <c r="Y7" s="480">
        <v>862900.97529599979</v>
      </c>
      <c r="Z7" s="480">
        <v>1347548.3399299998</v>
      </c>
      <c r="AA7" s="580">
        <v>1140740.15466</v>
      </c>
      <c r="AB7" s="580">
        <v>1206971.3773980001</v>
      </c>
      <c r="AC7" s="580">
        <v>899296.28302999982</v>
      </c>
      <c r="AD7" s="580">
        <v>732178.99664799974</v>
      </c>
      <c r="AE7" s="580">
        <v>-1315498.72</v>
      </c>
      <c r="AF7" s="580">
        <v>-1552771.3765099996</v>
      </c>
      <c r="AG7" s="580">
        <v>-1737451.7240159996</v>
      </c>
      <c r="AH7" s="580">
        <v>-906843.13003599993</v>
      </c>
      <c r="AI7" s="580">
        <v>-502690.50554600032</v>
      </c>
      <c r="AJ7" s="580">
        <v>531507.01829000015</v>
      </c>
      <c r="AK7" s="580">
        <v>778474.07196199952</v>
      </c>
      <c r="AL7" s="580">
        <v>940413.5291820009</v>
      </c>
      <c r="AM7" s="579">
        <v>1019103.1667780007</v>
      </c>
      <c r="AN7" s="579">
        <v>1025818.8216420002</v>
      </c>
      <c r="AO7" s="579">
        <v>821854.23736999987</v>
      </c>
      <c r="AP7" s="579">
        <v>208678.05243800068</v>
      </c>
      <c r="AQ7" s="579">
        <v>-521813.363136</v>
      </c>
      <c r="AR7" s="579">
        <v>-2594975.8860759991</v>
      </c>
      <c r="AS7" s="579">
        <f>Jan!$I$55</f>
        <v>-2913519.2274390003</v>
      </c>
      <c r="AT7" s="579">
        <f>Feb!$I$55</f>
        <v>-1856358.6126210007</v>
      </c>
      <c r="AU7" s="579">
        <f>Mar!$I$55</f>
        <v>-916596.2697570005</v>
      </c>
      <c r="AV7" s="579">
        <f>Apr!$I$55</f>
        <v>-225142.70389499958</v>
      </c>
      <c r="AW7" s="579">
        <f>May!$I$55</f>
        <v>604158.21510300005</v>
      </c>
      <c r="AX7" s="579">
        <f>Jun!$I$55</f>
        <v>953286.75289800053</v>
      </c>
      <c r="AY7" s="554">
        <f>Jul!$I$55</f>
        <v>1129801.1151090004</v>
      </c>
      <c r="AZ7" s="554">
        <f>Aug!$I$55</f>
        <v>1095472.3340190002</v>
      </c>
      <c r="BA7" s="554">
        <f>Sep!$I$55</f>
        <v>853220.47718099994</v>
      </c>
      <c r="BB7" s="554">
        <f>Oct!$I$55</f>
        <v>15042.059238000307</v>
      </c>
      <c r="BC7" s="554">
        <f>Nov!$I$55</f>
        <v>-592732.92055399995</v>
      </c>
      <c r="BD7" s="480">
        <f>Dec!$I$55</f>
        <v>-1678391.1285159995</v>
      </c>
      <c r="BF7" s="496" t="s">
        <v>287</v>
      </c>
      <c r="BG7" s="524">
        <v>191010</v>
      </c>
      <c r="BH7" s="356" t="s">
        <v>281</v>
      </c>
      <c r="BI7" s="356" t="s">
        <v>282</v>
      </c>
      <c r="BJ7" s="379">
        <f>IF((SUMIF(AG3:BD3,BF4,AG6:BD6)+SUMIF(AG3:BD3,BF4,AG7:BD7)+SUMIF(AG3:BD3,BF4,AG8:BD8))&gt;0,(SUMIF(AG3:BD3,BF4,AG6:BD6)+SUMIF(AG3:BD3,BF4,AG7:BD7)+SUMIF(AG3:BD3,BF4,AG8:BD8)),0)</f>
        <v>0</v>
      </c>
      <c r="BK7" s="497">
        <f>IF((SUMIF(AG3:BD3,BF4,AG6:BD6)+SUMIF(AG3:BD3,BF4,AG7:BD7)+SUMIF(AG3:BD3,BF4,AG8:BD8))&lt;0,-(SUMIF(AG3:BD3,BF4,AG6:BD6)+SUMIF(AG3:BD3,BF4,AG7:BD7)++SUMIF(AG3:BD3,BF4,AG8:BD8)),0)</f>
        <v>2917708.2497340054</v>
      </c>
      <c r="BM7" s="480" t="str">
        <f>_xll.GLW_Segment_Description(BG7,2,2)</f>
        <v>CURR UNRECOV PGA DEFERRED</v>
      </c>
    </row>
    <row r="8" spans="1:65">
      <c r="B8" s="479" t="s">
        <v>254</v>
      </c>
      <c r="C8" s="480">
        <f t="shared" si="25"/>
        <v>-382126.24</v>
      </c>
      <c r="D8" s="480">
        <f>-38846.64+SUM(E8:AF8,E11:AE11)+X12</f>
        <v>-68530.340000000011</v>
      </c>
      <c r="E8" s="480">
        <f>ROUND(((E5+E9+E10+E11)*(E4/12))+((SUM(E6:E7)/2)*(E4/12)),2)</f>
        <v>7045.4</v>
      </c>
      <c r="F8" s="480">
        <f>ROUND(((F5+F9+F10+F11)*(F4/12))+((SUM(F6:F7)/2)*(F4/12)),2)</f>
        <v>6718.12</v>
      </c>
      <c r="G8" s="480">
        <f>ROUND(((G5+G9+G10+G11)*(G4/12))+((SUM(G6:G7)/2)*(G4/12)),2)</f>
        <v>1454.73</v>
      </c>
      <c r="H8" s="532">
        <f t="shared" ref="H8" si="26">ROUND(((H5)*(H4/12))+((SUM(H6:H7)/2)*(H4/12)),2)</f>
        <v>-4188.2</v>
      </c>
      <c r="I8" s="487">
        <v>-12447.9</v>
      </c>
      <c r="J8" s="487">
        <v>-14681.36</v>
      </c>
      <c r="K8" s="487">
        <v>-15091.2</v>
      </c>
      <c r="L8" s="487">
        <v>-13753.35</v>
      </c>
      <c r="M8" s="487">
        <v>-12109.95</v>
      </c>
      <c r="N8" s="487">
        <v>-9650.5</v>
      </c>
      <c r="O8" s="487">
        <v>-6845.68</v>
      </c>
      <c r="P8" s="487">
        <v>-4381.2299999999996</v>
      </c>
      <c r="Q8" s="487">
        <v>-2696.94</v>
      </c>
      <c r="R8" s="487">
        <v>-1812.93</v>
      </c>
      <c r="S8" s="550">
        <v>5755.39</v>
      </c>
      <c r="T8" s="487">
        <v>2182.86</v>
      </c>
      <c r="U8" s="487">
        <v>-1691.28</v>
      </c>
      <c r="V8" s="487">
        <v>-3853.24</v>
      </c>
      <c r="W8" s="487">
        <v>-3215.64</v>
      </c>
      <c r="X8" s="487">
        <v>-4669.8599999999997</v>
      </c>
      <c r="Y8" s="487">
        <v>-7722.24</v>
      </c>
      <c r="Z8" s="487">
        <v>-8186.54</v>
      </c>
      <c r="AA8" s="581">
        <v>-8894.6</v>
      </c>
      <c r="AB8" s="581">
        <v>-9493.11</v>
      </c>
      <c r="AC8" s="581">
        <v>-11239.47</v>
      </c>
      <c r="AD8" s="581">
        <v>-14410.78</v>
      </c>
      <c r="AE8" s="581">
        <v>-9730.68</v>
      </c>
      <c r="AF8" s="581">
        <f>ROUND(((AF5)*(AF4/12))+((SUM(AF6:AF7)/2)*(AF4/12)),2)</f>
        <v>-14761.7</v>
      </c>
      <c r="AG8" s="581">
        <v>-20214.939999999999</v>
      </c>
      <c r="AH8" s="581">
        <v>-23942.62</v>
      </c>
      <c r="AI8" s="581">
        <v>-26591.8</v>
      </c>
      <c r="AJ8" s="581">
        <v>-32465.84</v>
      </c>
      <c r="AK8" s="581">
        <v>-35892.18</v>
      </c>
      <c r="AL8" s="581">
        <v>-38812.93</v>
      </c>
      <c r="AM8" s="628">
        <v>-42685.8</v>
      </c>
      <c r="AN8" s="628">
        <v>-44837.85</v>
      </c>
      <c r="AO8" s="628">
        <v>-46549.3</v>
      </c>
      <c r="AP8" s="628">
        <v>-47822.84</v>
      </c>
      <c r="AQ8" s="628">
        <f>ROUND(((AQ5+AQ9+AQ10+AQ11)*(AQ4/12))+((SUM(AQ6:AQ7)/2)*(AQ4/12)),2)</f>
        <v>-7903.46</v>
      </c>
      <c r="AR8" s="628">
        <v>-14406.68</v>
      </c>
      <c r="AS8" s="628">
        <f t="shared" ref="AS8:AW8" si="27">ROUND(((AS5)*(AS4/12))+((SUM(AS6:AS7)/2)*(AS4/12)),2)</f>
        <v>-24852.09</v>
      </c>
      <c r="AT8" s="628">
        <f t="shared" si="27"/>
        <v>-32890.959999999999</v>
      </c>
      <c r="AU8" s="628">
        <f t="shared" si="27"/>
        <v>-38340.61</v>
      </c>
      <c r="AV8" s="628">
        <f t="shared" si="27"/>
        <v>-45012.82</v>
      </c>
      <c r="AW8" s="628">
        <f t="shared" si="27"/>
        <v>-46722.57</v>
      </c>
      <c r="AX8" s="628">
        <f>ROUND(((AX5)*(AX4/12))+((SUM(AX6:AX7)/2)*(AX4/12)),2)</f>
        <v>-46101.69</v>
      </c>
      <c r="AY8" s="551">
        <f t="shared" ref="AY8:BA8" si="28">ROUND(((AY5)*(AY4/12))+((SUM(AY6:AY7)/2)*(AY4/12)),2)</f>
        <v>-50540.18</v>
      </c>
      <c r="AZ8" s="551">
        <f>ROUND(((AZ5)*(AZ4/12))+((SUM(AZ6:AZ7)/2)*(AZ4/12)),2)</f>
        <v>-54174.23</v>
      </c>
      <c r="BA8" s="551">
        <f t="shared" si="28"/>
        <v>-59202.79</v>
      </c>
      <c r="BB8" s="551">
        <f>ROUND(((BB5)*(BB4/12))+((SUM(BB6:BB7)/2)*(BB4/12)),2)</f>
        <v>-71650.12</v>
      </c>
      <c r="BC8" s="551">
        <f>ROUND(((BC5+BC9+BC10+BC11)*(BC4/12))+((SUM(BC6:BC7)/2)*(BC4/12)),2)</f>
        <v>-26920.61</v>
      </c>
      <c r="BD8" s="487">
        <f>ROUND(((BD5)*(BD4/12))+((SUM(BD6:BD7)/2)*(BD4/12)),2)</f>
        <v>-33791.47</v>
      </c>
      <c r="BF8" s="496" t="s">
        <v>288</v>
      </c>
      <c r="BG8" s="524">
        <v>805120</v>
      </c>
      <c r="BH8" s="356" t="s">
        <v>281</v>
      </c>
      <c r="BI8" s="356" t="s">
        <v>282</v>
      </c>
      <c r="BJ8" s="379">
        <f>IF((SUMIF(AG3:BD3,BF4,AG6:BD6)+SUMIF(AG3:BD3,BF4,AG7:BD7))&lt;0,-(SUMIF(AG3:BD3,BF4,AG6:BD6)+SUMIF(AG3:BD3,BF4,AG7:BD7)),0)</f>
        <v>2883916.7797340052</v>
      </c>
      <c r="BK8" s="497">
        <f>IF((SUMIF(AG3:BD3,BF4,AG6:BD6)+SUMIF(AG3:BD3,BF4,AG7:BD7))&gt;0,(SUMIF(AG3:BD3,BF4,AG6:BD6)+SUMIF(AG3:BD3,BF4,AG7:BD7)),0)</f>
        <v>0</v>
      </c>
      <c r="BM8" s="480" t="str">
        <f>_xll.GLW_Segment_Description(BG8,2,2)</f>
        <v>DEFER CURRENT UNRECOVERED GAS COSTS</v>
      </c>
    </row>
    <row r="9" spans="1:65">
      <c r="B9" s="479" t="s">
        <v>258</v>
      </c>
      <c r="C9" s="480">
        <f t="shared" si="25"/>
        <v>14149619.095440991</v>
      </c>
      <c r="E9" s="480">
        <v>0</v>
      </c>
      <c r="F9" s="480">
        <v>0</v>
      </c>
      <c r="G9" s="488">
        <v>1383047.9967132099</v>
      </c>
      <c r="H9" s="480">
        <v>0</v>
      </c>
      <c r="I9" s="480">
        <v>0</v>
      </c>
      <c r="J9" s="480">
        <v>0</v>
      </c>
      <c r="K9" s="480">
        <v>0</v>
      </c>
      <c r="L9" s="480">
        <v>0</v>
      </c>
      <c r="M9" s="480">
        <v>0</v>
      </c>
      <c r="N9" s="480">
        <v>0</v>
      </c>
      <c r="O9" s="480">
        <v>0</v>
      </c>
      <c r="P9" s="480">
        <v>0</v>
      </c>
      <c r="Q9" s="480">
        <v>0</v>
      </c>
      <c r="R9" s="480">
        <v>0</v>
      </c>
      <c r="S9" s="549">
        <v>1478321.29</v>
      </c>
      <c r="T9" s="480">
        <v>0</v>
      </c>
      <c r="U9" s="480">
        <v>-69937.37</v>
      </c>
      <c r="V9" s="480">
        <v>0</v>
      </c>
      <c r="W9" s="480">
        <v>0</v>
      </c>
      <c r="X9" s="480">
        <v>0</v>
      </c>
      <c r="Y9" s="480">
        <v>0</v>
      </c>
      <c r="Z9" s="480">
        <v>0</v>
      </c>
      <c r="AA9" s="480">
        <v>0</v>
      </c>
      <c r="AB9" s="480">
        <v>0</v>
      </c>
      <c r="AC9" s="480">
        <v>0</v>
      </c>
      <c r="AD9" s="480">
        <v>0</v>
      </c>
      <c r="AE9" s="549">
        <v>7086535.71</v>
      </c>
      <c r="AF9" s="480">
        <v>0</v>
      </c>
      <c r="AG9" s="480">
        <v>0</v>
      </c>
      <c r="AH9" s="480">
        <v>0</v>
      </c>
      <c r="AI9" s="480">
        <v>0</v>
      </c>
      <c r="AJ9" s="480">
        <v>0</v>
      </c>
      <c r="AK9" s="480">
        <v>0</v>
      </c>
      <c r="AL9" s="480">
        <v>0</v>
      </c>
      <c r="AM9" s="480">
        <v>0</v>
      </c>
      <c r="AN9" s="480">
        <v>0</v>
      </c>
      <c r="AO9" s="480">
        <v>0</v>
      </c>
      <c r="AP9" s="480">
        <v>0</v>
      </c>
      <c r="AQ9" s="591">
        <f>-SUM(AA6:AL6)</f>
        <v>14149619.095440991</v>
      </c>
      <c r="AR9" s="480">
        <v>0</v>
      </c>
      <c r="AS9" s="554">
        <v>0</v>
      </c>
      <c r="AT9" s="554">
        <v>0</v>
      </c>
      <c r="AU9" s="554">
        <v>0</v>
      </c>
      <c r="AV9" s="554">
        <v>0</v>
      </c>
      <c r="AW9" s="554">
        <v>0</v>
      </c>
      <c r="AX9" s="554">
        <v>0</v>
      </c>
      <c r="AY9" s="554">
        <v>0</v>
      </c>
      <c r="AZ9" s="554">
        <v>0</v>
      </c>
      <c r="BA9" s="554">
        <v>0</v>
      </c>
      <c r="BB9" s="554">
        <v>0</v>
      </c>
      <c r="BC9" s="625">
        <f>-SUM(AM6:AX6)</f>
        <v>9937543.9160110056</v>
      </c>
      <c r="BD9" s="480">
        <v>0</v>
      </c>
      <c r="BF9" s="496" t="s">
        <v>11</v>
      </c>
      <c r="BG9" s="524">
        <v>191010</v>
      </c>
      <c r="BH9" s="356" t="s">
        <v>281</v>
      </c>
      <c r="BI9" s="356" t="s">
        <v>282</v>
      </c>
      <c r="BJ9" s="379">
        <v>0</v>
      </c>
      <c r="BK9" s="497">
        <v>0</v>
      </c>
      <c r="BM9" s="480" t="str">
        <f>_xll.GLW_Segment_Description(BG9,2,2)</f>
        <v>CURR UNRECOV PGA DEFERRED</v>
      </c>
    </row>
    <row r="10" spans="1:65" ht="16.5" thickBot="1">
      <c r="B10" s="479" t="s">
        <v>259</v>
      </c>
      <c r="C10" s="480">
        <f t="shared" si="25"/>
        <v>-213886.19506200103</v>
      </c>
      <c r="E10" s="480">
        <v>0</v>
      </c>
      <c r="F10" s="480">
        <v>0</v>
      </c>
      <c r="G10" s="488">
        <v>-2577820.6653800001</v>
      </c>
      <c r="H10" s="488">
        <v>-1111877.48</v>
      </c>
      <c r="I10" s="480">
        <v>0</v>
      </c>
      <c r="J10" s="480">
        <v>0</v>
      </c>
      <c r="K10" s="480">
        <v>0</v>
      </c>
      <c r="L10" s="480">
        <v>0</v>
      </c>
      <c r="M10" s="480">
        <v>0</v>
      </c>
      <c r="N10" s="480">
        <v>0</v>
      </c>
      <c r="O10" s="480">
        <v>0</v>
      </c>
      <c r="P10" s="480">
        <v>0</v>
      </c>
      <c r="Q10" s="480">
        <v>0</v>
      </c>
      <c r="R10" s="480">
        <v>0</v>
      </c>
      <c r="S10" s="549">
        <v>1484092.96</v>
      </c>
      <c r="T10" s="480">
        <v>0</v>
      </c>
      <c r="U10" s="480">
        <v>0</v>
      </c>
      <c r="V10" s="480">
        <v>0</v>
      </c>
      <c r="W10" s="480">
        <v>0</v>
      </c>
      <c r="X10" s="480">
        <v>0</v>
      </c>
      <c r="Y10" s="480">
        <v>0</v>
      </c>
      <c r="Z10" s="480">
        <v>0</v>
      </c>
      <c r="AA10" s="480">
        <v>0</v>
      </c>
      <c r="AB10" s="480">
        <v>0</v>
      </c>
      <c r="AC10" s="480">
        <v>0</v>
      </c>
      <c r="AD10" s="480">
        <v>0</v>
      </c>
      <c r="AE10" s="549">
        <v>-4011333.16</v>
      </c>
      <c r="AF10" s="480">
        <v>0</v>
      </c>
      <c r="AG10" s="480">
        <v>0</v>
      </c>
      <c r="AH10" s="480">
        <v>0</v>
      </c>
      <c r="AI10" s="480">
        <v>0</v>
      </c>
      <c r="AJ10" s="480">
        <v>0</v>
      </c>
      <c r="AK10" s="480">
        <v>0</v>
      </c>
      <c r="AL10" s="480">
        <v>0</v>
      </c>
      <c r="AM10" s="480">
        <v>0</v>
      </c>
      <c r="AN10" s="480">
        <v>0</v>
      </c>
      <c r="AO10" s="480">
        <v>0</v>
      </c>
      <c r="AP10" s="480">
        <v>0</v>
      </c>
      <c r="AQ10" s="592">
        <f>-SUM(AA7:AL7)-AF12</f>
        <v>-213886.19506200103</v>
      </c>
      <c r="AR10" s="480">
        <v>0</v>
      </c>
      <c r="AS10" s="554">
        <v>0</v>
      </c>
      <c r="AT10" s="554">
        <v>0</v>
      </c>
      <c r="AU10" s="554">
        <v>0</v>
      </c>
      <c r="AV10" s="554">
        <v>0</v>
      </c>
      <c r="AW10" s="554">
        <v>0</v>
      </c>
      <c r="AX10" s="554">
        <v>0</v>
      </c>
      <c r="AY10" s="554">
        <v>0</v>
      </c>
      <c r="AZ10" s="554">
        <v>0</v>
      </c>
      <c r="BA10" s="554">
        <v>0</v>
      </c>
      <c r="BB10" s="554">
        <v>0</v>
      </c>
      <c r="BC10" s="627">
        <f>-SUM(AM7:AX7)</f>
        <v>4395506.8166949991</v>
      </c>
      <c r="BD10" s="480">
        <v>0</v>
      </c>
      <c r="BF10" s="498" t="str">
        <f>BF9</f>
        <v>Tracker Transfer</v>
      </c>
      <c r="BG10" s="525">
        <f>BG43</f>
        <v>191000</v>
      </c>
      <c r="BH10" s="525" t="str">
        <f>BH43</f>
        <v>GD</v>
      </c>
      <c r="BI10" s="525" t="str">
        <f>BI43</f>
        <v>WA</v>
      </c>
      <c r="BJ10" s="499">
        <v>0</v>
      </c>
      <c r="BK10" s="517">
        <f>BJ9</f>
        <v>0</v>
      </c>
      <c r="BM10" s="480" t="str">
        <f>_xll.GLW_Segment_Description(BG10,2,2)</f>
        <v>RECOVERABLE GAS COSTS AMORTIZED</v>
      </c>
    </row>
    <row r="11" spans="1:65" ht="16.5" thickBot="1">
      <c r="B11" s="479" t="s">
        <v>260</v>
      </c>
      <c r="C11" s="480">
        <f t="shared" si="25"/>
        <v>246450.64999999997</v>
      </c>
      <c r="E11" s="480">
        <v>0</v>
      </c>
      <c r="F11" s="480">
        <v>0</v>
      </c>
      <c r="G11" s="488">
        <v>48970.92</v>
      </c>
      <c r="H11" s="488">
        <v>-44916.37</v>
      </c>
      <c r="I11" s="480">
        <v>0</v>
      </c>
      <c r="J11" s="480">
        <v>0</v>
      </c>
      <c r="K11" s="480">
        <v>0</v>
      </c>
      <c r="L11" s="480">
        <v>0</v>
      </c>
      <c r="M11" s="480">
        <v>0</v>
      </c>
      <c r="N11" s="480">
        <v>0</v>
      </c>
      <c r="O11" s="480">
        <v>0</v>
      </c>
      <c r="P11" s="480">
        <v>0</v>
      </c>
      <c r="Q11" s="480">
        <v>0</v>
      </c>
      <c r="R11" s="480">
        <v>0</v>
      </c>
      <c r="S11" s="549">
        <v>101496.36</v>
      </c>
      <c r="T11" s="480">
        <v>0</v>
      </c>
      <c r="U11" s="480">
        <v>0</v>
      </c>
      <c r="V11" s="480">
        <v>0</v>
      </c>
      <c r="W11" s="480">
        <v>0</v>
      </c>
      <c r="X11" s="480">
        <v>0</v>
      </c>
      <c r="Y11" s="480">
        <v>0</v>
      </c>
      <c r="Z11" s="480">
        <v>0</v>
      </c>
      <c r="AA11" s="480">
        <v>0</v>
      </c>
      <c r="AB11" s="480">
        <v>0</v>
      </c>
      <c r="AC11" s="480">
        <v>0</v>
      </c>
      <c r="AD11" s="480">
        <v>0</v>
      </c>
      <c r="AE11" s="549">
        <v>37518.67</v>
      </c>
      <c r="AF11" s="480">
        <v>0</v>
      </c>
      <c r="AG11" s="480">
        <v>0</v>
      </c>
      <c r="AH11" s="480">
        <v>0</v>
      </c>
      <c r="AI11" s="480">
        <v>0</v>
      </c>
      <c r="AJ11" s="480">
        <v>0</v>
      </c>
      <c r="AK11" s="480">
        <v>0</v>
      </c>
      <c r="AL11" s="480">
        <v>0</v>
      </c>
      <c r="AM11" s="480">
        <v>0</v>
      </c>
      <c r="AN11" s="480">
        <v>0</v>
      </c>
      <c r="AO11" s="480">
        <v>0</v>
      </c>
      <c r="AP11" s="480">
        <v>0</v>
      </c>
      <c r="AQ11" s="593">
        <f>-SUM(AA8:AL8)</f>
        <v>246450.64999999997</v>
      </c>
      <c r="AR11" s="480">
        <v>0</v>
      </c>
      <c r="AS11" s="554">
        <v>0</v>
      </c>
      <c r="AT11" s="554">
        <v>0</v>
      </c>
      <c r="AU11" s="554">
        <v>0</v>
      </c>
      <c r="AV11" s="554">
        <v>0</v>
      </c>
      <c r="AW11" s="554">
        <v>0</v>
      </c>
      <c r="AX11" s="554">
        <v>0</v>
      </c>
      <c r="AY11" s="554">
        <v>0</v>
      </c>
      <c r="AZ11" s="554">
        <v>0</v>
      </c>
      <c r="BA11" s="554">
        <v>0</v>
      </c>
      <c r="BB11" s="554">
        <v>0</v>
      </c>
      <c r="BC11" s="629">
        <f>-SUM(AM8:AX8)</f>
        <v>438126.67</v>
      </c>
      <c r="BD11" s="480">
        <v>0</v>
      </c>
      <c r="BF11" s="512"/>
      <c r="BG11" s="526"/>
      <c r="BH11" s="513"/>
      <c r="BI11" s="513"/>
      <c r="BJ11" s="513" t="s">
        <v>159</v>
      </c>
      <c r="BK11" s="514">
        <f>SUM(BJ5:BJ10)-SUM(BK5:BK10)</f>
        <v>0</v>
      </c>
    </row>
    <row r="12" spans="1:65">
      <c r="B12" s="479" t="s">
        <v>148</v>
      </c>
      <c r="C12" s="480">
        <f t="shared" si="25"/>
        <v>0.41</v>
      </c>
      <c r="E12" s="480">
        <v>0</v>
      </c>
      <c r="F12" s="480">
        <v>0</v>
      </c>
      <c r="G12" s="480">
        <v>0</v>
      </c>
      <c r="H12" s="480">
        <v>0</v>
      </c>
      <c r="I12" s="480">
        <v>0</v>
      </c>
      <c r="J12" s="480">
        <v>0</v>
      </c>
      <c r="K12" s="480">
        <v>0</v>
      </c>
      <c r="L12" s="480">
        <v>0</v>
      </c>
      <c r="M12" s="480">
        <v>0</v>
      </c>
      <c r="N12" s="480">
        <v>0</v>
      </c>
      <c r="O12" s="480">
        <v>0</v>
      </c>
      <c r="P12" s="480">
        <v>0</v>
      </c>
      <c r="Q12" s="480">
        <v>0</v>
      </c>
      <c r="R12" s="480">
        <v>0</v>
      </c>
      <c r="S12" s="480">
        <v>0</v>
      </c>
      <c r="T12" s="480">
        <v>0</v>
      </c>
      <c r="U12" s="480">
        <v>0</v>
      </c>
      <c r="V12" s="480">
        <v>0</v>
      </c>
      <c r="W12" s="480">
        <v>0</v>
      </c>
      <c r="X12" s="480">
        <v>-381.4</v>
      </c>
      <c r="Y12" s="480">
        <v>0</v>
      </c>
      <c r="Z12" s="480">
        <v>0</v>
      </c>
      <c r="AA12" s="480">
        <v>0</v>
      </c>
      <c r="AB12" s="480">
        <v>0</v>
      </c>
      <c r="AC12" s="480">
        <v>0</v>
      </c>
      <c r="AD12" s="480">
        <v>0</v>
      </c>
      <c r="AE12" s="549">
        <v>-0.39</v>
      </c>
      <c r="AF12" s="580">
        <f>-438.59-1.19</f>
        <v>-439.78</v>
      </c>
      <c r="AG12" s="480">
        <v>0</v>
      </c>
      <c r="AH12" s="480">
        <v>0</v>
      </c>
      <c r="AI12" s="480">
        <v>0</v>
      </c>
      <c r="AJ12" s="480">
        <v>0</v>
      </c>
      <c r="AK12" s="480">
        <v>0</v>
      </c>
      <c r="AL12" s="480">
        <v>0</v>
      </c>
      <c r="AM12" s="480">
        <v>0</v>
      </c>
      <c r="AN12" s="480">
        <v>0</v>
      </c>
      <c r="AO12" s="480">
        <v>0</v>
      </c>
      <c r="AP12" s="480">
        <v>0</v>
      </c>
      <c r="AQ12" s="594">
        <v>0.41</v>
      </c>
      <c r="AR12" s="480">
        <v>0</v>
      </c>
      <c r="AS12" s="554">
        <v>0</v>
      </c>
      <c r="AT12" s="554">
        <v>0</v>
      </c>
      <c r="AU12" s="554">
        <v>0</v>
      </c>
      <c r="AV12" s="554">
        <v>0</v>
      </c>
      <c r="AW12" s="554">
        <v>0</v>
      </c>
      <c r="AX12" s="554">
        <v>0</v>
      </c>
      <c r="AY12" s="554">
        <v>0</v>
      </c>
      <c r="AZ12" s="554">
        <v>0</v>
      </c>
      <c r="BA12" s="554">
        <v>0</v>
      </c>
      <c r="BB12" s="554">
        <v>0</v>
      </c>
      <c r="BC12" s="594">
        <v>35.15</v>
      </c>
      <c r="BD12" s="480">
        <v>0</v>
      </c>
    </row>
    <row r="13" spans="1:65" ht="16.5" thickBot="1">
      <c r="B13" s="479" t="s">
        <v>56</v>
      </c>
      <c r="C13" s="536">
        <f>SUM(C5:C12)</f>
        <v>-309945.16927000636</v>
      </c>
      <c r="D13" s="536"/>
      <c r="E13" s="536">
        <f>SUM(E5:E12)</f>
        <v>2712780.2600000002</v>
      </c>
      <c r="F13" s="536">
        <f t="shared" ref="F13:H13" si="29">SUM(F5:F12)</f>
        <v>2255013.9900000002</v>
      </c>
      <c r="G13" s="536">
        <f>SUM(G5:G12)</f>
        <v>-33498.738666789999</v>
      </c>
      <c r="H13" s="536">
        <f t="shared" si="29"/>
        <v>-4220307.8686667895</v>
      </c>
      <c r="I13" s="536">
        <v>-4984433.4563877899</v>
      </c>
      <c r="J13" s="536">
        <v>-5871867.3473837869</v>
      </c>
      <c r="K13" s="536">
        <v>-5287493.0298517896</v>
      </c>
      <c r="L13" s="536">
        <v>-4882582.0171147902</v>
      </c>
      <c r="M13" s="536">
        <v>-4072260.114518791</v>
      </c>
      <c r="N13" s="536">
        <v>-3063910.5457287901</v>
      </c>
      <c r="O13" s="536">
        <v>-1998209.0562817894</v>
      </c>
      <c r="P13" s="536">
        <v>-1241540.0398927876</v>
      </c>
      <c r="Q13" s="536">
        <v>-752741.83775978826</v>
      </c>
      <c r="R13" s="536">
        <v>-587853.14358878916</v>
      </c>
      <c r="S13" s="536">
        <v>1779828.4686352164</v>
      </c>
      <c r="T13" s="536">
        <v>-165690.83250377711</v>
      </c>
      <c r="U13" s="536">
        <v>-1154882.2995837759</v>
      </c>
      <c r="V13" s="536">
        <f t="shared" ref="V13:X13" si="30">SUM(V5:V12)</f>
        <v>-1694440.0214187815</v>
      </c>
      <c r="W13" s="536">
        <f t="shared" si="30"/>
        <v>-683405.33395377884</v>
      </c>
      <c r="X13" s="536">
        <f t="shared" si="30"/>
        <v>-2769396.4708657796</v>
      </c>
      <c r="Y13" s="536">
        <f>SUM(Y5:Y12)</f>
        <v>-2940906.6891037785</v>
      </c>
      <c r="Z13" s="536">
        <f t="shared" ref="Z13:AE13" si="31">SUM(Z5:Z12)</f>
        <v>-3112721.2246137792</v>
      </c>
      <c r="AA13" s="536">
        <f t="shared" si="31"/>
        <v>-3464489.8670317773</v>
      </c>
      <c r="AB13" s="536">
        <f t="shared" si="31"/>
        <v>-3555298.2266717753</v>
      </c>
      <c r="AC13" s="536">
        <f t="shared" si="31"/>
        <v>-4755858.0107337767</v>
      </c>
      <c r="AD13" s="536">
        <f t="shared" si="31"/>
        <v>-5900360.3440987766</v>
      </c>
      <c r="AE13" s="536">
        <f t="shared" si="31"/>
        <v>-4407824.1695987741</v>
      </c>
      <c r="AF13" s="536">
        <f>SUM(AF5:AF12)</f>
        <v>-6508323.8685397729</v>
      </c>
      <c r="AG13" s="536">
        <f>SUM(AG5:AG12)</f>
        <v>-8439847.1132167727</v>
      </c>
      <c r="AH13" s="536">
        <f>SUM(AH5:AH12)</f>
        <v>-9264796.9494047705</v>
      </c>
      <c r="AI13" s="536">
        <f t="shared" ref="AI13:AP13" si="32">SUM(AI5:AI12)</f>
        <v>-10398819.535470769</v>
      </c>
      <c r="AJ13" s="536">
        <f t="shared" si="32"/>
        <v>-12153304.785960769</v>
      </c>
      <c r="AK13" s="536">
        <f t="shared" si="32"/>
        <v>-12778894.072104771</v>
      </c>
      <c r="AL13" s="536">
        <f>SUM(AL5:AL12)</f>
        <v>-14182183.944992768</v>
      </c>
      <c r="AM13" s="536">
        <f>SUM(AM5:AM12)</f>
        <v>-15130761.40771677</v>
      </c>
      <c r="AN13" s="536">
        <f t="shared" si="32"/>
        <v>-15660034.00335677</v>
      </c>
      <c r="AO13" s="536">
        <f>SUM(AO5:AO12)</f>
        <v>-16306032.832939774</v>
      </c>
      <c r="AP13" s="536">
        <f t="shared" si="32"/>
        <v>-16534597.329101773</v>
      </c>
      <c r="AQ13" s="590">
        <f>SUM(AQ5:AQ12)</f>
        <v>-3075004.5709557864</v>
      </c>
      <c r="AR13" s="536">
        <f>SUM(AR5:AR12)</f>
        <v>-6818269.0378097855</v>
      </c>
      <c r="AS13" s="536">
        <f>SUM(AS5:AS12)</f>
        <v>-10248016.525328787</v>
      </c>
      <c r="AT13" s="536">
        <f>SUM(AT5:AT12)</f>
        <v>-12338677.191237787</v>
      </c>
      <c r="AU13" s="536">
        <f>SUM(AU5:AU12)</f>
        <v>-13990367.081666788</v>
      </c>
      <c r="AV13" s="536">
        <f t="shared" ref="AV13:AW13" si="33">SUM(AV5:AV12)</f>
        <v>-15173451.409781789</v>
      </c>
      <c r="AW13" s="536">
        <f t="shared" si="33"/>
        <v>-15098116.96234579</v>
      </c>
      <c r="AX13" s="536">
        <f>SUM(AX5:AX12)</f>
        <v>-14771177.38731979</v>
      </c>
      <c r="AY13" s="536">
        <f t="shared" ref="AY13:AZ13" si="34">SUM(AY5:AY12)</f>
        <v>-15909772.702550791</v>
      </c>
      <c r="AZ13" s="536">
        <f t="shared" si="34"/>
        <v>-16977268.897435792</v>
      </c>
      <c r="BA13" s="536">
        <f>SUM(BA5:BA12)</f>
        <v>-18962414.798894793</v>
      </c>
      <c r="BB13" s="536">
        <f t="shared" ref="BB13" si="35">SUM(BB5:BB12)</f>
        <v>-21954910.563472789</v>
      </c>
      <c r="BC13" s="590">
        <f>SUM(BC5:BC12)</f>
        <v>-8189815.5396147836</v>
      </c>
      <c r="BD13" s="536">
        <f>SUM(BD5:BD12)</f>
        <v>-11107523.78934879</v>
      </c>
    </row>
    <row r="14" spans="1:65" ht="16.5" thickTop="1">
      <c r="B14" s="479" t="s">
        <v>256</v>
      </c>
      <c r="E14" s="480">
        <f>_xll.Get_Balance(E3,"YTD","USD","Total","A","","001",$A$3,"GD","WA","DL")</f>
        <v>2712780.25</v>
      </c>
      <c r="F14" s="480">
        <f>_xll.Get_Balance(F3,"YTD","USD","Total","A","","001",$A$3,"GD","WA","DL")</f>
        <v>2255013.98</v>
      </c>
      <c r="G14" s="480">
        <f>_xll.Get_Balance(G3,"YTD","USD","Total","A","","001",$A$3,"GD","WA","DL")</f>
        <v>-33498.75</v>
      </c>
      <c r="H14" s="480">
        <f>_xll.Get_Balance(H3,"YTD","USD","Total","A","","001",$A$3,"GD","WA","DL")</f>
        <v>-4220307.88</v>
      </c>
      <c r="I14" s="480">
        <v>-4984433.47</v>
      </c>
      <c r="J14" s="480">
        <v>-5871867.3600000003</v>
      </c>
      <c r="K14" s="480">
        <v>-5287493.04</v>
      </c>
      <c r="L14" s="480">
        <v>-4882582.03</v>
      </c>
      <c r="M14" s="480">
        <v>-4072260.13</v>
      </c>
      <c r="N14" s="480">
        <v>-3063910.56</v>
      </c>
      <c r="O14" s="480">
        <v>-1998209.07</v>
      </c>
      <c r="P14" s="480">
        <v>-1241540.05</v>
      </c>
      <c r="Q14" s="480">
        <v>-752741.85</v>
      </c>
      <c r="R14" s="480">
        <v>-587853.16</v>
      </c>
      <c r="S14" s="480">
        <v>1779828.45</v>
      </c>
      <c r="T14" s="480">
        <v>-165690.85</v>
      </c>
      <c r="U14" s="480">
        <v>-1154882.3</v>
      </c>
      <c r="V14" s="480">
        <f>_xll.Get_Balance(V3,"YTD","USD","Total","A","","001",$A$3,"GD","WA","DL")</f>
        <v>-1694440.02</v>
      </c>
      <c r="W14" s="480">
        <f>_xll.Get_Balance(W3,"YTD","USD","Total","A","","001",$A$3,"GD","WA","DL")</f>
        <v>-683405.33</v>
      </c>
      <c r="X14" s="480">
        <f>_xll.Get_Balance(X3,"YTD","USD","Total","A","","001",$A$3,"GD","WA","DL")</f>
        <v>-2769396.47</v>
      </c>
      <c r="Y14" s="480">
        <f>_xll.Get_Balance(Y3,"YTD","USD","Total","A","","001",$A$3,"GD","WA","DL")</f>
        <v>-2940906.69</v>
      </c>
      <c r="Z14" s="480">
        <f>_xll.Get_Balance(Z3,"YTD","USD","Total","A","","001",$A$3,"GD","WA","DL")</f>
        <v>-3112721.23</v>
      </c>
      <c r="AA14" s="480">
        <f>_xll.Get_Balance(AA3,"YTD","USD","Total","A","","001",$A$3,"GD","WA","DL")</f>
        <v>-3464489.87</v>
      </c>
      <c r="AB14" s="480">
        <f>_xll.Get_Balance(AB3,"YTD","USD","Total","A","","001",$A$3,"GD","WA","DL")</f>
        <v>-3555298.23</v>
      </c>
      <c r="AC14" s="480">
        <f>_xll.Get_Balance(AC3,"YTD","USD","Total","A","","001",$A$3,"GD","WA","DL")</f>
        <v>-4755858.01</v>
      </c>
      <c r="AD14" s="480">
        <f>_xll.Get_Balance(AD3,"YTD","USD","Total","A","","001",$A$3,"GD","WA","DL")</f>
        <v>-5900360.3399999999</v>
      </c>
      <c r="AE14" s="480">
        <f>_xll.Get_Balance(AE3,"YTD","USD","Total","A","","001",$A$3,"GD","WA","DL")</f>
        <v>-4407824.17</v>
      </c>
      <c r="AF14" s="480">
        <f>_xll.Get_Balance(AF3,"YTD","USD","Total","A","","001",$A$3,"GD","WA","DL")</f>
        <v>-6508323.8700000001</v>
      </c>
      <c r="AG14" s="480">
        <f>_xll.Get_Balance(AG3,"YTD","USD","Total","A","","001",$A$3,"GD","WA","DL")</f>
        <v>-8432290.1199999992</v>
      </c>
      <c r="AH14" s="480">
        <f>_xll.Get_Balance(AH3,"YTD","USD","Total","A","","001",$A$3,"GD","WA","DL")</f>
        <v>-9264796.9499999993</v>
      </c>
      <c r="AI14" s="480">
        <f>_xll.Get_Balance(AI3,"YTD","USD","Total","A","","001",$A$3,"GD","WA","DL")</f>
        <v>-10398819.539999999</v>
      </c>
      <c r="AJ14" s="480">
        <f>_xll.Get_Balance(AJ3,"YTD","USD","Total","A","","001",$A$3,"GD","WA","DL")</f>
        <v>-12153304.789999999</v>
      </c>
      <c r="AK14" s="480">
        <f>_xll.Get_Balance(AK3,"YTD","USD","Total","A","","001",$A$3,"GD","WA","DL")</f>
        <v>-12778894.08</v>
      </c>
      <c r="AL14" s="589">
        <f>_xll.Get_Balance(AL3,"YTD","USD","Total","A","","001",$A$3,"GD","WA","DL")</f>
        <v>-14182183.949999999</v>
      </c>
      <c r="AM14" s="480">
        <f>_xll.Get_Balance(AM3,"YTD","USD","Total","A","","001",$A$3,"GD","WA","DL")</f>
        <v>-15130761.41</v>
      </c>
      <c r="AN14" s="480">
        <f>_xll.Get_Balance(AN3,"YTD","USD","Total","A","","001",$A$3,"GD","WA","DL")</f>
        <v>-15660034.01</v>
      </c>
      <c r="AO14" s="480">
        <f>_xll.Get_Balance(AO3,"YTD","USD","Total","A","","001",$A$3,"GD","WA","DL")</f>
        <v>-16306032.84</v>
      </c>
      <c r="AP14" s="480">
        <f>_xll.Get_Balance(AP3,"YTD","USD","Total","A","","001",$A$3,"GD","WA","DL")</f>
        <v>-16534597.34</v>
      </c>
      <c r="AQ14" s="480">
        <f>_xll.Get_Balance(AQ3,"YTD","USD","Total","A","","001",$A$3,"GD","WA","DL")</f>
        <v>-3075004.58</v>
      </c>
      <c r="AR14" s="480">
        <f>_xll.Get_Balance(AR3,"YTD","USD","Total","A","","001",$A$3,"GD","WA","DL")</f>
        <v>-6818269.0499999998</v>
      </c>
      <c r="AS14" s="480">
        <f>_xll.Get_Balance(AS3,"YTD","USD","Total","A","","001",$A$3,"GD","WA","DL")</f>
        <v>-10248016.539999999</v>
      </c>
      <c r="AT14" s="480">
        <f>_xll.Get_Balance(AT3,"YTD","USD","Total","A","","001",$A$3,"GD","WA","DL")</f>
        <v>-12338677.210000001</v>
      </c>
      <c r="AU14" s="480">
        <f>_xll.Get_Balance(AU3,"YTD","USD","Total","A","","001",$A$3,"GD","WA","DL")</f>
        <v>-13990367.1</v>
      </c>
      <c r="AV14" s="480">
        <f>_xll.Get_Balance(AV3,"YTD","USD","Total","A","","001",$A$3,"GD","WA","DL")</f>
        <v>-15173451.43</v>
      </c>
      <c r="AW14" s="480">
        <f>_xll.Get_Balance(AW3,"YTD","USD","Total","A","","001",$A$3,"GD","WA","DL")</f>
        <v>-15098116.98</v>
      </c>
      <c r="AX14" s="626">
        <f>_xll.Get_Balance(AX3,"YTD","USD","Total","A","","001",$A$3,"GD","WA","DL")</f>
        <v>-14771177.4</v>
      </c>
      <c r="AY14" s="480">
        <f>_xll.Get_Balance(AY3,"YTD","USD","Total","A","","001",$A$3,"GD","WA","DL")</f>
        <v>-15909772.720000001</v>
      </c>
      <c r="AZ14" s="480">
        <f>_xll.Get_Balance(AZ3,"YTD","USD","Total","A","","001",$A$3,"GD","WA","DL")</f>
        <v>-16977268.91</v>
      </c>
      <c r="BA14" s="480">
        <f>_xll.Get_Balance(BA3,"YTD","USD","Total","A","","001",$A$3,"GD","WA","DL")</f>
        <v>-18962414.809999999</v>
      </c>
      <c r="BB14" s="480">
        <f>_xll.Get_Balance(BB3,"YTD","USD","Total","A","","001",$A$3,"GD","WA","DL")</f>
        <v>-21954910.57</v>
      </c>
      <c r="BC14" s="480">
        <f>_xll.Get_Balance(BC3,"YTD","USD","Total","A","","001",$A$3,"GD","WA","DL")</f>
        <v>-8189815.5499999998</v>
      </c>
      <c r="BD14" s="480">
        <f>_xll.Get_Balance(BD3,"YTD","USD","Total","A","","001",$A$3,"GD","WA","DL")</f>
        <v>-8189815.5499999998</v>
      </c>
    </row>
    <row r="15" spans="1:65">
      <c r="B15" s="479" t="s">
        <v>243</v>
      </c>
      <c r="E15" s="480">
        <f t="shared" ref="E15:H15" si="36">E13-E14</f>
        <v>1.0000000242143869E-2</v>
      </c>
      <c r="F15" s="480">
        <f t="shared" si="36"/>
        <v>1.0000000242143869E-2</v>
      </c>
      <c r="G15" s="480">
        <f t="shared" si="36"/>
        <v>1.1333210000884719E-2</v>
      </c>
      <c r="H15" s="480">
        <f t="shared" si="36"/>
        <v>1.133321039378643E-2</v>
      </c>
      <c r="I15" s="480">
        <v>1.3612209819257259E-2</v>
      </c>
      <c r="J15" s="480">
        <v>1.2616213411092758E-2</v>
      </c>
      <c r="K15" s="480">
        <v>1.0148210451006889E-2</v>
      </c>
      <c r="L15" s="480">
        <v>1.2885210104286671E-2</v>
      </c>
      <c r="M15" s="480">
        <v>1.5481208916753531E-2</v>
      </c>
      <c r="N15" s="480">
        <v>1.4271209947764874E-2</v>
      </c>
      <c r="O15" s="480">
        <v>1.3718210626393557E-2</v>
      </c>
      <c r="P15" s="480">
        <v>1.0107212467119098E-2</v>
      </c>
      <c r="Q15" s="480">
        <v>1.2240211712196469E-2</v>
      </c>
      <c r="R15" s="480">
        <v>1.6411210875958204E-2</v>
      </c>
      <c r="S15" s="480">
        <v>1.863521640188992E-2</v>
      </c>
      <c r="T15" s="480">
        <v>1.749622289207764E-2</v>
      </c>
      <c r="U15" s="480">
        <v>4.1622412391006947E-4</v>
      </c>
      <c r="V15" s="480">
        <f t="shared" ref="V15:AC15" si="37">V13-V14</f>
        <v>-1.418781466782093E-3</v>
      </c>
      <c r="W15" s="480">
        <f t="shared" si="37"/>
        <v>-3.9537788834422827E-3</v>
      </c>
      <c r="X15" s="480">
        <f t="shared" si="37"/>
        <v>-8.6577935144305229E-4</v>
      </c>
      <c r="Y15" s="480">
        <f t="shared" si="37"/>
        <v>8.9622149243950844E-4</v>
      </c>
      <c r="Z15" s="480">
        <f t="shared" si="37"/>
        <v>5.3862207569181919E-3</v>
      </c>
      <c r="AA15" s="480">
        <f t="shared" si="37"/>
        <v>2.9682228341698647E-3</v>
      </c>
      <c r="AB15" s="480">
        <f t="shared" si="37"/>
        <v>3.3282246440649033E-3</v>
      </c>
      <c r="AC15" s="480">
        <f t="shared" si="37"/>
        <v>-7.3377694934606552E-4</v>
      </c>
      <c r="AD15" s="480">
        <f t="shared" ref="AD15:AE15" si="38">AD13-AD14</f>
        <v>-4.0987767279148102E-3</v>
      </c>
      <c r="AE15" s="480">
        <f t="shared" si="38"/>
        <v>4.0122587233781815E-4</v>
      </c>
      <c r="AF15" s="480">
        <f>AF13-AF14</f>
        <v>1.4602271839976311E-3</v>
      </c>
      <c r="AG15" s="480">
        <f>AG13-AG14</f>
        <v>-7556.9932167734951</v>
      </c>
      <c r="AH15" s="480">
        <f t="shared" ref="AH15:AK15" si="39">AH13-AH14</f>
        <v>5.9522874653339386E-4</v>
      </c>
      <c r="AI15" s="480">
        <f t="shared" si="39"/>
        <v>4.5292302966117859E-3</v>
      </c>
      <c r="AJ15" s="480">
        <f t="shared" si="39"/>
        <v>4.0392298251390457E-3</v>
      </c>
      <c r="AK15" s="480">
        <f t="shared" si="39"/>
        <v>7.895229384303093E-3</v>
      </c>
      <c r="AL15" s="480">
        <f t="shared" ref="AL15:AP15" si="40">AL13-AL14</f>
        <v>5.0072316080331802E-3</v>
      </c>
      <c r="AM15" s="480">
        <f>AM13-AM14</f>
        <v>2.2832304239273071E-3</v>
      </c>
      <c r="AN15" s="480">
        <f t="shared" si="40"/>
        <v>6.6432300955057144E-3</v>
      </c>
      <c r="AO15" s="480">
        <f t="shared" si="40"/>
        <v>7.0602260529994965E-3</v>
      </c>
      <c r="AP15" s="480">
        <f t="shared" si="40"/>
        <v>1.0898226872086525E-2</v>
      </c>
      <c r="AQ15" s="480">
        <f>AQ13-AQ14</f>
        <v>9.0442136861383915E-3</v>
      </c>
      <c r="AR15" s="480">
        <f>AR13-AR14</f>
        <v>1.2190214358270168E-2</v>
      </c>
      <c r="AS15" s="480">
        <f>AS13-AS14</f>
        <v>1.4671212062239647E-2</v>
      </c>
      <c r="AT15" s="480">
        <f t="shared" ref="AT15:BB15" si="41">AT13-AT14</f>
        <v>1.8762214109301567E-2</v>
      </c>
      <c r="AU15" s="480">
        <f t="shared" si="41"/>
        <v>1.8333211541175842E-2</v>
      </c>
      <c r="AV15" s="480">
        <f t="shared" si="41"/>
        <v>2.021821029484272E-2</v>
      </c>
      <c r="AW15" s="480">
        <f t="shared" si="41"/>
        <v>1.7654210329055786E-2</v>
      </c>
      <c r="AX15" s="480">
        <f t="shared" si="41"/>
        <v>1.2680210173130035E-2</v>
      </c>
      <c r="AY15" s="480">
        <f t="shared" si="41"/>
        <v>1.7449209466576576E-2</v>
      </c>
      <c r="AZ15" s="480">
        <f t="shared" si="41"/>
        <v>1.256420835852623E-2</v>
      </c>
      <c r="BA15" s="480">
        <f t="shared" si="41"/>
        <v>1.1105205863714218E-2</v>
      </c>
      <c r="BB15" s="480">
        <f t="shared" si="41"/>
        <v>6.5272115170955658E-3</v>
      </c>
      <c r="BC15" s="480">
        <f>BC13-BC14</f>
        <v>1.038521621376276E-2</v>
      </c>
      <c r="BD15" s="480">
        <f>BD13-BD14</f>
        <v>-2917708.2393487906</v>
      </c>
    </row>
    <row r="16" spans="1:65">
      <c r="A16" s="481" t="s">
        <v>263</v>
      </c>
    </row>
    <row r="17" spans="1:58">
      <c r="A17" s="481" t="s">
        <v>311</v>
      </c>
      <c r="E17" s="531"/>
      <c r="F17" s="531"/>
      <c r="G17" s="531"/>
      <c r="H17" s="531"/>
      <c r="I17" s="531"/>
      <c r="J17" s="531"/>
      <c r="K17" s="531"/>
      <c r="L17" s="531"/>
      <c r="M17" s="531"/>
      <c r="N17" s="531"/>
      <c r="O17" s="531"/>
      <c r="P17" s="531"/>
      <c r="Q17" s="531"/>
      <c r="R17" s="531"/>
      <c r="S17" s="531"/>
      <c r="T17" s="531"/>
      <c r="U17" s="531"/>
      <c r="V17" s="531"/>
      <c r="W17" s="531"/>
      <c r="X17" s="531"/>
      <c r="Y17" s="531"/>
      <c r="Z17" s="531"/>
      <c r="AA17" s="531"/>
      <c r="AB17" s="531"/>
      <c r="AC17" s="531"/>
      <c r="AD17" s="531"/>
      <c r="AE17" s="531"/>
      <c r="AF17" s="531"/>
      <c r="AG17" s="531"/>
      <c r="AH17" s="531"/>
      <c r="AI17" s="531"/>
      <c r="AJ17" s="531"/>
      <c r="AK17" s="531"/>
      <c r="AL17" s="531"/>
      <c r="AM17" s="531"/>
      <c r="AN17" s="531"/>
      <c r="AO17" s="531"/>
      <c r="AP17" s="531"/>
      <c r="AQ17" s="531"/>
      <c r="AR17" s="531"/>
      <c r="AS17" s="531"/>
      <c r="AT17" s="531"/>
      <c r="AU17" s="531"/>
      <c r="AV17" s="531"/>
      <c r="AW17" s="531"/>
      <c r="AX17" s="531"/>
      <c r="AY17" s="531"/>
      <c r="AZ17" s="531"/>
      <c r="BA17" s="531"/>
      <c r="BB17" s="531"/>
      <c r="BC17" s="531"/>
      <c r="BD17" s="531"/>
    </row>
    <row r="18" spans="1:58">
      <c r="A18" s="482">
        <v>191000</v>
      </c>
      <c r="B18" s="483" t="s">
        <v>252</v>
      </c>
      <c r="C18" s="484" t="s">
        <v>248</v>
      </c>
      <c r="D18" s="484" t="s">
        <v>249</v>
      </c>
      <c r="E18" s="482">
        <v>201309</v>
      </c>
      <c r="F18" s="482">
        <f>E18+1</f>
        <v>201310</v>
      </c>
      <c r="G18" s="482">
        <f>F18+1</f>
        <v>201311</v>
      </c>
      <c r="H18" s="482">
        <f>G18+1</f>
        <v>201312</v>
      </c>
      <c r="I18" s="482">
        <v>201401</v>
      </c>
      <c r="J18" s="482">
        <v>201402</v>
      </c>
      <c r="K18" s="482">
        <v>201403</v>
      </c>
      <c r="L18" s="482">
        <v>201404</v>
      </c>
      <c r="M18" s="482">
        <v>201405</v>
      </c>
      <c r="N18" s="482">
        <v>201406</v>
      </c>
      <c r="O18" s="482">
        <v>201407</v>
      </c>
      <c r="P18" s="482">
        <v>201408</v>
      </c>
      <c r="Q18" s="482">
        <v>201409</v>
      </c>
      <c r="R18" s="482">
        <v>201410</v>
      </c>
      <c r="S18" s="482">
        <v>201411</v>
      </c>
      <c r="T18" s="482">
        <v>201412</v>
      </c>
      <c r="U18" s="482">
        <v>201501</v>
      </c>
      <c r="V18" s="482">
        <f t="shared" ref="V18" si="42">U18+1</f>
        <v>201502</v>
      </c>
      <c r="W18" s="482">
        <f t="shared" ref="W18" si="43">V18+1</f>
        <v>201503</v>
      </c>
      <c r="X18" s="482">
        <f t="shared" ref="X18" si="44">W18+1</f>
        <v>201504</v>
      </c>
      <c r="Y18" s="482">
        <f t="shared" ref="Y18" si="45">X18+1</f>
        <v>201505</v>
      </c>
      <c r="Z18" s="482">
        <f t="shared" ref="Z18" si="46">Y18+1</f>
        <v>201506</v>
      </c>
      <c r="AA18" s="482">
        <f t="shared" ref="AA18" si="47">Z18+1</f>
        <v>201507</v>
      </c>
      <c r="AB18" s="482">
        <f t="shared" ref="AB18" si="48">AA18+1</f>
        <v>201508</v>
      </c>
      <c r="AC18" s="482">
        <f t="shared" ref="AC18" si="49">AB18+1</f>
        <v>201509</v>
      </c>
      <c r="AD18" s="482">
        <f t="shared" ref="AD18" si="50">AC18+1</f>
        <v>201510</v>
      </c>
      <c r="AE18" s="482">
        <f>AD18+1</f>
        <v>201511</v>
      </c>
      <c r="AF18" s="482">
        <f t="shared" ref="AF18" si="51">AE18+1</f>
        <v>201512</v>
      </c>
      <c r="AG18" s="482">
        <v>201601</v>
      </c>
      <c r="AH18" s="482">
        <f>AG18+1</f>
        <v>201602</v>
      </c>
      <c r="AI18" s="482">
        <f t="shared" ref="AI18:AR18" si="52">AH18+1</f>
        <v>201603</v>
      </c>
      <c r="AJ18" s="482">
        <f t="shared" si="52"/>
        <v>201604</v>
      </c>
      <c r="AK18" s="482">
        <f t="shared" si="52"/>
        <v>201605</v>
      </c>
      <c r="AL18" s="482">
        <f t="shared" si="52"/>
        <v>201606</v>
      </c>
      <c r="AM18" s="482">
        <f t="shared" si="52"/>
        <v>201607</v>
      </c>
      <c r="AN18" s="482">
        <f t="shared" si="52"/>
        <v>201608</v>
      </c>
      <c r="AO18" s="482">
        <f t="shared" si="52"/>
        <v>201609</v>
      </c>
      <c r="AP18" s="482">
        <f t="shared" si="52"/>
        <v>201610</v>
      </c>
      <c r="AQ18" s="482">
        <f t="shared" si="52"/>
        <v>201611</v>
      </c>
      <c r="AR18" s="482">
        <f t="shared" si="52"/>
        <v>201612</v>
      </c>
      <c r="AS18" s="482">
        <f>AS3</f>
        <v>201701</v>
      </c>
      <c r="AT18" s="482">
        <f>AS18+1</f>
        <v>201702</v>
      </c>
      <c r="AU18" s="482">
        <f t="shared" ref="AU18" si="53">AT18+1</f>
        <v>201703</v>
      </c>
      <c r="AV18" s="482">
        <f t="shared" ref="AV18" si="54">AU18+1</f>
        <v>201704</v>
      </c>
      <c r="AW18" s="482">
        <f t="shared" ref="AW18" si="55">AV18+1</f>
        <v>201705</v>
      </c>
      <c r="AX18" s="482">
        <f t="shared" ref="AX18" si="56">AW18+1</f>
        <v>201706</v>
      </c>
      <c r="AY18" s="482">
        <f t="shared" ref="AY18" si="57">AX18+1</f>
        <v>201707</v>
      </c>
      <c r="AZ18" s="482">
        <f t="shared" ref="AZ18" si="58">AY18+1</f>
        <v>201708</v>
      </c>
      <c r="BA18" s="482">
        <f t="shared" ref="BA18" si="59">AZ18+1</f>
        <v>201709</v>
      </c>
      <c r="BB18" s="482">
        <f t="shared" ref="BB18" si="60">BA18+1</f>
        <v>201710</v>
      </c>
      <c r="BC18" s="482">
        <f t="shared" ref="BC18" si="61">BB18+1</f>
        <v>201711</v>
      </c>
      <c r="BD18" s="482">
        <f t="shared" ref="BD18" si="62">BC18+1</f>
        <v>201712</v>
      </c>
    </row>
    <row r="19" spans="1:58">
      <c r="A19" s="481"/>
      <c r="B19" s="479" t="s">
        <v>37</v>
      </c>
      <c r="C19" s="489">
        <f>SUM(AG19:AR19)</f>
        <v>131594728</v>
      </c>
      <c r="D19" s="489">
        <f>SUM(AE19:AP19)</f>
        <v>128827265</v>
      </c>
      <c r="E19" s="489">
        <v>2647538</v>
      </c>
      <c r="F19" s="489">
        <v>9244353</v>
      </c>
      <c r="G19" s="489">
        <v>15070678</v>
      </c>
      <c r="H19" s="489">
        <v>22636008</v>
      </c>
      <c r="I19" s="538">
        <v>20682450</v>
      </c>
      <c r="J19" s="538">
        <v>20184373</v>
      </c>
      <c r="K19" s="538">
        <v>14096743</v>
      </c>
      <c r="L19" s="538">
        <v>7776328</v>
      </c>
      <c r="M19" s="538">
        <v>3691303</v>
      </c>
      <c r="N19" s="538">
        <v>2545780</v>
      </c>
      <c r="O19" s="538">
        <v>2095088</v>
      </c>
      <c r="P19" s="538">
        <v>2047777</v>
      </c>
      <c r="Q19" s="538">
        <v>2727612</v>
      </c>
      <c r="R19" s="538">
        <v>4953664</v>
      </c>
      <c r="S19" s="538">
        <v>15823016</v>
      </c>
      <c r="T19" s="538">
        <v>19056609</v>
      </c>
      <c r="U19" s="538">
        <v>19909674</v>
      </c>
      <c r="V19" s="538">
        <v>13011547</v>
      </c>
      <c r="W19" s="538">
        <v>10479005</v>
      </c>
      <c r="X19" s="538">
        <v>7714478</v>
      </c>
      <c r="Y19" s="538">
        <v>3297360</v>
      </c>
      <c r="Z19" s="538">
        <v>1968489</v>
      </c>
      <c r="AA19" s="538">
        <v>2145139</v>
      </c>
      <c r="AB19" s="538">
        <v>1956853</v>
      </c>
      <c r="AC19" s="538">
        <v>3273457</v>
      </c>
      <c r="AD19" s="538">
        <v>4833518</v>
      </c>
      <c r="AE19" s="538">
        <v>15375028</v>
      </c>
      <c r="AF19" s="538">
        <v>19459801</v>
      </c>
      <c r="AG19" s="538">
        <f>Jan!$G23</f>
        <v>27259641</v>
      </c>
      <c r="AH19" s="538">
        <f>Feb!$G23</f>
        <v>19157522</v>
      </c>
      <c r="AI19" s="538">
        <f>Mar!$G23</f>
        <v>14316138</v>
      </c>
      <c r="AJ19" s="538">
        <f>Apr!$G23</f>
        <v>9641125</v>
      </c>
      <c r="AK19" s="538">
        <f>May!$G23</f>
        <v>4941679</v>
      </c>
      <c r="AL19" s="538">
        <f>Jun!$G23</f>
        <v>2542069</v>
      </c>
      <c r="AM19" s="538">
        <f>Jul!$G23</f>
        <v>2070483</v>
      </c>
      <c r="AN19" s="538">
        <f>Aug!$G23</f>
        <v>2080707</v>
      </c>
      <c r="AO19" s="538">
        <f>Sep!G23</f>
        <v>3147236</v>
      </c>
      <c r="AP19" s="538">
        <f>Oct!G23</f>
        <v>8835836</v>
      </c>
      <c r="AQ19" s="538">
        <f>Nov!G23</f>
        <v>14838696</v>
      </c>
      <c r="AR19" s="538">
        <f>Dec!$G23</f>
        <v>22763596</v>
      </c>
      <c r="AS19" s="600">
        <f>Jan!$G23</f>
        <v>27259641</v>
      </c>
      <c r="AT19" s="600">
        <f>Feb!$G23</f>
        <v>19157522</v>
      </c>
      <c r="AU19" s="600">
        <f>Mar!$G23</f>
        <v>14316138</v>
      </c>
      <c r="AV19" s="600">
        <f>Apr!$G23</f>
        <v>9641125</v>
      </c>
      <c r="AW19" s="600">
        <f>May!$G23</f>
        <v>4941679</v>
      </c>
      <c r="AX19" s="600">
        <f>Jun!$G23</f>
        <v>2542069</v>
      </c>
      <c r="AY19" s="600">
        <f>Jul!$G23</f>
        <v>2070483</v>
      </c>
      <c r="AZ19" s="600">
        <f>Aug!$G23</f>
        <v>2080707</v>
      </c>
      <c r="BA19" s="600">
        <f>Sep!G23</f>
        <v>3147236</v>
      </c>
      <c r="BB19" s="600">
        <f>Oct!G23</f>
        <v>8835836</v>
      </c>
      <c r="BC19" s="600">
        <f>Nov!G23</f>
        <v>14838696</v>
      </c>
      <c r="BD19" s="600">
        <f>Dec!$G23</f>
        <v>22763596</v>
      </c>
    </row>
    <row r="20" spans="1:58">
      <c r="A20" s="481"/>
      <c r="B20" s="558" t="s">
        <v>306</v>
      </c>
      <c r="C20" s="489">
        <f t="shared" ref="C20:C27" si="63">SUM(AG20:AR20)</f>
        <v>188194</v>
      </c>
      <c r="D20" s="489">
        <f>SUM(AE20:AP20)</f>
        <v>153855</v>
      </c>
      <c r="E20" s="489"/>
      <c r="F20" s="489"/>
      <c r="G20" s="489"/>
      <c r="H20" s="489"/>
      <c r="I20" s="538"/>
      <c r="J20" s="538"/>
      <c r="K20" s="538"/>
      <c r="L20" s="538"/>
      <c r="M20" s="538"/>
      <c r="N20" s="538"/>
      <c r="O20" s="538"/>
      <c r="P20" s="538"/>
      <c r="Q20" s="538"/>
      <c r="R20" s="538"/>
      <c r="S20" s="538"/>
      <c r="T20" s="538"/>
      <c r="U20" s="538"/>
      <c r="V20" s="538"/>
      <c r="W20" s="538"/>
      <c r="X20" s="538"/>
      <c r="Y20" s="538"/>
      <c r="Z20" s="538"/>
      <c r="AA20" s="538"/>
      <c r="AB20" s="538"/>
      <c r="AC20" s="538"/>
      <c r="AD20" s="538">
        <v>425</v>
      </c>
      <c r="AE20" s="538">
        <v>3502</v>
      </c>
      <c r="AF20" s="538">
        <v>7942</v>
      </c>
      <c r="AG20" s="538">
        <f>Jan!$G24</f>
        <v>40615</v>
      </c>
      <c r="AH20" s="538">
        <f>Feb!$G24</f>
        <v>29103</v>
      </c>
      <c r="AI20" s="538">
        <f>Mar!$G24</f>
        <v>22738</v>
      </c>
      <c r="AJ20" s="538">
        <f>Apr!$G24</f>
        <v>15697</v>
      </c>
      <c r="AK20" s="538">
        <f>May!$G24</f>
        <v>8078</v>
      </c>
      <c r="AL20" s="538">
        <f>Jun!$G24</f>
        <v>3619</v>
      </c>
      <c r="AM20" s="538">
        <f>Jul!$G24</f>
        <v>2296</v>
      </c>
      <c r="AN20" s="538">
        <f>Aug!$G24</f>
        <v>2393</v>
      </c>
      <c r="AO20" s="538">
        <f>Sep!$G24</f>
        <v>3920</v>
      </c>
      <c r="AP20" s="538">
        <f>Oct!$G24</f>
        <v>13952</v>
      </c>
      <c r="AQ20" s="538">
        <f>Nov!$G24</f>
        <v>20740</v>
      </c>
      <c r="AR20" s="538">
        <f>Dec!$G24</f>
        <v>25043</v>
      </c>
      <c r="AS20" s="600">
        <f>Jan!$G24</f>
        <v>40615</v>
      </c>
      <c r="AT20" s="600">
        <f>Feb!$G24</f>
        <v>29103</v>
      </c>
      <c r="AU20" s="600">
        <f>Mar!$G24</f>
        <v>22738</v>
      </c>
      <c r="AV20" s="600">
        <f>Apr!$G24</f>
        <v>15697</v>
      </c>
      <c r="AW20" s="600">
        <f>May!$G24</f>
        <v>8078</v>
      </c>
      <c r="AX20" s="600">
        <f>Jun!$G24</f>
        <v>3619</v>
      </c>
      <c r="AY20" s="600">
        <f>Jul!$G24</f>
        <v>2296</v>
      </c>
      <c r="AZ20" s="600">
        <f>Aug!$G24</f>
        <v>2393</v>
      </c>
      <c r="BA20" s="600">
        <f>Sep!G24</f>
        <v>3920</v>
      </c>
      <c r="BB20" s="600">
        <f>Oct!G24</f>
        <v>13952</v>
      </c>
      <c r="BC20" s="600">
        <f>Nov!G24</f>
        <v>20740</v>
      </c>
      <c r="BD20" s="600">
        <f>Dec!$G24</f>
        <v>25043</v>
      </c>
      <c r="BF20" s="262"/>
    </row>
    <row r="21" spans="1:58">
      <c r="A21" s="481"/>
      <c r="B21" s="479" t="s">
        <v>38</v>
      </c>
      <c r="C21" s="489">
        <f t="shared" si="63"/>
        <v>51787474</v>
      </c>
      <c r="D21" s="489">
        <f t="shared" ref="D21:D27" si="64">SUM(AE21:AP21)</f>
        <v>50300771</v>
      </c>
      <c r="E21" s="489">
        <v>1599551</v>
      </c>
      <c r="F21" s="489">
        <v>3880001</v>
      </c>
      <c r="G21" s="489">
        <v>5651303</v>
      </c>
      <c r="H21" s="489">
        <v>7518125</v>
      </c>
      <c r="I21" s="538">
        <v>7025543</v>
      </c>
      <c r="J21" s="538">
        <v>6903553</v>
      </c>
      <c r="K21" s="538">
        <v>5310734</v>
      </c>
      <c r="L21" s="538">
        <v>3390429</v>
      </c>
      <c r="M21" s="538">
        <v>2183609</v>
      </c>
      <c r="N21" s="538">
        <v>1741655</v>
      </c>
      <c r="O21" s="538">
        <v>1476567</v>
      </c>
      <c r="P21" s="538">
        <v>1364087</v>
      </c>
      <c r="Q21" s="538">
        <v>1739755</v>
      </c>
      <c r="R21" s="538">
        <v>2776031</v>
      </c>
      <c r="S21" s="538">
        <v>6141604</v>
      </c>
      <c r="T21" s="538">
        <v>6045485</v>
      </c>
      <c r="U21" s="538">
        <v>6173752</v>
      </c>
      <c r="V21" s="538">
        <v>5630395</v>
      </c>
      <c r="W21" s="538">
        <v>4030672</v>
      </c>
      <c r="X21" s="538">
        <v>3448422</v>
      </c>
      <c r="Y21" s="538">
        <v>1901440</v>
      </c>
      <c r="Z21" s="538">
        <v>1561904</v>
      </c>
      <c r="AA21" s="538">
        <v>1323231</v>
      </c>
      <c r="AB21" s="538">
        <v>1284422</v>
      </c>
      <c r="AC21" s="538">
        <v>1854848</v>
      </c>
      <c r="AD21" s="538">
        <v>2624293</v>
      </c>
      <c r="AE21" s="538">
        <v>5503520</v>
      </c>
      <c r="AF21" s="538">
        <v>6165932</v>
      </c>
      <c r="AG21" s="538">
        <f>Jan!$G25</f>
        <v>8738107</v>
      </c>
      <c r="AH21" s="538">
        <f>Feb!$G25</f>
        <v>7258148</v>
      </c>
      <c r="AI21" s="538">
        <f>Mar!$G25</f>
        <v>5603968</v>
      </c>
      <c r="AJ21" s="538">
        <f>Apr!$G25</f>
        <v>4021494</v>
      </c>
      <c r="AK21" s="538">
        <f>May!$G25</f>
        <v>2425238</v>
      </c>
      <c r="AL21" s="538">
        <f>Jun!$G25</f>
        <v>1878375</v>
      </c>
      <c r="AM21" s="538">
        <f>Jul!$G25</f>
        <v>1446879</v>
      </c>
      <c r="AN21" s="538">
        <f>Aug!$G25</f>
        <v>1463939</v>
      </c>
      <c r="AO21" s="538">
        <f>Sep!$G25</f>
        <v>2165313</v>
      </c>
      <c r="AP21" s="538">
        <f>Oct!$G25</f>
        <v>3629858</v>
      </c>
      <c r="AQ21" s="538">
        <f>Nov!$G25</f>
        <v>5325716</v>
      </c>
      <c r="AR21" s="538">
        <f>Dec!$G25</f>
        <v>7830439</v>
      </c>
      <c r="AS21" s="600">
        <f>Jan!$G25</f>
        <v>8738107</v>
      </c>
      <c r="AT21" s="600">
        <f>Feb!$G25</f>
        <v>7258148</v>
      </c>
      <c r="AU21" s="600">
        <f>Mar!$G25</f>
        <v>5603968</v>
      </c>
      <c r="AV21" s="600">
        <f>Apr!$G25</f>
        <v>4021494</v>
      </c>
      <c r="AW21" s="600">
        <f>May!$G25</f>
        <v>2425238</v>
      </c>
      <c r="AX21" s="600">
        <f>Jun!$G25</f>
        <v>1878375</v>
      </c>
      <c r="AY21" s="600">
        <f>Jul!$G25</f>
        <v>1446879</v>
      </c>
      <c r="AZ21" s="600">
        <f>Aug!$G25</f>
        <v>1463939</v>
      </c>
      <c r="BA21" s="600">
        <f>Sep!G25</f>
        <v>2165313</v>
      </c>
      <c r="BB21" s="600">
        <f>Oct!G25</f>
        <v>3629858</v>
      </c>
      <c r="BC21" s="600">
        <f>Nov!G25</f>
        <v>5325716</v>
      </c>
      <c r="BD21" s="600">
        <f>Dec!$G25</f>
        <v>7830439</v>
      </c>
      <c r="BF21" s="262"/>
    </row>
    <row r="22" spans="1:58" hidden="1" outlineLevel="1">
      <c r="A22" s="481"/>
      <c r="B22" s="567" t="s">
        <v>39</v>
      </c>
      <c r="C22" s="489"/>
      <c r="D22" s="489"/>
      <c r="E22" s="489">
        <v>0</v>
      </c>
      <c r="F22" s="489">
        <v>0</v>
      </c>
      <c r="G22" s="489">
        <v>0</v>
      </c>
      <c r="H22" s="489">
        <v>0</v>
      </c>
      <c r="I22" s="538"/>
      <c r="J22" s="538"/>
      <c r="K22" s="538"/>
      <c r="L22" s="538"/>
      <c r="M22" s="538"/>
      <c r="N22" s="538"/>
      <c r="O22" s="538"/>
      <c r="P22" s="538"/>
      <c r="Q22" s="538"/>
      <c r="R22" s="538"/>
      <c r="S22" s="538"/>
      <c r="T22" s="538"/>
      <c r="U22" s="538"/>
      <c r="V22" s="538"/>
      <c r="W22" s="538"/>
      <c r="X22" s="538"/>
      <c r="Y22" s="538"/>
      <c r="Z22" s="538"/>
      <c r="AA22" s="538"/>
      <c r="AB22" s="538"/>
      <c r="AC22" s="538"/>
      <c r="AD22" s="538"/>
      <c r="AE22" s="538"/>
      <c r="AF22" s="538"/>
      <c r="AG22" s="538"/>
      <c r="AH22" s="538"/>
      <c r="AI22" s="538"/>
      <c r="AJ22" s="538"/>
      <c r="AK22" s="538"/>
      <c r="AL22" s="538"/>
      <c r="AM22" s="538"/>
      <c r="AN22" s="538"/>
      <c r="AO22" s="538"/>
      <c r="AP22" s="538"/>
      <c r="AQ22" s="538"/>
      <c r="AR22" s="538"/>
      <c r="AS22" s="600"/>
      <c r="AT22" s="600"/>
      <c r="AU22" s="600"/>
      <c r="AV22" s="600"/>
      <c r="AW22" s="600"/>
      <c r="AX22" s="600"/>
      <c r="AY22" s="600"/>
      <c r="AZ22" s="600"/>
      <c r="BA22" s="600">
        <f>Sep!G26</f>
        <v>0</v>
      </c>
      <c r="BB22" s="600">
        <f>Oct!G26</f>
        <v>0</v>
      </c>
      <c r="BC22" s="600"/>
      <c r="BD22" s="600"/>
      <c r="BF22" s="262"/>
    </row>
    <row r="23" spans="1:58" collapsed="1">
      <c r="A23" s="481"/>
      <c r="B23" s="479" t="s">
        <v>40</v>
      </c>
      <c r="C23" s="489">
        <f t="shared" si="63"/>
        <v>3896834</v>
      </c>
      <c r="D23" s="489">
        <f t="shared" si="64"/>
        <v>3933939</v>
      </c>
      <c r="E23" s="489">
        <v>344046</v>
      </c>
      <c r="F23" s="489">
        <v>595792</v>
      </c>
      <c r="G23" s="489">
        <v>396185</v>
      </c>
      <c r="H23" s="489">
        <v>588721</v>
      </c>
      <c r="I23" s="538">
        <v>534459</v>
      </c>
      <c r="J23" s="538">
        <v>540817</v>
      </c>
      <c r="K23" s="538">
        <v>425342</v>
      </c>
      <c r="L23" s="538">
        <v>407197</v>
      </c>
      <c r="M23" s="538">
        <v>340947</v>
      </c>
      <c r="N23" s="538">
        <v>361843</v>
      </c>
      <c r="O23" s="538">
        <v>251184</v>
      </c>
      <c r="P23" s="538">
        <v>332621</v>
      </c>
      <c r="Q23" s="538">
        <v>330926</v>
      </c>
      <c r="R23" s="538">
        <v>483057</v>
      </c>
      <c r="S23" s="538">
        <v>518418</v>
      </c>
      <c r="T23" s="538">
        <v>377457</v>
      </c>
      <c r="U23" s="538">
        <v>513680</v>
      </c>
      <c r="V23" s="538">
        <v>431734</v>
      </c>
      <c r="W23" s="538">
        <v>335852</v>
      </c>
      <c r="X23" s="538">
        <v>432834</v>
      </c>
      <c r="Y23" s="538">
        <v>249954</v>
      </c>
      <c r="Z23" s="538">
        <v>322862</v>
      </c>
      <c r="AA23" s="538">
        <v>247078</v>
      </c>
      <c r="AB23" s="538">
        <v>274690</v>
      </c>
      <c r="AC23" s="538">
        <v>336073</v>
      </c>
      <c r="AD23" s="538">
        <v>365802</v>
      </c>
      <c r="AE23" s="538">
        <v>541377</v>
      </c>
      <c r="AF23" s="538">
        <v>331801</v>
      </c>
      <c r="AG23" s="538">
        <f>Jan!$G27</f>
        <v>284721</v>
      </c>
      <c r="AH23" s="538">
        <f>Feb!$G27</f>
        <v>399264</v>
      </c>
      <c r="AI23" s="538">
        <f>Mar!$G27</f>
        <v>334116</v>
      </c>
      <c r="AJ23" s="538">
        <f>Apr!$G27</f>
        <v>288026</v>
      </c>
      <c r="AK23" s="538">
        <f>May!$G27</f>
        <v>302382</v>
      </c>
      <c r="AL23" s="538">
        <f>Jun!$G27</f>
        <v>289055</v>
      </c>
      <c r="AM23" s="538">
        <f>Jul!$G27</f>
        <v>274504</v>
      </c>
      <c r="AN23" s="538">
        <f>Aug!$G27</f>
        <v>291721</v>
      </c>
      <c r="AO23" s="538">
        <f>Sep!$G27</f>
        <v>348558</v>
      </c>
      <c r="AP23" s="538">
        <f>Oct!$G27</f>
        <v>248414</v>
      </c>
      <c r="AQ23" s="538">
        <f>Nov!$G27</f>
        <v>458380</v>
      </c>
      <c r="AR23" s="538">
        <f>Dec!$G27</f>
        <v>377693</v>
      </c>
      <c r="AS23" s="600">
        <f>Jan!$G27</f>
        <v>284721</v>
      </c>
      <c r="AT23" s="600">
        <f>Feb!$G27</f>
        <v>399264</v>
      </c>
      <c r="AU23" s="600">
        <f>Mar!$G27</f>
        <v>334116</v>
      </c>
      <c r="AV23" s="600">
        <f>Apr!$G27</f>
        <v>288026</v>
      </c>
      <c r="AW23" s="600">
        <f>May!$G27</f>
        <v>302382</v>
      </c>
      <c r="AX23" s="600">
        <f>Jun!$G27</f>
        <v>289055</v>
      </c>
      <c r="AY23" s="600">
        <f>Jul!$G27</f>
        <v>274504</v>
      </c>
      <c r="AZ23" s="600">
        <f>Aug!$G27</f>
        <v>291721</v>
      </c>
      <c r="BA23" s="600">
        <f>Sep!G27</f>
        <v>348558</v>
      </c>
      <c r="BB23" s="600">
        <f>Oct!G27</f>
        <v>248414</v>
      </c>
      <c r="BC23" s="600">
        <f>Nov!G27</f>
        <v>458380</v>
      </c>
      <c r="BD23" s="600">
        <f>Dec!$G27</f>
        <v>377693</v>
      </c>
      <c r="BF23" s="262"/>
    </row>
    <row r="24" spans="1:58" hidden="1" outlineLevel="1">
      <c r="A24" s="481"/>
      <c r="B24" s="567" t="s">
        <v>41</v>
      </c>
      <c r="C24" s="489">
        <f t="shared" si="63"/>
        <v>0</v>
      </c>
      <c r="D24" s="489">
        <f t="shared" si="64"/>
        <v>0</v>
      </c>
      <c r="E24" s="489">
        <v>0</v>
      </c>
      <c r="F24" s="489">
        <v>0</v>
      </c>
      <c r="G24" s="489">
        <v>0</v>
      </c>
      <c r="H24" s="489">
        <v>0</v>
      </c>
      <c r="I24" s="538"/>
      <c r="J24" s="538"/>
      <c r="K24" s="538"/>
      <c r="L24" s="538"/>
      <c r="M24" s="538"/>
      <c r="N24" s="538"/>
      <c r="O24" s="538"/>
      <c r="P24" s="538"/>
      <c r="Q24" s="538"/>
      <c r="R24" s="538"/>
      <c r="S24" s="538"/>
      <c r="T24" s="538"/>
      <c r="U24" s="538"/>
      <c r="V24" s="538"/>
      <c r="W24" s="538"/>
      <c r="X24" s="538"/>
      <c r="Y24" s="538"/>
      <c r="Z24" s="538"/>
      <c r="AA24" s="538"/>
      <c r="AB24" s="538"/>
      <c r="AC24" s="538"/>
      <c r="AD24" s="538"/>
      <c r="AE24" s="538"/>
      <c r="AF24" s="538"/>
      <c r="AG24" s="538"/>
      <c r="AH24" s="538"/>
      <c r="AI24" s="538"/>
      <c r="AJ24" s="538"/>
      <c r="AK24" s="538"/>
      <c r="AL24" s="538"/>
      <c r="AM24" s="538"/>
      <c r="AN24" s="538"/>
      <c r="AO24" s="538"/>
      <c r="AP24" s="538"/>
      <c r="AQ24" s="538"/>
      <c r="AR24" s="538"/>
      <c r="AS24" s="600"/>
      <c r="AT24" s="600"/>
      <c r="AU24" s="600"/>
      <c r="AV24" s="600"/>
      <c r="AW24" s="600"/>
      <c r="AX24" s="600"/>
      <c r="AY24" s="600"/>
      <c r="AZ24" s="600"/>
      <c r="BA24" s="600"/>
      <c r="BB24" s="600"/>
      <c r="BC24" s="600"/>
      <c r="BD24" s="600"/>
      <c r="BF24" s="262"/>
    </row>
    <row r="25" spans="1:58" collapsed="1">
      <c r="A25" s="481"/>
      <c r="B25" s="558" t="s">
        <v>42</v>
      </c>
      <c r="C25" s="489">
        <f t="shared" si="63"/>
        <v>0</v>
      </c>
      <c r="D25" s="489">
        <f t="shared" si="64"/>
        <v>0</v>
      </c>
      <c r="E25" s="489">
        <v>0</v>
      </c>
      <c r="F25" s="489">
        <v>0</v>
      </c>
      <c r="G25" s="489">
        <v>0</v>
      </c>
      <c r="H25" s="489">
        <v>0</v>
      </c>
      <c r="I25" s="538">
        <v>0</v>
      </c>
      <c r="J25" s="538">
        <v>0</v>
      </c>
      <c r="K25" s="538">
        <v>0</v>
      </c>
      <c r="L25" s="538">
        <v>0</v>
      </c>
      <c r="M25" s="538">
        <v>0</v>
      </c>
      <c r="N25" s="538">
        <v>0</v>
      </c>
      <c r="O25" s="538">
        <v>0</v>
      </c>
      <c r="P25" s="538">
        <v>0</v>
      </c>
      <c r="Q25" s="538">
        <v>0</v>
      </c>
      <c r="R25" s="538">
        <v>0</v>
      </c>
      <c r="S25" s="538">
        <v>0</v>
      </c>
      <c r="T25" s="538">
        <v>0</v>
      </c>
      <c r="U25" s="538">
        <v>0</v>
      </c>
      <c r="V25" s="538">
        <v>0</v>
      </c>
      <c r="W25" s="538">
        <v>0</v>
      </c>
      <c r="X25" s="538">
        <v>0</v>
      </c>
      <c r="Y25" s="538">
        <v>0</v>
      </c>
      <c r="Z25" s="538">
        <v>0</v>
      </c>
      <c r="AA25" s="538">
        <v>0</v>
      </c>
      <c r="AB25" s="538">
        <v>0</v>
      </c>
      <c r="AC25" s="538">
        <v>0</v>
      </c>
      <c r="AD25" s="538">
        <v>0</v>
      </c>
      <c r="AE25" s="538">
        <v>0</v>
      </c>
      <c r="AF25" s="538">
        <v>0</v>
      </c>
      <c r="AG25" s="538">
        <f>Jan!$G29</f>
        <v>0</v>
      </c>
      <c r="AH25" s="538">
        <f>Feb!$G29</f>
        <v>0</v>
      </c>
      <c r="AI25" s="538">
        <f>Mar!$G29</f>
        <v>0</v>
      </c>
      <c r="AJ25" s="538">
        <f>Apr!$G29</f>
        <v>0</v>
      </c>
      <c r="AK25" s="538">
        <f>May!$G29</f>
        <v>0</v>
      </c>
      <c r="AL25" s="538">
        <f>Jun!$G29</f>
        <v>0</v>
      </c>
      <c r="AM25" s="538">
        <f>Jul!$G29</f>
        <v>0</v>
      </c>
      <c r="AN25" s="538">
        <f>Aug!$G29</f>
        <v>0</v>
      </c>
      <c r="AO25" s="538">
        <f>Sep!$G29</f>
        <v>0</v>
      </c>
      <c r="AP25" s="538">
        <f>Oct!$G29</f>
        <v>0</v>
      </c>
      <c r="AQ25" s="538">
        <f>Nov!$G29</f>
        <v>0</v>
      </c>
      <c r="AR25" s="538">
        <f>Dec!$G29</f>
        <v>0</v>
      </c>
      <c r="AS25" s="600">
        <f>Jan!$G29</f>
        <v>0</v>
      </c>
      <c r="AT25" s="600">
        <f>Feb!$G29</f>
        <v>0</v>
      </c>
      <c r="AU25" s="600">
        <f>Mar!$G29</f>
        <v>0</v>
      </c>
      <c r="AV25" s="600">
        <f>Apr!$G29</f>
        <v>0</v>
      </c>
      <c r="AW25" s="600">
        <f>May!$G29</f>
        <v>0</v>
      </c>
      <c r="AX25" s="600">
        <f>Jun!$G29</f>
        <v>0</v>
      </c>
      <c r="AY25" s="600">
        <f>Jul!$G29</f>
        <v>0</v>
      </c>
      <c r="AZ25" s="600">
        <f>Aug!$G29</f>
        <v>0</v>
      </c>
      <c r="BA25" s="600">
        <f>Sep!G29</f>
        <v>0</v>
      </c>
      <c r="BB25" s="600">
        <f>Oct!G29</f>
        <v>0</v>
      </c>
      <c r="BC25" s="600">
        <f>Nov!G29</f>
        <v>0</v>
      </c>
      <c r="BD25" s="600">
        <f>Dec!$G29</f>
        <v>0</v>
      </c>
      <c r="BF25" s="262"/>
    </row>
    <row r="26" spans="1:58" hidden="1" outlineLevel="1">
      <c r="A26" s="481"/>
      <c r="B26" s="567" t="s">
        <v>43</v>
      </c>
      <c r="C26" s="489">
        <f t="shared" si="63"/>
        <v>0</v>
      </c>
      <c r="D26" s="489">
        <f t="shared" si="64"/>
        <v>0</v>
      </c>
      <c r="E26" s="489">
        <v>0</v>
      </c>
      <c r="F26" s="489">
        <v>0</v>
      </c>
      <c r="G26" s="489">
        <v>0</v>
      </c>
      <c r="H26" s="489">
        <v>0</v>
      </c>
      <c r="I26" s="538"/>
      <c r="J26" s="538"/>
      <c r="K26" s="538"/>
      <c r="L26" s="538"/>
      <c r="M26" s="538"/>
      <c r="N26" s="538"/>
      <c r="O26" s="538"/>
      <c r="P26" s="538"/>
      <c r="Q26" s="538"/>
      <c r="R26" s="538"/>
      <c r="S26" s="538"/>
      <c r="T26" s="538"/>
      <c r="U26" s="538"/>
      <c r="V26" s="538"/>
      <c r="W26" s="538"/>
      <c r="X26" s="538"/>
      <c r="Y26" s="538"/>
      <c r="Z26" s="538"/>
      <c r="AA26" s="538"/>
      <c r="AB26" s="538"/>
      <c r="AC26" s="538"/>
      <c r="AD26" s="538"/>
      <c r="AE26" s="538"/>
      <c r="AF26" s="538"/>
      <c r="AG26" s="538"/>
      <c r="AH26" s="538"/>
      <c r="AI26" s="538"/>
      <c r="AJ26" s="538"/>
      <c r="AK26" s="538"/>
      <c r="AL26" s="538"/>
      <c r="AM26" s="538"/>
      <c r="AN26" s="538"/>
      <c r="AO26" s="538"/>
      <c r="AP26" s="538"/>
      <c r="AQ26" s="538"/>
      <c r="AR26" s="538"/>
      <c r="AS26" s="600"/>
      <c r="AT26" s="600"/>
      <c r="AU26" s="600"/>
      <c r="AV26" s="600"/>
      <c r="AW26" s="600"/>
      <c r="AX26" s="600"/>
      <c r="AY26" s="600"/>
      <c r="AZ26" s="600"/>
      <c r="BA26" s="600"/>
      <c r="BB26" s="600"/>
      <c r="BC26" s="600"/>
      <c r="BD26" s="600"/>
      <c r="BF26" s="262"/>
    </row>
    <row r="27" spans="1:58" collapsed="1">
      <c r="A27" s="481"/>
      <c r="B27" s="479" t="s">
        <v>74</v>
      </c>
      <c r="C27" s="489">
        <f t="shared" si="63"/>
        <v>36224919</v>
      </c>
      <c r="D27" s="489">
        <f t="shared" si="64"/>
        <v>35179950</v>
      </c>
      <c r="E27" s="489">
        <v>1818699</v>
      </c>
      <c r="F27" s="489">
        <v>2531895</v>
      </c>
      <c r="G27" s="489">
        <v>2936207</v>
      </c>
      <c r="H27" s="489">
        <v>3675604</v>
      </c>
      <c r="I27" s="538">
        <v>3517013</v>
      </c>
      <c r="J27" s="538">
        <v>3103551</v>
      </c>
      <c r="K27" s="538">
        <v>2882510</v>
      </c>
      <c r="L27" s="538">
        <v>2426511</v>
      </c>
      <c r="M27" s="538">
        <v>2096539</v>
      </c>
      <c r="N27" s="538">
        <v>1865473</v>
      </c>
      <c r="O27" s="538">
        <v>1934510</v>
      </c>
      <c r="P27" s="538">
        <v>1781233</v>
      </c>
      <c r="Q27" s="538">
        <v>1975142</v>
      </c>
      <c r="R27" s="538">
        <v>2307678</v>
      </c>
      <c r="S27" s="538">
        <v>3052956</v>
      </c>
      <c r="T27" s="538">
        <v>3180451</v>
      </c>
      <c r="U27" s="538">
        <v>3286166</v>
      </c>
      <c r="V27" s="538">
        <v>2735718</v>
      </c>
      <c r="W27" s="538">
        <v>2608561</v>
      </c>
      <c r="X27" s="538">
        <v>2436951</v>
      </c>
      <c r="Y27" s="538">
        <v>2203136</v>
      </c>
      <c r="Z27" s="538">
        <v>1941783</v>
      </c>
      <c r="AA27" s="538">
        <v>1912819</v>
      </c>
      <c r="AB27" s="538">
        <v>1943542</v>
      </c>
      <c r="AC27" s="538">
        <v>1945064</v>
      </c>
      <c r="AD27" s="538">
        <v>2201297</v>
      </c>
      <c r="AE27" s="538">
        <v>3020174</v>
      </c>
      <c r="AF27" s="538">
        <v>3321068</v>
      </c>
      <c r="AG27" s="538">
        <f>Jan!$G31</f>
        <v>4261630</v>
      </c>
      <c r="AH27" s="538">
        <f>Feb!$G31</f>
        <v>3513623</v>
      </c>
      <c r="AI27" s="538">
        <f>Mar!$G31</f>
        <v>3381923</v>
      </c>
      <c r="AJ27" s="538">
        <f>Apr!$G31</f>
        <v>2868630</v>
      </c>
      <c r="AK27" s="538">
        <f>May!$G31</f>
        <v>2501903</v>
      </c>
      <c r="AL27" s="538">
        <f>Jun!$G31</f>
        <v>2531843</v>
      </c>
      <c r="AM27" s="538">
        <f>Jul!$G31</f>
        <v>2144434</v>
      </c>
      <c r="AN27" s="538">
        <f>Aug!$G31</f>
        <v>2338940</v>
      </c>
      <c r="AO27" s="538">
        <f>Sep!$G31</f>
        <v>2209861</v>
      </c>
      <c r="AP27" s="538">
        <f>Oct!$G31</f>
        <v>3085921</v>
      </c>
      <c r="AQ27" s="538">
        <f>Nov!$G31</f>
        <v>3418526</v>
      </c>
      <c r="AR27" s="538">
        <f>Dec!$G31</f>
        <v>3967685</v>
      </c>
      <c r="AS27" s="600">
        <f>Jan!$G31</f>
        <v>4261630</v>
      </c>
      <c r="AT27" s="600">
        <f>Feb!$G31</f>
        <v>3513623</v>
      </c>
      <c r="AU27" s="600">
        <f>Mar!$G31</f>
        <v>3381923</v>
      </c>
      <c r="AV27" s="600">
        <f>Apr!$G31</f>
        <v>2868630</v>
      </c>
      <c r="AW27" s="600">
        <f>May!$G31</f>
        <v>2501903</v>
      </c>
      <c r="AX27" s="600">
        <f>Jun!$G31</f>
        <v>2531843</v>
      </c>
      <c r="AY27" s="600">
        <f>Jul!$G31</f>
        <v>2144434</v>
      </c>
      <c r="AZ27" s="600">
        <f>Aug!$G31</f>
        <v>2338940</v>
      </c>
      <c r="BA27" s="600">
        <f>Sep!G31</f>
        <v>2209861</v>
      </c>
      <c r="BB27" s="600">
        <f>Oct!G31</f>
        <v>3085921</v>
      </c>
      <c r="BC27" s="600">
        <f>Nov!G31</f>
        <v>3418526</v>
      </c>
      <c r="BD27" s="600">
        <f>Dec!$G31</f>
        <v>3967685</v>
      </c>
      <c r="BF27" s="262"/>
    </row>
    <row r="28" spans="1:58" ht="16.5" thickBot="1">
      <c r="A28" s="481"/>
      <c r="B28" s="479" t="s">
        <v>21</v>
      </c>
      <c r="C28" s="489">
        <f>SUM(AG28:AR28)</f>
        <v>223692149</v>
      </c>
      <c r="D28" s="537">
        <f>SUM(S28:AD28)</f>
        <v>179344916</v>
      </c>
      <c r="E28" s="537">
        <f>SUM(E19:E27)</f>
        <v>6409834</v>
      </c>
      <c r="F28" s="537">
        <f>SUM(F19:F27)</f>
        <v>16252041</v>
      </c>
      <c r="G28" s="537">
        <f t="shared" ref="G28:H28" si="65">SUM(G19:G27)</f>
        <v>24054373</v>
      </c>
      <c r="H28" s="537">
        <f t="shared" si="65"/>
        <v>34418458</v>
      </c>
      <c r="I28" s="537">
        <v>31759465</v>
      </c>
      <c r="J28" s="537">
        <v>30732294</v>
      </c>
      <c r="K28" s="537">
        <v>22715329</v>
      </c>
      <c r="L28" s="537">
        <v>14000465</v>
      </c>
      <c r="M28" s="537">
        <v>8312398</v>
      </c>
      <c r="N28" s="537">
        <v>6514751</v>
      </c>
      <c r="O28" s="537">
        <v>5757349</v>
      </c>
      <c r="P28" s="537">
        <v>5525718</v>
      </c>
      <c r="Q28" s="537">
        <v>6773435</v>
      </c>
      <c r="R28" s="537">
        <v>10520430</v>
      </c>
      <c r="S28" s="537">
        <v>25535994</v>
      </c>
      <c r="T28" s="537">
        <v>28660002</v>
      </c>
      <c r="U28" s="537">
        <v>29883272</v>
      </c>
      <c r="V28" s="537">
        <f t="shared" ref="V28:AR28" si="66">SUM(V19:V27)</f>
        <v>21809394</v>
      </c>
      <c r="W28" s="537">
        <f t="shared" si="66"/>
        <v>17454090</v>
      </c>
      <c r="X28" s="537">
        <f t="shared" si="66"/>
        <v>14032685</v>
      </c>
      <c r="Y28" s="537">
        <f t="shared" si="66"/>
        <v>7651890</v>
      </c>
      <c r="Z28" s="537">
        <f t="shared" si="66"/>
        <v>5795038</v>
      </c>
      <c r="AA28" s="537">
        <f t="shared" si="66"/>
        <v>5628267</v>
      </c>
      <c r="AB28" s="537">
        <f t="shared" si="66"/>
        <v>5459507</v>
      </c>
      <c r="AC28" s="537">
        <f t="shared" si="66"/>
        <v>7409442</v>
      </c>
      <c r="AD28" s="537">
        <f t="shared" si="66"/>
        <v>10025335</v>
      </c>
      <c r="AE28" s="537">
        <f t="shared" si="66"/>
        <v>24443601</v>
      </c>
      <c r="AF28" s="537">
        <f t="shared" si="66"/>
        <v>29286544</v>
      </c>
      <c r="AG28" s="537">
        <f>SUM(AG19:AG27)</f>
        <v>40584714</v>
      </c>
      <c r="AH28" s="537">
        <f t="shared" si="66"/>
        <v>30357660</v>
      </c>
      <c r="AI28" s="537">
        <f t="shared" si="66"/>
        <v>23658883</v>
      </c>
      <c r="AJ28" s="537">
        <f t="shared" si="66"/>
        <v>16834972</v>
      </c>
      <c r="AK28" s="537">
        <f t="shared" si="66"/>
        <v>10179280</v>
      </c>
      <c r="AL28" s="537">
        <f>SUM(AL19:AL27)</f>
        <v>7244961</v>
      </c>
      <c r="AM28" s="537">
        <f>SUM(AM19:AM27)</f>
        <v>5938596</v>
      </c>
      <c r="AN28" s="537">
        <f t="shared" si="66"/>
        <v>6177700</v>
      </c>
      <c r="AO28" s="537">
        <f>SUM(AO19:AO27)</f>
        <v>7874888</v>
      </c>
      <c r="AP28" s="537">
        <f t="shared" si="66"/>
        <v>15813981</v>
      </c>
      <c r="AQ28" s="537">
        <f t="shared" si="66"/>
        <v>24062058</v>
      </c>
      <c r="AR28" s="537">
        <f t="shared" si="66"/>
        <v>34964456</v>
      </c>
      <c r="AS28" s="537">
        <f>SUM(AS19:AS27)</f>
        <v>40584714</v>
      </c>
      <c r="AT28" s="537">
        <f t="shared" ref="AT28:AW28" si="67">SUM(AT19:AT27)</f>
        <v>30357660</v>
      </c>
      <c r="AU28" s="537">
        <f t="shared" si="67"/>
        <v>23658883</v>
      </c>
      <c r="AV28" s="537">
        <f t="shared" si="67"/>
        <v>16834972</v>
      </c>
      <c r="AW28" s="537">
        <f t="shared" si="67"/>
        <v>10179280</v>
      </c>
      <c r="AX28" s="537">
        <f>SUM(AX19:AX27)</f>
        <v>7244961</v>
      </c>
      <c r="AY28" s="537">
        <f>SUM(AY19:AY27)</f>
        <v>5938596</v>
      </c>
      <c r="AZ28" s="537">
        <f t="shared" ref="AZ28" si="68">SUM(AZ19:AZ27)</f>
        <v>6177700</v>
      </c>
      <c r="BA28" s="537">
        <f>SUM(BA19:BA27)</f>
        <v>7874888</v>
      </c>
      <c r="BB28" s="537">
        <f>SUM(BB19:BB27)</f>
        <v>15813981</v>
      </c>
      <c r="BC28" s="537">
        <f t="shared" ref="BC28:BD28" si="69">SUM(BC19:BC27)</f>
        <v>24062058</v>
      </c>
      <c r="BD28" s="537">
        <f t="shared" si="69"/>
        <v>34964456</v>
      </c>
      <c r="BF28" s="262"/>
    </row>
    <row r="29" spans="1:58" ht="16.5" thickTop="1">
      <c r="A29" s="481"/>
      <c r="B29" s="479" t="s">
        <v>264</v>
      </c>
      <c r="C29" s="489">
        <f>SUM(AG29:AR29)</f>
        <v>187919683</v>
      </c>
      <c r="D29" s="489">
        <f>SUM(S29:AD29)</f>
        <v>179344916</v>
      </c>
      <c r="E29" s="489">
        <v>6409834</v>
      </c>
      <c r="F29" s="489">
        <v>16252041</v>
      </c>
      <c r="G29" s="489">
        <v>24054373</v>
      </c>
      <c r="H29" s="489">
        <v>34418458</v>
      </c>
      <c r="I29" s="489">
        <v>31759465</v>
      </c>
      <c r="J29" s="489">
        <v>30732294</v>
      </c>
      <c r="K29" s="489">
        <v>22715329</v>
      </c>
      <c r="L29" s="489">
        <v>14000465</v>
      </c>
      <c r="M29" s="489">
        <v>8312398</v>
      </c>
      <c r="N29" s="489">
        <v>6514751</v>
      </c>
      <c r="O29" s="489">
        <v>5757349</v>
      </c>
      <c r="P29" s="489">
        <v>5525718</v>
      </c>
      <c r="Q29" s="489">
        <v>6773435</v>
      </c>
      <c r="R29" s="489">
        <v>10520430</v>
      </c>
      <c r="S29" s="489">
        <v>25535994</v>
      </c>
      <c r="T29" s="489">
        <v>28660002</v>
      </c>
      <c r="U29" s="489">
        <v>29883272</v>
      </c>
      <c r="V29" s="489">
        <v>21809394</v>
      </c>
      <c r="W29" s="489">
        <v>17454090</v>
      </c>
      <c r="X29" s="489">
        <v>14032685</v>
      </c>
      <c r="Y29" s="489">
        <v>7651890</v>
      </c>
      <c r="Z29" s="489">
        <v>5795038</v>
      </c>
      <c r="AA29" s="489">
        <v>5628267</v>
      </c>
      <c r="AB29" s="556">
        <v>5459507</v>
      </c>
      <c r="AC29" s="489">
        <v>7409442</v>
      </c>
      <c r="AD29" s="489">
        <v>10025335</v>
      </c>
      <c r="AE29" s="489">
        <v>24443601</v>
      </c>
      <c r="AF29" s="489">
        <v>29286544</v>
      </c>
      <c r="AG29" s="489">
        <v>30419523</v>
      </c>
      <c r="AH29" s="489">
        <v>22877234</v>
      </c>
      <c r="AI29" s="489">
        <v>20236365</v>
      </c>
      <c r="AJ29" s="489">
        <v>10637648</v>
      </c>
      <c r="AK29" s="489">
        <v>8282555</v>
      </c>
      <c r="AL29" s="489">
        <v>6819717</v>
      </c>
      <c r="AM29" s="489">
        <v>6029401</v>
      </c>
      <c r="AN29" s="556">
        <v>6166525</v>
      </c>
      <c r="AO29" s="489">
        <v>7391501</v>
      </c>
      <c r="AP29" s="489">
        <v>13644627</v>
      </c>
      <c r="AQ29" s="489">
        <v>18553428</v>
      </c>
      <c r="AR29" s="489">
        <v>36861159</v>
      </c>
      <c r="AS29" s="489">
        <v>40584714</v>
      </c>
      <c r="AT29" s="489">
        <v>30357660</v>
      </c>
      <c r="AU29" s="489">
        <v>23658883</v>
      </c>
      <c r="AV29" s="489">
        <v>16834972</v>
      </c>
      <c r="AW29" s="489">
        <v>10179280</v>
      </c>
      <c r="AX29" s="489">
        <v>7244961</v>
      </c>
      <c r="AY29" s="489">
        <v>5938596</v>
      </c>
      <c r="AZ29" s="556">
        <v>6177700</v>
      </c>
      <c r="BA29" s="556">
        <v>7874888</v>
      </c>
      <c r="BB29" s="556">
        <v>15813981</v>
      </c>
      <c r="BC29" s="556">
        <v>24062058</v>
      </c>
      <c r="BD29" s="489">
        <v>34964456</v>
      </c>
      <c r="BE29" s="570"/>
    </row>
    <row r="30" spans="1:58">
      <c r="A30" s="481" t="s">
        <v>22</v>
      </c>
      <c r="E30" s="531"/>
      <c r="F30" s="531"/>
      <c r="G30" s="531"/>
      <c r="H30" s="531"/>
      <c r="I30" s="531"/>
      <c r="J30" s="531"/>
      <c r="K30" s="531"/>
      <c r="L30" s="531"/>
      <c r="M30" s="531"/>
      <c r="N30" s="531"/>
      <c r="O30" s="531"/>
      <c r="P30" s="531"/>
      <c r="Q30" s="531"/>
      <c r="R30" s="531"/>
      <c r="S30" s="531"/>
      <c r="T30" s="531"/>
      <c r="U30" s="531"/>
      <c r="V30" s="531"/>
      <c r="W30" s="531"/>
      <c r="X30" s="531"/>
      <c r="Y30" s="531"/>
      <c r="Z30" s="531"/>
      <c r="AA30" s="531"/>
      <c r="AB30" s="531"/>
      <c r="AC30" s="531"/>
      <c r="AD30" s="531"/>
      <c r="AE30" s="531"/>
      <c r="AF30" s="531"/>
      <c r="AG30" s="531"/>
      <c r="AH30" s="531"/>
      <c r="AI30" s="531"/>
      <c r="AJ30" s="531"/>
      <c r="AK30" s="531"/>
      <c r="AL30" s="531"/>
      <c r="AM30" s="531"/>
      <c r="AN30" s="531"/>
      <c r="AO30" s="531"/>
      <c r="AP30" s="531"/>
      <c r="AQ30" s="531"/>
      <c r="AR30" s="531"/>
      <c r="AS30" s="531"/>
      <c r="AT30" s="531"/>
      <c r="AU30" s="531"/>
      <c r="AV30" s="531"/>
      <c r="AW30" s="531"/>
      <c r="AX30" s="531"/>
      <c r="AY30" s="531"/>
      <c r="AZ30" s="531"/>
      <c r="BA30" s="531"/>
      <c r="BB30" s="531"/>
      <c r="BC30" s="531"/>
      <c r="BD30" s="531"/>
    </row>
    <row r="31" spans="1:58">
      <c r="A31" s="482">
        <v>191000</v>
      </c>
      <c r="B31" s="483" t="s">
        <v>252</v>
      </c>
      <c r="E31" s="482">
        <v>201309</v>
      </c>
      <c r="F31" s="482">
        <f>E31+1</f>
        <v>201310</v>
      </c>
      <c r="G31" s="482">
        <f>F31+1</f>
        <v>201311</v>
      </c>
      <c r="H31" s="482">
        <f>G31+1</f>
        <v>201312</v>
      </c>
      <c r="I31" s="482">
        <v>201401</v>
      </c>
      <c r="J31" s="482">
        <v>201402</v>
      </c>
      <c r="K31" s="482">
        <v>201403</v>
      </c>
      <c r="L31" s="482">
        <v>201404</v>
      </c>
      <c r="M31" s="482">
        <v>201405</v>
      </c>
      <c r="N31" s="482">
        <v>201406</v>
      </c>
      <c r="O31" s="482">
        <v>201407</v>
      </c>
      <c r="P31" s="482">
        <v>201408</v>
      </c>
      <c r="Q31" s="482">
        <v>201409</v>
      </c>
      <c r="R31" s="482">
        <v>201410</v>
      </c>
      <c r="S31" s="482">
        <v>201411</v>
      </c>
      <c r="T31" s="482">
        <v>201412</v>
      </c>
      <c r="U31" s="482">
        <v>201501</v>
      </c>
      <c r="V31" s="482">
        <f t="shared" ref="V31" si="70">U31+1</f>
        <v>201502</v>
      </c>
      <c r="W31" s="482">
        <f t="shared" ref="W31" si="71">V31+1</f>
        <v>201503</v>
      </c>
      <c r="X31" s="482">
        <f t="shared" ref="X31" si="72">W31+1</f>
        <v>201504</v>
      </c>
      <c r="Y31" s="482">
        <f t="shared" ref="Y31" si="73">X31+1</f>
        <v>201505</v>
      </c>
      <c r="Z31" s="482">
        <f t="shared" ref="Z31" si="74">Y31+1</f>
        <v>201506</v>
      </c>
      <c r="AA31" s="482">
        <f t="shared" ref="AA31" si="75">Z31+1</f>
        <v>201507</v>
      </c>
      <c r="AB31" s="482">
        <f t="shared" ref="AB31" si="76">AA31+1</f>
        <v>201508</v>
      </c>
      <c r="AC31" s="482">
        <f t="shared" ref="AC31" si="77">AB31+1</f>
        <v>201509</v>
      </c>
      <c r="AD31" s="482">
        <f t="shared" ref="AD31" si="78">AC31+1</f>
        <v>201510</v>
      </c>
      <c r="AE31" s="482">
        <f>AD31+1</f>
        <v>201511</v>
      </c>
      <c r="AF31" s="482">
        <f t="shared" ref="AF31" si="79">AE31+1</f>
        <v>201512</v>
      </c>
      <c r="AG31" s="482">
        <v>201601</v>
      </c>
      <c r="AH31" s="482">
        <f>AG31+1</f>
        <v>201602</v>
      </c>
      <c r="AI31" s="482">
        <f t="shared" ref="AI31:AR31" si="80">AH31+1</f>
        <v>201603</v>
      </c>
      <c r="AJ31" s="482">
        <f t="shared" si="80"/>
        <v>201604</v>
      </c>
      <c r="AK31" s="482">
        <f t="shared" si="80"/>
        <v>201605</v>
      </c>
      <c r="AL31" s="482">
        <f t="shared" si="80"/>
        <v>201606</v>
      </c>
      <c r="AM31" s="482">
        <f t="shared" si="80"/>
        <v>201607</v>
      </c>
      <c r="AN31" s="482">
        <f t="shared" si="80"/>
        <v>201608</v>
      </c>
      <c r="AO31" s="482">
        <f t="shared" si="80"/>
        <v>201609</v>
      </c>
      <c r="AP31" s="482">
        <f t="shared" si="80"/>
        <v>201610</v>
      </c>
      <c r="AQ31" s="482">
        <f t="shared" si="80"/>
        <v>201611</v>
      </c>
      <c r="AR31" s="482">
        <f t="shared" si="80"/>
        <v>201612</v>
      </c>
      <c r="AS31" s="482">
        <f>AS3</f>
        <v>201701</v>
      </c>
      <c r="AT31" s="482">
        <f>AS31+1</f>
        <v>201702</v>
      </c>
      <c r="AU31" s="482">
        <f t="shared" ref="AU31" si="81">AT31+1</f>
        <v>201703</v>
      </c>
      <c r="AV31" s="482">
        <f t="shared" ref="AV31" si="82">AU31+1</f>
        <v>201704</v>
      </c>
      <c r="AW31" s="482">
        <f t="shared" ref="AW31" si="83">AV31+1</f>
        <v>201705</v>
      </c>
      <c r="AX31" s="482">
        <f t="shared" ref="AX31" si="84">AW31+1</f>
        <v>201706</v>
      </c>
      <c r="AY31" s="482">
        <f t="shared" ref="AY31" si="85">AX31+1</f>
        <v>201707</v>
      </c>
      <c r="AZ31" s="482">
        <f t="shared" ref="AZ31" si="86">AY31+1</f>
        <v>201708</v>
      </c>
      <c r="BA31" s="482">
        <f t="shared" ref="BA31" si="87">AZ31+1</f>
        <v>201709</v>
      </c>
      <c r="BB31" s="482">
        <f t="shared" ref="BB31" si="88">BA31+1</f>
        <v>201710</v>
      </c>
      <c r="BC31" s="482">
        <f t="shared" ref="BC31" si="89">BB31+1</f>
        <v>201711</v>
      </c>
      <c r="BD31" s="482">
        <f t="shared" ref="BD31" si="90">BC31+1</f>
        <v>201712</v>
      </c>
    </row>
    <row r="32" spans="1:58">
      <c r="A32" s="481"/>
      <c r="B32" s="479" t="s">
        <v>37</v>
      </c>
      <c r="E32" s="490">
        <v>3.3950000000000001E-2</v>
      </c>
      <c r="F32" s="490">
        <v>3.3950000000000001E-2</v>
      </c>
      <c r="G32" s="493" t="s">
        <v>265</v>
      </c>
      <c r="H32" s="493" t="s">
        <v>265</v>
      </c>
      <c r="I32" s="490">
        <v>-2.9299999999999999E-3</v>
      </c>
      <c r="J32" s="490">
        <v>-2.9299999999999999E-3</v>
      </c>
      <c r="K32" s="490">
        <v>-2.9299999999999999E-3</v>
      </c>
      <c r="L32" s="490">
        <v>-2.9299999999999999E-3</v>
      </c>
      <c r="M32" s="490">
        <v>-2.9299999999999999E-3</v>
      </c>
      <c r="N32" s="490">
        <v>-2.9299999999999999E-3</v>
      </c>
      <c r="O32" s="490">
        <v>-2.9299999999999999E-3</v>
      </c>
      <c r="P32" s="490">
        <v>-2.9299999999999999E-3</v>
      </c>
      <c r="Q32" s="490">
        <v>-2.9299999999999999E-3</v>
      </c>
      <c r="R32" s="490">
        <v>-2.9299999999999999E-3</v>
      </c>
      <c r="S32" s="493" t="s">
        <v>265</v>
      </c>
      <c r="T32" s="493" t="s">
        <v>265</v>
      </c>
      <c r="U32" s="490">
        <v>1.436E-2</v>
      </c>
      <c r="V32" s="490">
        <v>1.436E-2</v>
      </c>
      <c r="W32" s="490">
        <v>1.436E-2</v>
      </c>
      <c r="X32" s="490">
        <v>1.436E-2</v>
      </c>
      <c r="Y32" s="490">
        <v>1.436E-2</v>
      </c>
      <c r="Z32" s="490">
        <v>1.436E-2</v>
      </c>
      <c r="AA32" s="490">
        <v>1.436E-2</v>
      </c>
      <c r="AB32" s="490">
        <v>1.436E-2</v>
      </c>
      <c r="AC32" s="490">
        <v>1.436E-2</v>
      </c>
      <c r="AD32" s="490">
        <v>1.436E-2</v>
      </c>
      <c r="AE32" s="493" t="s">
        <v>308</v>
      </c>
      <c r="AF32" s="493" t="s">
        <v>308</v>
      </c>
      <c r="AG32" s="493">
        <v>2.571E-2</v>
      </c>
      <c r="AH32" s="493">
        <v>2.571E-2</v>
      </c>
      <c r="AI32" s="493">
        <v>2.571E-2</v>
      </c>
      <c r="AJ32" s="493">
        <v>2.571E-2</v>
      </c>
      <c r="AK32" s="493">
        <v>2.571E-2</v>
      </c>
      <c r="AL32" s="493">
        <v>2.571E-2</v>
      </c>
      <c r="AM32" s="493">
        <v>2.571E-2</v>
      </c>
      <c r="AN32" s="493">
        <v>2.571E-2</v>
      </c>
      <c r="AO32" s="493">
        <v>2.571E-2</v>
      </c>
      <c r="AP32" s="493">
        <v>2.571E-2</v>
      </c>
      <c r="AQ32" s="493" t="s">
        <v>308</v>
      </c>
      <c r="AR32" s="493" t="s">
        <v>308</v>
      </c>
      <c r="AS32" s="597">
        <v>9.1740000000000002E-2</v>
      </c>
      <c r="AT32" s="597">
        <v>9.1740000000000002E-2</v>
      </c>
      <c r="AU32" s="597">
        <v>9.1740000000000002E-2</v>
      </c>
      <c r="AV32" s="597">
        <v>9.1740000000000002E-2</v>
      </c>
      <c r="AW32" s="597">
        <v>9.1740000000000002E-2</v>
      </c>
      <c r="AX32" s="597">
        <v>9.1740000000000002E-2</v>
      </c>
      <c r="AY32" s="597">
        <v>9.1740000000000002E-2</v>
      </c>
      <c r="AZ32" s="597">
        <v>9.1740000000000002E-2</v>
      </c>
      <c r="BA32" s="597">
        <v>9.1740000000000002E-2</v>
      </c>
      <c r="BB32" s="597">
        <v>9.1740000000000002E-2</v>
      </c>
      <c r="BC32" s="597" t="s">
        <v>308</v>
      </c>
      <c r="BD32" s="597" t="s">
        <v>308</v>
      </c>
    </row>
    <row r="33" spans="1:65">
      <c r="A33" s="481"/>
      <c r="B33" s="479" t="s">
        <v>306</v>
      </c>
      <c r="E33" s="490"/>
      <c r="F33" s="490"/>
      <c r="G33" s="493"/>
      <c r="H33" s="493"/>
      <c r="I33" s="490"/>
      <c r="J33" s="490"/>
      <c r="K33" s="490"/>
      <c r="L33" s="490"/>
      <c r="M33" s="490"/>
      <c r="N33" s="490"/>
      <c r="O33" s="490"/>
      <c r="P33" s="490"/>
      <c r="Q33" s="490"/>
      <c r="R33" s="490"/>
      <c r="S33" s="493"/>
      <c r="T33" s="493"/>
      <c r="U33" s="490"/>
      <c r="V33" s="490"/>
      <c r="W33" s="490"/>
      <c r="X33" s="490"/>
      <c r="Y33" s="490"/>
      <c r="Z33" s="490"/>
      <c r="AA33" s="490"/>
      <c r="AB33" s="490"/>
      <c r="AC33" s="490"/>
      <c r="AD33" s="557">
        <v>1.436E-2</v>
      </c>
      <c r="AE33" s="493" t="s">
        <v>308</v>
      </c>
      <c r="AF33" s="493" t="s">
        <v>308</v>
      </c>
      <c r="AG33" s="493">
        <v>2.571E-2</v>
      </c>
      <c r="AH33" s="493">
        <v>2.571E-2</v>
      </c>
      <c r="AI33" s="493">
        <v>2.571E-2</v>
      </c>
      <c r="AJ33" s="493">
        <v>2.571E-2</v>
      </c>
      <c r="AK33" s="493">
        <v>2.571E-2</v>
      </c>
      <c r="AL33" s="493">
        <v>2.571E-2</v>
      </c>
      <c r="AM33" s="493">
        <v>2.571E-2</v>
      </c>
      <c r="AN33" s="493">
        <v>2.571E-2</v>
      </c>
      <c r="AO33" s="493">
        <v>2.571E-2</v>
      </c>
      <c r="AP33" s="493">
        <v>2.571E-2</v>
      </c>
      <c r="AQ33" s="493" t="s">
        <v>308</v>
      </c>
      <c r="AR33" s="493" t="s">
        <v>308</v>
      </c>
      <c r="AS33" s="597">
        <v>9.1740000000000002E-2</v>
      </c>
      <c r="AT33" s="597">
        <v>9.1740000000000002E-2</v>
      </c>
      <c r="AU33" s="597">
        <v>9.1740000000000002E-2</v>
      </c>
      <c r="AV33" s="597">
        <v>9.1740000000000002E-2</v>
      </c>
      <c r="AW33" s="597">
        <v>9.1740000000000002E-2</v>
      </c>
      <c r="AX33" s="597">
        <v>9.1740000000000002E-2</v>
      </c>
      <c r="AY33" s="597">
        <v>9.1740000000000002E-2</v>
      </c>
      <c r="AZ33" s="597">
        <v>9.1740000000000002E-2</v>
      </c>
      <c r="BA33" s="597">
        <v>9.1740000000000002E-2</v>
      </c>
      <c r="BB33" s="597">
        <v>9.1740000000000002E-2</v>
      </c>
      <c r="BC33" s="597" t="s">
        <v>308</v>
      </c>
      <c r="BD33" s="597" t="s">
        <v>308</v>
      </c>
    </row>
    <row r="34" spans="1:65">
      <c r="A34" s="481"/>
      <c r="B34" s="479" t="s">
        <v>38</v>
      </c>
      <c r="E34" s="490">
        <v>3.0599999999999999E-2</v>
      </c>
      <c r="F34" s="490">
        <v>3.0599999999999999E-2</v>
      </c>
      <c r="G34" s="493" t="s">
        <v>265</v>
      </c>
      <c r="H34" s="493" t="s">
        <v>265</v>
      </c>
      <c r="I34" s="490">
        <v>-5.5599999999999998E-3</v>
      </c>
      <c r="J34" s="490">
        <v>-5.5599999999999998E-3</v>
      </c>
      <c r="K34" s="490">
        <v>-5.5599999999999998E-3</v>
      </c>
      <c r="L34" s="490">
        <v>-5.5599999999999998E-3</v>
      </c>
      <c r="M34" s="490">
        <v>-5.5599999999999998E-3</v>
      </c>
      <c r="N34" s="490">
        <v>-5.5599999999999998E-3</v>
      </c>
      <c r="O34" s="490">
        <v>-5.5599999999999998E-3</v>
      </c>
      <c r="P34" s="490">
        <v>-5.5599999999999998E-3</v>
      </c>
      <c r="Q34" s="490">
        <v>-5.5599999999999998E-3</v>
      </c>
      <c r="R34" s="490">
        <v>-5.5599999999999998E-3</v>
      </c>
      <c r="S34" s="493" t="s">
        <v>265</v>
      </c>
      <c r="T34" s="493" t="s">
        <v>265</v>
      </c>
      <c r="U34" s="490">
        <v>8.0800000000000004E-3</v>
      </c>
      <c r="V34" s="490">
        <v>8.0800000000000004E-3</v>
      </c>
      <c r="W34" s="490">
        <v>8.0800000000000004E-3</v>
      </c>
      <c r="X34" s="490">
        <v>8.0800000000000004E-3</v>
      </c>
      <c r="Y34" s="490">
        <v>8.0800000000000004E-3</v>
      </c>
      <c r="Z34" s="490">
        <v>8.0800000000000004E-3</v>
      </c>
      <c r="AA34" s="490">
        <v>8.0800000000000004E-3</v>
      </c>
      <c r="AB34" s="490">
        <v>8.0800000000000004E-3</v>
      </c>
      <c r="AC34" s="490">
        <v>8.0800000000000004E-3</v>
      </c>
      <c r="AD34" s="490">
        <v>8.0800000000000004E-3</v>
      </c>
      <c r="AE34" s="493" t="s">
        <v>308</v>
      </c>
      <c r="AF34" s="493" t="s">
        <v>308</v>
      </c>
      <c r="AG34" s="493">
        <v>1.372E-2</v>
      </c>
      <c r="AH34" s="493">
        <v>1.372E-2</v>
      </c>
      <c r="AI34" s="493">
        <v>1.372E-2</v>
      </c>
      <c r="AJ34" s="493">
        <v>1.372E-2</v>
      </c>
      <c r="AK34" s="493">
        <v>1.372E-2</v>
      </c>
      <c r="AL34" s="493">
        <v>1.372E-2</v>
      </c>
      <c r="AM34" s="493">
        <v>1.372E-2</v>
      </c>
      <c r="AN34" s="493">
        <v>1.372E-2</v>
      </c>
      <c r="AO34" s="493">
        <v>1.372E-2</v>
      </c>
      <c r="AP34" s="493">
        <v>1.372E-2</v>
      </c>
      <c r="AQ34" s="493" t="s">
        <v>308</v>
      </c>
      <c r="AR34" s="493" t="s">
        <v>308</v>
      </c>
      <c r="AS34" s="597">
        <v>7.2489999999999999E-2</v>
      </c>
      <c r="AT34" s="597">
        <v>7.2489999999999999E-2</v>
      </c>
      <c r="AU34" s="597">
        <v>7.2489999999999999E-2</v>
      </c>
      <c r="AV34" s="597">
        <v>7.2489999999999999E-2</v>
      </c>
      <c r="AW34" s="597">
        <v>7.2489999999999999E-2</v>
      </c>
      <c r="AX34" s="597">
        <v>7.2489999999999999E-2</v>
      </c>
      <c r="AY34" s="597">
        <v>7.2489999999999999E-2</v>
      </c>
      <c r="AZ34" s="597">
        <v>7.2489999999999999E-2</v>
      </c>
      <c r="BA34" s="597">
        <v>7.2489999999999999E-2</v>
      </c>
      <c r="BB34" s="597">
        <v>7.2489999999999999E-2</v>
      </c>
      <c r="BC34" s="597" t="s">
        <v>308</v>
      </c>
      <c r="BD34" s="597" t="s">
        <v>308</v>
      </c>
    </row>
    <row r="35" spans="1:65" hidden="1" outlineLevel="1">
      <c r="A35" s="481"/>
      <c r="B35" s="567" t="s">
        <v>39</v>
      </c>
      <c r="E35" s="490"/>
      <c r="F35" s="490"/>
      <c r="G35" s="493" t="s">
        <v>265</v>
      </c>
      <c r="H35" s="493" t="s">
        <v>265</v>
      </c>
      <c r="I35" s="490"/>
      <c r="J35" s="490"/>
      <c r="K35" s="490"/>
      <c r="L35" s="490"/>
      <c r="M35" s="490"/>
      <c r="N35" s="490"/>
      <c r="O35" s="490"/>
      <c r="P35" s="490"/>
      <c r="Q35" s="490"/>
      <c r="R35" s="490"/>
      <c r="S35" s="493" t="s">
        <v>265</v>
      </c>
      <c r="T35" s="493" t="s">
        <v>265</v>
      </c>
      <c r="U35" s="490"/>
      <c r="V35" s="490"/>
      <c r="W35" s="490"/>
      <c r="X35" s="490"/>
      <c r="Y35" s="490"/>
      <c r="Z35" s="490"/>
      <c r="AA35" s="490"/>
      <c r="AB35" s="490"/>
      <c r="AC35" s="490"/>
      <c r="AD35" s="490"/>
      <c r="AE35" s="493" t="s">
        <v>265</v>
      </c>
      <c r="AF35" s="493" t="s">
        <v>265</v>
      </c>
      <c r="AG35" s="493"/>
      <c r="AH35" s="493"/>
      <c r="AI35" s="493"/>
      <c r="AJ35" s="493"/>
      <c r="AK35" s="493"/>
      <c r="AL35" s="493"/>
      <c r="AM35" s="493"/>
      <c r="AN35" s="493"/>
      <c r="AO35" s="493"/>
      <c r="AP35" s="493"/>
      <c r="AQ35" s="493"/>
      <c r="AR35" s="493"/>
      <c r="AS35" s="597"/>
      <c r="AT35" s="597"/>
      <c r="AU35" s="597"/>
      <c r="AV35" s="597"/>
      <c r="AW35" s="597"/>
      <c r="AX35" s="597"/>
      <c r="AY35" s="597"/>
      <c r="AZ35" s="597"/>
      <c r="BA35" s="597"/>
      <c r="BB35" s="597"/>
      <c r="BC35" s="597"/>
      <c r="BD35" s="597"/>
    </row>
    <row r="36" spans="1:65" collapsed="1">
      <c r="A36" s="481"/>
      <c r="B36" s="479" t="s">
        <v>40</v>
      </c>
      <c r="E36" s="490">
        <v>2.998E-2</v>
      </c>
      <c r="F36" s="490">
        <v>2.998E-2</v>
      </c>
      <c r="G36" s="493" t="s">
        <v>265</v>
      </c>
      <c r="H36" s="493" t="s">
        <v>265</v>
      </c>
      <c r="I36" s="490">
        <v>-1.5820000000000001E-2</v>
      </c>
      <c r="J36" s="490">
        <v>-1.5820000000000001E-2</v>
      </c>
      <c r="K36" s="490">
        <v>-1.5820000000000001E-2</v>
      </c>
      <c r="L36" s="490">
        <v>-1.5820000000000001E-2</v>
      </c>
      <c r="M36" s="490">
        <v>-1.5820000000000001E-2</v>
      </c>
      <c r="N36" s="490">
        <v>-1.5820000000000001E-2</v>
      </c>
      <c r="O36" s="490">
        <v>-1.5820000000000001E-2</v>
      </c>
      <c r="P36" s="490">
        <v>-1.5820000000000001E-2</v>
      </c>
      <c r="Q36" s="490">
        <v>-1.5820000000000001E-2</v>
      </c>
      <c r="R36" s="490">
        <v>-1.5820000000000001E-2</v>
      </c>
      <c r="S36" s="493" t="s">
        <v>265</v>
      </c>
      <c r="T36" s="493" t="s">
        <v>265</v>
      </c>
      <c r="U36" s="490">
        <v>-1.0359999999999999E-2</v>
      </c>
      <c r="V36" s="490">
        <v>-1.0359999999999999E-2</v>
      </c>
      <c r="W36" s="490">
        <v>-1.0359999999999999E-2</v>
      </c>
      <c r="X36" s="490">
        <v>-1.0359999999999999E-2</v>
      </c>
      <c r="Y36" s="490">
        <v>-1.0359999999999999E-2</v>
      </c>
      <c r="Z36" s="490">
        <v>-1.0359999999999999E-2</v>
      </c>
      <c r="AA36" s="490">
        <v>-1.0359999999999999E-2</v>
      </c>
      <c r="AB36" s="490">
        <v>-1.0359999999999999E-2</v>
      </c>
      <c r="AC36" s="490">
        <v>-1.0359999999999999E-2</v>
      </c>
      <c r="AD36" s="490">
        <v>-1.0359999999999999E-2</v>
      </c>
      <c r="AE36" s="493" t="s">
        <v>308</v>
      </c>
      <c r="AF36" s="493" t="s">
        <v>308</v>
      </c>
      <c r="AG36" s="493">
        <v>-5.2900000000000004E-3</v>
      </c>
      <c r="AH36" s="493">
        <v>-5.2900000000000004E-3</v>
      </c>
      <c r="AI36" s="493">
        <v>-5.2900000000000004E-3</v>
      </c>
      <c r="AJ36" s="493">
        <v>-5.2900000000000004E-3</v>
      </c>
      <c r="AK36" s="493">
        <v>-5.2900000000000004E-3</v>
      </c>
      <c r="AL36" s="493">
        <v>-5.2900000000000004E-3</v>
      </c>
      <c r="AM36" s="493">
        <v>-5.2900000000000004E-3</v>
      </c>
      <c r="AN36" s="493">
        <v>-5.2900000000000004E-3</v>
      </c>
      <c r="AO36" s="493">
        <v>-5.2900000000000004E-3</v>
      </c>
      <c r="AP36" s="493">
        <v>-5.2900000000000004E-3</v>
      </c>
      <c r="AQ36" s="493" t="s">
        <v>308</v>
      </c>
      <c r="AR36" s="493" t="s">
        <v>308</v>
      </c>
      <c r="AS36" s="597">
        <v>4.4479999999999999E-2</v>
      </c>
      <c r="AT36" s="597">
        <v>4.4479999999999999E-2</v>
      </c>
      <c r="AU36" s="597">
        <v>4.4479999999999999E-2</v>
      </c>
      <c r="AV36" s="597">
        <v>4.4479999999999999E-2</v>
      </c>
      <c r="AW36" s="597">
        <v>4.4479999999999999E-2</v>
      </c>
      <c r="AX36" s="597">
        <v>4.4479999999999999E-2</v>
      </c>
      <c r="AY36" s="597">
        <v>4.4479999999999999E-2</v>
      </c>
      <c r="AZ36" s="597">
        <v>4.4479999999999999E-2</v>
      </c>
      <c r="BA36" s="597">
        <v>4.4479999999999999E-2</v>
      </c>
      <c r="BB36" s="597">
        <v>4.4479999999999999E-2</v>
      </c>
      <c r="BC36" s="597" t="s">
        <v>308</v>
      </c>
      <c r="BD36" s="597" t="s">
        <v>308</v>
      </c>
    </row>
    <row r="37" spans="1:65" hidden="1" outlineLevel="1">
      <c r="A37" s="481"/>
      <c r="B37" s="567" t="s">
        <v>41</v>
      </c>
      <c r="E37" s="490"/>
      <c r="F37" s="490"/>
      <c r="G37" s="493" t="s">
        <v>265</v>
      </c>
      <c r="H37" s="493" t="s">
        <v>265</v>
      </c>
      <c r="I37" s="490"/>
      <c r="J37" s="490"/>
      <c r="K37" s="490"/>
      <c r="L37" s="490"/>
      <c r="M37" s="490"/>
      <c r="N37" s="490"/>
      <c r="O37" s="490"/>
      <c r="P37" s="490"/>
      <c r="Q37" s="490"/>
      <c r="R37" s="490"/>
      <c r="S37" s="493" t="s">
        <v>265</v>
      </c>
      <c r="T37" s="493" t="s">
        <v>265</v>
      </c>
      <c r="U37" s="490"/>
      <c r="V37" s="490"/>
      <c r="W37" s="490"/>
      <c r="X37" s="490"/>
      <c r="Y37" s="490"/>
      <c r="Z37" s="490"/>
      <c r="AA37" s="490"/>
      <c r="AB37" s="490"/>
      <c r="AC37" s="490"/>
      <c r="AD37" s="490"/>
      <c r="AE37" s="493" t="s">
        <v>265</v>
      </c>
      <c r="AF37" s="493" t="s">
        <v>265</v>
      </c>
      <c r="AG37" s="493"/>
      <c r="AH37" s="493"/>
      <c r="AI37" s="493"/>
      <c r="AJ37" s="493"/>
      <c r="AK37" s="493"/>
      <c r="AL37" s="493"/>
      <c r="AM37" s="493"/>
      <c r="AN37" s="493"/>
      <c r="AO37" s="493"/>
      <c r="AP37" s="493"/>
      <c r="AQ37" s="493"/>
      <c r="AR37" s="493"/>
      <c r="AS37" s="597"/>
      <c r="AT37" s="597"/>
      <c r="AU37" s="597"/>
      <c r="AV37" s="597"/>
      <c r="AW37" s="597"/>
      <c r="AX37" s="597"/>
      <c r="AY37" s="597"/>
      <c r="AZ37" s="597"/>
      <c r="BA37" s="597"/>
      <c r="BB37" s="597"/>
      <c r="BC37" s="597"/>
      <c r="BD37" s="597"/>
    </row>
    <row r="38" spans="1:65" ht="16.5" collapsed="1" thickBot="1">
      <c r="A38" s="481"/>
      <c r="B38" s="479" t="s">
        <v>42</v>
      </c>
      <c r="E38" s="490">
        <v>5.7389999999999997E-2</v>
      </c>
      <c r="F38" s="490">
        <v>5.7389999999999997E-2</v>
      </c>
      <c r="G38" s="493" t="s">
        <v>265</v>
      </c>
      <c r="H38" s="493" t="s">
        <v>265</v>
      </c>
      <c r="I38" s="490">
        <v>3.0499999999999999E-2</v>
      </c>
      <c r="J38" s="490">
        <v>3.0499999999999999E-2</v>
      </c>
      <c r="K38" s="490">
        <v>3.0499999999999999E-2</v>
      </c>
      <c r="L38" s="490">
        <v>3.0499999999999999E-2</v>
      </c>
      <c r="M38" s="490">
        <v>3.0499999999999999E-2</v>
      </c>
      <c r="N38" s="490">
        <v>3.0499999999999999E-2</v>
      </c>
      <c r="O38" s="490">
        <v>3.0499999999999999E-2</v>
      </c>
      <c r="P38" s="490">
        <v>3.0499999999999999E-2</v>
      </c>
      <c r="Q38" s="490">
        <v>3.0499999999999999E-2</v>
      </c>
      <c r="R38" s="490">
        <v>3.0499999999999999E-2</v>
      </c>
      <c r="S38" s="493" t="s">
        <v>265</v>
      </c>
      <c r="T38" s="493" t="s">
        <v>265</v>
      </c>
      <c r="U38" s="490">
        <v>-2.3310000000000001E-2</v>
      </c>
      <c r="V38" s="490">
        <v>-2.3310000000000001E-2</v>
      </c>
      <c r="W38" s="490">
        <v>-2.3310000000000001E-2</v>
      </c>
      <c r="X38" s="490">
        <v>-2.3310000000000001E-2</v>
      </c>
      <c r="Y38" s="490">
        <v>-2.3310000000000001E-2</v>
      </c>
      <c r="Z38" s="490">
        <v>-2.3310000000000001E-2</v>
      </c>
      <c r="AA38" s="490">
        <v>-2.3310000000000001E-2</v>
      </c>
      <c r="AB38" s="490">
        <v>-2.3310000000000001E-2</v>
      </c>
      <c r="AC38" s="490">
        <v>-2.3310000000000001E-2</v>
      </c>
      <c r="AD38" s="490">
        <v>-2.3310000000000001E-2</v>
      </c>
      <c r="AE38" s="493" t="s">
        <v>308</v>
      </c>
      <c r="AF38" s="493" t="s">
        <v>308</v>
      </c>
      <c r="AG38" s="493">
        <v>1.635E-2</v>
      </c>
      <c r="AH38" s="493">
        <v>1.635E-2</v>
      </c>
      <c r="AI38" s="493">
        <v>1.635E-2</v>
      </c>
      <c r="AJ38" s="493">
        <v>1.635E-2</v>
      </c>
      <c r="AK38" s="493">
        <v>1.635E-2</v>
      </c>
      <c r="AL38" s="493">
        <v>1.635E-2</v>
      </c>
      <c r="AM38" s="493">
        <v>1.635E-2</v>
      </c>
      <c r="AN38" s="493">
        <v>1.635E-2</v>
      </c>
      <c r="AO38" s="493">
        <v>1.635E-2</v>
      </c>
      <c r="AP38" s="493">
        <v>1.635E-2</v>
      </c>
      <c r="AQ38" s="493" t="s">
        <v>308</v>
      </c>
      <c r="AR38" s="493" t="s">
        <v>308</v>
      </c>
      <c r="AS38" s="597">
        <v>8.8340000000000002E-2</v>
      </c>
      <c r="AT38" s="597">
        <v>8.8340000000000002E-2</v>
      </c>
      <c r="AU38" s="597">
        <v>8.8340000000000002E-2</v>
      </c>
      <c r="AV38" s="597">
        <v>8.8340000000000002E-2</v>
      </c>
      <c r="AW38" s="597">
        <v>8.8340000000000002E-2</v>
      </c>
      <c r="AX38" s="597">
        <v>8.8340000000000002E-2</v>
      </c>
      <c r="AY38" s="597">
        <v>8.8340000000000002E-2</v>
      </c>
      <c r="AZ38" s="597">
        <v>8.8340000000000002E-2</v>
      </c>
      <c r="BA38" s="597">
        <v>8.8340000000000002E-2</v>
      </c>
      <c r="BB38" s="597">
        <v>8.8340000000000002E-2</v>
      </c>
      <c r="BC38" s="597" t="s">
        <v>308</v>
      </c>
      <c r="BD38" s="597" t="s">
        <v>308</v>
      </c>
    </row>
    <row r="39" spans="1:65" ht="16.5" hidden="1" outlineLevel="1" thickBot="1">
      <c r="A39" s="481"/>
      <c r="B39" s="567" t="s">
        <v>43</v>
      </c>
      <c r="E39" s="490"/>
      <c r="F39" s="490"/>
      <c r="G39" s="493" t="s">
        <v>265</v>
      </c>
      <c r="H39" s="493" t="s">
        <v>265</v>
      </c>
      <c r="I39" s="490"/>
      <c r="J39" s="490"/>
      <c r="K39" s="490"/>
      <c r="L39" s="490"/>
      <c r="M39" s="490"/>
      <c r="N39" s="490"/>
      <c r="O39" s="490"/>
      <c r="P39" s="490"/>
      <c r="Q39" s="490"/>
      <c r="R39" s="490"/>
      <c r="S39" s="493" t="s">
        <v>265</v>
      </c>
      <c r="T39" s="493" t="s">
        <v>265</v>
      </c>
      <c r="U39" s="490"/>
      <c r="V39" s="490"/>
      <c r="W39" s="490"/>
      <c r="X39" s="490"/>
      <c r="Y39" s="490"/>
      <c r="Z39" s="490"/>
      <c r="AA39" s="490"/>
      <c r="AB39" s="490"/>
      <c r="AC39" s="490"/>
      <c r="AD39" s="490"/>
      <c r="AE39" s="493" t="s">
        <v>265</v>
      </c>
      <c r="AF39" s="493"/>
      <c r="AG39" s="493"/>
      <c r="AH39" s="493"/>
      <c r="AI39" s="493"/>
      <c r="AJ39" s="493"/>
      <c r="AK39" s="493"/>
      <c r="AL39" s="493"/>
      <c r="AM39" s="493"/>
      <c r="AN39" s="493"/>
      <c r="AO39" s="493"/>
      <c r="AP39" s="493"/>
      <c r="AQ39" s="493"/>
      <c r="AR39" s="493"/>
      <c r="AS39" s="597"/>
      <c r="AT39" s="597"/>
      <c r="AU39" s="597"/>
      <c r="AV39" s="597"/>
      <c r="AW39" s="597"/>
      <c r="AX39" s="597"/>
      <c r="AY39" s="597"/>
      <c r="AZ39" s="597"/>
      <c r="BA39" s="597"/>
      <c r="BB39" s="597"/>
      <c r="BC39" s="597"/>
      <c r="BD39" s="597"/>
      <c r="BF39" s="481"/>
      <c r="BG39" s="482"/>
      <c r="BH39" s="481"/>
      <c r="BI39" s="481"/>
      <c r="BJ39" s="481"/>
      <c r="BK39" s="481"/>
    </row>
    <row r="40" spans="1:65" ht="16.5" collapsed="1" thickBot="1">
      <c r="A40" s="481"/>
      <c r="B40" s="479" t="s">
        <v>74</v>
      </c>
      <c r="E40" s="490">
        <v>0</v>
      </c>
      <c r="F40" s="490">
        <v>0</v>
      </c>
      <c r="G40" s="493" t="s">
        <v>265</v>
      </c>
      <c r="H40" s="493" t="s">
        <v>265</v>
      </c>
      <c r="I40" s="490">
        <v>0</v>
      </c>
      <c r="J40" s="490">
        <v>0</v>
      </c>
      <c r="K40" s="490">
        <v>0</v>
      </c>
      <c r="L40" s="490">
        <v>0</v>
      </c>
      <c r="M40" s="490">
        <v>0</v>
      </c>
      <c r="N40" s="490">
        <v>0</v>
      </c>
      <c r="O40" s="490">
        <v>0</v>
      </c>
      <c r="P40" s="490">
        <v>0</v>
      </c>
      <c r="Q40" s="490">
        <v>0</v>
      </c>
      <c r="R40" s="490">
        <v>0</v>
      </c>
      <c r="S40" s="493" t="s">
        <v>265</v>
      </c>
      <c r="T40" s="493" t="s">
        <v>265</v>
      </c>
      <c r="U40" s="490">
        <v>0</v>
      </c>
      <c r="V40" s="490">
        <v>0</v>
      </c>
      <c r="W40" s="490">
        <v>0</v>
      </c>
      <c r="X40" s="490">
        <v>0</v>
      </c>
      <c r="Y40" s="490">
        <v>0</v>
      </c>
      <c r="Z40" s="490">
        <v>0</v>
      </c>
      <c r="AA40" s="490">
        <v>0</v>
      </c>
      <c r="AB40" s="490">
        <v>0</v>
      </c>
      <c r="AC40" s="490">
        <v>0</v>
      </c>
      <c r="AD40" s="490">
        <v>0</v>
      </c>
      <c r="AE40" s="493" t="s">
        <v>308</v>
      </c>
      <c r="AF40" s="493" t="s">
        <v>308</v>
      </c>
      <c r="AG40" s="493">
        <v>0</v>
      </c>
      <c r="AH40" s="493">
        <v>0</v>
      </c>
      <c r="AI40" s="493">
        <v>0</v>
      </c>
      <c r="AJ40" s="493">
        <v>0</v>
      </c>
      <c r="AK40" s="493">
        <v>0</v>
      </c>
      <c r="AL40" s="493">
        <v>0</v>
      </c>
      <c r="AM40" s="493">
        <v>0</v>
      </c>
      <c r="AN40" s="493">
        <v>0</v>
      </c>
      <c r="AO40" s="493">
        <v>0</v>
      </c>
      <c r="AP40" s="493">
        <v>0</v>
      </c>
      <c r="AQ40" s="493" t="s">
        <v>308</v>
      </c>
      <c r="AR40" s="493" t="s">
        <v>308</v>
      </c>
      <c r="AS40" s="597">
        <v>0</v>
      </c>
      <c r="AT40" s="597">
        <v>0</v>
      </c>
      <c r="AU40" s="597">
        <v>0</v>
      </c>
      <c r="AV40" s="597">
        <v>0</v>
      </c>
      <c r="AW40" s="597">
        <v>0</v>
      </c>
      <c r="AX40" s="597">
        <v>0</v>
      </c>
      <c r="AY40" s="597">
        <v>0</v>
      </c>
      <c r="AZ40" s="597">
        <v>0</v>
      </c>
      <c r="BA40" s="597">
        <v>0</v>
      </c>
      <c r="BB40" s="597">
        <v>0</v>
      </c>
      <c r="BC40" s="597" t="s">
        <v>308</v>
      </c>
      <c r="BD40" s="597" t="s">
        <v>308</v>
      </c>
      <c r="BF40" s="509">
        <f>BF4</f>
        <v>201712</v>
      </c>
      <c r="BG40" s="522"/>
      <c r="BH40" s="510"/>
      <c r="BI40" s="510"/>
      <c r="BJ40" s="510"/>
      <c r="BK40" s="511"/>
    </row>
    <row r="41" spans="1:65">
      <c r="A41" s="481" t="s">
        <v>284</v>
      </c>
      <c r="E41" s="490"/>
      <c r="F41" s="490"/>
      <c r="G41" s="493"/>
      <c r="H41" s="493"/>
      <c r="I41" s="490"/>
      <c r="J41" s="490"/>
      <c r="K41" s="490"/>
      <c r="L41" s="490"/>
      <c r="M41" s="490"/>
      <c r="N41" s="490"/>
      <c r="O41" s="490"/>
      <c r="P41" s="490"/>
      <c r="Q41" s="490"/>
      <c r="R41" s="490"/>
      <c r="S41" s="490"/>
      <c r="T41" s="490"/>
      <c r="U41" s="490"/>
      <c r="V41" s="490"/>
      <c r="W41" s="490"/>
      <c r="X41" s="490"/>
      <c r="Y41" s="490"/>
      <c r="Z41" s="490"/>
      <c r="AA41" s="490"/>
      <c r="AB41" s="490"/>
      <c r="AC41" s="490"/>
      <c r="AD41" s="490"/>
      <c r="AE41" s="490"/>
      <c r="AF41" s="490"/>
      <c r="AG41" s="490"/>
      <c r="AH41" s="490"/>
      <c r="AI41" s="490"/>
      <c r="AJ41" s="490"/>
      <c r="AK41" s="490"/>
      <c r="AL41" s="490"/>
      <c r="AM41" s="490"/>
      <c r="AN41" s="490"/>
      <c r="AO41" s="490"/>
      <c r="AP41" s="490"/>
      <c r="AQ41" s="490"/>
      <c r="AR41" s="490"/>
      <c r="AS41" s="490"/>
      <c r="AT41" s="490"/>
      <c r="AU41" s="490"/>
      <c r="AV41" s="490"/>
      <c r="AW41" s="490"/>
      <c r="AX41" s="490"/>
      <c r="AY41" s="490"/>
      <c r="AZ41" s="490"/>
      <c r="BA41" s="490"/>
      <c r="BB41" s="490"/>
      <c r="BC41" s="490"/>
      <c r="BD41" s="490"/>
      <c r="BF41" s="494" t="s">
        <v>289</v>
      </c>
      <c r="BG41" s="523">
        <v>419600</v>
      </c>
      <c r="BH41" s="495" t="s">
        <v>281</v>
      </c>
      <c r="BI41" s="495" t="s">
        <v>282</v>
      </c>
      <c r="BJ41" s="515">
        <v>0</v>
      </c>
      <c r="BK41" s="516">
        <f>IF(SUMIF(AG3:BD3,BF4,AG46:BD46)&gt;0,SUMIF(AG3:BD3,BF4,AG46:BD46),0)</f>
        <v>0</v>
      </c>
      <c r="BM41" s="480" t="str">
        <f>_xll.GLW_Segment_Description(BG41,2,2)</f>
        <v>INTEREST ON ENERGY DEFERRALS</v>
      </c>
    </row>
    <row r="42" spans="1:65" s="481" customFormat="1">
      <c r="A42" s="482">
        <v>191000</v>
      </c>
      <c r="B42" s="483" t="s">
        <v>252</v>
      </c>
      <c r="C42" s="484" t="s">
        <v>248</v>
      </c>
      <c r="D42" s="485" t="s">
        <v>249</v>
      </c>
      <c r="E42" s="482">
        <v>201309</v>
      </c>
      <c r="F42" s="482">
        <f>E42+1</f>
        <v>201310</v>
      </c>
      <c r="G42" s="482">
        <f>F42+1</f>
        <v>201311</v>
      </c>
      <c r="H42" s="482">
        <f>G42+1</f>
        <v>201312</v>
      </c>
      <c r="I42" s="482">
        <v>201401</v>
      </c>
      <c r="J42" s="482">
        <v>201402</v>
      </c>
      <c r="K42" s="482">
        <v>201403</v>
      </c>
      <c r="L42" s="482">
        <v>201404</v>
      </c>
      <c r="M42" s="482">
        <v>201405</v>
      </c>
      <c r="N42" s="482">
        <v>201406</v>
      </c>
      <c r="O42" s="482">
        <v>201407</v>
      </c>
      <c r="P42" s="482">
        <v>201408</v>
      </c>
      <c r="Q42" s="482">
        <v>201409</v>
      </c>
      <c r="R42" s="482">
        <v>201410</v>
      </c>
      <c r="S42" s="482">
        <v>201411</v>
      </c>
      <c r="T42" s="482">
        <v>201412</v>
      </c>
      <c r="U42" s="482">
        <v>201501</v>
      </c>
      <c r="V42" s="482">
        <f t="shared" ref="V42" si="91">U42+1</f>
        <v>201502</v>
      </c>
      <c r="W42" s="482">
        <f t="shared" ref="W42" si="92">V42+1</f>
        <v>201503</v>
      </c>
      <c r="X42" s="482">
        <f t="shared" ref="X42" si="93">W42+1</f>
        <v>201504</v>
      </c>
      <c r="Y42" s="482">
        <f t="shared" ref="Y42" si="94">X42+1</f>
        <v>201505</v>
      </c>
      <c r="Z42" s="482">
        <f t="shared" ref="Z42" si="95">Y42+1</f>
        <v>201506</v>
      </c>
      <c r="AA42" s="482">
        <f t="shared" ref="AA42" si="96">Z42+1</f>
        <v>201507</v>
      </c>
      <c r="AB42" s="482">
        <f t="shared" ref="AB42" si="97">AA42+1</f>
        <v>201508</v>
      </c>
      <c r="AC42" s="482">
        <f t="shared" ref="AC42" si="98">AB42+1</f>
        <v>201509</v>
      </c>
      <c r="AD42" s="482">
        <f t="shared" ref="AD42" si="99">AC42+1</f>
        <v>201510</v>
      </c>
      <c r="AE42" s="482">
        <f>AD42+1</f>
        <v>201511</v>
      </c>
      <c r="AF42" s="482">
        <f t="shared" ref="AF42" si="100">AE42+1</f>
        <v>201512</v>
      </c>
      <c r="AG42" s="482">
        <v>201601</v>
      </c>
      <c r="AH42" s="482">
        <f>AG42+1</f>
        <v>201602</v>
      </c>
      <c r="AI42" s="482">
        <f t="shared" ref="AI42:AR42" si="101">AH42+1</f>
        <v>201603</v>
      </c>
      <c r="AJ42" s="482">
        <f t="shared" si="101"/>
        <v>201604</v>
      </c>
      <c r="AK42" s="482">
        <f t="shared" si="101"/>
        <v>201605</v>
      </c>
      <c r="AL42" s="482">
        <f t="shared" si="101"/>
        <v>201606</v>
      </c>
      <c r="AM42" s="482">
        <f t="shared" si="101"/>
        <v>201607</v>
      </c>
      <c r="AN42" s="482">
        <f t="shared" si="101"/>
        <v>201608</v>
      </c>
      <c r="AO42" s="482">
        <f t="shared" si="101"/>
        <v>201609</v>
      </c>
      <c r="AP42" s="482">
        <f t="shared" si="101"/>
        <v>201610</v>
      </c>
      <c r="AQ42" s="482">
        <f t="shared" si="101"/>
        <v>201611</v>
      </c>
      <c r="AR42" s="482">
        <f t="shared" si="101"/>
        <v>201612</v>
      </c>
      <c r="AS42" s="482">
        <f>AS3</f>
        <v>201701</v>
      </c>
      <c r="AT42" s="482">
        <f>AS42+1</f>
        <v>201702</v>
      </c>
      <c r="AU42" s="482">
        <f t="shared" ref="AU42" si="102">AT42+1</f>
        <v>201703</v>
      </c>
      <c r="AV42" s="482">
        <f t="shared" ref="AV42" si="103">AU42+1</f>
        <v>201704</v>
      </c>
      <c r="AW42" s="482">
        <f t="shared" ref="AW42" si="104">AV42+1</f>
        <v>201705</v>
      </c>
      <c r="AX42" s="482">
        <f t="shared" ref="AX42" si="105">AW42+1</f>
        <v>201706</v>
      </c>
      <c r="AY42" s="482">
        <f t="shared" ref="AY42" si="106">AX42+1</f>
        <v>201707</v>
      </c>
      <c r="AZ42" s="482">
        <f t="shared" ref="AZ42" si="107">AY42+1</f>
        <v>201708</v>
      </c>
      <c r="BA42" s="482">
        <f t="shared" ref="BA42" si="108">AZ42+1</f>
        <v>201709</v>
      </c>
      <c r="BB42" s="482">
        <f t="shared" ref="BB42" si="109">BA42+1</f>
        <v>201710</v>
      </c>
      <c r="BC42" s="482">
        <f t="shared" ref="BC42" si="110">BB42+1</f>
        <v>201711</v>
      </c>
      <c r="BD42" s="482">
        <f t="shared" ref="BD42" si="111">BC42+1</f>
        <v>201712</v>
      </c>
      <c r="BE42" s="569"/>
      <c r="BF42" s="496" t="s">
        <v>290</v>
      </c>
      <c r="BG42" s="524">
        <v>431600</v>
      </c>
      <c r="BH42" s="356" t="s">
        <v>281</v>
      </c>
      <c r="BI42" s="356" t="s">
        <v>282</v>
      </c>
      <c r="BJ42" s="379">
        <f>IF(SUMIF(Q42:BD42,BF40,Q46:BD46)&lt;0,-SUMIF(Q42:BD42,BF40,Q46:BD46),0)</f>
        <v>35324.029654968952</v>
      </c>
      <c r="BK42" s="497">
        <v>0</v>
      </c>
      <c r="BM42" s="480" t="str">
        <f>_xll.GLW_Segment_Description(BG42,2,2)</f>
        <v>INTEREST EXPENSE ENERGY DEFERRALS</v>
      </c>
    </row>
    <row r="43" spans="1:65" s="481" customFormat="1">
      <c r="B43" s="483" t="s">
        <v>253</v>
      </c>
      <c r="C43" s="480"/>
      <c r="E43" s="486">
        <v>3.2500000000000001E-2</v>
      </c>
      <c r="F43" s="486">
        <v>3.2500000000000001E-2</v>
      </c>
      <c r="G43" s="486">
        <v>3.2500000000000001E-2</v>
      </c>
      <c r="H43" s="486">
        <v>3.2500000000000001E-2</v>
      </c>
      <c r="I43" s="486">
        <v>3.2500000000000001E-2</v>
      </c>
      <c r="J43" s="486">
        <v>3.2500000000000001E-2</v>
      </c>
      <c r="K43" s="486">
        <v>3.2500000000000001E-2</v>
      </c>
      <c r="L43" s="486">
        <v>3.2500000000000001E-2</v>
      </c>
      <c r="M43" s="486">
        <v>3.2500000000000001E-2</v>
      </c>
      <c r="N43" s="486">
        <v>3.2500000000000001E-2</v>
      </c>
      <c r="O43" s="486">
        <v>3.2500000000000001E-2</v>
      </c>
      <c r="P43" s="486">
        <v>3.2500000000000001E-2</v>
      </c>
      <c r="Q43" s="486">
        <v>3.2500000000000001E-2</v>
      </c>
      <c r="R43" s="486">
        <v>3.2500000000000001E-2</v>
      </c>
      <c r="S43" s="486">
        <v>3.2500000000000001E-2</v>
      </c>
      <c r="T43" s="486">
        <v>3.2500000000000001E-2</v>
      </c>
      <c r="U43" s="486">
        <v>3.2500000000000001E-2</v>
      </c>
      <c r="V43" s="486">
        <v>3.2500000000000001E-2</v>
      </c>
      <c r="W43" s="486">
        <v>3.2500000000000001E-2</v>
      </c>
      <c r="X43" s="486">
        <v>3.2500000000000001E-2</v>
      </c>
      <c r="Y43" s="486">
        <v>3.2500000000000001E-2</v>
      </c>
      <c r="Z43" s="486">
        <v>3.2500000000000001E-2</v>
      </c>
      <c r="AA43" s="486">
        <v>3.2500000000000001E-2</v>
      </c>
      <c r="AB43" s="486">
        <v>3.2500000000000001E-2</v>
      </c>
      <c r="AC43" s="486">
        <v>3.2500000000000001E-2</v>
      </c>
      <c r="AD43" s="486">
        <v>3.2500000000000001E-2</v>
      </c>
      <c r="AE43" s="486">
        <v>3.2500000000000001E-2</v>
      </c>
      <c r="AF43" s="486">
        <v>3.2500000000000001E-2</v>
      </c>
      <c r="AG43" s="486">
        <v>3.2500000000000001E-2</v>
      </c>
      <c r="AH43" s="486">
        <v>3.2500000000000001E-2</v>
      </c>
      <c r="AI43" s="486">
        <v>3.2500000000000001E-2</v>
      </c>
      <c r="AJ43" s="486">
        <v>3.4599999999999999E-2</v>
      </c>
      <c r="AK43" s="486">
        <v>3.4599999999999999E-2</v>
      </c>
      <c r="AL43" s="486">
        <v>3.4599999999999999E-2</v>
      </c>
      <c r="AM43" s="486">
        <v>3.5000000000000003E-2</v>
      </c>
      <c r="AN43" s="575">
        <v>3.5000000000000003E-2</v>
      </c>
      <c r="AO43" s="575">
        <v>3.5000000000000003E-2</v>
      </c>
      <c r="AP43" s="575">
        <v>3.5000000000000003E-2</v>
      </c>
      <c r="AQ43" s="575">
        <v>3.5000000000000003E-2</v>
      </c>
      <c r="AR43" s="575">
        <v>3.5000000000000003E-2</v>
      </c>
      <c r="AS43" s="598">
        <v>3.5000000000000003E-2</v>
      </c>
      <c r="AT43" s="598">
        <v>3.5000000000000003E-2</v>
      </c>
      <c r="AU43" s="598">
        <v>3.5000000000000003E-2</v>
      </c>
      <c r="AV43" s="598">
        <v>3.7100000000000001E-2</v>
      </c>
      <c r="AW43" s="598">
        <v>3.7100000000000001E-2</v>
      </c>
      <c r="AX43" s="598">
        <v>3.7100000000000001E-2</v>
      </c>
      <c r="AY43" s="598">
        <v>3.9600000000000003E-2</v>
      </c>
      <c r="AZ43" s="598">
        <v>3.9600000000000003E-2</v>
      </c>
      <c r="BA43" s="598">
        <v>3.9600000000000003E-2</v>
      </c>
      <c r="BB43" s="598">
        <v>4.2099999999999999E-2</v>
      </c>
      <c r="BC43" s="598">
        <v>4.2099999999999999E-2</v>
      </c>
      <c r="BD43" s="598">
        <v>4.2099999999999999E-2</v>
      </c>
      <c r="BE43" s="569"/>
      <c r="BF43" s="496" t="s">
        <v>291</v>
      </c>
      <c r="BG43" s="524">
        <v>191000</v>
      </c>
      <c r="BH43" s="356" t="s">
        <v>281</v>
      </c>
      <c r="BI43" s="356" t="s">
        <v>282</v>
      </c>
      <c r="BJ43" s="379">
        <f>IF((SUMIF(Q42:BD42,BF40,Q45:BD45)+SUMIF(Q42:BD42,BF40,Q46:BD46))&gt;0,(SUMIF(Q42:BD42,BF40,Q45:BD45)+SUMIF(Q42:BD42,BF40,Q46:BD46)),0)</f>
        <v>2627576.970345031</v>
      </c>
      <c r="BK43" s="497">
        <f>IF((SUMIF(Q42:BD42,BF40,Q45:BD45)+SUMIF(Q42:BD42,BF40,Q46:BD46))&lt;0,-(SUMIF(Q42:BD42,BF40,Q45:BD45)+SUMIF(Q42:BD42,BF40,Q46:BD46)),0)</f>
        <v>0</v>
      </c>
      <c r="BM43" s="480" t="str">
        <f>_xll.GLW_Segment_Description(BG43,2,2)</f>
        <v>RECOVERABLE GAS COSTS AMORTIZED</v>
      </c>
    </row>
    <row r="44" spans="1:65">
      <c r="A44" s="491"/>
      <c r="B44" s="479" t="s">
        <v>250</v>
      </c>
      <c r="E44" s="480">
        <v>-194854.27149590768</v>
      </c>
      <c r="F44" s="480">
        <f>E49</f>
        <v>-46035.360287444513</v>
      </c>
      <c r="G44" s="480">
        <f>F49</f>
        <v>404885.58467682183</v>
      </c>
      <c r="H44" s="480">
        <f>G49</f>
        <v>1486369.5928734979</v>
      </c>
      <c r="I44" s="480">
        <v>1388326.8065187801</v>
      </c>
      <c r="J44" s="480">
        <v>1256080.2312424269</v>
      </c>
      <c r="K44" s="480">
        <v>1153258.7731084346</v>
      </c>
      <c r="L44" s="480">
        <v>1078717.1045833002</v>
      </c>
      <c r="M44" s="480">
        <v>1033496.2426010612</v>
      </c>
      <c r="N44" s="480">
        <v>1007906.7387058339</v>
      </c>
      <c r="O44" s="480">
        <v>987738.42680743511</v>
      </c>
      <c r="P44" s="480">
        <v>972066.68936231779</v>
      </c>
      <c r="Q44" s="480">
        <v>955827.4742971377</v>
      </c>
      <c r="R44" s="480">
        <v>935484.97275235492</v>
      </c>
      <c r="S44" s="480">
        <v>900376.74388303224</v>
      </c>
      <c r="T44" s="480">
        <v>-1984640.7833043733</v>
      </c>
      <c r="U44" s="480">
        <v>-1530288.7769039478</v>
      </c>
      <c r="V44" s="480">
        <v>-1203520.6941716045</v>
      </c>
      <c r="W44" s="480">
        <v>-978605.01769356499</v>
      </c>
      <c r="X44" s="480">
        <v>-801445.32791263924</v>
      </c>
      <c r="Y44" s="480">
        <v>-669275.24177190254</v>
      </c>
      <c r="Z44" s="480">
        <v>-610882.24266902648</v>
      </c>
      <c r="AA44" s="480">
        <v>-574943.04011245095</v>
      </c>
      <c r="AB44" s="480">
        <v>-537511.27700320142</v>
      </c>
      <c r="AC44" s="480">
        <v>-503286.03358886426</v>
      </c>
      <c r="AD44" s="480">
        <v>-446057.56644618412</v>
      </c>
      <c r="AE44" s="480">
        <v>-360318.05653003836</v>
      </c>
      <c r="AF44" s="480">
        <f t="shared" ref="AF44" si="112">AE49</f>
        <v>-2966848.8846008489</v>
      </c>
      <c r="AG44" s="480">
        <f t="shared" ref="AG44" si="113">AF49</f>
        <v>-2400830.7877258095</v>
      </c>
      <c r="AH44" s="480">
        <f t="shared" ref="AH44" si="114">AG49</f>
        <v>-1799942.4443073752</v>
      </c>
      <c r="AI44" s="480">
        <f t="shared" ref="AI44" si="115">AH49</f>
        <v>-1367080.388300563</v>
      </c>
      <c r="AJ44" s="480">
        <f t="shared" ref="AJ44" si="116">AI49</f>
        <v>-991269.16134300514</v>
      </c>
      <c r="AK44" s="480">
        <f t="shared" ref="AK44" si="117">AJ49</f>
        <v>-820633.96798459429</v>
      </c>
      <c r="AL44" s="480">
        <f>AK49</f>
        <v>-706831.28344430251</v>
      </c>
      <c r="AM44" s="480">
        <f t="shared" ref="AM44" si="118">AL49</f>
        <v>-615740.82707996247</v>
      </c>
      <c r="AN44" s="480">
        <f t="shared" ref="AN44" si="119">AM49</f>
        <v>-539081.43298013532</v>
      </c>
      <c r="AO44" s="480">
        <f t="shared" ref="AO44:AT44" si="120">AN49</f>
        <v>-459570.5002163836</v>
      </c>
      <c r="AP44" s="480">
        <f t="shared" si="120"/>
        <v>-353667.8760235564</v>
      </c>
      <c r="AQ44" s="554">
        <f t="shared" si="120"/>
        <v>-123445.19123732927</v>
      </c>
      <c r="AR44" s="480">
        <f t="shared" si="120"/>
        <v>-12794629.54065969</v>
      </c>
      <c r="AS44" s="480">
        <f t="shared" si="120"/>
        <v>-9990002.7430699486</v>
      </c>
      <c r="AT44" s="480">
        <f t="shared" si="120"/>
        <v>-6863930.3518781429</v>
      </c>
      <c r="AU44" s="480">
        <f>AT49</f>
        <v>-4576506.6383892084</v>
      </c>
      <c r="AV44" s="480">
        <f t="shared" ref="AV44" si="121">AU49</f>
        <v>-2850780.7220049934</v>
      </c>
      <c r="AW44" s="554">
        <f t="shared" ref="AW44" si="122">AV49</f>
        <v>-1667508.1164393995</v>
      </c>
      <c r="AX44" s="480">
        <f>AW49</f>
        <v>-1028322.8285985981</v>
      </c>
      <c r="AY44" s="480">
        <f t="shared" ref="AY44" si="123">AX49</f>
        <v>-648348.69566836057</v>
      </c>
      <c r="AZ44" s="554">
        <f>AY49</f>
        <v>-342730.3402196177</v>
      </c>
      <c r="BA44" s="480">
        <f>AZ49</f>
        <v>-33149.237686728884</v>
      </c>
      <c r="BB44" s="480">
        <f>BA49</f>
        <v>429057.38532247738</v>
      </c>
      <c r="BC44" s="554">
        <f>BB49</f>
        <v>1518525.1996199901</v>
      </c>
      <c r="BD44" s="480">
        <f>BC49</f>
        <v>-11400057.527544595</v>
      </c>
      <c r="BF44" s="496" t="s">
        <v>292</v>
      </c>
      <c r="BG44" s="524">
        <v>805110</v>
      </c>
      <c r="BH44" s="356" t="s">
        <v>281</v>
      </c>
      <c r="BI44" s="356" t="s">
        <v>282</v>
      </c>
      <c r="BJ44" s="379">
        <f>IF((SUMIF(Q42:BD42,BF40,Q45:BD45))&lt;0,-(SUMIF(Q42:BD42,BF40,Q45:BD45)),0)</f>
        <v>0</v>
      </c>
      <c r="BK44" s="497">
        <f>IF((SUMIF(Q42:BD42,BF40,Q45:BD45))&gt;0,(SUMIF(Q42:BD42,BF40,Q45:BD45)),0)</f>
        <v>2662901</v>
      </c>
      <c r="BM44" s="480" t="str">
        <f>_xll.GLW_Segment_Description(BG44,2,2)</f>
        <v>AMORTIZE RECOVERABLE GAS COSTS</v>
      </c>
    </row>
    <row r="45" spans="1:65">
      <c r="B45" s="479" t="s">
        <v>23</v>
      </c>
      <c r="C45" s="480">
        <f>SUM(AG45:AR45)</f>
        <v>6501100.8283500001</v>
      </c>
      <c r="D45" s="492">
        <f>SUM(AE45:AP45)</f>
        <v>3332637.8283500001</v>
      </c>
      <c r="E45" s="480">
        <f>SUMPRODUCT(E19:E27,E32:E40)</f>
        <v>149144.67478</v>
      </c>
      <c r="F45" s="480">
        <f>SUMPRODUCT(F19:F27,F32:F40)</f>
        <v>450435.65911000001</v>
      </c>
      <c r="G45" s="480">
        <v>-82277.84</v>
      </c>
      <c r="H45" s="480">
        <v>-101930.34</v>
      </c>
      <c r="I45" s="480">
        <v>-108116.73896</v>
      </c>
      <c r="J45" s="480">
        <v>-106079.69250999999</v>
      </c>
      <c r="K45" s="480">
        <v>-77560.048470000009</v>
      </c>
      <c r="L45" s="480">
        <v>-48077.28282</v>
      </c>
      <c r="M45" s="480">
        <v>-28350.165369999999</v>
      </c>
      <c r="N45" s="480">
        <v>-22867.09346</v>
      </c>
      <c r="O45" s="480">
        <v>-18322.051239999997</v>
      </c>
      <c r="P45" s="480">
        <v>-18846.37455</v>
      </c>
      <c r="Q45" s="480">
        <v>-22900.190279999999</v>
      </c>
      <c r="R45" s="480">
        <v>-37590.929620000003</v>
      </c>
      <c r="S45" s="549">
        <v>257672.26615000004</v>
      </c>
      <c r="T45" s="549">
        <v>312766.45</v>
      </c>
      <c r="U45" s="480">
        <v>330465.11</v>
      </c>
      <c r="V45" s="480">
        <v>227866.64228000003</v>
      </c>
      <c r="W45" s="480">
        <v>179566.91484000001</v>
      </c>
      <c r="X45" s="480">
        <v>134158.99359999999</v>
      </c>
      <c r="Y45" s="480">
        <v>60124.201359999999</v>
      </c>
      <c r="Z45" s="480">
        <v>37542.836040000002</v>
      </c>
      <c r="AA45" s="480">
        <v>38936.174440000003</v>
      </c>
      <c r="AB45" s="480">
        <v>35632.750439999996</v>
      </c>
      <c r="AC45" s="480">
        <v>58512.29808</v>
      </c>
      <c r="AD45" s="480">
        <v>86830.000200000009</v>
      </c>
      <c r="AE45" s="480">
        <v>457096</v>
      </c>
      <c r="AF45" s="480">
        <v>573277</v>
      </c>
      <c r="AG45" s="480">
        <v>606569.19767999998</v>
      </c>
      <c r="AH45" s="480">
        <v>437144.93303000001</v>
      </c>
      <c r="AI45" s="480">
        <v>379000.50648999994</v>
      </c>
      <c r="AJ45" s="480">
        <v>173243.59325999999</v>
      </c>
      <c r="AK45" s="480">
        <v>116001.61016</v>
      </c>
      <c r="AL45" s="480">
        <v>92994.419610000012</v>
      </c>
      <c r="AM45" s="480">
        <v>78341.057469999985</v>
      </c>
      <c r="AN45" s="480">
        <v>80965.179390000005</v>
      </c>
      <c r="AO45" s="480">
        <v>107086.8698</v>
      </c>
      <c r="AP45" s="480">
        <v>230917.46145999999</v>
      </c>
      <c r="AQ45" s="554">
        <v>1361030</v>
      </c>
      <c r="AR45" s="480">
        <f>2837806</f>
        <v>2837806</v>
      </c>
      <c r="AS45" s="480">
        <f t="shared" ref="AS45:AW45" si="124">SUMPRODUCT(AS19:AS27,AS32:AS40)</f>
        <v>3150615.2519499999</v>
      </c>
      <c r="AT45" s="480">
        <f t="shared" si="124"/>
        <v>2304083.3887400003</v>
      </c>
      <c r="AU45" s="480">
        <f t="shared" si="124"/>
        <v>1736541.60424</v>
      </c>
      <c r="AV45" s="480">
        <f t="shared" si="124"/>
        <v>1190246.3468200001</v>
      </c>
      <c r="AW45" s="480">
        <f t="shared" si="124"/>
        <v>643346.16116000002</v>
      </c>
      <c r="AX45" s="480">
        <f>SUMPRODUCT(AX19:AX27,AX32:AX40)</f>
        <v>382561.98726999998</v>
      </c>
      <c r="AY45" s="480">
        <f t="shared" ref="AY45" si="125">SUMPRODUCT(AY19:AY27,AY32:AY40)</f>
        <v>307250.94208999997</v>
      </c>
      <c r="AZ45" s="480">
        <f>SUMPRODUCT(AZ19:AZ27,AZ32:AZ40)</f>
        <v>310200.28219000006</v>
      </c>
      <c r="BA45" s="480">
        <f>SUMPRODUCT(BA19:BA27,BA32:BA40)</f>
        <v>461554.45064999996</v>
      </c>
      <c r="BB45" s="480">
        <f>SUMPRODUCT(BB19:BB27,BB32:BB40)</f>
        <v>1086057.4122600001</v>
      </c>
      <c r="BC45" s="554">
        <v>1765228</v>
      </c>
      <c r="BD45" s="608">
        <v>2662901</v>
      </c>
      <c r="BF45" s="153" t="s">
        <v>156</v>
      </c>
      <c r="BG45" s="208">
        <f>BG43</f>
        <v>191000</v>
      </c>
      <c r="BH45" s="208" t="str">
        <f t="shared" ref="BH45:BI45" si="126">BH43</f>
        <v>GD</v>
      </c>
      <c r="BI45" s="208" t="str">
        <f t="shared" si="126"/>
        <v>WA</v>
      </c>
      <c r="BJ45" s="470">
        <f>BC48</f>
        <v>130571.12</v>
      </c>
      <c r="BK45" s="460">
        <v>0</v>
      </c>
      <c r="BM45" s="480" t="str">
        <f>_xll.GLW_Segment_Description(BG45,2,2)</f>
        <v>RECOVERABLE GAS COSTS AMORTIZED</v>
      </c>
    </row>
    <row r="46" spans="1:65" ht="16.5" thickBot="1">
      <c r="B46" s="479" t="s">
        <v>4</v>
      </c>
      <c r="C46" s="480">
        <f t="shared" ref="C46:C48" si="127">SUM(AG46:AR46)</f>
        <v>-97522.093694136056</v>
      </c>
      <c r="D46" s="492">
        <f t="shared" ref="D46" si="128">SUM(AE46:AP46)</f>
        <v>-40847.023057290899</v>
      </c>
      <c r="E46" s="480">
        <f>(E44*(E43/12))+((E45/2)*(E43/12))</f>
        <v>-325.7635715368333</v>
      </c>
      <c r="F46" s="480">
        <f>(F44*(F43/12))+((F45/2)*(F43/12))</f>
        <v>485.28585426629616</v>
      </c>
      <c r="G46" s="480">
        <f>((G44+G47)*(G43/12))+(((G45+G48)/2)*(G43/12))</f>
        <v>4107.1195298889406</v>
      </c>
      <c r="H46" s="487">
        <f>(H44*(H43/12))+((H45/2)*(H43/12))</f>
        <v>3887.5536452823899</v>
      </c>
      <c r="I46" s="487">
        <v>3613.643683646696</v>
      </c>
      <c r="J46" s="487">
        <v>3258.2343760076146</v>
      </c>
      <c r="K46" s="487">
        <v>3018.3799448655523</v>
      </c>
      <c r="L46" s="487">
        <v>2856.4208377610212</v>
      </c>
      <c r="M46" s="487">
        <v>2760.6614747726658</v>
      </c>
      <c r="N46" s="487">
        <v>2698.7815616012172</v>
      </c>
      <c r="O46" s="487">
        <v>2650.3137948826366</v>
      </c>
      <c r="P46" s="487">
        <v>2607.1594848198192</v>
      </c>
      <c r="Q46" s="487">
        <v>2557.688735217248</v>
      </c>
      <c r="R46" s="487">
        <v>2482.7007506772115</v>
      </c>
      <c r="S46" s="550">
        <v>-5609.7233374053303</v>
      </c>
      <c r="T46" s="551">
        <v>-4753.3635995743443</v>
      </c>
      <c r="U46" s="487">
        <v>-3697.0272676565255</v>
      </c>
      <c r="V46" s="487">
        <v>-2950.9658019605959</v>
      </c>
      <c r="W46" s="487">
        <v>-2407.2250590742387</v>
      </c>
      <c r="X46" s="487">
        <v>-1988.9074592633983</v>
      </c>
      <c r="Y46" s="487">
        <v>-1731.2022571239027</v>
      </c>
      <c r="Z46" s="487">
        <v>-1603.6334834244467</v>
      </c>
      <c r="AA46" s="487">
        <v>-1504.4113307503878</v>
      </c>
      <c r="AB46" s="487">
        <v>-1407.5070256628373</v>
      </c>
      <c r="AC46" s="487">
        <v>-1283.8309373198406</v>
      </c>
      <c r="AD46" s="487">
        <v>-1090.4902838542487</v>
      </c>
      <c r="AE46" s="487">
        <v>-8708.8880708105207</v>
      </c>
      <c r="AF46" s="487">
        <f>((AF44+AF47)*(AF43/12))+(((AF45+AF48)/2)*(AF43/12))</f>
        <v>-7258.9031249606332</v>
      </c>
      <c r="AG46" s="487">
        <v>-5680.8542615657343</v>
      </c>
      <c r="AH46" s="487">
        <v>-4282.8770231876824</v>
      </c>
      <c r="AI46" s="487">
        <v>-3189.27953244215</v>
      </c>
      <c r="AJ46" s="487">
        <v>-2608.3999015891645</v>
      </c>
      <c r="AK46" s="487">
        <v>-2198.9256197082468</v>
      </c>
      <c r="AL46" s="487">
        <v>-1903.9632456599886</v>
      </c>
      <c r="AM46" s="487">
        <v>-1681.6633701728074</v>
      </c>
      <c r="AN46" s="487">
        <v>-1454.2466262483115</v>
      </c>
      <c r="AO46" s="487">
        <v>-1184.2456071727854</v>
      </c>
      <c r="AP46" s="487">
        <v>-694.77667377287275</v>
      </c>
      <c r="AQ46" s="551">
        <f>((AQ44+AQ47)*(AQ43/12))+(((AQ45+AQ48)/2)*(AQ43/12))</f>
        <v>-39463.659422358884</v>
      </c>
      <c r="AR46" s="487">
        <f t="shared" ref="AR46:AV46" si="129">((AR44+AR47)*(AR43/12))+(((AR45+AR48)/2)*(AR43/12))</f>
        <v>-33179.202410257429</v>
      </c>
      <c r="AS46" s="487">
        <f t="shared" si="129"/>
        <v>-24542.860758193601</v>
      </c>
      <c r="AT46" s="487">
        <f t="shared" si="129"/>
        <v>-16659.675251065419</v>
      </c>
      <c r="AU46" s="487">
        <f t="shared" si="129"/>
        <v>-10815.687855785192</v>
      </c>
      <c r="AV46" s="487">
        <f t="shared" si="129"/>
        <v>-6973.7412544061872</v>
      </c>
      <c r="AW46" s="487">
        <f>((AW44+AW47)*(AW43/12))+(((AW45+AW48)/2)*(AW43/12))</f>
        <v>-4160.873319198643</v>
      </c>
      <c r="AX46" s="487">
        <f>((AX44+AX47)*(AX43/12))+(((AX45+AX48)/2)*(AX43/12))</f>
        <v>-2587.8543397624576</v>
      </c>
      <c r="AY46" s="487">
        <f t="shared" ref="AY46" si="130">((AY44+AY47)*(AY43/12))+(((AY45+AY48)/2)*(AY43/12))</f>
        <v>-1632.5866412570899</v>
      </c>
      <c r="AZ46" s="487">
        <f>((AZ44+AZ47)*(AZ43/12))+(((AZ45+AZ48)/2)*(AZ43/12))</f>
        <v>-619.17965711123838</v>
      </c>
      <c r="BA46" s="487">
        <f>((BA44+BA47)*(BA43/12))+(((BA45+BA48)/2)*(BA43/12))</f>
        <v>652.17235920629469</v>
      </c>
      <c r="BB46" s="487">
        <f>((BB44+BB47)*(BB43/12))+(((BB45+BB48)/2)*(BB43/12))</f>
        <v>3410.4020375124419</v>
      </c>
      <c r="BC46" s="551">
        <f>((BC44+BC47)*(BC43/12))+(((BC45+BC48)/2)*(BC43/12))</f>
        <v>-43169.297164583208</v>
      </c>
      <c r="BD46" s="487">
        <f>((BD44+BD47)*(BD43/12))+(((BD45+BD48)/2)*(BD43/12))</f>
        <v>-35324.029654968952</v>
      </c>
      <c r="BF46" s="154" t="str">
        <f>BF45</f>
        <v>Large Customer Refund</v>
      </c>
      <c r="BG46" s="552">
        <f>BG44</f>
        <v>805110</v>
      </c>
      <c r="BH46" s="552" t="str">
        <f t="shared" ref="BH46:BI46" si="131">BH44</f>
        <v>GD</v>
      </c>
      <c r="BI46" s="552" t="str">
        <f t="shared" si="131"/>
        <v>WA</v>
      </c>
      <c r="BJ46" s="462">
        <f>BK45</f>
        <v>0</v>
      </c>
      <c r="BK46" s="471">
        <f>BJ45</f>
        <v>130571.12</v>
      </c>
      <c r="BM46" s="480" t="str">
        <f>_xll.GLW_Segment_Description(BG46,2,2)</f>
        <v>AMORTIZE RECOVERABLE GAS COSTS</v>
      </c>
    </row>
    <row r="47" spans="1:65" ht="16.5" thickBot="1">
      <c r="B47" s="479" t="s">
        <v>255</v>
      </c>
      <c r="C47" s="480">
        <f t="shared" si="127"/>
        <v>-14182183.960000001</v>
      </c>
      <c r="D47" s="492"/>
      <c r="E47" s="480">
        <v>0</v>
      </c>
      <c r="F47" s="480">
        <v>0</v>
      </c>
      <c r="G47" s="480">
        <v>1145801.7486667871</v>
      </c>
      <c r="H47" s="480">
        <v>0</v>
      </c>
      <c r="I47" s="480">
        <v>0</v>
      </c>
      <c r="J47" s="480">
        <v>0</v>
      </c>
      <c r="K47" s="480">
        <v>0</v>
      </c>
      <c r="L47" s="480">
        <v>0</v>
      </c>
      <c r="M47" s="480">
        <v>0</v>
      </c>
      <c r="N47" s="480">
        <v>0</v>
      </c>
      <c r="O47" s="480">
        <v>0</v>
      </c>
      <c r="P47" s="480">
        <v>0</v>
      </c>
      <c r="Q47" s="480">
        <v>0</v>
      </c>
      <c r="R47" s="480">
        <v>0</v>
      </c>
      <c r="S47" s="549">
        <v>-3063910.6100000003</v>
      </c>
      <c r="T47" s="480">
        <v>0</v>
      </c>
      <c r="U47" s="480">
        <v>0</v>
      </c>
      <c r="V47" s="480">
        <v>0</v>
      </c>
      <c r="W47" s="480">
        <v>0</v>
      </c>
      <c r="X47" s="480">
        <v>0</v>
      </c>
      <c r="Y47" s="480">
        <v>0</v>
      </c>
      <c r="Z47" s="480">
        <v>0</v>
      </c>
      <c r="AA47" s="480">
        <v>0</v>
      </c>
      <c r="AB47" s="480">
        <v>0</v>
      </c>
      <c r="AC47" s="480">
        <v>0</v>
      </c>
      <c r="AD47" s="480">
        <v>0</v>
      </c>
      <c r="AE47" s="549">
        <v>-3112720.83</v>
      </c>
      <c r="AF47" s="480">
        <v>0</v>
      </c>
      <c r="AG47" s="480">
        <v>0</v>
      </c>
      <c r="AH47" s="480">
        <v>0</v>
      </c>
      <c r="AI47" s="480">
        <v>0</v>
      </c>
      <c r="AJ47" s="480">
        <v>0</v>
      </c>
      <c r="AK47" s="480">
        <v>0</v>
      </c>
      <c r="AL47" s="480">
        <v>0</v>
      </c>
      <c r="AM47" s="480">
        <v>0</v>
      </c>
      <c r="AN47" s="480">
        <v>0</v>
      </c>
      <c r="AO47" s="480">
        <v>0</v>
      </c>
      <c r="AP47" s="480">
        <v>0</v>
      </c>
      <c r="AQ47" s="595">
        <v>-14182183.960000001</v>
      </c>
      <c r="AR47" s="480">
        <v>0</v>
      </c>
      <c r="AS47" s="480">
        <v>0</v>
      </c>
      <c r="AT47" s="480">
        <v>0</v>
      </c>
      <c r="AU47" s="480">
        <v>0</v>
      </c>
      <c r="AV47" s="480">
        <v>0</v>
      </c>
      <c r="AW47" s="480">
        <v>0</v>
      </c>
      <c r="AX47" s="480">
        <v>0</v>
      </c>
      <c r="AY47" s="480">
        <v>0</v>
      </c>
      <c r="AZ47" s="480">
        <v>0</v>
      </c>
      <c r="BA47" s="480">
        <v>0</v>
      </c>
      <c r="BB47" s="480">
        <v>0</v>
      </c>
      <c r="BC47" s="595">
        <v>-14771212.550000001</v>
      </c>
      <c r="BD47" s="480">
        <v>0</v>
      </c>
      <c r="BF47" s="512"/>
      <c r="BG47" s="526"/>
      <c r="BH47" s="513"/>
      <c r="BI47" s="513"/>
      <c r="BJ47" s="513" t="s">
        <v>159</v>
      </c>
      <c r="BK47" s="514">
        <f>SUM(BJ41:BJ46)-SUM(BK41:BK46)</f>
        <v>0</v>
      </c>
    </row>
    <row r="48" spans="1:65">
      <c r="B48" s="479" t="s">
        <v>148</v>
      </c>
      <c r="C48" s="480">
        <f t="shared" si="127"/>
        <v>189433.27</v>
      </c>
      <c r="D48" s="492"/>
      <c r="E48" s="480">
        <v>0</v>
      </c>
      <c r="F48" s="480">
        <v>0</v>
      </c>
      <c r="G48" s="480">
        <v>13852.98</v>
      </c>
      <c r="H48" s="480">
        <v>0</v>
      </c>
      <c r="I48" s="533">
        <v>-27743.479999999981</v>
      </c>
      <c r="J48" s="480">
        <v>0</v>
      </c>
      <c r="K48" s="480">
        <v>0</v>
      </c>
      <c r="L48" s="480">
        <v>0</v>
      </c>
      <c r="M48" s="480">
        <v>0</v>
      </c>
      <c r="N48" s="480">
        <v>0</v>
      </c>
      <c r="O48" s="480">
        <v>0</v>
      </c>
      <c r="P48" s="480">
        <v>0</v>
      </c>
      <c r="Q48" s="480">
        <v>0</v>
      </c>
      <c r="R48" s="480">
        <v>0</v>
      </c>
      <c r="S48" s="549">
        <v>-73169.460000000006</v>
      </c>
      <c r="T48" s="549">
        <v>146338.92000000001</v>
      </c>
      <c r="U48" s="554">
        <v>0</v>
      </c>
      <c r="V48" s="480">
        <v>0</v>
      </c>
      <c r="W48" s="480">
        <v>0</v>
      </c>
      <c r="X48" s="480">
        <v>0</v>
      </c>
      <c r="Y48" s="480">
        <v>0</v>
      </c>
      <c r="Z48" s="480">
        <v>0</v>
      </c>
      <c r="AA48" s="480">
        <v>0</v>
      </c>
      <c r="AB48" s="480">
        <v>0</v>
      </c>
      <c r="AC48" s="480">
        <v>0</v>
      </c>
      <c r="AD48" s="480">
        <v>0</v>
      </c>
      <c r="AE48" s="549">
        <v>57802.89</v>
      </c>
      <c r="AF48" s="480">
        <v>0</v>
      </c>
      <c r="AG48" s="480">
        <v>0</v>
      </c>
      <c r="AH48" s="480">
        <v>0</v>
      </c>
      <c r="AI48" s="480">
        <v>0</v>
      </c>
      <c r="AJ48" s="480">
        <v>0</v>
      </c>
      <c r="AK48" s="480">
        <v>0</v>
      </c>
      <c r="AL48" s="480">
        <v>0</v>
      </c>
      <c r="AM48" s="480">
        <v>0</v>
      </c>
      <c r="AN48" s="480">
        <v>0</v>
      </c>
      <c r="AO48" s="480">
        <v>0</v>
      </c>
      <c r="AP48" s="480">
        <v>0</v>
      </c>
      <c r="AQ48" s="554">
        <v>189433.27</v>
      </c>
      <c r="AR48" s="480">
        <v>0</v>
      </c>
      <c r="AS48" s="480">
        <v>0</v>
      </c>
      <c r="AT48" s="480">
        <v>0</v>
      </c>
      <c r="AU48" s="480">
        <v>0</v>
      </c>
      <c r="AV48" s="480">
        <v>0</v>
      </c>
      <c r="AW48" s="480">
        <v>0</v>
      </c>
      <c r="AX48" s="480">
        <v>0</v>
      </c>
      <c r="AY48" s="480">
        <v>0</v>
      </c>
      <c r="AZ48" s="480">
        <v>0</v>
      </c>
      <c r="BA48" s="480">
        <v>0</v>
      </c>
      <c r="BB48" s="480">
        <v>0</v>
      </c>
      <c r="BC48" s="554">
        <v>130571.12</v>
      </c>
      <c r="BD48" s="480">
        <v>0</v>
      </c>
    </row>
    <row r="49" spans="1:62" ht="16.5" thickBot="1">
      <c r="B49" s="479" t="s">
        <v>56</v>
      </c>
      <c r="C49" s="536">
        <f>SUM(C45:C48)</f>
        <v>-7589171.9553441377</v>
      </c>
      <c r="D49" s="536"/>
      <c r="E49" s="536">
        <f>SUM(E44:E48)</f>
        <v>-46035.360287444513</v>
      </c>
      <c r="F49" s="536">
        <f t="shared" ref="F49" si="132">SUM(F44:F48)</f>
        <v>404885.58467682183</v>
      </c>
      <c r="G49" s="536">
        <f t="shared" ref="G49" si="133">SUM(G44:G48)</f>
        <v>1486369.5928734979</v>
      </c>
      <c r="H49" s="536">
        <f t="shared" ref="H49" si="134">SUM(H44:H48)</f>
        <v>1388326.8065187801</v>
      </c>
      <c r="I49" s="536">
        <v>1256080.2312424269</v>
      </c>
      <c r="J49" s="536">
        <v>1153258.7731084346</v>
      </c>
      <c r="K49" s="536">
        <v>1078717.1045833002</v>
      </c>
      <c r="L49" s="536">
        <v>1033496.2426010612</v>
      </c>
      <c r="M49" s="536">
        <v>1007906.7387058339</v>
      </c>
      <c r="N49" s="536">
        <v>987738.42680743511</v>
      </c>
      <c r="O49" s="536">
        <v>972066.68936231779</v>
      </c>
      <c r="P49" s="536">
        <v>955827.4742971377</v>
      </c>
      <c r="Q49" s="536">
        <v>935484.97275235492</v>
      </c>
      <c r="R49" s="536">
        <v>900376.74388303224</v>
      </c>
      <c r="S49" s="536">
        <v>-1984640.7833043733</v>
      </c>
      <c r="T49" s="536">
        <v>-1530288.7769039478</v>
      </c>
      <c r="U49" s="536">
        <v>-1203520.6941716045</v>
      </c>
      <c r="V49" s="536">
        <f t="shared" ref="V49:AE49" si="135">SUM(V44:V48)</f>
        <v>-978605.01769356499</v>
      </c>
      <c r="W49" s="536">
        <f t="shared" si="135"/>
        <v>-801445.32791263924</v>
      </c>
      <c r="X49" s="536">
        <f t="shared" si="135"/>
        <v>-669275.24177190254</v>
      </c>
      <c r="Y49" s="536">
        <f t="shared" si="135"/>
        <v>-610882.24266902648</v>
      </c>
      <c r="Z49" s="536">
        <f t="shared" si="135"/>
        <v>-574943.04011245095</v>
      </c>
      <c r="AA49" s="536">
        <f t="shared" si="135"/>
        <v>-537511.27700320142</v>
      </c>
      <c r="AB49" s="536">
        <f t="shared" si="135"/>
        <v>-503286.03358886426</v>
      </c>
      <c r="AC49" s="536">
        <f t="shared" si="135"/>
        <v>-446057.56644618412</v>
      </c>
      <c r="AD49" s="536">
        <f t="shared" si="135"/>
        <v>-360318.05653003836</v>
      </c>
      <c r="AE49" s="536">
        <f t="shared" si="135"/>
        <v>-2966848.8846008489</v>
      </c>
      <c r="AF49" s="536">
        <f t="shared" ref="AF49:AR49" si="136">SUM(AF44:AF48)</f>
        <v>-2400830.7877258095</v>
      </c>
      <c r="AG49" s="536">
        <f t="shared" si="136"/>
        <v>-1799942.4443073752</v>
      </c>
      <c r="AH49" s="536">
        <f t="shared" si="136"/>
        <v>-1367080.388300563</v>
      </c>
      <c r="AI49" s="536">
        <f t="shared" si="136"/>
        <v>-991269.16134300514</v>
      </c>
      <c r="AJ49" s="536">
        <f t="shared" si="136"/>
        <v>-820633.96798459429</v>
      </c>
      <c r="AK49" s="536">
        <f t="shared" si="136"/>
        <v>-706831.28344430251</v>
      </c>
      <c r="AL49" s="536">
        <f t="shared" si="136"/>
        <v>-615740.82707996247</v>
      </c>
      <c r="AM49" s="536">
        <f>SUM(AM44:AM48)</f>
        <v>-539081.43298013532</v>
      </c>
      <c r="AN49" s="536">
        <f t="shared" si="136"/>
        <v>-459570.5002163836</v>
      </c>
      <c r="AO49" s="536">
        <f t="shared" si="136"/>
        <v>-353667.8760235564</v>
      </c>
      <c r="AP49" s="536">
        <f t="shared" si="136"/>
        <v>-123445.19123732927</v>
      </c>
      <c r="AQ49" s="536">
        <f>SUM(AQ44:AQ48)</f>
        <v>-12794629.54065969</v>
      </c>
      <c r="AR49" s="536">
        <f t="shared" si="136"/>
        <v>-9990002.7430699486</v>
      </c>
      <c r="AS49" s="536">
        <f>SUM(AS44:AS48)</f>
        <v>-6863930.3518781429</v>
      </c>
      <c r="AT49" s="536">
        <f t="shared" ref="AT49:AX49" si="137">SUM(AT44:AT48)</f>
        <v>-4576506.6383892084</v>
      </c>
      <c r="AU49" s="536">
        <f>SUM(AU44:AU48)</f>
        <v>-2850780.7220049934</v>
      </c>
      <c r="AV49" s="536">
        <f t="shared" si="137"/>
        <v>-1667508.1164393995</v>
      </c>
      <c r="AW49" s="536">
        <f t="shared" si="137"/>
        <v>-1028322.8285985981</v>
      </c>
      <c r="AX49" s="536">
        <f t="shared" si="137"/>
        <v>-648348.69566836057</v>
      </c>
      <c r="AY49" s="536">
        <f>SUM(AY44:AY48)</f>
        <v>-342730.3402196177</v>
      </c>
      <c r="AZ49" s="536">
        <f t="shared" ref="AZ49:BB49" si="138">SUM(AZ44:AZ48)</f>
        <v>-33149.237686728884</v>
      </c>
      <c r="BA49" s="536">
        <f t="shared" si="138"/>
        <v>429057.38532247738</v>
      </c>
      <c r="BB49" s="536">
        <f t="shared" si="138"/>
        <v>1518525.1996199901</v>
      </c>
      <c r="BC49" s="536">
        <f>SUM(BC44:BC48)</f>
        <v>-11400057.527544595</v>
      </c>
      <c r="BD49" s="536">
        <f t="shared" ref="BD49" si="139">SUM(BD44:BD48)</f>
        <v>-8772480.5571995638</v>
      </c>
    </row>
    <row r="50" spans="1:62" ht="16.5" thickTop="1">
      <c r="B50" s="479" t="s">
        <v>256</v>
      </c>
      <c r="E50" s="480">
        <f>_xll.Get_Balance(E42,"YTD","USD","Total","A","","001",$A$42,"GD","WA","DL")</f>
        <v>-46035.14</v>
      </c>
      <c r="F50" s="480">
        <f>_xll.Get_Balance(F42,"YTD","USD","Total","A","","001",$A$42,"GD","WA","DL")</f>
        <v>404885.81</v>
      </c>
      <c r="G50" s="480">
        <f>_xll.Get_Balance(G42,"YTD","USD","Total","A","","001",$A$42,"GD","WA","DL")</f>
        <v>1486369.82</v>
      </c>
      <c r="H50" s="480">
        <f>_xll.Get_Balance(H42,"YTD","USD","Total","A","","001",$A$42,"GD","WA","DL")</f>
        <v>1388327.03</v>
      </c>
      <c r="I50" s="480">
        <v>1256080.45</v>
      </c>
      <c r="J50" s="480">
        <v>1153258.99</v>
      </c>
      <c r="K50" s="480">
        <v>1078717.32</v>
      </c>
      <c r="L50" s="480">
        <v>1033496.46</v>
      </c>
      <c r="M50" s="480">
        <v>1007906.96</v>
      </c>
      <c r="N50" s="480">
        <v>987738.65</v>
      </c>
      <c r="O50" s="480">
        <v>972066.91</v>
      </c>
      <c r="P50" s="480">
        <v>955827.69</v>
      </c>
      <c r="Q50" s="480">
        <v>935485.19</v>
      </c>
      <c r="R50" s="480">
        <v>900376.96</v>
      </c>
      <c r="S50" s="480">
        <v>-1984640.57</v>
      </c>
      <c r="T50" s="480">
        <v>-1530288.56</v>
      </c>
      <c r="U50" s="480">
        <v>-1203520.48</v>
      </c>
      <c r="V50" s="480">
        <f>_xll.Get_Balance(V42,"YTD","USD","Total","A","","001",$A$42,"GD","WA","DL")</f>
        <v>-978604.8</v>
      </c>
      <c r="W50" s="480">
        <f>_xll.Get_Balance(W42,"YTD","USD","Total","A","","001",$A$42,"GD","WA","DL")</f>
        <v>-801445.11</v>
      </c>
      <c r="X50" s="480">
        <f>_xll.Get_Balance(X42,"YTD","USD","Total","A","","001",$A$42,"GD","WA","DL")</f>
        <v>-669275.02</v>
      </c>
      <c r="Y50" s="480">
        <f>_xll.Get_Balance(Y42,"YTD","USD","Total","A","","001",$A$42,"GD","WA","DL")</f>
        <v>-610882.02</v>
      </c>
      <c r="Z50" s="480">
        <f>_xll.Get_Balance(Z42,"YTD","USD","Total","A","","001",$A$42,"GD","WA","DL")</f>
        <v>-574942.81999999995</v>
      </c>
      <c r="AA50" s="480">
        <f>_xll.Get_Balance(AA42,"YTD","USD","Total","A","","001",$A$42,"GD","WA","DL")</f>
        <v>-537511.06000000006</v>
      </c>
      <c r="AB50" s="480">
        <f>_xll.Get_Balance(AB42,"YTD","USD","Total","A","","001",$A$42,"GD","WA","DL")</f>
        <v>-503285.82</v>
      </c>
      <c r="AC50" s="480">
        <f>_xll.Get_Balance(AC42,"YTD","USD","Total","A","","001",$A$42,"GD","WA","DL")</f>
        <v>-446057.35</v>
      </c>
      <c r="AD50" s="480">
        <f>_xll.Get_Balance(AD42,"YTD","USD","Total","A","","001",$A$42,"GD","WA","DL")</f>
        <v>-360317.84</v>
      </c>
      <c r="AE50" s="480">
        <f>_xll.Get_Balance(AE42,"YTD","USD","Total","A","","001",$A$42,"GD","WA","DL")</f>
        <v>-2966848.67</v>
      </c>
      <c r="AF50" s="480">
        <f>_xll.Get_Balance(AF42,"YTD","USD","Total","A","","001",$A$42,"GD","WA","DL")</f>
        <v>-2400830.5699999998</v>
      </c>
      <c r="AG50" s="480">
        <f>_xll.Get_Balance(AG42,"YTD","USD","Total","A","","001",$A$42,"GD","WA","DL")</f>
        <v>-1799942.22</v>
      </c>
      <c r="AH50" s="480">
        <f>_xll.Get_Balance(AH42,"YTD","USD","Total","A","","001",$A$42,"GD","WA","DL")</f>
        <v>-1367080.17</v>
      </c>
      <c r="AI50" s="480">
        <f>_xll.Get_Balance(AI42,"YTD","USD","Total","A","","001",$A$42,"GD","WA","DL")</f>
        <v>-991268.94</v>
      </c>
      <c r="AJ50" s="480">
        <f>_xll.Get_Balance(AJ42,"YTD","USD","Total","A","","001",$A$42,"GD","WA","DL")</f>
        <v>-820633.75</v>
      </c>
      <c r="AK50" s="480">
        <f>_xll.Get_Balance(AK42,"YTD","USD","Total","A","","001",$A$42,"GD","WA","DL")</f>
        <v>-706831.07</v>
      </c>
      <c r="AL50" s="480">
        <f>_xll.Get_Balance(AL42,"YTD","USD","Total","A","","001",$A$42,"GD","WA","DL")</f>
        <v>-615740.61</v>
      </c>
      <c r="AM50" s="480">
        <f>_xll.Get_Balance(AM42,"YTD","USD","Total","A","","001",$A$42,"GD","WA","DL")</f>
        <v>-539081.21</v>
      </c>
      <c r="AN50" s="480">
        <f>_xll.Get_Balance(AN42,"YTD","USD","Total","A","","001",$A$42,"GD","WA","DL")</f>
        <v>-459570.28</v>
      </c>
      <c r="AO50" s="480">
        <f>_xll.Get_Balance(AO42,"YTD","USD","Total","A","","001",$A$42,"GD","WA","DL")</f>
        <v>-353667.66</v>
      </c>
      <c r="AP50" s="480">
        <f>_xll.Get_Balance(AP42,"YTD","USD","Total","A","","001",$A$42,"GD","WA","DL")</f>
        <v>-123444.98</v>
      </c>
      <c r="AQ50" s="480">
        <f>_xll.Get_Balance(AQ42,"YTD","USD","Total","A","","001",$A$42,"GD","WA","DL")</f>
        <v>-12794629.33</v>
      </c>
      <c r="AR50" s="480">
        <f>_xll.Get_Balance(AR42,"YTD","USD","Total","A","","001",$A$42,"GD","WA","DL")</f>
        <v>-9990002.5299999993</v>
      </c>
      <c r="AS50" s="480">
        <f>_xll.Get_Balance(AS42,"YTD","USD","Total","A","","001",$A$42,"GD","WA","DL")</f>
        <v>-6863930.1399999997</v>
      </c>
      <c r="AT50" s="480">
        <f>_xll.Get_Balance(AT42,"YTD","USD","Total","A","","001",$A$42,"GD","WA","DL")</f>
        <v>-4576506.43</v>
      </c>
      <c r="AU50" s="480">
        <f>_xll.Get_Balance(AU42,"YTD","USD","Total","A","","001",$A$42,"GD","WA","DL")</f>
        <v>-2850780.51</v>
      </c>
      <c r="AV50" s="480">
        <f>_xll.Get_Balance(AV42,"YTD","USD","Total","A","","001",$A$42,"GD","WA","DL")</f>
        <v>-1667507.9</v>
      </c>
      <c r="AW50" s="480">
        <f>_xll.Get_Balance(AW42,"YTD","USD","Total","A","","001",$A$42,"GD","WA","DL")</f>
        <v>-1028322.61</v>
      </c>
      <c r="AX50" s="480">
        <f>_xll.Get_Balance(AX42,"YTD","USD","Total","A","","001",$A$42,"GD","WA","DL")</f>
        <v>-648348.48</v>
      </c>
      <c r="AY50" s="480">
        <f>_xll.Get_Balance(AY42,"YTD","USD","Total","A","","001",$A$42,"GD","WA","DL")</f>
        <v>-342730.12</v>
      </c>
      <c r="AZ50" s="480">
        <f>_xll.Get_Balance(AZ42,"YTD","USD","Total","A","","001",$A$42,"GD","WA","DL")</f>
        <v>-33149.019999999997</v>
      </c>
      <c r="BA50" s="480">
        <f>_xll.Get_Balance(BA42,"YTD","USD","Total","A","","001",$A$42,"GD","WA","DL")</f>
        <v>429057.6</v>
      </c>
      <c r="BB50" s="480">
        <f>_xll.Get_Balance(BB42,"YTD","USD","Total","A","","001",$A$42,"GD","WA","DL")</f>
        <v>1518525.41</v>
      </c>
      <c r="BC50" s="480">
        <f>_xll.Get_Balance(BC42,"YTD","USD","Total","A","","001",$A$42,"GD","WA","DL")</f>
        <v>-11530628.439999999</v>
      </c>
      <c r="BD50" s="480">
        <f>_xll.Get_Balance(BD42,"YTD","USD","Total","A","","001",$A$42,"GD","WA","DL")</f>
        <v>-11530628.439999999</v>
      </c>
      <c r="BJ50" s="554"/>
    </row>
    <row r="51" spans="1:62">
      <c r="B51" s="479" t="s">
        <v>243</v>
      </c>
      <c r="E51" s="480">
        <f t="shared" ref="E51:H51" si="140">E49-E50</f>
        <v>-0.22028744451381499</v>
      </c>
      <c r="F51" s="480">
        <f t="shared" si="140"/>
        <v>-0.22532317816512659</v>
      </c>
      <c r="G51" s="480">
        <f t="shared" si="140"/>
        <v>-0.22712650219909847</v>
      </c>
      <c r="H51" s="480">
        <f t="shared" si="140"/>
        <v>-0.22348121996037662</v>
      </c>
      <c r="I51" s="480">
        <v>-0.21875757304951549</v>
      </c>
      <c r="J51" s="480">
        <v>-0.21689156536012888</v>
      </c>
      <c r="K51" s="480">
        <v>-0.21541669988073409</v>
      </c>
      <c r="L51" s="480">
        <v>-0.2173989387229085</v>
      </c>
      <c r="M51" s="480">
        <v>-0.22129416605457664</v>
      </c>
      <c r="N51" s="480">
        <v>-0.22319256491027772</v>
      </c>
      <c r="O51" s="480">
        <v>-0.22063768224325031</v>
      </c>
      <c r="P51" s="480">
        <v>-0.21570286224596202</v>
      </c>
      <c r="Q51" s="480">
        <v>-0.21724764502141625</v>
      </c>
      <c r="R51" s="480">
        <v>-0.21611696772743016</v>
      </c>
      <c r="S51" s="480">
        <v>-0.21330437320284545</v>
      </c>
      <c r="T51" s="480">
        <v>-0.21690394775941968</v>
      </c>
      <c r="U51" s="480">
        <v>-0.21417160448618233</v>
      </c>
      <c r="V51" s="480">
        <f t="shared" ref="V51:AD51" si="141">V49-V50</f>
        <v>-0.21769356494769454</v>
      </c>
      <c r="W51" s="480">
        <f t="shared" si="141"/>
        <v>-0.21791263925842941</v>
      </c>
      <c r="X51" s="480">
        <f t="shared" si="141"/>
        <v>-0.22177190252114087</v>
      </c>
      <c r="Y51" s="480">
        <f t="shared" si="141"/>
        <v>-0.22266902646515518</v>
      </c>
      <c r="Z51" s="480">
        <f t="shared" si="141"/>
        <v>-0.22011245100293308</v>
      </c>
      <c r="AA51" s="480">
        <f t="shared" si="141"/>
        <v>-0.21700320136733353</v>
      </c>
      <c r="AB51" s="480">
        <f t="shared" si="141"/>
        <v>-0.21358886425150558</v>
      </c>
      <c r="AC51" s="480">
        <f t="shared" si="141"/>
        <v>-0.21644618414575234</v>
      </c>
      <c r="AD51" s="480">
        <f t="shared" si="141"/>
        <v>-0.21653003833489493</v>
      </c>
      <c r="AE51" s="480">
        <f t="shared" ref="AE51:AO51" si="142">AE49-AE50</f>
        <v>-0.21460084896534681</v>
      </c>
      <c r="AF51" s="480">
        <f t="shared" si="142"/>
        <v>-0.21772580966353416</v>
      </c>
      <c r="AG51" s="480">
        <f t="shared" si="142"/>
        <v>-0.22430737526156008</v>
      </c>
      <c r="AH51" s="480">
        <f t="shared" si="142"/>
        <v>-0.21830056305043399</v>
      </c>
      <c r="AI51" s="480">
        <f t="shared" si="142"/>
        <v>-0.22134300519246608</v>
      </c>
      <c r="AJ51" s="480">
        <f t="shared" si="142"/>
        <v>-0.2179845942882821</v>
      </c>
      <c r="AK51" s="480">
        <f>AK49-AK50</f>
        <v>-0.21344430255703628</v>
      </c>
      <c r="AL51" s="480">
        <f t="shared" si="142"/>
        <v>-0.21707996248733252</v>
      </c>
      <c r="AM51" s="480">
        <f>AM49-AM50</f>
        <v>-0.22298013535328209</v>
      </c>
      <c r="AN51" s="480">
        <f>AN49-AN50</f>
        <v>-0.2202163835754618</v>
      </c>
      <c r="AO51" s="480">
        <f t="shared" si="142"/>
        <v>-0.2160235564224422</v>
      </c>
      <c r="AP51" s="480">
        <f>AP49-AP50</f>
        <v>-0.21123732927662786</v>
      </c>
      <c r="AQ51" s="480">
        <f>AQ49-AQ50</f>
        <v>-0.2106596902012825</v>
      </c>
      <c r="AR51" s="480">
        <f>AR49-AR50</f>
        <v>-0.21306994929909706</v>
      </c>
      <c r="AS51" s="480">
        <f>AS49-AS50</f>
        <v>-0.21187814325094223</v>
      </c>
      <c r="AT51" s="480">
        <f t="shared" ref="AT51:AV51" si="143">AT49-AT50</f>
        <v>-0.20838920865207911</v>
      </c>
      <c r="AU51" s="480">
        <f>AU49-AU50</f>
        <v>-0.21200499357655644</v>
      </c>
      <c r="AV51" s="480">
        <f t="shared" si="143"/>
        <v>-0.21643939963541925</v>
      </c>
      <c r="AW51" s="480">
        <f>AW49-AW50</f>
        <v>-0.21859859814867377</v>
      </c>
      <c r="AX51" s="480">
        <f t="shared" ref="AX51" si="144">AX49-AX50</f>
        <v>-0.21566836058627814</v>
      </c>
      <c r="AY51" s="480">
        <f>AY49-AY50</f>
        <v>-0.22021961770951748</v>
      </c>
      <c r="AZ51" s="480">
        <f>AZ49-AZ50</f>
        <v>-0.21768672888720175</v>
      </c>
      <c r="BA51" s="480">
        <f t="shared" ref="BA51" si="145">BA49-BA50</f>
        <v>-0.21467752259923145</v>
      </c>
      <c r="BB51" s="480">
        <f>BB49-BB50</f>
        <v>-0.21038000984117389</v>
      </c>
      <c r="BC51" s="480">
        <f>BC49-BC50</f>
        <v>130570.91245540418</v>
      </c>
      <c r="BD51" s="480">
        <f>BD49-BD50</f>
        <v>2758147.8828004356</v>
      </c>
    </row>
    <row r="53" spans="1:62">
      <c r="A53" s="481" t="s">
        <v>312</v>
      </c>
      <c r="E53" s="531"/>
      <c r="F53" s="531"/>
      <c r="G53" s="531"/>
      <c r="H53" s="531"/>
      <c r="I53" s="531"/>
      <c r="J53" s="531"/>
      <c r="K53" s="531"/>
      <c r="L53" s="531"/>
      <c r="M53" s="531"/>
      <c r="N53" s="531"/>
      <c r="O53" s="531"/>
      <c r="P53" s="531"/>
      <c r="Q53" s="531"/>
      <c r="R53" s="531"/>
      <c r="S53" s="531"/>
      <c r="T53" s="531"/>
      <c r="U53" s="531"/>
      <c r="V53" s="531"/>
      <c r="W53" s="531"/>
      <c r="X53" s="531"/>
      <c r="Y53" s="531"/>
      <c r="Z53" s="531"/>
      <c r="AA53" s="531"/>
      <c r="AB53" s="531"/>
      <c r="AC53" s="531"/>
      <c r="AD53" s="531"/>
      <c r="AE53" s="531"/>
      <c r="AF53" s="531"/>
      <c r="AG53" s="531"/>
      <c r="AH53" s="531"/>
      <c r="AI53" s="531"/>
      <c r="AJ53" s="531"/>
      <c r="AK53" s="531"/>
      <c r="AL53" s="531"/>
      <c r="AM53" s="531"/>
      <c r="AN53" s="531"/>
      <c r="AO53" s="531"/>
      <c r="AP53" s="531"/>
      <c r="AQ53" s="531"/>
      <c r="AR53" s="531"/>
      <c r="AS53" s="531"/>
      <c r="AT53" s="531"/>
      <c r="AU53" s="531"/>
      <c r="AV53" s="531"/>
      <c r="AW53" s="531"/>
      <c r="AX53" s="531"/>
      <c r="AY53" s="531"/>
      <c r="AZ53" s="531"/>
      <c r="BA53" s="531"/>
      <c r="BB53" s="531"/>
      <c r="BC53" s="531"/>
      <c r="BD53" s="531"/>
    </row>
    <row r="54" spans="1:62">
      <c r="A54" s="482">
        <v>191025</v>
      </c>
      <c r="B54" s="483" t="s">
        <v>252</v>
      </c>
      <c r="C54" s="484" t="s">
        <v>248</v>
      </c>
      <c r="D54" s="484" t="s">
        <v>249</v>
      </c>
      <c r="E54" s="482">
        <v>201309</v>
      </c>
      <c r="F54" s="482">
        <f>E54+1</f>
        <v>201310</v>
      </c>
      <c r="G54" s="482">
        <f>F54+1</f>
        <v>201311</v>
      </c>
      <c r="H54" s="482">
        <f>G54+1</f>
        <v>201312</v>
      </c>
      <c r="I54" s="482">
        <v>201401</v>
      </c>
      <c r="J54" s="482">
        <v>201402</v>
      </c>
      <c r="K54" s="482">
        <v>201403</v>
      </c>
      <c r="L54" s="482">
        <v>201404</v>
      </c>
      <c r="M54" s="482">
        <v>201405</v>
      </c>
      <c r="N54" s="482">
        <v>201406</v>
      </c>
      <c r="O54" s="482">
        <v>201407</v>
      </c>
      <c r="P54" s="482">
        <v>201408</v>
      </c>
      <c r="Q54" s="482">
        <v>201409</v>
      </c>
      <c r="R54" s="482">
        <v>201410</v>
      </c>
      <c r="S54" s="482">
        <v>201411</v>
      </c>
      <c r="T54" s="482">
        <v>201412</v>
      </c>
      <c r="U54" s="482">
        <v>201501</v>
      </c>
      <c r="V54" s="482">
        <f t="shared" ref="V54" si="146">U54+1</f>
        <v>201502</v>
      </c>
      <c r="W54" s="482">
        <f t="shared" ref="W54" si="147">V54+1</f>
        <v>201503</v>
      </c>
      <c r="X54" s="482">
        <f t="shared" ref="X54" si="148">W54+1</f>
        <v>201504</v>
      </c>
      <c r="Y54" s="482">
        <f t="shared" ref="Y54" si="149">X54+1</f>
        <v>201505</v>
      </c>
      <c r="Z54" s="482">
        <f t="shared" ref="Z54" si="150">Y54+1</f>
        <v>201506</v>
      </c>
      <c r="AA54" s="482">
        <f t="shared" ref="AA54" si="151">Z54+1</f>
        <v>201507</v>
      </c>
      <c r="AB54" s="482">
        <f t="shared" ref="AB54" si="152">AA54+1</f>
        <v>201508</v>
      </c>
      <c r="AC54" s="482">
        <f t="shared" ref="AC54" si="153">AB54+1</f>
        <v>201509</v>
      </c>
      <c r="AD54" s="482">
        <f t="shared" ref="AD54" si="154">AC54+1</f>
        <v>201510</v>
      </c>
      <c r="AE54" s="482">
        <f>AD54+1</f>
        <v>201511</v>
      </c>
      <c r="AF54" s="482">
        <f t="shared" ref="AF54" si="155">AE54+1</f>
        <v>201512</v>
      </c>
      <c r="AG54" s="482">
        <v>201601</v>
      </c>
      <c r="AH54" s="482">
        <f>AG54+1</f>
        <v>201602</v>
      </c>
      <c r="AI54" s="482">
        <f t="shared" ref="AI54:AR54" si="156">AH54+1</f>
        <v>201603</v>
      </c>
      <c r="AJ54" s="482">
        <f t="shared" si="156"/>
        <v>201604</v>
      </c>
      <c r="AK54" s="482">
        <f t="shared" si="156"/>
        <v>201605</v>
      </c>
      <c r="AL54" s="482">
        <f t="shared" si="156"/>
        <v>201606</v>
      </c>
      <c r="AM54" s="482">
        <f t="shared" si="156"/>
        <v>201607</v>
      </c>
      <c r="AN54" s="482">
        <f t="shared" si="156"/>
        <v>201608</v>
      </c>
      <c r="AO54" s="482">
        <f t="shared" si="156"/>
        <v>201609</v>
      </c>
      <c r="AP54" s="482">
        <f t="shared" si="156"/>
        <v>201610</v>
      </c>
      <c r="AQ54" s="482">
        <f t="shared" si="156"/>
        <v>201611</v>
      </c>
      <c r="AR54" s="482">
        <f t="shared" si="156"/>
        <v>201612</v>
      </c>
      <c r="AS54" s="482">
        <f>AS3</f>
        <v>201701</v>
      </c>
      <c r="AT54" s="482">
        <f>AS54+1</f>
        <v>201702</v>
      </c>
      <c r="AU54" s="482">
        <f t="shared" ref="AU54" si="157">AT54+1</f>
        <v>201703</v>
      </c>
      <c r="AV54" s="482">
        <f t="shared" ref="AV54" si="158">AU54+1</f>
        <v>201704</v>
      </c>
      <c r="AW54" s="482">
        <f t="shared" ref="AW54" si="159">AV54+1</f>
        <v>201705</v>
      </c>
      <c r="AX54" s="482">
        <f t="shared" ref="AX54" si="160">AW54+1</f>
        <v>201706</v>
      </c>
      <c r="AY54" s="482">
        <f t="shared" ref="AY54" si="161">AX54+1</f>
        <v>201707</v>
      </c>
      <c r="AZ54" s="482">
        <f t="shared" ref="AZ54" si="162">AY54+1</f>
        <v>201708</v>
      </c>
      <c r="BA54" s="482">
        <f t="shared" ref="BA54" si="163">AZ54+1</f>
        <v>201709</v>
      </c>
      <c r="BB54" s="482">
        <f t="shared" ref="BB54" si="164">BA54+1</f>
        <v>201710</v>
      </c>
      <c r="BC54" s="482">
        <f t="shared" ref="BC54" si="165">BB54+1</f>
        <v>201711</v>
      </c>
      <c r="BD54" s="482">
        <f t="shared" ref="BD54" si="166">BC54+1</f>
        <v>201712</v>
      </c>
      <c r="BJ54" s="554"/>
    </row>
    <row r="55" spans="1:62">
      <c r="A55" s="481"/>
      <c r="B55" s="479" t="s">
        <v>37</v>
      </c>
      <c r="C55" s="489">
        <f>SUM(AG55:AR55)</f>
        <v>131594728</v>
      </c>
      <c r="D55" s="489">
        <f>SUM(AE55:AP55)</f>
        <v>128827265</v>
      </c>
      <c r="E55" s="489">
        <v>2647538</v>
      </c>
      <c r="F55" s="489">
        <v>9244353</v>
      </c>
      <c r="G55" s="489">
        <v>15070678</v>
      </c>
      <c r="H55" s="489">
        <v>22636008</v>
      </c>
      <c r="I55" s="538">
        <v>20682450</v>
      </c>
      <c r="J55" s="538">
        <v>20184373</v>
      </c>
      <c r="K55" s="538">
        <v>14096743</v>
      </c>
      <c r="L55" s="538">
        <v>7776328</v>
      </c>
      <c r="M55" s="538">
        <v>3691303</v>
      </c>
      <c r="N55" s="538">
        <v>2545780</v>
      </c>
      <c r="O55" s="538">
        <v>2095088</v>
      </c>
      <c r="P55" s="538">
        <v>2047777</v>
      </c>
      <c r="Q55" s="538">
        <v>2727612</v>
      </c>
      <c r="R55" s="538">
        <v>4953664</v>
      </c>
      <c r="S55" s="538">
        <v>15823016</v>
      </c>
      <c r="T55" s="538">
        <v>19056609</v>
      </c>
      <c r="U55" s="538">
        <v>19909674</v>
      </c>
      <c r="V55" s="538">
        <v>13011547</v>
      </c>
      <c r="W55" s="538">
        <v>10479005</v>
      </c>
      <c r="X55" s="538">
        <v>7714478</v>
      </c>
      <c r="Y55" s="538">
        <v>3297360</v>
      </c>
      <c r="Z55" s="538">
        <v>1968489</v>
      </c>
      <c r="AA55" s="538">
        <v>2145139</v>
      </c>
      <c r="AB55" s="538">
        <v>1956853</v>
      </c>
      <c r="AC55" s="538">
        <v>3273457</v>
      </c>
      <c r="AD55" s="538">
        <v>4833518</v>
      </c>
      <c r="AE55" s="538">
        <v>15375028</v>
      </c>
      <c r="AF55" s="538">
        <v>19459801</v>
      </c>
      <c r="AG55" s="538">
        <f>Jan!$G23</f>
        <v>27259641</v>
      </c>
      <c r="AH55" s="538">
        <f>Feb!$G23</f>
        <v>19157522</v>
      </c>
      <c r="AI55" s="538">
        <f>Mar!$G23</f>
        <v>14316138</v>
      </c>
      <c r="AJ55" s="538">
        <f>Apr!$G23</f>
        <v>9641125</v>
      </c>
      <c r="AK55" s="538">
        <f>May!$G23</f>
        <v>4941679</v>
      </c>
      <c r="AL55" s="538">
        <f>Jun!G23</f>
        <v>2542069</v>
      </c>
      <c r="AM55" s="538">
        <f>Jul!G23</f>
        <v>2070483</v>
      </c>
      <c r="AN55" s="538">
        <f>Aug!G23</f>
        <v>2080707</v>
      </c>
      <c r="AO55" s="538">
        <f>Sep!G23</f>
        <v>3147236</v>
      </c>
      <c r="AP55" s="538">
        <f>Oct!G23</f>
        <v>8835836</v>
      </c>
      <c r="AQ55" s="538">
        <f>Nov!G23</f>
        <v>14838696</v>
      </c>
      <c r="AR55" s="538">
        <f>Dec!$G23</f>
        <v>22763596</v>
      </c>
      <c r="AS55" s="600">
        <f>Jan!$G23</f>
        <v>27259641</v>
      </c>
      <c r="AT55" s="600">
        <f>Feb!$G23</f>
        <v>19157522</v>
      </c>
      <c r="AU55" s="600">
        <f>Mar!$G23</f>
        <v>14316138</v>
      </c>
      <c r="AV55" s="600">
        <f>Apr!$G23</f>
        <v>9641125</v>
      </c>
      <c r="AW55" s="600">
        <f>May!$G23</f>
        <v>4941679</v>
      </c>
      <c r="AX55" s="600">
        <f>Jun!$G23</f>
        <v>2542069</v>
      </c>
      <c r="AY55" s="600">
        <f>Jul!$G23</f>
        <v>2070483</v>
      </c>
      <c r="AZ55" s="600">
        <f>Aug!$G23</f>
        <v>2080707</v>
      </c>
      <c r="BA55" s="600">
        <f>Sep!$G23</f>
        <v>3147236</v>
      </c>
      <c r="BB55" s="600">
        <f>Oct!$G23</f>
        <v>8835836</v>
      </c>
      <c r="BC55" s="600">
        <f>Nov!$G23</f>
        <v>14838696</v>
      </c>
      <c r="BD55" s="600">
        <f>Dec!$G23</f>
        <v>22763596</v>
      </c>
    </row>
    <row r="56" spans="1:62">
      <c r="A56" s="481"/>
      <c r="B56" s="558" t="s">
        <v>306</v>
      </c>
      <c r="C56" s="489">
        <f t="shared" ref="C56:C63" si="167">SUM(AG56:AR56)</f>
        <v>188194</v>
      </c>
      <c r="D56" s="489">
        <f t="shared" ref="D56:D63" si="168">SUM(AE56:AP56)</f>
        <v>153855</v>
      </c>
      <c r="E56" s="489"/>
      <c r="F56" s="489"/>
      <c r="G56" s="489"/>
      <c r="H56" s="489"/>
      <c r="I56" s="538"/>
      <c r="J56" s="538"/>
      <c r="K56" s="538"/>
      <c r="L56" s="538"/>
      <c r="M56" s="538"/>
      <c r="N56" s="538"/>
      <c r="O56" s="538"/>
      <c r="P56" s="538"/>
      <c r="Q56" s="538"/>
      <c r="R56" s="538"/>
      <c r="S56" s="538"/>
      <c r="T56" s="538"/>
      <c r="U56" s="538"/>
      <c r="V56" s="538"/>
      <c r="W56" s="538"/>
      <c r="X56" s="538"/>
      <c r="Y56" s="538"/>
      <c r="Z56" s="538"/>
      <c r="AA56" s="538"/>
      <c r="AB56" s="538"/>
      <c r="AC56" s="538"/>
      <c r="AD56" s="538">
        <v>425</v>
      </c>
      <c r="AE56" s="538">
        <v>3502</v>
      </c>
      <c r="AF56" s="538">
        <v>7942</v>
      </c>
      <c r="AG56" s="538">
        <f>Jan!$G24</f>
        <v>40615</v>
      </c>
      <c r="AH56" s="538">
        <f>Feb!$G24</f>
        <v>29103</v>
      </c>
      <c r="AI56" s="538">
        <f>Mar!$G24</f>
        <v>22738</v>
      </c>
      <c r="AJ56" s="538">
        <f>Apr!$G24</f>
        <v>15697</v>
      </c>
      <c r="AK56" s="538">
        <f>May!$G24</f>
        <v>8078</v>
      </c>
      <c r="AL56" s="538">
        <f>Jun!G24</f>
        <v>3619</v>
      </c>
      <c r="AM56" s="538">
        <f>Jul!G24</f>
        <v>2296</v>
      </c>
      <c r="AN56" s="538">
        <f>Aug!G24</f>
        <v>2393</v>
      </c>
      <c r="AO56" s="538">
        <f>Sep!G24</f>
        <v>3920</v>
      </c>
      <c r="AP56" s="538">
        <f>Oct!G24</f>
        <v>13952</v>
      </c>
      <c r="AQ56" s="538">
        <f>Nov!G24</f>
        <v>20740</v>
      </c>
      <c r="AR56" s="538">
        <f>Dec!$G24</f>
        <v>25043</v>
      </c>
      <c r="AS56" s="600">
        <f>Jan!$G24</f>
        <v>40615</v>
      </c>
      <c r="AT56" s="600">
        <f>Feb!$G24</f>
        <v>29103</v>
      </c>
      <c r="AU56" s="600">
        <f>Mar!$G24</f>
        <v>22738</v>
      </c>
      <c r="AV56" s="600">
        <f>Apr!$G24</f>
        <v>15697</v>
      </c>
      <c r="AW56" s="600">
        <f>May!$G24</f>
        <v>8078</v>
      </c>
      <c r="AX56" s="600">
        <f>Jun!$G24</f>
        <v>3619</v>
      </c>
      <c r="AY56" s="600">
        <f>Jul!$G24</f>
        <v>2296</v>
      </c>
      <c r="AZ56" s="600">
        <f>Aug!$G24</f>
        <v>2393</v>
      </c>
      <c r="BA56" s="600">
        <f>Sep!$G24</f>
        <v>3920</v>
      </c>
      <c r="BB56" s="600">
        <f>Oct!$G24</f>
        <v>13952</v>
      </c>
      <c r="BC56" s="600">
        <f>Nov!$G24</f>
        <v>20740</v>
      </c>
      <c r="BD56" s="600">
        <f>Dec!$G24</f>
        <v>25043</v>
      </c>
    </row>
    <row r="57" spans="1:62">
      <c r="A57" s="481"/>
      <c r="B57" s="479" t="s">
        <v>38</v>
      </c>
      <c r="C57" s="489">
        <f t="shared" si="167"/>
        <v>51787474</v>
      </c>
      <c r="D57" s="489">
        <f t="shared" si="168"/>
        <v>50300771</v>
      </c>
      <c r="E57" s="489">
        <v>1599551</v>
      </c>
      <c r="F57" s="489">
        <v>3880001</v>
      </c>
      <c r="G57" s="489">
        <v>5651303</v>
      </c>
      <c r="H57" s="489">
        <v>7518125</v>
      </c>
      <c r="I57" s="538">
        <v>7025543</v>
      </c>
      <c r="J57" s="538">
        <v>6903553</v>
      </c>
      <c r="K57" s="538">
        <v>5310734</v>
      </c>
      <c r="L57" s="538">
        <v>3390429</v>
      </c>
      <c r="M57" s="538">
        <v>2183609</v>
      </c>
      <c r="N57" s="538">
        <v>1741655</v>
      </c>
      <c r="O57" s="538">
        <v>1476567</v>
      </c>
      <c r="P57" s="538">
        <v>1364087</v>
      </c>
      <c r="Q57" s="538">
        <v>1739755</v>
      </c>
      <c r="R57" s="538">
        <v>2776031</v>
      </c>
      <c r="S57" s="538">
        <v>6141604</v>
      </c>
      <c r="T57" s="538">
        <v>6045485</v>
      </c>
      <c r="U57" s="538">
        <v>6173752</v>
      </c>
      <c r="V57" s="538">
        <v>5630395</v>
      </c>
      <c r="W57" s="538">
        <v>4030672</v>
      </c>
      <c r="X57" s="538">
        <v>3448422</v>
      </c>
      <c r="Y57" s="538">
        <v>1901440</v>
      </c>
      <c r="Z57" s="538">
        <v>1561904</v>
      </c>
      <c r="AA57" s="538">
        <v>1323231</v>
      </c>
      <c r="AB57" s="538">
        <v>1284422</v>
      </c>
      <c r="AC57" s="538">
        <v>1854848</v>
      </c>
      <c r="AD57" s="538">
        <v>2624293</v>
      </c>
      <c r="AE57" s="538">
        <v>5503520</v>
      </c>
      <c r="AF57" s="538">
        <v>6165932</v>
      </c>
      <c r="AG57" s="538">
        <f>Jan!$G25</f>
        <v>8738107</v>
      </c>
      <c r="AH57" s="538">
        <f>Feb!$G25</f>
        <v>7258148</v>
      </c>
      <c r="AI57" s="538">
        <f>Mar!$G25</f>
        <v>5603968</v>
      </c>
      <c r="AJ57" s="538">
        <f>Apr!$G25</f>
        <v>4021494</v>
      </c>
      <c r="AK57" s="538">
        <f>May!$G25</f>
        <v>2425238</v>
      </c>
      <c r="AL57" s="538">
        <f>Jun!G25</f>
        <v>1878375</v>
      </c>
      <c r="AM57" s="538">
        <f>Jul!G25</f>
        <v>1446879</v>
      </c>
      <c r="AN57" s="538">
        <f>Aug!G25</f>
        <v>1463939</v>
      </c>
      <c r="AO57" s="538">
        <f>Sep!G25</f>
        <v>2165313</v>
      </c>
      <c r="AP57" s="538">
        <f>Oct!G25</f>
        <v>3629858</v>
      </c>
      <c r="AQ57" s="538">
        <f>Nov!G25</f>
        <v>5325716</v>
      </c>
      <c r="AR57" s="538">
        <f>Dec!$G25</f>
        <v>7830439</v>
      </c>
      <c r="AS57" s="600">
        <f>Jan!$G25</f>
        <v>8738107</v>
      </c>
      <c r="AT57" s="600">
        <f>Feb!$G25</f>
        <v>7258148</v>
      </c>
      <c r="AU57" s="600">
        <f>Mar!$G25</f>
        <v>5603968</v>
      </c>
      <c r="AV57" s="600">
        <f>Apr!$G25</f>
        <v>4021494</v>
      </c>
      <c r="AW57" s="600">
        <f>May!$G25</f>
        <v>2425238</v>
      </c>
      <c r="AX57" s="600">
        <f>Jun!$G25</f>
        <v>1878375</v>
      </c>
      <c r="AY57" s="600">
        <f>Jul!$G25</f>
        <v>1446879</v>
      </c>
      <c r="AZ57" s="600">
        <f>Aug!$G25</f>
        <v>1463939</v>
      </c>
      <c r="BA57" s="600">
        <f>Sep!$G25</f>
        <v>2165313</v>
      </c>
      <c r="BB57" s="600">
        <f>Oct!$G25</f>
        <v>3629858</v>
      </c>
      <c r="BC57" s="600">
        <f>Nov!$G25</f>
        <v>5325716</v>
      </c>
      <c r="BD57" s="600">
        <f>Dec!$G25</f>
        <v>7830439</v>
      </c>
    </row>
    <row r="58" spans="1:62">
      <c r="A58" s="481"/>
      <c r="B58" s="479" t="s">
        <v>39</v>
      </c>
      <c r="C58" s="489">
        <f t="shared" si="167"/>
        <v>176152</v>
      </c>
      <c r="D58" s="489">
        <f t="shared" si="168"/>
        <v>0</v>
      </c>
      <c r="E58" s="489">
        <v>0</v>
      </c>
      <c r="F58" s="489">
        <v>0</v>
      </c>
      <c r="G58" s="489">
        <v>0</v>
      </c>
      <c r="H58" s="489">
        <v>0</v>
      </c>
      <c r="I58" s="538">
        <v>0</v>
      </c>
      <c r="J58" s="538">
        <v>0</v>
      </c>
      <c r="K58" s="538">
        <v>0</v>
      </c>
      <c r="L58" s="538">
        <v>0</v>
      </c>
      <c r="M58" s="538">
        <v>0</v>
      </c>
      <c r="N58" s="538">
        <v>0</v>
      </c>
      <c r="O58" s="538">
        <v>0</v>
      </c>
      <c r="P58" s="538">
        <v>0</v>
      </c>
      <c r="Q58" s="538">
        <v>0</v>
      </c>
      <c r="R58" s="538">
        <v>0</v>
      </c>
      <c r="S58" s="538">
        <v>0</v>
      </c>
      <c r="T58" s="538">
        <v>0</v>
      </c>
      <c r="U58" s="538">
        <v>0</v>
      </c>
      <c r="V58" s="538">
        <v>0</v>
      </c>
      <c r="W58" s="538">
        <v>0</v>
      </c>
      <c r="X58" s="538">
        <v>0</v>
      </c>
      <c r="Y58" s="538">
        <v>0</v>
      </c>
      <c r="Z58" s="538">
        <v>0</v>
      </c>
      <c r="AA58" s="538">
        <v>0</v>
      </c>
      <c r="AB58" s="538">
        <v>0</v>
      </c>
      <c r="AC58" s="538">
        <v>0</v>
      </c>
      <c r="AD58" s="538">
        <v>0</v>
      </c>
      <c r="AE58" s="538">
        <v>0</v>
      </c>
      <c r="AF58" s="538">
        <v>0</v>
      </c>
      <c r="AG58" s="538">
        <f>Jan!$G26</f>
        <v>0</v>
      </c>
      <c r="AH58" s="538">
        <f>Feb!$G26</f>
        <v>0</v>
      </c>
      <c r="AI58" s="538">
        <f>Mar!$G26</f>
        <v>0</v>
      </c>
      <c r="AJ58" s="538">
        <f>Apr!$G26</f>
        <v>0</v>
      </c>
      <c r="AK58" s="538">
        <f>May!$G26</f>
        <v>0</v>
      </c>
      <c r="AL58" s="538">
        <f>Jun!G26</f>
        <v>0</v>
      </c>
      <c r="AM58" s="538">
        <f>Jul!G26</f>
        <v>0</v>
      </c>
      <c r="AN58" s="538">
        <f>Aug!G26</f>
        <v>0</v>
      </c>
      <c r="AO58" s="538">
        <f>Sep!G26</f>
        <v>0</v>
      </c>
      <c r="AP58" s="538">
        <f>Oct!G26</f>
        <v>0</v>
      </c>
      <c r="AQ58" s="538">
        <f>Nov!G26</f>
        <v>153941</v>
      </c>
      <c r="AR58" s="538">
        <f>Dec!$G26</f>
        <v>22211</v>
      </c>
      <c r="AS58" s="600">
        <f>Jan!$G26</f>
        <v>0</v>
      </c>
      <c r="AT58" s="600">
        <f>Feb!$G26</f>
        <v>0</v>
      </c>
      <c r="AU58" s="600">
        <f>Mar!$G26</f>
        <v>0</v>
      </c>
      <c r="AV58" s="600">
        <f>Apr!$G26</f>
        <v>0</v>
      </c>
      <c r="AW58" s="600">
        <f>May!$G26</f>
        <v>0</v>
      </c>
      <c r="AX58" s="600">
        <f>Jun!$G26</f>
        <v>0</v>
      </c>
      <c r="AY58" s="600">
        <f>Jul!$G26</f>
        <v>0</v>
      </c>
      <c r="AZ58" s="600">
        <f>Aug!$G26</f>
        <v>0</v>
      </c>
      <c r="BA58" s="600">
        <f>Sep!$G26</f>
        <v>0</v>
      </c>
      <c r="BB58" s="600">
        <f>Oct!$G26</f>
        <v>0</v>
      </c>
      <c r="BC58" s="600">
        <f>Nov!$G26</f>
        <v>153941</v>
      </c>
      <c r="BD58" s="600">
        <f>Dec!$G26</f>
        <v>22211</v>
      </c>
    </row>
    <row r="59" spans="1:62">
      <c r="A59" s="481"/>
      <c r="B59" s="479" t="s">
        <v>40</v>
      </c>
      <c r="C59" s="489">
        <f t="shared" si="167"/>
        <v>3896834</v>
      </c>
      <c r="D59" s="489">
        <f t="shared" si="168"/>
        <v>3933939</v>
      </c>
      <c r="E59" s="489">
        <v>344046</v>
      </c>
      <c r="F59" s="489">
        <v>595792</v>
      </c>
      <c r="G59" s="489">
        <v>396185</v>
      </c>
      <c r="H59" s="489">
        <v>588721</v>
      </c>
      <c r="I59" s="538">
        <v>534459</v>
      </c>
      <c r="J59" s="538">
        <v>540817</v>
      </c>
      <c r="K59" s="538">
        <v>425342</v>
      </c>
      <c r="L59" s="538">
        <v>407197</v>
      </c>
      <c r="M59" s="538">
        <v>340947</v>
      </c>
      <c r="N59" s="538">
        <v>361843</v>
      </c>
      <c r="O59" s="538">
        <v>251184</v>
      </c>
      <c r="P59" s="538">
        <v>332621</v>
      </c>
      <c r="Q59" s="538">
        <v>330926</v>
      </c>
      <c r="R59" s="538">
        <v>483057</v>
      </c>
      <c r="S59" s="538">
        <v>518418</v>
      </c>
      <c r="T59" s="538">
        <v>377457</v>
      </c>
      <c r="U59" s="538">
        <v>513680</v>
      </c>
      <c r="V59" s="538">
        <v>431734</v>
      </c>
      <c r="W59" s="538">
        <v>335852</v>
      </c>
      <c r="X59" s="538">
        <v>432834</v>
      </c>
      <c r="Y59" s="538">
        <v>249954</v>
      </c>
      <c r="Z59" s="538">
        <v>322862</v>
      </c>
      <c r="AA59" s="538">
        <v>247078</v>
      </c>
      <c r="AB59" s="538">
        <v>274690</v>
      </c>
      <c r="AC59" s="538">
        <v>336073</v>
      </c>
      <c r="AD59" s="538">
        <v>365802</v>
      </c>
      <c r="AE59" s="538">
        <v>541377</v>
      </c>
      <c r="AF59" s="538">
        <v>331801</v>
      </c>
      <c r="AG59" s="538">
        <f>Jan!$G27</f>
        <v>284721</v>
      </c>
      <c r="AH59" s="538">
        <f>Feb!$G27</f>
        <v>399264</v>
      </c>
      <c r="AI59" s="538">
        <f>Mar!$G27</f>
        <v>334116</v>
      </c>
      <c r="AJ59" s="538">
        <f>Apr!$G27</f>
        <v>288026</v>
      </c>
      <c r="AK59" s="538">
        <f>May!$G27</f>
        <v>302382</v>
      </c>
      <c r="AL59" s="538">
        <f>Jun!G27</f>
        <v>289055</v>
      </c>
      <c r="AM59" s="538">
        <f>Jul!G27</f>
        <v>274504</v>
      </c>
      <c r="AN59" s="538">
        <f>Aug!G27</f>
        <v>291721</v>
      </c>
      <c r="AO59" s="538">
        <f>Sep!G27</f>
        <v>348558</v>
      </c>
      <c r="AP59" s="538">
        <f>Oct!G27</f>
        <v>248414</v>
      </c>
      <c r="AQ59" s="538">
        <f>Nov!G27</f>
        <v>458380</v>
      </c>
      <c r="AR59" s="538">
        <f>Dec!$G27</f>
        <v>377693</v>
      </c>
      <c r="AS59" s="600">
        <f>Jan!$G27</f>
        <v>284721</v>
      </c>
      <c r="AT59" s="600">
        <f>Feb!$G27</f>
        <v>399264</v>
      </c>
      <c r="AU59" s="600">
        <f>Mar!$G27</f>
        <v>334116</v>
      </c>
      <c r="AV59" s="600">
        <f>Apr!$G27</f>
        <v>288026</v>
      </c>
      <c r="AW59" s="600">
        <f>May!$G27</f>
        <v>302382</v>
      </c>
      <c r="AX59" s="600">
        <f>Jun!$G27</f>
        <v>289055</v>
      </c>
      <c r="AY59" s="600">
        <f>Jul!$G27</f>
        <v>274504</v>
      </c>
      <c r="AZ59" s="600">
        <f>Aug!$G27</f>
        <v>291721</v>
      </c>
      <c r="BA59" s="600">
        <f>Sep!$G27</f>
        <v>348558</v>
      </c>
      <c r="BB59" s="600">
        <f>Oct!$G27</f>
        <v>248414</v>
      </c>
      <c r="BC59" s="600">
        <f>Nov!$G27</f>
        <v>458380</v>
      </c>
      <c r="BD59" s="600">
        <f>Dec!$G27</f>
        <v>377693</v>
      </c>
    </row>
    <row r="60" spans="1:62">
      <c r="A60" s="481"/>
      <c r="B60" s="479" t="s">
        <v>41</v>
      </c>
      <c r="C60" s="489">
        <f t="shared" si="167"/>
        <v>344811</v>
      </c>
      <c r="D60" s="489">
        <f t="shared" si="168"/>
        <v>507118</v>
      </c>
      <c r="E60" s="489">
        <v>31388</v>
      </c>
      <c r="F60" s="489">
        <v>40500</v>
      </c>
      <c r="G60" s="489">
        <v>51667</v>
      </c>
      <c r="H60" s="489">
        <v>84319</v>
      </c>
      <c r="I60" s="538">
        <v>95515</v>
      </c>
      <c r="J60" s="538">
        <v>89875</v>
      </c>
      <c r="K60" s="538">
        <v>79687</v>
      </c>
      <c r="L60" s="538">
        <v>48237</v>
      </c>
      <c r="M60" s="538">
        <v>57496</v>
      </c>
      <c r="N60" s="538">
        <v>29984</v>
      </c>
      <c r="O60" s="538">
        <v>36453</v>
      </c>
      <c r="P60" s="538">
        <v>23994</v>
      </c>
      <c r="Q60" s="538">
        <v>27780</v>
      </c>
      <c r="R60" s="538">
        <v>33600</v>
      </c>
      <c r="S60" s="538">
        <v>46503</v>
      </c>
      <c r="T60" s="538">
        <v>74423</v>
      </c>
      <c r="U60" s="538">
        <v>81674</v>
      </c>
      <c r="V60" s="538">
        <v>68846</v>
      </c>
      <c r="W60" s="538">
        <v>57610</v>
      </c>
      <c r="X60" s="538">
        <v>49631</v>
      </c>
      <c r="Y60" s="538">
        <v>46984</v>
      </c>
      <c r="Z60" s="538">
        <v>30135</v>
      </c>
      <c r="AA60" s="538">
        <v>28317</v>
      </c>
      <c r="AB60" s="538">
        <v>27313</v>
      </c>
      <c r="AC60" s="538">
        <v>29790</v>
      </c>
      <c r="AD60" s="538">
        <v>36487</v>
      </c>
      <c r="AE60" s="538">
        <v>47656</v>
      </c>
      <c r="AF60" s="538">
        <v>74705</v>
      </c>
      <c r="AG60" s="538">
        <f>Jan!$G28</f>
        <v>64203</v>
      </c>
      <c r="AH60" s="538">
        <f>Feb!$G28</f>
        <v>55333</v>
      </c>
      <c r="AI60" s="538">
        <f>Mar!$G28</f>
        <v>53363</v>
      </c>
      <c r="AJ60" s="538">
        <f>Apr!$G28</f>
        <v>35134</v>
      </c>
      <c r="AK60" s="538">
        <f>May!$G28</f>
        <v>29064</v>
      </c>
      <c r="AL60" s="538">
        <f>Jun!G28</f>
        <v>17666</v>
      </c>
      <c r="AM60" s="538">
        <f>Jul!G28</f>
        <v>44343</v>
      </c>
      <c r="AN60" s="538">
        <f>Aug!G28</f>
        <v>24662</v>
      </c>
      <c r="AO60" s="538">
        <f>Sep!G28</f>
        <v>26763</v>
      </c>
      <c r="AP60" s="538">
        <f>Oct!G28</f>
        <v>34226</v>
      </c>
      <c r="AQ60" s="538">
        <f>Nov!G28</f>
        <v>-87780</v>
      </c>
      <c r="AR60" s="538">
        <f>Dec!$G28</f>
        <v>47834</v>
      </c>
      <c r="AS60" s="600">
        <f>Jan!$G28</f>
        <v>64203</v>
      </c>
      <c r="AT60" s="600">
        <f>Feb!$G28</f>
        <v>55333</v>
      </c>
      <c r="AU60" s="600">
        <f>Mar!$G28</f>
        <v>53363</v>
      </c>
      <c r="AV60" s="600">
        <f>Apr!$G28</f>
        <v>35134</v>
      </c>
      <c r="AW60" s="600">
        <f>May!$G28</f>
        <v>29064</v>
      </c>
      <c r="AX60" s="600">
        <f>Jun!$G28</f>
        <v>17666</v>
      </c>
      <c r="AY60" s="600">
        <f>Jul!$G28</f>
        <v>44343</v>
      </c>
      <c r="AZ60" s="600">
        <f>Aug!$G28</f>
        <v>24662</v>
      </c>
      <c r="BA60" s="600">
        <f>Sep!$G28</f>
        <v>26763</v>
      </c>
      <c r="BB60" s="600">
        <f>Oct!$G28</f>
        <v>34226</v>
      </c>
      <c r="BC60" s="600">
        <f>Nov!$G28</f>
        <v>-87780</v>
      </c>
      <c r="BD60" s="600">
        <f>Dec!$G28</f>
        <v>47834</v>
      </c>
    </row>
    <row r="61" spans="1:62">
      <c r="A61" s="481"/>
      <c r="B61" s="479" t="s">
        <v>42</v>
      </c>
      <c r="C61" s="489">
        <f t="shared" si="167"/>
        <v>0</v>
      </c>
      <c r="D61" s="489">
        <f t="shared" si="168"/>
        <v>0</v>
      </c>
      <c r="E61" s="489">
        <v>0</v>
      </c>
      <c r="F61" s="489">
        <v>0</v>
      </c>
      <c r="G61" s="489">
        <v>0</v>
      </c>
      <c r="H61" s="489">
        <v>0</v>
      </c>
      <c r="I61" s="538">
        <v>0</v>
      </c>
      <c r="J61" s="538">
        <v>0</v>
      </c>
      <c r="K61" s="538">
        <v>0</v>
      </c>
      <c r="L61" s="538">
        <v>0</v>
      </c>
      <c r="M61" s="538">
        <v>0</v>
      </c>
      <c r="N61" s="538">
        <v>0</v>
      </c>
      <c r="O61" s="538">
        <v>0</v>
      </c>
      <c r="P61" s="538">
        <v>0</v>
      </c>
      <c r="Q61" s="538">
        <v>0</v>
      </c>
      <c r="R61" s="538">
        <v>0</v>
      </c>
      <c r="S61" s="538">
        <v>0</v>
      </c>
      <c r="T61" s="538">
        <v>0</v>
      </c>
      <c r="U61" s="538">
        <v>0</v>
      </c>
      <c r="V61" s="538">
        <v>0</v>
      </c>
      <c r="W61" s="538">
        <v>0</v>
      </c>
      <c r="X61" s="538">
        <v>0</v>
      </c>
      <c r="Y61" s="538">
        <v>0</v>
      </c>
      <c r="Z61" s="538">
        <v>0</v>
      </c>
      <c r="AA61" s="538">
        <v>0</v>
      </c>
      <c r="AB61" s="538">
        <v>0</v>
      </c>
      <c r="AC61" s="538">
        <v>0</v>
      </c>
      <c r="AD61" s="538">
        <v>0</v>
      </c>
      <c r="AE61" s="538">
        <v>0</v>
      </c>
      <c r="AF61" s="538">
        <v>0</v>
      </c>
      <c r="AG61" s="538">
        <f>Jan!$G29</f>
        <v>0</v>
      </c>
      <c r="AH61" s="538">
        <f>Feb!$G29</f>
        <v>0</v>
      </c>
      <c r="AI61" s="538">
        <f>Mar!$G29</f>
        <v>0</v>
      </c>
      <c r="AJ61" s="538">
        <f>Apr!$G29</f>
        <v>0</v>
      </c>
      <c r="AK61" s="538">
        <f>May!$G29</f>
        <v>0</v>
      </c>
      <c r="AL61" s="538">
        <f>Jun!G29</f>
        <v>0</v>
      </c>
      <c r="AM61" s="538">
        <f>Jul!G29</f>
        <v>0</v>
      </c>
      <c r="AN61" s="538">
        <f>Aug!G29</f>
        <v>0</v>
      </c>
      <c r="AO61" s="538">
        <f>Sep!G29</f>
        <v>0</v>
      </c>
      <c r="AP61" s="538">
        <f>Oct!G29</f>
        <v>0</v>
      </c>
      <c r="AQ61" s="538">
        <f>Nov!G29</f>
        <v>0</v>
      </c>
      <c r="AR61" s="538">
        <f>Dec!$G29</f>
        <v>0</v>
      </c>
      <c r="AS61" s="600">
        <f>Jan!$G29</f>
        <v>0</v>
      </c>
      <c r="AT61" s="600">
        <f>Feb!$G29</f>
        <v>0</v>
      </c>
      <c r="AU61" s="600">
        <f>Mar!$G29</f>
        <v>0</v>
      </c>
      <c r="AV61" s="600">
        <f>Apr!$G29</f>
        <v>0</v>
      </c>
      <c r="AW61" s="600">
        <f>May!$G29</f>
        <v>0</v>
      </c>
      <c r="AX61" s="600">
        <f>Jun!$G29</f>
        <v>0</v>
      </c>
      <c r="AY61" s="600">
        <f>Jul!$G29</f>
        <v>0</v>
      </c>
      <c r="AZ61" s="600">
        <f>Aug!$G29</f>
        <v>0</v>
      </c>
      <c r="BA61" s="600">
        <f>Sep!$G29</f>
        <v>0</v>
      </c>
      <c r="BB61" s="600">
        <f>Oct!$G29</f>
        <v>0</v>
      </c>
      <c r="BC61" s="600">
        <f>Nov!$G29</f>
        <v>0</v>
      </c>
      <c r="BD61" s="600">
        <f>Dec!$G29</f>
        <v>0</v>
      </c>
    </row>
    <row r="62" spans="1:62">
      <c r="A62" s="481"/>
      <c r="B62" s="479" t="s">
        <v>43</v>
      </c>
      <c r="C62" s="489">
        <f t="shared" si="167"/>
        <v>984260</v>
      </c>
      <c r="D62" s="489">
        <f t="shared" si="168"/>
        <v>899065</v>
      </c>
      <c r="E62" s="489">
        <v>54453</v>
      </c>
      <c r="F62" s="489">
        <v>68629</v>
      </c>
      <c r="G62" s="489">
        <v>142001</v>
      </c>
      <c r="H62" s="489">
        <v>132732</v>
      </c>
      <c r="I62" s="538">
        <v>149468</v>
      </c>
      <c r="J62" s="538">
        <v>140495</v>
      </c>
      <c r="K62" s="538">
        <v>132979</v>
      </c>
      <c r="L62" s="538">
        <v>91026</v>
      </c>
      <c r="M62" s="538">
        <v>83802</v>
      </c>
      <c r="N62" s="538">
        <v>58384</v>
      </c>
      <c r="O62" s="538">
        <v>45870</v>
      </c>
      <c r="P62" s="538">
        <v>32437</v>
      </c>
      <c r="Q62" s="538">
        <v>37881</v>
      </c>
      <c r="R62" s="538">
        <v>50626</v>
      </c>
      <c r="S62" s="538">
        <v>67642</v>
      </c>
      <c r="T62" s="538">
        <v>112489</v>
      </c>
      <c r="U62" s="538">
        <v>129251</v>
      </c>
      <c r="V62" s="538">
        <v>123377</v>
      </c>
      <c r="W62" s="538">
        <v>100117</v>
      </c>
      <c r="X62" s="538">
        <v>81076</v>
      </c>
      <c r="Y62" s="538">
        <v>83536</v>
      </c>
      <c r="Z62" s="538">
        <v>56511</v>
      </c>
      <c r="AA62" s="538">
        <v>13364</v>
      </c>
      <c r="AB62" s="538">
        <v>68158</v>
      </c>
      <c r="AC62" s="538">
        <v>45470</v>
      </c>
      <c r="AD62" s="538">
        <v>96224</v>
      </c>
      <c r="AE62" s="538">
        <v>74781</v>
      </c>
      <c r="AF62" s="538">
        <v>51167</v>
      </c>
      <c r="AG62" s="538">
        <f>Jan!$G30</f>
        <v>160387</v>
      </c>
      <c r="AH62" s="538">
        <f>Feb!$G30</f>
        <v>131982</v>
      </c>
      <c r="AI62" s="538">
        <f>Mar!$G30</f>
        <v>102871</v>
      </c>
      <c r="AJ62" s="538">
        <f>Apr!$G30</f>
        <v>88850</v>
      </c>
      <c r="AK62" s="538">
        <f>May!$G30</f>
        <v>71877</v>
      </c>
      <c r="AL62" s="538">
        <f>Jun!G30</f>
        <v>53882</v>
      </c>
      <c r="AM62" s="538">
        <f>Jul!G30</f>
        <v>67673</v>
      </c>
      <c r="AN62" s="538">
        <f>Aug!G30</f>
        <v>23786</v>
      </c>
      <c r="AO62" s="538">
        <f>Sep!G30</f>
        <v>31578</v>
      </c>
      <c r="AP62" s="538">
        <f>Oct!G30</f>
        <v>40231</v>
      </c>
      <c r="AQ62" s="538">
        <f>Nov!G30</f>
        <v>98095</v>
      </c>
      <c r="AR62" s="538">
        <f>Dec!$G30</f>
        <v>113048</v>
      </c>
      <c r="AS62" s="600">
        <f>Jan!$G30</f>
        <v>160387</v>
      </c>
      <c r="AT62" s="600">
        <f>Feb!$G30</f>
        <v>131982</v>
      </c>
      <c r="AU62" s="600">
        <f>Mar!$G30</f>
        <v>102871</v>
      </c>
      <c r="AV62" s="600">
        <f>Apr!$G30</f>
        <v>88850</v>
      </c>
      <c r="AW62" s="600">
        <f>May!$G30</f>
        <v>71877</v>
      </c>
      <c r="AX62" s="600">
        <f>Jun!$G30</f>
        <v>53882</v>
      </c>
      <c r="AY62" s="600">
        <f>Jul!$G30</f>
        <v>67673</v>
      </c>
      <c r="AZ62" s="600">
        <f>Aug!$G30</f>
        <v>23786</v>
      </c>
      <c r="BA62" s="600">
        <f>Sep!$G30</f>
        <v>31578</v>
      </c>
      <c r="BB62" s="600">
        <f>Oct!$G30</f>
        <v>40231</v>
      </c>
      <c r="BC62" s="600">
        <f>Nov!$G30</f>
        <v>98095</v>
      </c>
      <c r="BD62" s="600">
        <f>Dec!$G30</f>
        <v>113048</v>
      </c>
    </row>
    <row r="63" spans="1:62">
      <c r="A63" s="481"/>
      <c r="B63" s="479" t="s">
        <v>74</v>
      </c>
      <c r="C63" s="489">
        <f t="shared" si="167"/>
        <v>36224919</v>
      </c>
      <c r="D63" s="489">
        <f t="shared" si="168"/>
        <v>35179950</v>
      </c>
      <c r="E63" s="489">
        <v>1818699</v>
      </c>
      <c r="F63" s="489">
        <v>2531895</v>
      </c>
      <c r="G63" s="489">
        <v>2936207</v>
      </c>
      <c r="H63" s="489">
        <v>3675604</v>
      </c>
      <c r="I63" s="538">
        <v>3517013</v>
      </c>
      <c r="J63" s="538">
        <v>3103551</v>
      </c>
      <c r="K63" s="538">
        <v>2882510</v>
      </c>
      <c r="L63" s="538">
        <v>2426511</v>
      </c>
      <c r="M63" s="538">
        <v>2096539</v>
      </c>
      <c r="N63" s="538">
        <v>1865473</v>
      </c>
      <c r="O63" s="538">
        <v>1934510</v>
      </c>
      <c r="P63" s="538">
        <v>1781233</v>
      </c>
      <c r="Q63" s="538">
        <v>1975142</v>
      </c>
      <c r="R63" s="538">
        <v>2307678</v>
      </c>
      <c r="S63" s="538">
        <v>3052956</v>
      </c>
      <c r="T63" s="538">
        <v>3180451</v>
      </c>
      <c r="U63" s="538">
        <v>3286166</v>
      </c>
      <c r="V63" s="538">
        <v>2735718</v>
      </c>
      <c r="W63" s="538">
        <v>2608561</v>
      </c>
      <c r="X63" s="538">
        <v>2436951</v>
      </c>
      <c r="Y63" s="538">
        <v>2203136</v>
      </c>
      <c r="Z63" s="538">
        <v>1941783</v>
      </c>
      <c r="AA63" s="538">
        <v>1912819</v>
      </c>
      <c r="AB63" s="538">
        <v>1943542</v>
      </c>
      <c r="AC63" s="538">
        <v>1945064</v>
      </c>
      <c r="AD63" s="538">
        <v>2201297</v>
      </c>
      <c r="AE63" s="538">
        <v>3020174</v>
      </c>
      <c r="AF63" s="538">
        <v>3321068</v>
      </c>
      <c r="AG63" s="538">
        <f>Jan!$G31</f>
        <v>4261630</v>
      </c>
      <c r="AH63" s="538">
        <f>Feb!$G31</f>
        <v>3513623</v>
      </c>
      <c r="AI63" s="538">
        <f>Mar!$G31</f>
        <v>3381923</v>
      </c>
      <c r="AJ63" s="538">
        <f>Apr!$G31</f>
        <v>2868630</v>
      </c>
      <c r="AK63" s="538">
        <f>May!$G31</f>
        <v>2501903</v>
      </c>
      <c r="AL63" s="538">
        <f>Jun!G31</f>
        <v>2531843</v>
      </c>
      <c r="AM63" s="538">
        <f>Jul!G31</f>
        <v>2144434</v>
      </c>
      <c r="AN63" s="538">
        <f>Aug!G31</f>
        <v>2338940</v>
      </c>
      <c r="AO63" s="538">
        <f>Sep!G31</f>
        <v>2209861</v>
      </c>
      <c r="AP63" s="538">
        <f>Oct!G31</f>
        <v>3085921</v>
      </c>
      <c r="AQ63" s="538">
        <f>Nov!G31</f>
        <v>3418526</v>
      </c>
      <c r="AR63" s="538">
        <f>Dec!$G31</f>
        <v>3967685</v>
      </c>
      <c r="AS63" s="600">
        <f>Jan!$G31</f>
        <v>4261630</v>
      </c>
      <c r="AT63" s="600">
        <f>Feb!$G31</f>
        <v>3513623</v>
      </c>
      <c r="AU63" s="600">
        <f>Mar!$G31</f>
        <v>3381923</v>
      </c>
      <c r="AV63" s="600">
        <f>Apr!$G31</f>
        <v>2868630</v>
      </c>
      <c r="AW63" s="600">
        <f>May!$G31</f>
        <v>2501903</v>
      </c>
      <c r="AX63" s="600">
        <f>Jun!$G31</f>
        <v>2531843</v>
      </c>
      <c r="AY63" s="600">
        <f>Jul!$G31</f>
        <v>2144434</v>
      </c>
      <c r="AZ63" s="600">
        <f>Aug!$G31</f>
        <v>2338940</v>
      </c>
      <c r="BA63" s="600">
        <f>Sep!$G31</f>
        <v>2209861</v>
      </c>
      <c r="BB63" s="600">
        <f>Oct!$G31</f>
        <v>3085921</v>
      </c>
      <c r="BC63" s="600">
        <f>Nov!$G31</f>
        <v>3418526</v>
      </c>
      <c r="BD63" s="600">
        <f>Dec!$G31</f>
        <v>3967685</v>
      </c>
    </row>
    <row r="64" spans="1:62" ht="16.5" thickBot="1">
      <c r="A64" s="481"/>
      <c r="B64" s="479" t="s">
        <v>21</v>
      </c>
      <c r="C64" s="537">
        <f>SUM(AG64:AR64)</f>
        <v>225197372</v>
      </c>
      <c r="D64" s="537">
        <f t="shared" ref="D64:D65" si="169">SUM(S64:AD64)</f>
        <v>180899844</v>
      </c>
      <c r="E64" s="537">
        <f>SUM(E55:E63)</f>
        <v>6495675</v>
      </c>
      <c r="F64" s="537">
        <f>SUM(F55:F63)</f>
        <v>16361170</v>
      </c>
      <c r="G64" s="537">
        <f t="shared" ref="G64" si="170">SUM(G55:G63)</f>
        <v>24248041</v>
      </c>
      <c r="H64" s="537">
        <f t="shared" ref="H64" si="171">SUM(H55:H63)</f>
        <v>34635509</v>
      </c>
      <c r="I64" s="537">
        <v>32004448</v>
      </c>
      <c r="J64" s="537">
        <v>30962664</v>
      </c>
      <c r="K64" s="537">
        <v>22927995</v>
      </c>
      <c r="L64" s="537">
        <v>14139728</v>
      </c>
      <c r="M64" s="537">
        <v>8453696</v>
      </c>
      <c r="N64" s="537">
        <v>6603119</v>
      </c>
      <c r="O64" s="537">
        <v>5839672</v>
      </c>
      <c r="P64" s="537">
        <v>5582149</v>
      </c>
      <c r="Q64" s="537">
        <v>6839096</v>
      </c>
      <c r="R64" s="537">
        <v>10604656</v>
      </c>
      <c r="S64" s="537">
        <v>25650139</v>
      </c>
      <c r="T64" s="537">
        <v>28846914</v>
      </c>
      <c r="U64" s="537">
        <v>30094197</v>
      </c>
      <c r="V64" s="537">
        <f t="shared" ref="V64" si="172">SUM(V55:V63)</f>
        <v>22001617</v>
      </c>
      <c r="W64" s="537">
        <f t="shared" ref="W64:AR64" si="173">SUM(W55:W63)</f>
        <v>17611817</v>
      </c>
      <c r="X64" s="537">
        <f t="shared" si="173"/>
        <v>14163392</v>
      </c>
      <c r="Y64" s="537">
        <f t="shared" si="173"/>
        <v>7782410</v>
      </c>
      <c r="Z64" s="537">
        <f t="shared" si="173"/>
        <v>5881684</v>
      </c>
      <c r="AA64" s="537">
        <f t="shared" si="173"/>
        <v>5669948</v>
      </c>
      <c r="AB64" s="537">
        <f t="shared" si="173"/>
        <v>5554978</v>
      </c>
      <c r="AC64" s="537">
        <f t="shared" si="173"/>
        <v>7484702</v>
      </c>
      <c r="AD64" s="537">
        <f t="shared" si="173"/>
        <v>10158046</v>
      </c>
      <c r="AE64" s="537">
        <f t="shared" si="173"/>
        <v>24566038</v>
      </c>
      <c r="AF64" s="537">
        <f t="shared" si="173"/>
        <v>29412416</v>
      </c>
      <c r="AG64" s="537">
        <f t="shared" si="173"/>
        <v>40809304</v>
      </c>
      <c r="AH64" s="537">
        <f t="shared" si="173"/>
        <v>30544975</v>
      </c>
      <c r="AI64" s="537">
        <f t="shared" si="173"/>
        <v>23815117</v>
      </c>
      <c r="AJ64" s="537">
        <f t="shared" si="173"/>
        <v>16958956</v>
      </c>
      <c r="AK64" s="537">
        <f t="shared" si="173"/>
        <v>10280221</v>
      </c>
      <c r="AL64" s="537">
        <f t="shared" si="173"/>
        <v>7316509</v>
      </c>
      <c r="AM64" s="537">
        <f>SUM(AM55:AM63)</f>
        <v>6050612</v>
      </c>
      <c r="AN64" s="537">
        <f t="shared" si="173"/>
        <v>6226148</v>
      </c>
      <c r="AO64" s="537">
        <f t="shared" si="173"/>
        <v>7933229</v>
      </c>
      <c r="AP64" s="537">
        <f>SUM(AP55:AP63)</f>
        <v>15888438</v>
      </c>
      <c r="AQ64" s="537">
        <f t="shared" si="173"/>
        <v>24226314</v>
      </c>
      <c r="AR64" s="537">
        <f t="shared" si="173"/>
        <v>35147549</v>
      </c>
      <c r="AS64" s="537">
        <f t="shared" ref="AS64:AX64" si="174">SUM(AS55:AS63)</f>
        <v>40809304</v>
      </c>
      <c r="AT64" s="537">
        <f t="shared" si="174"/>
        <v>30544975</v>
      </c>
      <c r="AU64" s="537">
        <f t="shared" si="174"/>
        <v>23815117</v>
      </c>
      <c r="AV64" s="537">
        <f t="shared" si="174"/>
        <v>16958956</v>
      </c>
      <c r="AW64" s="537">
        <f t="shared" si="174"/>
        <v>10280221</v>
      </c>
      <c r="AX64" s="537">
        <f t="shared" si="174"/>
        <v>7316509</v>
      </c>
      <c r="AY64" s="537">
        <f>SUM(AY55:AY63)</f>
        <v>6050612</v>
      </c>
      <c r="AZ64" s="537">
        <f t="shared" ref="AZ64:BA64" si="175">SUM(AZ55:AZ63)</f>
        <v>6226148</v>
      </c>
      <c r="BA64" s="537">
        <f t="shared" si="175"/>
        <v>7933229</v>
      </c>
      <c r="BB64" s="537">
        <f>SUM(BB55:BB63)</f>
        <v>15888438</v>
      </c>
      <c r="BC64" s="537">
        <f t="shared" ref="BC64:BD64" si="176">SUM(BC55:BC63)</f>
        <v>24226314</v>
      </c>
      <c r="BD64" s="537">
        <f t="shared" si="176"/>
        <v>35147549</v>
      </c>
    </row>
    <row r="65" spans="1:65" ht="16.5" thickTop="1">
      <c r="A65" s="481"/>
      <c r="B65" s="479" t="s">
        <v>264</v>
      </c>
      <c r="C65" s="489">
        <f>SUM(AG65:AR65)</f>
        <v>189475264</v>
      </c>
      <c r="D65" s="489">
        <f t="shared" si="169"/>
        <v>180899844</v>
      </c>
      <c r="E65" s="489">
        <v>6495675</v>
      </c>
      <c r="F65" s="489">
        <v>16361170</v>
      </c>
      <c r="G65" s="489">
        <v>24248041</v>
      </c>
      <c r="H65" s="489">
        <v>34635509</v>
      </c>
      <c r="I65" s="489">
        <v>32004448</v>
      </c>
      <c r="J65" s="489">
        <v>30962664</v>
      </c>
      <c r="K65" s="489">
        <v>22927995</v>
      </c>
      <c r="L65" s="489">
        <v>14139728</v>
      </c>
      <c r="M65" s="489">
        <v>8453696</v>
      </c>
      <c r="N65" s="489">
        <v>6603119</v>
      </c>
      <c r="O65" s="489">
        <v>5839672</v>
      </c>
      <c r="P65" s="489">
        <v>5582149</v>
      </c>
      <c r="Q65" s="489">
        <v>6839096</v>
      </c>
      <c r="R65" s="489">
        <v>10604656</v>
      </c>
      <c r="S65" s="489">
        <v>25650139</v>
      </c>
      <c r="T65" s="489">
        <v>28846914</v>
      </c>
      <c r="U65" s="489">
        <v>30094197</v>
      </c>
      <c r="V65" s="489">
        <v>22001617</v>
      </c>
      <c r="W65" s="489">
        <v>17611817</v>
      </c>
      <c r="X65" s="489">
        <v>14163392</v>
      </c>
      <c r="Y65" s="489">
        <v>7782410</v>
      </c>
      <c r="Z65" s="489">
        <v>5881684</v>
      </c>
      <c r="AA65" s="489">
        <v>5669948</v>
      </c>
      <c r="AB65" s="556">
        <v>5554978</v>
      </c>
      <c r="AC65" s="489">
        <v>7484702</v>
      </c>
      <c r="AD65" s="489">
        <v>10158046</v>
      </c>
      <c r="AE65" s="489">
        <v>24566038</v>
      </c>
      <c r="AF65" s="489">
        <v>29412416</v>
      </c>
      <c r="AG65" s="489">
        <v>30707107</v>
      </c>
      <c r="AH65" s="489">
        <v>23046735</v>
      </c>
      <c r="AI65" s="489">
        <v>20385890</v>
      </c>
      <c r="AJ65" s="489">
        <v>10774244</v>
      </c>
      <c r="AK65" s="489">
        <v>8382838</v>
      </c>
      <c r="AL65" s="489">
        <v>6906569</v>
      </c>
      <c r="AM65" s="489">
        <v>6102573</v>
      </c>
      <c r="AN65" s="489">
        <v>6230012</v>
      </c>
      <c r="AO65" s="489">
        <v>7464964</v>
      </c>
      <c r="AP65" s="489">
        <v>13741468</v>
      </c>
      <c r="AQ65" s="489">
        <v>18689959</v>
      </c>
      <c r="AR65" s="489">
        <v>37042905</v>
      </c>
      <c r="AS65" s="601">
        <v>40809304</v>
      </c>
      <c r="AT65" s="601">
        <v>30544975</v>
      </c>
      <c r="AU65" s="601">
        <v>23815117</v>
      </c>
      <c r="AV65" s="601">
        <v>16958956</v>
      </c>
      <c r="AW65" s="601">
        <v>10280221</v>
      </c>
      <c r="AX65" s="601">
        <v>7316509</v>
      </c>
      <c r="AY65" s="601">
        <v>6050612</v>
      </c>
      <c r="AZ65" s="601">
        <v>6226148</v>
      </c>
      <c r="BA65" s="601">
        <v>7933229</v>
      </c>
      <c r="BB65" s="601">
        <v>15888438</v>
      </c>
      <c r="BC65" s="601">
        <v>24226314</v>
      </c>
      <c r="BD65" s="601">
        <v>35147549</v>
      </c>
      <c r="BE65" s="570"/>
    </row>
    <row r="66" spans="1:65">
      <c r="A66" s="481" t="s">
        <v>22</v>
      </c>
      <c r="E66" s="531"/>
      <c r="F66" s="531"/>
      <c r="G66" s="531"/>
      <c r="H66" s="531"/>
      <c r="I66" s="531"/>
      <c r="J66" s="531"/>
      <c r="K66" s="531"/>
      <c r="L66" s="531"/>
      <c r="M66" s="531"/>
      <c r="N66" s="531"/>
      <c r="O66" s="531"/>
      <c r="P66" s="531"/>
      <c r="Q66" s="531"/>
      <c r="R66" s="531"/>
      <c r="S66" s="531"/>
      <c r="T66" s="531"/>
      <c r="U66" s="531"/>
      <c r="V66" s="531"/>
      <c r="W66" s="531"/>
      <c r="X66" s="531"/>
      <c r="Y66" s="531"/>
      <c r="Z66" s="531"/>
      <c r="AA66" s="531"/>
      <c r="AB66" s="531"/>
      <c r="AC66" s="531"/>
      <c r="AD66" s="531"/>
      <c r="AE66" s="531"/>
      <c r="AF66" s="531"/>
      <c r="AG66" s="531"/>
      <c r="AH66" s="531"/>
      <c r="AI66" s="531"/>
      <c r="AJ66" s="531"/>
      <c r="AK66" s="531"/>
      <c r="AL66" s="531"/>
      <c r="AM66" s="531"/>
      <c r="AN66" s="531"/>
      <c r="AO66" s="531"/>
      <c r="AP66" s="531"/>
      <c r="AQ66" s="531"/>
      <c r="AR66" s="531"/>
      <c r="AS66" s="531"/>
      <c r="AT66" s="531"/>
      <c r="AU66" s="531"/>
      <c r="AV66" s="531"/>
      <c r="AW66" s="531"/>
      <c r="AX66" s="531"/>
      <c r="AY66" s="531"/>
      <c r="AZ66" s="531"/>
      <c r="BA66" s="531"/>
      <c r="BB66" s="531"/>
      <c r="BC66" s="531"/>
      <c r="BD66" s="531"/>
      <c r="BG66" s="534"/>
    </row>
    <row r="67" spans="1:65">
      <c r="A67" s="482">
        <v>191025</v>
      </c>
      <c r="B67" s="483" t="s">
        <v>252</v>
      </c>
      <c r="E67" s="482">
        <v>201309</v>
      </c>
      <c r="F67" s="482">
        <f>E67+1</f>
        <v>201310</v>
      </c>
      <c r="G67" s="482">
        <f>F67+1</f>
        <v>201311</v>
      </c>
      <c r="H67" s="482">
        <f>G67+1</f>
        <v>201312</v>
      </c>
      <c r="I67" s="482">
        <v>201401</v>
      </c>
      <c r="J67" s="482">
        <v>201402</v>
      </c>
      <c r="K67" s="482">
        <v>201403</v>
      </c>
      <c r="L67" s="482">
        <v>201404</v>
      </c>
      <c r="M67" s="482">
        <v>201405</v>
      </c>
      <c r="N67" s="482">
        <v>201406</v>
      </c>
      <c r="O67" s="482">
        <v>201407</v>
      </c>
      <c r="P67" s="482">
        <v>201408</v>
      </c>
      <c r="Q67" s="482">
        <v>201409</v>
      </c>
      <c r="R67" s="482">
        <v>201410</v>
      </c>
      <c r="S67" s="482">
        <v>201411</v>
      </c>
      <c r="T67" s="482">
        <v>201412</v>
      </c>
      <c r="U67" s="482">
        <v>201501</v>
      </c>
      <c r="V67" s="482">
        <f t="shared" ref="V67" si="177">U67+1</f>
        <v>201502</v>
      </c>
      <c r="W67" s="482">
        <f t="shared" ref="W67" si="178">V67+1</f>
        <v>201503</v>
      </c>
      <c r="X67" s="482">
        <f t="shared" ref="X67" si="179">W67+1</f>
        <v>201504</v>
      </c>
      <c r="Y67" s="482">
        <f t="shared" ref="Y67" si="180">X67+1</f>
        <v>201505</v>
      </c>
      <c r="Z67" s="482">
        <f t="shared" ref="Z67" si="181">Y67+1</f>
        <v>201506</v>
      </c>
      <c r="AA67" s="482">
        <f t="shared" ref="AA67" si="182">Z67+1</f>
        <v>201507</v>
      </c>
      <c r="AB67" s="482">
        <f t="shared" ref="AB67" si="183">AA67+1</f>
        <v>201508</v>
      </c>
      <c r="AC67" s="482">
        <f t="shared" ref="AC67" si="184">AB67+1</f>
        <v>201509</v>
      </c>
      <c r="AD67" s="482">
        <f t="shared" ref="AD67" si="185">AC67+1</f>
        <v>201510</v>
      </c>
      <c r="AE67" s="482">
        <f>AD67+1</f>
        <v>201511</v>
      </c>
      <c r="AF67" s="482">
        <f t="shared" ref="AF67" si="186">AE67+1</f>
        <v>201512</v>
      </c>
      <c r="AG67" s="482">
        <v>201601</v>
      </c>
      <c r="AH67" s="482">
        <f>AG67+1</f>
        <v>201602</v>
      </c>
      <c r="AI67" s="482">
        <f t="shared" ref="AI67:AR67" si="187">AH67+1</f>
        <v>201603</v>
      </c>
      <c r="AJ67" s="482">
        <f t="shared" si="187"/>
        <v>201604</v>
      </c>
      <c r="AK67" s="482">
        <f t="shared" si="187"/>
        <v>201605</v>
      </c>
      <c r="AL67" s="482">
        <f t="shared" si="187"/>
        <v>201606</v>
      </c>
      <c r="AM67" s="482">
        <f t="shared" si="187"/>
        <v>201607</v>
      </c>
      <c r="AN67" s="482">
        <f t="shared" si="187"/>
        <v>201608</v>
      </c>
      <c r="AO67" s="482">
        <f t="shared" si="187"/>
        <v>201609</v>
      </c>
      <c r="AP67" s="482">
        <f t="shared" si="187"/>
        <v>201610</v>
      </c>
      <c r="AQ67" s="482">
        <f t="shared" si="187"/>
        <v>201611</v>
      </c>
      <c r="AR67" s="482">
        <f t="shared" si="187"/>
        <v>201612</v>
      </c>
      <c r="AS67" s="482">
        <f>AS3</f>
        <v>201701</v>
      </c>
      <c r="AT67" s="482">
        <f>AS67+1</f>
        <v>201702</v>
      </c>
      <c r="AU67" s="482">
        <f t="shared" ref="AU67" si="188">AT67+1</f>
        <v>201703</v>
      </c>
      <c r="AV67" s="482">
        <f t="shared" ref="AV67" si="189">AU67+1</f>
        <v>201704</v>
      </c>
      <c r="AW67" s="482">
        <f t="shared" ref="AW67" si="190">AV67+1</f>
        <v>201705</v>
      </c>
      <c r="AX67" s="482">
        <f t="shared" ref="AX67" si="191">AW67+1</f>
        <v>201706</v>
      </c>
      <c r="AY67" s="482">
        <f t="shared" ref="AY67" si="192">AX67+1</f>
        <v>201707</v>
      </c>
      <c r="AZ67" s="482">
        <f t="shared" ref="AZ67" si="193">AY67+1</f>
        <v>201708</v>
      </c>
      <c r="BA67" s="482">
        <f t="shared" ref="BA67" si="194">AZ67+1</f>
        <v>201709</v>
      </c>
      <c r="BB67" s="482">
        <f t="shared" ref="BB67" si="195">BA67+1</f>
        <v>201710</v>
      </c>
      <c r="BC67" s="482">
        <f t="shared" ref="BC67" si="196">BB67+1</f>
        <v>201711</v>
      </c>
      <c r="BD67" s="482">
        <f t="shared" ref="BD67" si="197">BC67+1</f>
        <v>201712</v>
      </c>
    </row>
    <row r="68" spans="1:65">
      <c r="A68" s="481"/>
      <c r="B68" s="479" t="s">
        <v>37</v>
      </c>
      <c r="E68" s="490">
        <v>-2.1900000000000001E-3</v>
      </c>
      <c r="F68" s="490">
        <v>-2.1900000000000001E-3</v>
      </c>
      <c r="G68" s="493" t="s">
        <v>265</v>
      </c>
      <c r="H68" s="493" t="s">
        <v>265</v>
      </c>
      <c r="I68" s="490">
        <v>-3.8999999999999999E-4</v>
      </c>
      <c r="J68" s="490">
        <v>-3.8999999999999999E-4</v>
      </c>
      <c r="K68" s="490">
        <v>-3.8999999999999999E-4</v>
      </c>
      <c r="L68" s="490">
        <v>-3.8999999999999999E-4</v>
      </c>
      <c r="M68" s="490">
        <v>-3.8999999999999999E-4</v>
      </c>
      <c r="N68" s="490">
        <v>-3.8999999999999999E-4</v>
      </c>
      <c r="O68" s="490">
        <v>-3.8999999999999999E-4</v>
      </c>
      <c r="P68" s="490">
        <v>-3.8999999999999999E-4</v>
      </c>
      <c r="Q68" s="490">
        <v>-3.8999999999999999E-4</v>
      </c>
      <c r="R68" s="490">
        <v>-3.8999999999999999E-4</v>
      </c>
      <c r="S68" s="493" t="s">
        <v>265</v>
      </c>
      <c r="T68" s="493" t="s">
        <v>265</v>
      </c>
      <c r="U68" s="490">
        <v>2.5000000000000001E-4</v>
      </c>
      <c r="V68" s="490">
        <v>2.5000000000000001E-4</v>
      </c>
      <c r="W68" s="490">
        <v>2.5000000000000001E-4</v>
      </c>
      <c r="X68" s="490">
        <v>2.5000000000000001E-4</v>
      </c>
      <c r="Y68" s="490">
        <v>2.5000000000000001E-4</v>
      </c>
      <c r="Z68" s="490">
        <v>2.5000000000000001E-4</v>
      </c>
      <c r="AA68" s="490">
        <v>2.5000000000000001E-4</v>
      </c>
      <c r="AB68" s="490">
        <v>2.5000000000000001E-4</v>
      </c>
      <c r="AC68" s="490">
        <v>2.5000000000000001E-4</v>
      </c>
      <c r="AD68" s="490">
        <v>2.5000000000000001E-4</v>
      </c>
      <c r="AE68" s="493" t="s">
        <v>308</v>
      </c>
      <c r="AF68" s="493" t="s">
        <v>308</v>
      </c>
      <c r="AG68" s="493">
        <v>1.2999999999999999E-4</v>
      </c>
      <c r="AH68" s="493">
        <v>1.2999999999999999E-4</v>
      </c>
      <c r="AI68" s="493">
        <v>1.2999999999999999E-4</v>
      </c>
      <c r="AJ68" s="493">
        <v>1.2999999999999999E-4</v>
      </c>
      <c r="AK68" s="493">
        <v>1.2999999999999999E-4</v>
      </c>
      <c r="AL68" s="493">
        <v>1.2999999999999999E-4</v>
      </c>
      <c r="AM68" s="493">
        <v>1.2999999999999999E-4</v>
      </c>
      <c r="AN68" s="493">
        <v>1.2999999999999999E-4</v>
      </c>
      <c r="AO68" s="493">
        <v>1.2999999999999999E-4</v>
      </c>
      <c r="AP68" s="493">
        <v>1.2999999999999999E-4</v>
      </c>
      <c r="AQ68" s="493" t="s">
        <v>308</v>
      </c>
      <c r="AR68" s="493" t="s">
        <v>308</v>
      </c>
      <c r="AS68" s="597">
        <v>1.0000000000000001E-5</v>
      </c>
      <c r="AT68" s="597">
        <v>1.0000000000000001E-5</v>
      </c>
      <c r="AU68" s="597">
        <v>1.0000000000000001E-5</v>
      </c>
      <c r="AV68" s="597">
        <v>1.0000000000000001E-5</v>
      </c>
      <c r="AW68" s="597">
        <v>1.0000000000000001E-5</v>
      </c>
      <c r="AX68" s="597">
        <v>1.0000000000000001E-5</v>
      </c>
      <c r="AY68" s="597">
        <v>1.0000000000000001E-5</v>
      </c>
      <c r="AZ68" s="597">
        <v>1.0000000000000001E-5</v>
      </c>
      <c r="BA68" s="597">
        <v>1.0000000000000001E-5</v>
      </c>
      <c r="BB68" s="597">
        <v>1.0000000000000001E-5</v>
      </c>
      <c r="BC68" s="597" t="s">
        <v>308</v>
      </c>
      <c r="BD68" s="597" t="s">
        <v>308</v>
      </c>
    </row>
    <row r="69" spans="1:65">
      <c r="A69" s="481"/>
      <c r="B69" s="558" t="s">
        <v>306</v>
      </c>
      <c r="E69" s="490"/>
      <c r="F69" s="490"/>
      <c r="G69" s="493"/>
      <c r="H69" s="493"/>
      <c r="I69" s="490"/>
      <c r="J69" s="490"/>
      <c r="K69" s="490"/>
      <c r="L69" s="490"/>
      <c r="M69" s="490"/>
      <c r="N69" s="490"/>
      <c r="O69" s="490"/>
      <c r="P69" s="490"/>
      <c r="Q69" s="490"/>
      <c r="R69" s="490"/>
      <c r="S69" s="493"/>
      <c r="T69" s="493"/>
      <c r="U69" s="490"/>
      <c r="V69" s="490"/>
      <c r="W69" s="490"/>
      <c r="X69" s="490"/>
      <c r="Y69" s="490"/>
      <c r="Z69" s="490"/>
      <c r="AA69" s="490"/>
      <c r="AB69" s="490"/>
      <c r="AC69" s="490"/>
      <c r="AD69" s="557">
        <v>2.5000000000000001E-4</v>
      </c>
      <c r="AE69" s="493" t="s">
        <v>308</v>
      </c>
      <c r="AF69" s="493" t="s">
        <v>308</v>
      </c>
      <c r="AG69" s="493">
        <v>1.2999999999999999E-4</v>
      </c>
      <c r="AH69" s="493">
        <v>1.2999999999999999E-4</v>
      </c>
      <c r="AI69" s="493">
        <v>1.2999999999999999E-4</v>
      </c>
      <c r="AJ69" s="493">
        <v>1.2999999999999999E-4</v>
      </c>
      <c r="AK69" s="493">
        <v>1.2999999999999999E-4</v>
      </c>
      <c r="AL69" s="493">
        <v>1.2999999999999999E-4</v>
      </c>
      <c r="AM69" s="493">
        <v>1.2999999999999999E-4</v>
      </c>
      <c r="AN69" s="493">
        <v>1.2999999999999999E-4</v>
      </c>
      <c r="AO69" s="493">
        <v>1.2999999999999999E-4</v>
      </c>
      <c r="AP69" s="493">
        <v>1.2999999999999999E-4</v>
      </c>
      <c r="AQ69" s="493" t="s">
        <v>308</v>
      </c>
      <c r="AR69" s="493" t="s">
        <v>308</v>
      </c>
      <c r="AS69" s="597">
        <v>1.0000000000000001E-5</v>
      </c>
      <c r="AT69" s="597">
        <v>1.0000000000000001E-5</v>
      </c>
      <c r="AU69" s="597">
        <v>1.0000000000000001E-5</v>
      </c>
      <c r="AV69" s="597">
        <v>1.0000000000000001E-5</v>
      </c>
      <c r="AW69" s="597">
        <v>1.0000000000000001E-5</v>
      </c>
      <c r="AX69" s="597">
        <v>1.0000000000000001E-5</v>
      </c>
      <c r="AY69" s="597">
        <v>1.0000000000000001E-5</v>
      </c>
      <c r="AZ69" s="597">
        <v>1.0000000000000001E-5</v>
      </c>
      <c r="BA69" s="597">
        <v>1.0000000000000001E-5</v>
      </c>
      <c r="BB69" s="597">
        <v>1.0000000000000001E-5</v>
      </c>
      <c r="BC69" s="597" t="s">
        <v>308</v>
      </c>
      <c r="BD69" s="597" t="s">
        <v>308</v>
      </c>
    </row>
    <row r="70" spans="1:65">
      <c r="A70" s="481"/>
      <c r="B70" s="479" t="s">
        <v>38</v>
      </c>
      <c r="E70" s="490">
        <v>-2.1900000000000001E-3</v>
      </c>
      <c r="F70" s="490">
        <v>-2.1900000000000001E-3</v>
      </c>
      <c r="G70" s="493" t="s">
        <v>265</v>
      </c>
      <c r="H70" s="493" t="s">
        <v>265</v>
      </c>
      <c r="I70" s="490">
        <v>-3.8999999999999999E-4</v>
      </c>
      <c r="J70" s="490">
        <v>-3.8999999999999999E-4</v>
      </c>
      <c r="K70" s="490">
        <v>-3.8999999999999999E-4</v>
      </c>
      <c r="L70" s="490">
        <v>-3.8999999999999999E-4</v>
      </c>
      <c r="M70" s="490">
        <v>-3.8999999999999999E-4</v>
      </c>
      <c r="N70" s="490">
        <v>-3.8999999999999999E-4</v>
      </c>
      <c r="O70" s="490">
        <v>-3.8999999999999999E-4</v>
      </c>
      <c r="P70" s="490">
        <v>-3.8999999999999999E-4</v>
      </c>
      <c r="Q70" s="490">
        <v>-3.8999999999999999E-4</v>
      </c>
      <c r="R70" s="490">
        <v>-3.8999999999999999E-4</v>
      </c>
      <c r="S70" s="493" t="s">
        <v>265</v>
      </c>
      <c r="T70" s="493" t="s">
        <v>265</v>
      </c>
      <c r="U70" s="490">
        <v>2.5000000000000001E-4</v>
      </c>
      <c r="V70" s="490">
        <v>2.5000000000000001E-4</v>
      </c>
      <c r="W70" s="490">
        <v>2.5000000000000001E-4</v>
      </c>
      <c r="X70" s="490">
        <v>2.5000000000000001E-4</v>
      </c>
      <c r="Y70" s="490">
        <v>2.5000000000000001E-4</v>
      </c>
      <c r="Z70" s="490">
        <v>2.5000000000000001E-4</v>
      </c>
      <c r="AA70" s="490">
        <v>2.5000000000000001E-4</v>
      </c>
      <c r="AB70" s="490">
        <v>2.5000000000000001E-4</v>
      </c>
      <c r="AC70" s="490">
        <v>2.5000000000000001E-4</v>
      </c>
      <c r="AD70" s="490">
        <v>2.5000000000000001E-4</v>
      </c>
      <c r="AE70" s="493" t="s">
        <v>308</v>
      </c>
      <c r="AF70" s="493" t="s">
        <v>308</v>
      </c>
      <c r="AG70" s="493">
        <v>1.2999999999999999E-4</v>
      </c>
      <c r="AH70" s="493">
        <v>1.2999999999999999E-4</v>
      </c>
      <c r="AI70" s="493">
        <v>1.2999999999999999E-4</v>
      </c>
      <c r="AJ70" s="493">
        <v>1.2999999999999999E-4</v>
      </c>
      <c r="AK70" s="493">
        <v>1.2999999999999999E-4</v>
      </c>
      <c r="AL70" s="493">
        <v>1.2999999999999999E-4</v>
      </c>
      <c r="AM70" s="493">
        <v>1.2999999999999999E-4</v>
      </c>
      <c r="AN70" s="493">
        <v>1.2999999999999999E-4</v>
      </c>
      <c r="AO70" s="493">
        <v>1.2999999999999999E-4</v>
      </c>
      <c r="AP70" s="493">
        <v>1.2999999999999999E-4</v>
      </c>
      <c r="AQ70" s="493" t="s">
        <v>308</v>
      </c>
      <c r="AR70" s="493" t="s">
        <v>308</v>
      </c>
      <c r="AS70" s="597">
        <v>1.0000000000000001E-5</v>
      </c>
      <c r="AT70" s="597">
        <v>1.0000000000000001E-5</v>
      </c>
      <c r="AU70" s="597">
        <v>1.0000000000000001E-5</v>
      </c>
      <c r="AV70" s="597">
        <v>1.0000000000000001E-5</v>
      </c>
      <c r="AW70" s="597">
        <v>1.0000000000000001E-5</v>
      </c>
      <c r="AX70" s="597">
        <v>1.0000000000000001E-5</v>
      </c>
      <c r="AY70" s="597">
        <v>1.0000000000000001E-5</v>
      </c>
      <c r="AZ70" s="597">
        <v>1.0000000000000001E-5</v>
      </c>
      <c r="BA70" s="597">
        <v>1.0000000000000001E-5</v>
      </c>
      <c r="BB70" s="597">
        <v>1.0000000000000001E-5</v>
      </c>
      <c r="BC70" s="597" t="s">
        <v>308</v>
      </c>
      <c r="BD70" s="597" t="s">
        <v>308</v>
      </c>
    </row>
    <row r="71" spans="1:65">
      <c r="A71" s="481"/>
      <c r="B71" s="479" t="s">
        <v>39</v>
      </c>
      <c r="E71" s="490">
        <v>-2.1900000000000001E-3</v>
      </c>
      <c r="F71" s="490">
        <v>-2.1900000000000001E-3</v>
      </c>
      <c r="G71" s="493" t="s">
        <v>265</v>
      </c>
      <c r="H71" s="493" t="s">
        <v>265</v>
      </c>
      <c r="I71" s="490">
        <v>-3.8999999999999999E-4</v>
      </c>
      <c r="J71" s="490">
        <v>-3.8999999999999999E-4</v>
      </c>
      <c r="K71" s="490">
        <v>-3.8999999999999999E-4</v>
      </c>
      <c r="L71" s="490">
        <v>-3.8999999999999999E-4</v>
      </c>
      <c r="M71" s="490">
        <v>-3.8999999999999999E-4</v>
      </c>
      <c r="N71" s="490">
        <v>-3.8999999999999999E-4</v>
      </c>
      <c r="O71" s="490">
        <v>-3.8999999999999999E-4</v>
      </c>
      <c r="P71" s="490">
        <v>-3.8999999999999999E-4</v>
      </c>
      <c r="Q71" s="490">
        <v>-3.8999999999999999E-4</v>
      </c>
      <c r="R71" s="490">
        <v>-3.8999999999999999E-4</v>
      </c>
      <c r="S71" s="493" t="s">
        <v>265</v>
      </c>
      <c r="T71" s="493" t="s">
        <v>265</v>
      </c>
      <c r="U71" s="490">
        <v>2.5000000000000001E-4</v>
      </c>
      <c r="V71" s="490">
        <v>2.5000000000000001E-4</v>
      </c>
      <c r="W71" s="490">
        <v>2.5000000000000001E-4</v>
      </c>
      <c r="X71" s="490">
        <v>2.5000000000000001E-4</v>
      </c>
      <c r="Y71" s="490">
        <v>2.5000000000000001E-4</v>
      </c>
      <c r="Z71" s="490">
        <v>2.5000000000000001E-4</v>
      </c>
      <c r="AA71" s="490">
        <v>2.5000000000000001E-4</v>
      </c>
      <c r="AB71" s="490">
        <v>2.5000000000000001E-4</v>
      </c>
      <c r="AC71" s="490">
        <v>2.5000000000000001E-4</v>
      </c>
      <c r="AD71" s="490">
        <v>2.5000000000000001E-4</v>
      </c>
      <c r="AE71" s="493" t="s">
        <v>308</v>
      </c>
      <c r="AF71" s="493" t="s">
        <v>308</v>
      </c>
      <c r="AG71" s="493">
        <v>1.2999999999999999E-4</v>
      </c>
      <c r="AH71" s="493">
        <v>1.2999999999999999E-4</v>
      </c>
      <c r="AI71" s="493">
        <v>1.2999999999999999E-4</v>
      </c>
      <c r="AJ71" s="493">
        <v>1.2999999999999999E-4</v>
      </c>
      <c r="AK71" s="493">
        <v>1.2999999999999999E-4</v>
      </c>
      <c r="AL71" s="493">
        <v>1.2999999999999999E-4</v>
      </c>
      <c r="AM71" s="493">
        <v>1.2999999999999999E-4</v>
      </c>
      <c r="AN71" s="493">
        <v>1.2999999999999999E-4</v>
      </c>
      <c r="AO71" s="493">
        <v>1.2999999999999999E-4</v>
      </c>
      <c r="AP71" s="493">
        <v>1.2999999999999999E-4</v>
      </c>
      <c r="AQ71" s="493" t="s">
        <v>308</v>
      </c>
      <c r="AR71" s="493" t="s">
        <v>308</v>
      </c>
      <c r="AS71" s="597">
        <v>1.0000000000000001E-5</v>
      </c>
      <c r="AT71" s="597">
        <v>1.0000000000000001E-5</v>
      </c>
      <c r="AU71" s="597">
        <v>1.0000000000000001E-5</v>
      </c>
      <c r="AV71" s="597">
        <v>1.0000000000000001E-5</v>
      </c>
      <c r="AW71" s="597">
        <v>1.0000000000000001E-5</v>
      </c>
      <c r="AX71" s="597">
        <v>1.0000000000000001E-5</v>
      </c>
      <c r="AY71" s="597">
        <v>1.0000000000000001E-5</v>
      </c>
      <c r="AZ71" s="597">
        <v>1.0000000000000001E-5</v>
      </c>
      <c r="BA71" s="597">
        <v>1.0000000000000001E-5</v>
      </c>
      <c r="BB71" s="597">
        <v>1.0000000000000001E-5</v>
      </c>
      <c r="BC71" s="597" t="s">
        <v>308</v>
      </c>
      <c r="BD71" s="597" t="s">
        <v>308</v>
      </c>
    </row>
    <row r="72" spans="1:65">
      <c r="A72" s="481"/>
      <c r="B72" s="479" t="s">
        <v>40</v>
      </c>
      <c r="E72" s="490">
        <v>-2.1900000000000001E-3</v>
      </c>
      <c r="F72" s="490">
        <v>-2.1900000000000001E-3</v>
      </c>
      <c r="G72" s="493" t="s">
        <v>265</v>
      </c>
      <c r="H72" s="493" t="s">
        <v>265</v>
      </c>
      <c r="I72" s="490">
        <v>-3.8999999999999999E-4</v>
      </c>
      <c r="J72" s="490">
        <v>-3.8999999999999999E-4</v>
      </c>
      <c r="K72" s="490">
        <v>-3.8999999999999999E-4</v>
      </c>
      <c r="L72" s="490">
        <v>-3.8999999999999999E-4</v>
      </c>
      <c r="M72" s="490">
        <v>-3.8999999999999999E-4</v>
      </c>
      <c r="N72" s="490">
        <v>-3.8999999999999999E-4</v>
      </c>
      <c r="O72" s="490">
        <v>-3.8999999999999999E-4</v>
      </c>
      <c r="P72" s="490">
        <v>-3.8999999999999999E-4</v>
      </c>
      <c r="Q72" s="490">
        <v>-3.8999999999999999E-4</v>
      </c>
      <c r="R72" s="490">
        <v>-3.8999999999999999E-4</v>
      </c>
      <c r="S72" s="493" t="s">
        <v>265</v>
      </c>
      <c r="T72" s="493" t="s">
        <v>265</v>
      </c>
      <c r="U72" s="490">
        <v>2.5000000000000001E-4</v>
      </c>
      <c r="V72" s="490">
        <v>2.5000000000000001E-4</v>
      </c>
      <c r="W72" s="490">
        <v>2.5000000000000001E-4</v>
      </c>
      <c r="X72" s="490">
        <v>2.5000000000000001E-4</v>
      </c>
      <c r="Y72" s="490">
        <v>2.5000000000000001E-4</v>
      </c>
      <c r="Z72" s="490">
        <v>2.5000000000000001E-4</v>
      </c>
      <c r="AA72" s="490">
        <v>2.5000000000000001E-4</v>
      </c>
      <c r="AB72" s="490">
        <v>2.5000000000000001E-4</v>
      </c>
      <c r="AC72" s="490">
        <v>2.5000000000000001E-4</v>
      </c>
      <c r="AD72" s="490">
        <v>2.5000000000000001E-4</v>
      </c>
      <c r="AE72" s="493" t="s">
        <v>308</v>
      </c>
      <c r="AF72" s="493" t="s">
        <v>308</v>
      </c>
      <c r="AG72" s="493">
        <v>1.2999999999999999E-4</v>
      </c>
      <c r="AH72" s="493">
        <v>1.2999999999999999E-4</v>
      </c>
      <c r="AI72" s="493">
        <v>1.2999999999999999E-4</v>
      </c>
      <c r="AJ72" s="493">
        <v>1.2999999999999999E-4</v>
      </c>
      <c r="AK72" s="493">
        <v>1.2999999999999999E-4</v>
      </c>
      <c r="AL72" s="493">
        <v>1.2999999999999999E-4</v>
      </c>
      <c r="AM72" s="493">
        <v>1.2999999999999999E-4</v>
      </c>
      <c r="AN72" s="493">
        <v>1.2999999999999999E-4</v>
      </c>
      <c r="AO72" s="493">
        <v>1.2999999999999999E-4</v>
      </c>
      <c r="AP72" s="493">
        <v>1.2999999999999999E-4</v>
      </c>
      <c r="AQ72" s="493" t="s">
        <v>308</v>
      </c>
      <c r="AR72" s="493" t="s">
        <v>308</v>
      </c>
      <c r="AS72" s="597">
        <v>1.0000000000000001E-5</v>
      </c>
      <c r="AT72" s="597">
        <v>1.0000000000000001E-5</v>
      </c>
      <c r="AU72" s="597">
        <v>1.0000000000000001E-5</v>
      </c>
      <c r="AV72" s="597">
        <v>1.0000000000000001E-5</v>
      </c>
      <c r="AW72" s="597">
        <v>1.0000000000000001E-5</v>
      </c>
      <c r="AX72" s="597">
        <v>1.0000000000000001E-5</v>
      </c>
      <c r="AY72" s="597">
        <v>1.0000000000000001E-5</v>
      </c>
      <c r="AZ72" s="597">
        <v>1.0000000000000001E-5</v>
      </c>
      <c r="BA72" s="597">
        <v>1.0000000000000001E-5</v>
      </c>
      <c r="BB72" s="597">
        <v>1.0000000000000001E-5</v>
      </c>
      <c r="BC72" s="597" t="s">
        <v>308</v>
      </c>
      <c r="BD72" s="597" t="s">
        <v>308</v>
      </c>
    </row>
    <row r="73" spans="1:65">
      <c r="A73" s="481"/>
      <c r="B73" s="479" t="s">
        <v>41</v>
      </c>
      <c r="E73" s="490">
        <v>-2.1900000000000001E-3</v>
      </c>
      <c r="F73" s="490">
        <v>-2.1900000000000001E-3</v>
      </c>
      <c r="G73" s="493" t="s">
        <v>265</v>
      </c>
      <c r="H73" s="493" t="s">
        <v>265</v>
      </c>
      <c r="I73" s="490">
        <v>-3.8999999999999999E-4</v>
      </c>
      <c r="J73" s="490">
        <v>-3.8999999999999999E-4</v>
      </c>
      <c r="K73" s="490">
        <v>-3.8999999999999999E-4</v>
      </c>
      <c r="L73" s="490">
        <v>-3.8999999999999999E-4</v>
      </c>
      <c r="M73" s="490">
        <v>-3.8999999999999999E-4</v>
      </c>
      <c r="N73" s="490">
        <v>-3.8999999999999999E-4</v>
      </c>
      <c r="O73" s="490">
        <v>-3.8999999999999999E-4</v>
      </c>
      <c r="P73" s="490">
        <v>-3.8999999999999999E-4</v>
      </c>
      <c r="Q73" s="490">
        <v>-3.8999999999999999E-4</v>
      </c>
      <c r="R73" s="490">
        <v>-3.8999999999999999E-4</v>
      </c>
      <c r="S73" s="493" t="s">
        <v>265</v>
      </c>
      <c r="T73" s="493" t="s">
        <v>265</v>
      </c>
      <c r="U73" s="490">
        <v>2.5000000000000001E-4</v>
      </c>
      <c r="V73" s="490">
        <v>2.5000000000000001E-4</v>
      </c>
      <c r="W73" s="490">
        <v>2.5000000000000001E-4</v>
      </c>
      <c r="X73" s="490">
        <v>2.5000000000000001E-4</v>
      </c>
      <c r="Y73" s="490">
        <v>2.5000000000000001E-4</v>
      </c>
      <c r="Z73" s="490">
        <v>2.5000000000000001E-4</v>
      </c>
      <c r="AA73" s="490">
        <v>2.5000000000000001E-4</v>
      </c>
      <c r="AB73" s="490">
        <v>2.5000000000000001E-4</v>
      </c>
      <c r="AC73" s="490">
        <v>2.5000000000000001E-4</v>
      </c>
      <c r="AD73" s="490">
        <v>2.5000000000000001E-4</v>
      </c>
      <c r="AE73" s="493" t="s">
        <v>308</v>
      </c>
      <c r="AF73" s="493" t="s">
        <v>308</v>
      </c>
      <c r="AG73" s="493">
        <v>1.2999999999999999E-4</v>
      </c>
      <c r="AH73" s="493">
        <v>1.2999999999999999E-4</v>
      </c>
      <c r="AI73" s="493">
        <v>1.2999999999999999E-4</v>
      </c>
      <c r="AJ73" s="493">
        <v>1.2999999999999999E-4</v>
      </c>
      <c r="AK73" s="493">
        <v>1.2999999999999999E-4</v>
      </c>
      <c r="AL73" s="493">
        <v>1.2999999999999999E-4</v>
      </c>
      <c r="AM73" s="493">
        <v>1.2999999999999999E-4</v>
      </c>
      <c r="AN73" s="493">
        <v>1.2999999999999999E-4</v>
      </c>
      <c r="AO73" s="493">
        <v>1.2999999999999999E-4</v>
      </c>
      <c r="AP73" s="493">
        <v>1.2999999999999999E-4</v>
      </c>
      <c r="AQ73" s="493" t="s">
        <v>308</v>
      </c>
      <c r="AR73" s="493" t="s">
        <v>308</v>
      </c>
      <c r="AS73" s="597">
        <v>1.0000000000000001E-5</v>
      </c>
      <c r="AT73" s="597">
        <v>1.0000000000000001E-5</v>
      </c>
      <c r="AU73" s="597">
        <v>1.0000000000000001E-5</v>
      </c>
      <c r="AV73" s="597">
        <v>1.0000000000000001E-5</v>
      </c>
      <c r="AW73" s="597">
        <v>1.0000000000000001E-5</v>
      </c>
      <c r="AX73" s="597">
        <v>1.0000000000000001E-5</v>
      </c>
      <c r="AY73" s="597">
        <v>1.0000000000000001E-5</v>
      </c>
      <c r="AZ73" s="597">
        <v>1.0000000000000001E-5</v>
      </c>
      <c r="BA73" s="597">
        <v>1.0000000000000001E-5</v>
      </c>
      <c r="BB73" s="597">
        <v>1.0000000000000001E-5</v>
      </c>
      <c r="BC73" s="597" t="s">
        <v>308</v>
      </c>
      <c r="BD73" s="597" t="s">
        <v>308</v>
      </c>
    </row>
    <row r="74" spans="1:65" ht="16.5" thickBot="1">
      <c r="A74" s="481"/>
      <c r="B74" s="479" t="s">
        <v>42</v>
      </c>
      <c r="E74" s="490">
        <v>-2.1900000000000001E-3</v>
      </c>
      <c r="F74" s="490">
        <v>-2.1900000000000001E-3</v>
      </c>
      <c r="G74" s="493" t="s">
        <v>265</v>
      </c>
      <c r="H74" s="493" t="s">
        <v>265</v>
      </c>
      <c r="I74" s="490">
        <v>-3.8999999999999999E-4</v>
      </c>
      <c r="J74" s="490">
        <v>-3.8999999999999999E-4</v>
      </c>
      <c r="K74" s="490">
        <v>-3.8999999999999999E-4</v>
      </c>
      <c r="L74" s="490">
        <v>-3.8999999999999999E-4</v>
      </c>
      <c r="M74" s="490">
        <v>-3.8999999999999999E-4</v>
      </c>
      <c r="N74" s="490">
        <v>-3.8999999999999999E-4</v>
      </c>
      <c r="O74" s="490">
        <v>-3.8999999999999999E-4</v>
      </c>
      <c r="P74" s="490">
        <v>-3.8999999999999999E-4</v>
      </c>
      <c r="Q74" s="490">
        <v>-3.8999999999999999E-4</v>
      </c>
      <c r="R74" s="490">
        <v>-3.8999999999999999E-4</v>
      </c>
      <c r="S74" s="493" t="s">
        <v>265</v>
      </c>
      <c r="T74" s="493" t="s">
        <v>265</v>
      </c>
      <c r="U74" s="490">
        <v>2.5000000000000001E-4</v>
      </c>
      <c r="V74" s="490">
        <v>2.5000000000000001E-4</v>
      </c>
      <c r="W74" s="490">
        <v>2.5000000000000001E-4</v>
      </c>
      <c r="X74" s="490">
        <v>2.5000000000000001E-4</v>
      </c>
      <c r="Y74" s="490">
        <v>2.5000000000000001E-4</v>
      </c>
      <c r="Z74" s="490">
        <v>2.5000000000000001E-4</v>
      </c>
      <c r="AA74" s="490">
        <v>2.5000000000000001E-4</v>
      </c>
      <c r="AB74" s="490">
        <v>2.5000000000000001E-4</v>
      </c>
      <c r="AC74" s="490">
        <v>2.5000000000000001E-4</v>
      </c>
      <c r="AD74" s="490">
        <v>2.5000000000000001E-4</v>
      </c>
      <c r="AE74" s="493" t="s">
        <v>308</v>
      </c>
      <c r="AF74" s="493" t="s">
        <v>308</v>
      </c>
      <c r="AG74" s="493">
        <v>1.2999999999999999E-4</v>
      </c>
      <c r="AH74" s="493">
        <v>1.2999999999999999E-4</v>
      </c>
      <c r="AI74" s="493">
        <v>1.2999999999999999E-4</v>
      </c>
      <c r="AJ74" s="493">
        <v>1.2999999999999999E-4</v>
      </c>
      <c r="AK74" s="493">
        <v>1.2999999999999999E-4</v>
      </c>
      <c r="AL74" s="493">
        <v>1.2999999999999999E-4</v>
      </c>
      <c r="AM74" s="493">
        <v>1.2999999999999999E-4</v>
      </c>
      <c r="AN74" s="493">
        <v>1.2999999999999999E-4</v>
      </c>
      <c r="AO74" s="493">
        <v>1.2999999999999999E-4</v>
      </c>
      <c r="AP74" s="493">
        <v>1.2999999999999999E-4</v>
      </c>
      <c r="AQ74" s="493" t="s">
        <v>308</v>
      </c>
      <c r="AR74" s="493" t="s">
        <v>308</v>
      </c>
      <c r="AS74" s="597">
        <v>1.0000000000000001E-5</v>
      </c>
      <c r="AT74" s="597">
        <v>1.0000000000000001E-5</v>
      </c>
      <c r="AU74" s="597">
        <v>1.0000000000000001E-5</v>
      </c>
      <c r="AV74" s="597">
        <v>1.0000000000000001E-5</v>
      </c>
      <c r="AW74" s="597">
        <v>1.0000000000000001E-5</v>
      </c>
      <c r="AX74" s="597">
        <v>1.0000000000000001E-5</v>
      </c>
      <c r="AY74" s="597">
        <v>1.0000000000000001E-5</v>
      </c>
      <c r="AZ74" s="597">
        <v>1.0000000000000001E-5</v>
      </c>
      <c r="BA74" s="597">
        <v>1.0000000000000001E-5</v>
      </c>
      <c r="BB74" s="597">
        <v>1.0000000000000001E-5</v>
      </c>
      <c r="BC74" s="597" t="s">
        <v>308</v>
      </c>
      <c r="BD74" s="597" t="s">
        <v>308</v>
      </c>
    </row>
    <row r="75" spans="1:65" ht="16.5" thickBot="1">
      <c r="A75" s="481"/>
      <c r="B75" s="479" t="s">
        <v>43</v>
      </c>
      <c r="E75" s="490">
        <v>-2.1900000000000001E-3</v>
      </c>
      <c r="F75" s="490">
        <v>-2.1900000000000001E-3</v>
      </c>
      <c r="G75" s="493" t="s">
        <v>265</v>
      </c>
      <c r="H75" s="493" t="s">
        <v>265</v>
      </c>
      <c r="I75" s="490">
        <v>-3.8999999999999999E-4</v>
      </c>
      <c r="J75" s="490">
        <v>-3.8999999999999999E-4</v>
      </c>
      <c r="K75" s="490">
        <v>-3.8999999999999999E-4</v>
      </c>
      <c r="L75" s="490">
        <v>-3.8999999999999999E-4</v>
      </c>
      <c r="M75" s="490">
        <v>-3.8999999999999999E-4</v>
      </c>
      <c r="N75" s="490">
        <v>-3.8999999999999999E-4</v>
      </c>
      <c r="O75" s="490">
        <v>-3.8999999999999999E-4</v>
      </c>
      <c r="P75" s="490">
        <v>-3.8999999999999999E-4</v>
      </c>
      <c r="Q75" s="490">
        <v>-3.8999999999999999E-4</v>
      </c>
      <c r="R75" s="490">
        <v>-3.8999999999999999E-4</v>
      </c>
      <c r="S75" s="493" t="s">
        <v>265</v>
      </c>
      <c r="T75" s="493" t="s">
        <v>265</v>
      </c>
      <c r="U75" s="490">
        <v>2.5000000000000001E-4</v>
      </c>
      <c r="V75" s="490">
        <v>2.5000000000000001E-4</v>
      </c>
      <c r="W75" s="490">
        <v>2.5000000000000001E-4</v>
      </c>
      <c r="X75" s="490">
        <v>2.5000000000000001E-4</v>
      </c>
      <c r="Y75" s="490">
        <v>2.5000000000000001E-4</v>
      </c>
      <c r="Z75" s="490">
        <v>2.5000000000000001E-4</v>
      </c>
      <c r="AA75" s="490">
        <v>2.5000000000000001E-4</v>
      </c>
      <c r="AB75" s="490">
        <v>2.5000000000000001E-4</v>
      </c>
      <c r="AC75" s="490">
        <v>2.5000000000000001E-4</v>
      </c>
      <c r="AD75" s="490">
        <v>2.5000000000000001E-4</v>
      </c>
      <c r="AE75" s="493" t="s">
        <v>308</v>
      </c>
      <c r="AF75" s="493" t="s">
        <v>308</v>
      </c>
      <c r="AG75" s="493">
        <v>1.2999999999999999E-4</v>
      </c>
      <c r="AH75" s="493">
        <v>1.2999999999999999E-4</v>
      </c>
      <c r="AI75" s="493">
        <v>1.2999999999999999E-4</v>
      </c>
      <c r="AJ75" s="493">
        <v>1.2999999999999999E-4</v>
      </c>
      <c r="AK75" s="493">
        <v>1.2999999999999999E-4</v>
      </c>
      <c r="AL75" s="493">
        <v>1.2999999999999999E-4</v>
      </c>
      <c r="AM75" s="493">
        <v>1.2999999999999999E-4</v>
      </c>
      <c r="AN75" s="493">
        <v>1.2999999999999999E-4</v>
      </c>
      <c r="AO75" s="493">
        <v>1.2999999999999999E-4</v>
      </c>
      <c r="AP75" s="493">
        <v>1.2999999999999999E-4</v>
      </c>
      <c r="AQ75" s="493" t="s">
        <v>308</v>
      </c>
      <c r="AR75" s="493" t="s">
        <v>308</v>
      </c>
      <c r="AS75" s="597">
        <v>1.0000000000000001E-5</v>
      </c>
      <c r="AT75" s="597">
        <v>1.0000000000000001E-5</v>
      </c>
      <c r="AU75" s="597">
        <v>1.0000000000000001E-5</v>
      </c>
      <c r="AV75" s="597">
        <v>1.0000000000000001E-5</v>
      </c>
      <c r="AW75" s="597">
        <v>1.0000000000000001E-5</v>
      </c>
      <c r="AX75" s="597">
        <v>1.0000000000000001E-5</v>
      </c>
      <c r="AY75" s="597">
        <v>1.0000000000000001E-5</v>
      </c>
      <c r="AZ75" s="597">
        <v>1.0000000000000001E-5</v>
      </c>
      <c r="BA75" s="597">
        <v>1.0000000000000001E-5</v>
      </c>
      <c r="BB75" s="597">
        <v>1.0000000000000001E-5</v>
      </c>
      <c r="BC75" s="597" t="s">
        <v>308</v>
      </c>
      <c r="BD75" s="597" t="s">
        <v>308</v>
      </c>
      <c r="BF75" s="518">
        <f>BF4</f>
        <v>201712</v>
      </c>
      <c r="BG75" s="527"/>
      <c r="BH75" s="519"/>
      <c r="BI75" s="632" t="s">
        <v>325</v>
      </c>
      <c r="BJ75" s="519"/>
      <c r="BK75" s="520"/>
    </row>
    <row r="76" spans="1:65">
      <c r="A76" s="481"/>
      <c r="B76" s="479" t="s">
        <v>74</v>
      </c>
      <c r="E76" s="490">
        <v>-2.0000000000000001E-4</v>
      </c>
      <c r="F76" s="490">
        <v>-2.0000000000000001E-4</v>
      </c>
      <c r="G76" s="493" t="s">
        <v>265</v>
      </c>
      <c r="H76" s="493" t="s">
        <v>265</v>
      </c>
      <c r="I76" s="490">
        <v>-4.0000000000000003E-5</v>
      </c>
      <c r="J76" s="490">
        <v>-4.0000000000000003E-5</v>
      </c>
      <c r="K76" s="490">
        <v>-4.0000000000000003E-5</v>
      </c>
      <c r="L76" s="490">
        <v>-4.0000000000000003E-5</v>
      </c>
      <c r="M76" s="490">
        <v>-4.0000000000000003E-5</v>
      </c>
      <c r="N76" s="490">
        <v>-4.0000000000000003E-5</v>
      </c>
      <c r="O76" s="490">
        <v>-4.0000000000000003E-5</v>
      </c>
      <c r="P76" s="490">
        <v>-4.0000000000000003E-5</v>
      </c>
      <c r="Q76" s="490">
        <v>-4.0000000000000003E-5</v>
      </c>
      <c r="R76" s="490">
        <v>-4.0000000000000003E-5</v>
      </c>
      <c r="S76" s="493" t="s">
        <v>265</v>
      </c>
      <c r="T76" s="493" t="s">
        <v>265</v>
      </c>
      <c r="U76" s="490">
        <v>4.0000000000000003E-5</v>
      </c>
      <c r="V76" s="490">
        <v>4.0000000000000003E-5</v>
      </c>
      <c r="W76" s="490">
        <v>4.0000000000000003E-5</v>
      </c>
      <c r="X76" s="490">
        <v>4.0000000000000003E-5</v>
      </c>
      <c r="Y76" s="490">
        <v>4.0000000000000003E-5</v>
      </c>
      <c r="Z76" s="490">
        <v>4.0000000000000003E-5</v>
      </c>
      <c r="AA76" s="490">
        <v>4.0000000000000003E-5</v>
      </c>
      <c r="AB76" s="490">
        <v>4.0000000000000003E-5</v>
      </c>
      <c r="AC76" s="490">
        <v>4.0000000000000003E-5</v>
      </c>
      <c r="AD76" s="490">
        <v>4.0000000000000003E-5</v>
      </c>
      <c r="AE76" s="493" t="s">
        <v>308</v>
      </c>
      <c r="AF76" s="493" t="s">
        <v>308</v>
      </c>
      <c r="AG76" s="493">
        <v>2.0000000000000002E-5</v>
      </c>
      <c r="AH76" s="493">
        <v>2.0000000000000002E-5</v>
      </c>
      <c r="AI76" s="493">
        <v>2.0000000000000002E-5</v>
      </c>
      <c r="AJ76" s="493">
        <v>2.0000000000000002E-5</v>
      </c>
      <c r="AK76" s="493">
        <v>2.0000000000000002E-5</v>
      </c>
      <c r="AL76" s="493">
        <v>2.0000000000000002E-5</v>
      </c>
      <c r="AM76" s="493">
        <v>2.0000000000000002E-5</v>
      </c>
      <c r="AN76" s="493">
        <v>2.0000000000000002E-5</v>
      </c>
      <c r="AO76" s="493">
        <v>2.0000000000000002E-5</v>
      </c>
      <c r="AP76" s="493">
        <v>2.0000000000000002E-5</v>
      </c>
      <c r="AQ76" s="493" t="s">
        <v>308</v>
      </c>
      <c r="AR76" s="493" t="s">
        <v>308</v>
      </c>
      <c r="AS76" s="597">
        <v>0</v>
      </c>
      <c r="AT76" s="597">
        <v>0</v>
      </c>
      <c r="AU76" s="597">
        <v>0</v>
      </c>
      <c r="AV76" s="597">
        <v>0</v>
      </c>
      <c r="AW76" s="597">
        <v>0</v>
      </c>
      <c r="AX76" s="597">
        <v>0</v>
      </c>
      <c r="AY76" s="597">
        <v>0</v>
      </c>
      <c r="AZ76" s="597">
        <v>0</v>
      </c>
      <c r="BA76" s="597">
        <v>0</v>
      </c>
      <c r="BB76" s="597">
        <v>0</v>
      </c>
      <c r="BC76" s="597" t="s">
        <v>308</v>
      </c>
      <c r="BD76" s="597" t="s">
        <v>308</v>
      </c>
      <c r="BF76" s="153" t="s">
        <v>293</v>
      </c>
      <c r="BG76" s="208">
        <v>191025</v>
      </c>
      <c r="BH76" s="7" t="s">
        <v>281</v>
      </c>
      <c r="BI76" s="7" t="s">
        <v>282</v>
      </c>
      <c r="BJ76" s="470">
        <v>0</v>
      </c>
      <c r="BK76" s="460">
        <f>IF((SUMIF(AG78:BD78,BF75,AG80:BD80))&lt;0,-(SUMIF(AG78:BD78,BF75,AG80:BD80)),0)</f>
        <v>0</v>
      </c>
      <c r="BM76" s="480" t="str">
        <f>_xll.GLW_Segment_Description(BG76,2,2)</f>
        <v>WA GRC JACKSON PRAIRIE DEFERRAL</v>
      </c>
    </row>
    <row r="77" spans="1:65">
      <c r="A77" s="481" t="s">
        <v>284</v>
      </c>
      <c r="E77" s="490"/>
      <c r="F77" s="490"/>
      <c r="G77" s="490"/>
      <c r="H77" s="490"/>
      <c r="I77" s="490"/>
      <c r="J77" s="490"/>
      <c r="K77" s="490"/>
      <c r="L77" s="490"/>
      <c r="M77" s="490"/>
      <c r="N77" s="490"/>
      <c r="O77" s="490"/>
      <c r="P77" s="490"/>
      <c r="Q77" s="490"/>
      <c r="R77" s="490"/>
      <c r="S77" s="490"/>
      <c r="T77" s="490"/>
      <c r="U77" s="490"/>
      <c r="V77" s="490"/>
      <c r="W77" s="490"/>
      <c r="X77" s="490"/>
      <c r="Y77" s="490"/>
      <c r="Z77" s="490"/>
      <c r="AA77" s="490"/>
      <c r="AB77" s="490"/>
      <c r="AC77" s="490"/>
      <c r="AD77" s="490"/>
      <c r="AE77" s="490"/>
      <c r="AF77" s="490"/>
      <c r="AG77" s="490"/>
      <c r="AH77" s="490"/>
      <c r="AI77" s="490"/>
      <c r="AJ77" s="490"/>
      <c r="AK77" s="490"/>
      <c r="AL77" s="490"/>
      <c r="AM77" s="490"/>
      <c r="AN77" s="490"/>
      <c r="AO77" s="490"/>
      <c r="AP77" s="490"/>
      <c r="AQ77" s="490"/>
      <c r="AR77" s="490"/>
      <c r="AS77" s="490"/>
      <c r="AT77" s="490"/>
      <c r="AU77" s="490"/>
      <c r="AV77" s="490"/>
      <c r="AW77" s="490"/>
      <c r="AX77" s="490"/>
      <c r="AY77" s="490"/>
      <c r="AZ77" s="490"/>
      <c r="BA77" s="490"/>
      <c r="BB77" s="490"/>
      <c r="BC77" s="490"/>
      <c r="BD77" s="490"/>
      <c r="BF77" s="153" t="s">
        <v>294</v>
      </c>
      <c r="BG77" s="208">
        <v>805110</v>
      </c>
      <c r="BH77" s="7" t="s">
        <v>281</v>
      </c>
      <c r="BI77" s="7" t="s">
        <v>282</v>
      </c>
      <c r="BJ77" s="470">
        <f>IF((SUMIF(AG78:BD78,BF75,AG80:BD80))&lt;0,-(SUMIF(AG78:BD78,BF75,AG80:BD80)),0)</f>
        <v>0</v>
      </c>
      <c r="BK77" s="460">
        <f>BJ76</f>
        <v>0</v>
      </c>
      <c r="BM77" s="480" t="str">
        <f>_xll.GLW_Segment_Description(BG77,2,2)</f>
        <v>AMORTIZE RECOVERABLE GAS COSTS</v>
      </c>
    </row>
    <row r="78" spans="1:65" s="481" customFormat="1">
      <c r="A78" s="482">
        <v>191025</v>
      </c>
      <c r="B78" s="483" t="s">
        <v>252</v>
      </c>
      <c r="C78" s="484" t="s">
        <v>248</v>
      </c>
      <c r="D78" s="485" t="s">
        <v>249</v>
      </c>
      <c r="E78" s="482">
        <v>201309</v>
      </c>
      <c r="F78" s="482">
        <f>E78+1</f>
        <v>201310</v>
      </c>
      <c r="G78" s="482">
        <f>F78+1</f>
        <v>201311</v>
      </c>
      <c r="H78" s="482">
        <f>G78+1</f>
        <v>201312</v>
      </c>
      <c r="I78" s="482">
        <v>201401</v>
      </c>
      <c r="J78" s="482">
        <v>201402</v>
      </c>
      <c r="K78" s="482">
        <v>201403</v>
      </c>
      <c r="L78" s="482">
        <v>201404</v>
      </c>
      <c r="M78" s="482">
        <v>201405</v>
      </c>
      <c r="N78" s="482">
        <v>201406</v>
      </c>
      <c r="O78" s="482">
        <v>201407</v>
      </c>
      <c r="P78" s="482">
        <v>201408</v>
      </c>
      <c r="Q78" s="482">
        <v>201409</v>
      </c>
      <c r="R78" s="482">
        <v>201410</v>
      </c>
      <c r="S78" s="482">
        <v>201411</v>
      </c>
      <c r="T78" s="482">
        <v>201412</v>
      </c>
      <c r="U78" s="482">
        <v>201501</v>
      </c>
      <c r="V78" s="482">
        <f t="shared" ref="V78" si="198">U78+1</f>
        <v>201502</v>
      </c>
      <c r="W78" s="482">
        <f t="shared" ref="W78" si="199">V78+1</f>
        <v>201503</v>
      </c>
      <c r="X78" s="482">
        <f t="shared" ref="X78" si="200">W78+1</f>
        <v>201504</v>
      </c>
      <c r="Y78" s="482">
        <f t="shared" ref="Y78" si="201">X78+1</f>
        <v>201505</v>
      </c>
      <c r="Z78" s="482">
        <f t="shared" ref="Z78" si="202">Y78+1</f>
        <v>201506</v>
      </c>
      <c r="AA78" s="482">
        <f t="shared" ref="AA78" si="203">Z78+1</f>
        <v>201507</v>
      </c>
      <c r="AB78" s="482">
        <f t="shared" ref="AB78" si="204">AA78+1</f>
        <v>201508</v>
      </c>
      <c r="AC78" s="482">
        <f t="shared" ref="AC78" si="205">AB78+1</f>
        <v>201509</v>
      </c>
      <c r="AD78" s="482">
        <f t="shared" ref="AD78" si="206">AC78+1</f>
        <v>201510</v>
      </c>
      <c r="AE78" s="482">
        <f>AD78+1</f>
        <v>201511</v>
      </c>
      <c r="AF78" s="482">
        <f t="shared" ref="AF78" si="207">AE78+1</f>
        <v>201512</v>
      </c>
      <c r="AG78" s="482">
        <v>201601</v>
      </c>
      <c r="AH78" s="482">
        <f>AG78+1</f>
        <v>201602</v>
      </c>
      <c r="AI78" s="482">
        <f t="shared" ref="AI78:AR78" si="208">AH78+1</f>
        <v>201603</v>
      </c>
      <c r="AJ78" s="482">
        <f t="shared" si="208"/>
        <v>201604</v>
      </c>
      <c r="AK78" s="482">
        <f t="shared" si="208"/>
        <v>201605</v>
      </c>
      <c r="AL78" s="482">
        <f t="shared" si="208"/>
        <v>201606</v>
      </c>
      <c r="AM78" s="482">
        <f t="shared" si="208"/>
        <v>201607</v>
      </c>
      <c r="AN78" s="482">
        <f t="shared" si="208"/>
        <v>201608</v>
      </c>
      <c r="AO78" s="482">
        <f t="shared" si="208"/>
        <v>201609</v>
      </c>
      <c r="AP78" s="482">
        <f t="shared" si="208"/>
        <v>201610</v>
      </c>
      <c r="AQ78" s="482">
        <f t="shared" si="208"/>
        <v>201611</v>
      </c>
      <c r="AR78" s="482">
        <f t="shared" si="208"/>
        <v>201612</v>
      </c>
      <c r="AS78" s="482">
        <f>AS3</f>
        <v>201701</v>
      </c>
      <c r="AT78" s="482">
        <f>AS78+1</f>
        <v>201702</v>
      </c>
      <c r="AU78" s="482">
        <f t="shared" ref="AU78" si="209">AT78+1</f>
        <v>201703</v>
      </c>
      <c r="AV78" s="482">
        <f t="shared" ref="AV78" si="210">AU78+1</f>
        <v>201704</v>
      </c>
      <c r="AW78" s="482">
        <f t="shared" ref="AW78" si="211">AV78+1</f>
        <v>201705</v>
      </c>
      <c r="AX78" s="482">
        <f t="shared" ref="AX78" si="212">AW78+1</f>
        <v>201706</v>
      </c>
      <c r="AY78" s="482">
        <f t="shared" ref="AY78" si="213">AX78+1</f>
        <v>201707</v>
      </c>
      <c r="AZ78" s="482">
        <f t="shared" ref="AZ78" si="214">AY78+1</f>
        <v>201708</v>
      </c>
      <c r="BA78" s="482">
        <f t="shared" ref="BA78" si="215">AZ78+1</f>
        <v>201709</v>
      </c>
      <c r="BB78" s="482">
        <f t="shared" ref="BB78" si="216">BA78+1</f>
        <v>201710</v>
      </c>
      <c r="BC78" s="482">
        <f t="shared" ref="BC78" si="217">BB78+1</f>
        <v>201711</v>
      </c>
      <c r="BD78" s="482">
        <f t="shared" ref="BD78" si="218">BC78+1</f>
        <v>201712</v>
      </c>
      <c r="BE78" s="569"/>
      <c r="BF78" s="153" t="s">
        <v>266</v>
      </c>
      <c r="BG78" s="208">
        <v>191025</v>
      </c>
      <c r="BH78" s="7" t="s">
        <v>281</v>
      </c>
      <c r="BI78" s="7" t="s">
        <v>282</v>
      </c>
      <c r="BJ78" s="470">
        <v>0</v>
      </c>
      <c r="BK78" s="460">
        <v>0</v>
      </c>
      <c r="BM78" s="480" t="str">
        <f>_xll.GLW_Segment_Description(BG78,2,2)</f>
        <v>WA GRC JACKSON PRAIRIE DEFERRAL</v>
      </c>
    </row>
    <row r="79" spans="1:65" ht="16.5" thickBot="1">
      <c r="A79" s="491"/>
      <c r="B79" s="479" t="s">
        <v>250</v>
      </c>
      <c r="E79" s="480">
        <v>49539.047030000002</v>
      </c>
      <c r="F79" s="480">
        <f>E82</f>
        <v>38932.729789999998</v>
      </c>
      <c r="G79" s="480">
        <f>F82</f>
        <v>8140.2385399999985</v>
      </c>
      <c r="H79" s="480">
        <f>G82</f>
        <v>-693.68146000000161</v>
      </c>
      <c r="I79" s="480">
        <v>-13695.721460000002</v>
      </c>
      <c r="J79" s="480">
        <v>-24946.501630000002</v>
      </c>
      <c r="K79" s="480">
        <v>-35935.697740000003</v>
      </c>
      <c r="L79" s="480">
        <v>-43868.737290000005</v>
      </c>
      <c r="M79" s="480">
        <v>-48533.952360000003</v>
      </c>
      <c r="N79" s="480">
        <v>-51097.105150000003</v>
      </c>
      <c r="O79" s="480">
        <v>-53019.406010000006</v>
      </c>
      <c r="P79" s="480">
        <v>-54619.79959000001</v>
      </c>
      <c r="Q79" s="480">
        <v>-56173.40615000001</v>
      </c>
      <c r="R79" s="480">
        <v>-58149.353890000013</v>
      </c>
      <c r="S79" s="480">
        <v>-61477.482430000011</v>
      </c>
      <c r="T79" s="480">
        <v>-56200.445640000013</v>
      </c>
      <c r="U79" s="480">
        <v>-49897.475640000011</v>
      </c>
      <c r="V79" s="480">
        <v>-43064.021250000013</v>
      </c>
      <c r="W79" s="480">
        <v>-38138.117780000015</v>
      </c>
      <c r="X79" s="480">
        <v>-34282.961340000016</v>
      </c>
      <c r="Y79" s="480">
        <v>-31253.873050000017</v>
      </c>
      <c r="Z79" s="480">
        <v>-29770.929110000015</v>
      </c>
      <c r="AA79" s="480">
        <v>-28708.282540000015</v>
      </c>
      <c r="AB79" s="480">
        <v>-27692.487530000013</v>
      </c>
      <c r="AC79" s="480">
        <v>-26711.886850000014</v>
      </c>
      <c r="AD79" s="480">
        <v>-25249.174790000012</v>
      </c>
      <c r="AE79" s="480">
        <v>-23171.93566000001</v>
      </c>
      <c r="AF79" s="480">
        <f>AE82</f>
        <v>-21380.93566000001</v>
      </c>
      <c r="AG79" s="480">
        <f t="shared" ref="AG79:AO79" si="219">AF82</f>
        <v>-18146.93566000001</v>
      </c>
      <c r="AH79" s="480">
        <f t="shared" si="219"/>
        <v>-14523.147320000011</v>
      </c>
      <c r="AI79" s="480">
        <f t="shared" si="219"/>
        <v>-11852.264220000012</v>
      </c>
      <c r="AJ79" s="480">
        <f t="shared" si="219"/>
        <v>-9512.6003600000113</v>
      </c>
      <c r="AK79" s="480">
        <f t="shared" si="219"/>
        <v>-8373.7282900000118</v>
      </c>
      <c r="AL79" s="480">
        <f t="shared" si="219"/>
        <v>-7543.4780600000122</v>
      </c>
      <c r="AM79" s="480">
        <f t="shared" si="219"/>
        <v>-6882.1108900000127</v>
      </c>
      <c r="AN79" s="480">
        <f t="shared" si="219"/>
        <v>-6303.9779800000124</v>
      </c>
      <c r="AO79" s="480">
        <f t="shared" si="219"/>
        <v>-5710.3492900000119</v>
      </c>
      <c r="AP79" s="480">
        <f>AO82</f>
        <v>-4950.5876300000118</v>
      </c>
      <c r="AQ79" s="480">
        <f>AP82</f>
        <v>-3439.8164200000119</v>
      </c>
      <c r="AR79" s="480">
        <f>AQ82</f>
        <v>-4198.8164200000119</v>
      </c>
      <c r="AS79" s="480">
        <f>AR82</f>
        <v>-4496.8164200000119</v>
      </c>
      <c r="AT79" s="480">
        <f>AS82</f>
        <v>-3535.3396800000119</v>
      </c>
      <c r="AU79" s="480">
        <f t="shared" ref="AU79" si="220">AT82</f>
        <v>-3265.0261600000117</v>
      </c>
      <c r="AV79" s="480">
        <f t="shared" ref="AV79" si="221">AU82</f>
        <v>-3060.6942200000117</v>
      </c>
      <c r="AW79" s="480">
        <f t="shared" ref="AW79" si="222">AV82</f>
        <v>-2919.7909600000116</v>
      </c>
      <c r="AX79" s="480">
        <f t="shared" ref="AX79" si="223">AW82</f>
        <v>-2842.0077800000117</v>
      </c>
      <c r="AY79" s="480">
        <f t="shared" ref="AY79" si="224">AX82</f>
        <v>-2794.1611200000116</v>
      </c>
      <c r="AZ79" s="554">
        <f t="shared" ref="AZ79" si="225">AY82</f>
        <v>-2755.0993400000116</v>
      </c>
      <c r="BA79" s="480">
        <f t="shared" ref="BA79" si="226">AZ82</f>
        <v>-2716.2272600000115</v>
      </c>
      <c r="BB79" s="554">
        <f>BA82</f>
        <v>-2658.9935800000117</v>
      </c>
      <c r="BC79" s="554">
        <f>BB82</f>
        <v>-2530.9684100000118</v>
      </c>
      <c r="BD79" s="480">
        <f>BC82</f>
        <v>1.5899999880275573E-3</v>
      </c>
      <c r="BF79" s="153" t="s">
        <v>266</v>
      </c>
      <c r="BG79" s="208">
        <v>426500</v>
      </c>
      <c r="BH79" s="7" t="s">
        <v>324</v>
      </c>
      <c r="BI79" s="7" t="s">
        <v>324</v>
      </c>
      <c r="BJ79" s="470">
        <v>0</v>
      </c>
      <c r="BK79" s="460">
        <v>0</v>
      </c>
      <c r="BM79" s="480" t="str">
        <f>_xll.GLW_Segment_Description(BG79,2,2)</f>
        <v>MISC INCOME DEDUCTIONS-OTHER DEDUCT</v>
      </c>
    </row>
    <row r="80" spans="1:65" ht="16.5" thickBot="1">
      <c r="B80" s="479" t="s">
        <v>23</v>
      </c>
      <c r="C80" s="480">
        <f>SUM(AG80:AR80)</f>
        <v>13650.119239999998</v>
      </c>
      <c r="D80" s="492">
        <f>SUM(AE80:AP80)</f>
        <v>19758.119239999996</v>
      </c>
      <c r="E80" s="480">
        <f>SUMPRODUCT(E55:E63,E68:E76)</f>
        <v>-10606.31724</v>
      </c>
      <c r="F80" s="480">
        <f>SUMPRODUCT(F55:F63,F68:F76)</f>
        <v>-30792.491249999999</v>
      </c>
      <c r="G80" s="480">
        <v>-8833.92</v>
      </c>
      <c r="H80" s="480">
        <v>-13002.04</v>
      </c>
      <c r="I80" s="480">
        <v>-11250.78017</v>
      </c>
      <c r="J80" s="480">
        <v>-10989.196110000001</v>
      </c>
      <c r="K80" s="480">
        <v>-7933.0395500000013</v>
      </c>
      <c r="L80" s="480">
        <v>-4665.2150699999993</v>
      </c>
      <c r="M80" s="480">
        <v>-2563.1527899999996</v>
      </c>
      <c r="N80" s="480">
        <v>-1922.3008600000003</v>
      </c>
      <c r="O80" s="480">
        <v>-1600.3935799999999</v>
      </c>
      <c r="P80" s="480">
        <v>-1553.6065599999997</v>
      </c>
      <c r="Q80" s="480">
        <v>-1975.9477400000001</v>
      </c>
      <c r="R80" s="480">
        <v>-3328.1285399999992</v>
      </c>
      <c r="S80" s="549">
        <v>5277.0367900000001</v>
      </c>
      <c r="T80" s="549">
        <v>6302.97</v>
      </c>
      <c r="U80" s="480">
        <v>6833.4543899999999</v>
      </c>
      <c r="V80" s="480">
        <v>4925.9034700000011</v>
      </c>
      <c r="W80" s="480">
        <v>3855.1564400000007</v>
      </c>
      <c r="X80" s="480">
        <v>3029.0882899999997</v>
      </c>
      <c r="Y80" s="480">
        <v>1482.9439400000001</v>
      </c>
      <c r="Z80" s="480">
        <v>1062.6465700000001</v>
      </c>
      <c r="AA80" s="480">
        <v>1015.7950099999999</v>
      </c>
      <c r="AB80" s="480">
        <v>980.60068000000001</v>
      </c>
      <c r="AC80" s="480">
        <v>1462.7120600000003</v>
      </c>
      <c r="AD80" s="480">
        <v>2077.2391300000004</v>
      </c>
      <c r="AE80" s="554">
        <v>1791</v>
      </c>
      <c r="AF80" s="554">
        <v>3260</v>
      </c>
      <c r="AG80" s="554">
        <v>3623.7883399999996</v>
      </c>
      <c r="AH80" s="554">
        <v>2670.8831</v>
      </c>
      <c r="AI80" s="554">
        <v>2339.6638599999997</v>
      </c>
      <c r="AJ80" s="554">
        <v>1138.8720699999999</v>
      </c>
      <c r="AK80" s="554">
        <v>830.25022999999999</v>
      </c>
      <c r="AL80" s="554">
        <v>661.36716999999987</v>
      </c>
      <c r="AM80" s="554">
        <v>578.13290999999992</v>
      </c>
      <c r="AN80" s="554">
        <v>593.62869000000012</v>
      </c>
      <c r="AO80" s="554">
        <v>759.76165999999989</v>
      </c>
      <c r="AP80" s="554">
        <v>1510.7712100000001</v>
      </c>
      <c r="AQ80" s="554">
        <v>-759</v>
      </c>
      <c r="AR80" s="554">
        <v>-298</v>
      </c>
      <c r="AS80" s="554">
        <f>SUMPRODUCT(AS55:AS63,AS68:AS76)</f>
        <v>365.47674000000006</v>
      </c>
      <c r="AT80" s="554">
        <f>SUMPRODUCT(AT55:AT63,AT68:AT76)</f>
        <v>270.31351999999998</v>
      </c>
      <c r="AU80" s="554">
        <f>SUMPRODUCT(AU55:AU63,AU68:AU76)</f>
        <v>204.33194</v>
      </c>
      <c r="AV80" s="554">
        <f>SUMPRODUCT(AV55:AV63,AV68:AV76)</f>
        <v>140.90325999999999</v>
      </c>
      <c r="AW80" s="554">
        <f t="shared" ref="AW80" si="227">SUMPRODUCT(AW55:AW63,AW68:AW76)</f>
        <v>77.783180000000016</v>
      </c>
      <c r="AX80" s="554">
        <f>SUMPRODUCT(AX55:AX63,AX68:AX76)</f>
        <v>47.84666</v>
      </c>
      <c r="AY80" s="554">
        <f>SUMPRODUCT(AY55:AY63,AY68:AY76)</f>
        <v>39.061780000000006</v>
      </c>
      <c r="AZ80" s="554">
        <f>SUMPRODUCT(AZ55:AZ63,AZ68:AZ76)</f>
        <v>38.872079999999997</v>
      </c>
      <c r="BA80" s="554">
        <f>SUMPRODUCT(BA55:BA63,BA68:BA76)</f>
        <v>57.23368</v>
      </c>
      <c r="BB80" s="554">
        <f>SUMPRODUCT(BB55:BB63,BB68:BB76)</f>
        <v>128.02517</v>
      </c>
      <c r="BC80" s="558">
        <v>-83</v>
      </c>
      <c r="BD80" s="554">
        <v>0</v>
      </c>
      <c r="BF80" s="602"/>
      <c r="BG80" s="527"/>
      <c r="BH80" s="519"/>
      <c r="BI80" s="519"/>
      <c r="BJ80" s="519" t="s">
        <v>159</v>
      </c>
      <c r="BK80" s="520">
        <f>SUM(BJ76:BJ79)-SUM(BK76:BK79)</f>
        <v>0</v>
      </c>
    </row>
    <row r="81" spans="2:56">
      <c r="B81" s="479" t="s">
        <v>148</v>
      </c>
      <c r="C81" s="480">
        <f>SUM(AG81:AR81)</f>
        <v>0</v>
      </c>
      <c r="E81" s="480">
        <v>0</v>
      </c>
      <c r="F81" s="480">
        <v>0</v>
      </c>
      <c r="G81" s="480">
        <v>0</v>
      </c>
      <c r="H81" s="480">
        <v>0</v>
      </c>
      <c r="I81" s="480">
        <v>0</v>
      </c>
      <c r="J81" s="480">
        <v>0</v>
      </c>
      <c r="K81" s="480">
        <v>0</v>
      </c>
      <c r="L81" s="480">
        <v>0</v>
      </c>
      <c r="M81" s="480">
        <v>0</v>
      </c>
      <c r="N81" s="480">
        <v>0</v>
      </c>
      <c r="O81" s="480">
        <v>0</v>
      </c>
      <c r="P81" s="480">
        <v>0</v>
      </c>
      <c r="Q81" s="480">
        <v>0</v>
      </c>
      <c r="R81" s="480">
        <v>0</v>
      </c>
      <c r="S81" s="480">
        <v>0</v>
      </c>
      <c r="T81" s="480">
        <v>0</v>
      </c>
      <c r="U81" s="480">
        <v>0</v>
      </c>
      <c r="V81" s="480">
        <v>0</v>
      </c>
      <c r="W81" s="480">
        <v>0</v>
      </c>
      <c r="X81" s="480">
        <v>0</v>
      </c>
      <c r="Y81" s="480">
        <v>0</v>
      </c>
      <c r="Z81" s="480">
        <v>0</v>
      </c>
      <c r="AA81" s="480">
        <v>0</v>
      </c>
      <c r="AB81" s="480">
        <v>0</v>
      </c>
      <c r="AC81" s="480">
        <v>0</v>
      </c>
      <c r="AD81" s="480">
        <v>0</v>
      </c>
      <c r="AE81" s="480">
        <v>0</v>
      </c>
      <c r="AF81" s="480">
        <v>-26</v>
      </c>
      <c r="AG81" s="480">
        <v>0</v>
      </c>
      <c r="AH81" s="480">
        <v>0</v>
      </c>
      <c r="AI81" s="480">
        <v>0</v>
      </c>
      <c r="AJ81" s="480">
        <v>0</v>
      </c>
      <c r="AK81" s="480">
        <v>0</v>
      </c>
      <c r="AL81" s="480">
        <v>0</v>
      </c>
      <c r="AM81" s="480">
        <v>0</v>
      </c>
      <c r="AN81" s="480">
        <v>0</v>
      </c>
      <c r="AO81" s="480">
        <v>0</v>
      </c>
      <c r="AP81" s="480">
        <v>0</v>
      </c>
      <c r="AQ81" s="480">
        <v>0</v>
      </c>
      <c r="AR81" s="480">
        <v>0</v>
      </c>
      <c r="AS81" s="480">
        <f>298+298</f>
        <v>596</v>
      </c>
      <c r="AT81" s="480">
        <v>0</v>
      </c>
      <c r="AU81" s="480">
        <v>0</v>
      </c>
      <c r="AV81" s="480">
        <v>0</v>
      </c>
      <c r="AW81" s="480">
        <v>0</v>
      </c>
      <c r="AX81" s="480">
        <v>0</v>
      </c>
      <c r="AY81" s="480">
        <v>0</v>
      </c>
      <c r="AZ81" s="480">
        <v>0</v>
      </c>
      <c r="BA81" s="480">
        <v>0</v>
      </c>
      <c r="BB81" s="480">
        <v>0</v>
      </c>
      <c r="BC81" s="554">
        <v>2613.9699999999998</v>
      </c>
      <c r="BD81" s="480">
        <v>0</v>
      </c>
    </row>
    <row r="82" spans="2:56" ht="16.5" thickBot="1">
      <c r="B82" s="479" t="s">
        <v>56</v>
      </c>
      <c r="C82" s="536">
        <f>SUM(C80:C81)</f>
        <v>13650.119239999998</v>
      </c>
      <c r="D82" s="536"/>
      <c r="E82" s="536">
        <f t="shared" ref="E82:H82" si="228">SUM(E79:E81)</f>
        <v>38932.729789999998</v>
      </c>
      <c r="F82" s="536">
        <f t="shared" si="228"/>
        <v>8140.2385399999985</v>
      </c>
      <c r="G82" s="536">
        <f t="shared" si="228"/>
        <v>-693.68146000000161</v>
      </c>
      <c r="H82" s="536">
        <f t="shared" si="228"/>
        <v>-13695.721460000002</v>
      </c>
      <c r="I82" s="536">
        <v>-24946.501630000002</v>
      </c>
      <c r="J82" s="536">
        <v>-35935.697740000003</v>
      </c>
      <c r="K82" s="536">
        <v>-43868.737290000005</v>
      </c>
      <c r="L82" s="536">
        <v>-48533.952360000003</v>
      </c>
      <c r="M82" s="536">
        <v>-51097.105150000003</v>
      </c>
      <c r="N82" s="536">
        <v>-53019.406010000006</v>
      </c>
      <c r="O82" s="536">
        <v>-54619.79959000001</v>
      </c>
      <c r="P82" s="536">
        <v>-56173.40615000001</v>
      </c>
      <c r="Q82" s="536">
        <v>-58149.353890000013</v>
      </c>
      <c r="R82" s="536">
        <v>-61477.482430000011</v>
      </c>
      <c r="S82" s="536">
        <v>-56200.445640000013</v>
      </c>
      <c r="T82" s="536">
        <v>-49897.475640000011</v>
      </c>
      <c r="U82" s="536">
        <v>-43064.021250000013</v>
      </c>
      <c r="V82" s="536">
        <f t="shared" ref="V82:AR82" si="229">SUM(V79:V81)</f>
        <v>-38138.117780000015</v>
      </c>
      <c r="W82" s="536">
        <f t="shared" si="229"/>
        <v>-34282.961340000016</v>
      </c>
      <c r="X82" s="536">
        <f t="shared" si="229"/>
        <v>-31253.873050000017</v>
      </c>
      <c r="Y82" s="536">
        <f t="shared" si="229"/>
        <v>-29770.929110000015</v>
      </c>
      <c r="Z82" s="536">
        <f t="shared" si="229"/>
        <v>-28708.282540000015</v>
      </c>
      <c r="AA82" s="536">
        <f t="shared" si="229"/>
        <v>-27692.487530000013</v>
      </c>
      <c r="AB82" s="536">
        <f t="shared" si="229"/>
        <v>-26711.886850000014</v>
      </c>
      <c r="AC82" s="536">
        <f t="shared" si="229"/>
        <v>-25249.174790000012</v>
      </c>
      <c r="AD82" s="536">
        <f t="shared" si="229"/>
        <v>-23171.93566000001</v>
      </c>
      <c r="AE82" s="536">
        <f t="shared" si="229"/>
        <v>-21380.93566000001</v>
      </c>
      <c r="AF82" s="536">
        <f t="shared" si="229"/>
        <v>-18146.93566000001</v>
      </c>
      <c r="AG82" s="536">
        <f t="shared" si="229"/>
        <v>-14523.147320000011</v>
      </c>
      <c r="AH82" s="536">
        <f t="shared" si="229"/>
        <v>-11852.264220000012</v>
      </c>
      <c r="AI82" s="536">
        <f t="shared" si="229"/>
        <v>-9512.6003600000113</v>
      </c>
      <c r="AJ82" s="536">
        <f t="shared" si="229"/>
        <v>-8373.7282900000118</v>
      </c>
      <c r="AK82" s="536">
        <f t="shared" si="229"/>
        <v>-7543.4780600000122</v>
      </c>
      <c r="AL82" s="536">
        <f t="shared" si="229"/>
        <v>-6882.1108900000127</v>
      </c>
      <c r="AM82" s="536">
        <f t="shared" si="229"/>
        <v>-6303.9779800000124</v>
      </c>
      <c r="AN82" s="536">
        <f t="shared" si="229"/>
        <v>-5710.3492900000119</v>
      </c>
      <c r="AO82" s="536">
        <f t="shared" si="229"/>
        <v>-4950.5876300000118</v>
      </c>
      <c r="AP82" s="536">
        <f t="shared" si="229"/>
        <v>-3439.8164200000119</v>
      </c>
      <c r="AQ82" s="536">
        <f t="shared" si="229"/>
        <v>-4198.8164200000119</v>
      </c>
      <c r="AR82" s="536">
        <f t="shared" si="229"/>
        <v>-4496.8164200000119</v>
      </c>
      <c r="AS82" s="536">
        <f>SUM(AS79:AS81)</f>
        <v>-3535.3396800000119</v>
      </c>
      <c r="AT82" s="536">
        <f>SUM(AT79:AT81)</f>
        <v>-3265.0261600000117</v>
      </c>
      <c r="AU82" s="536">
        <f t="shared" ref="AU82:BD82" si="230">SUM(AU79:AU81)</f>
        <v>-3060.6942200000117</v>
      </c>
      <c r="AV82" s="536">
        <f t="shared" si="230"/>
        <v>-2919.7909600000116</v>
      </c>
      <c r="AW82" s="536">
        <f t="shared" si="230"/>
        <v>-2842.0077800000117</v>
      </c>
      <c r="AX82" s="536">
        <f t="shared" si="230"/>
        <v>-2794.1611200000116</v>
      </c>
      <c r="AY82" s="536">
        <f t="shared" si="230"/>
        <v>-2755.0993400000116</v>
      </c>
      <c r="AZ82" s="536">
        <f t="shared" si="230"/>
        <v>-2716.2272600000115</v>
      </c>
      <c r="BA82" s="536">
        <f t="shared" si="230"/>
        <v>-2658.9935800000117</v>
      </c>
      <c r="BB82" s="536">
        <f t="shared" si="230"/>
        <v>-2530.9684100000118</v>
      </c>
      <c r="BC82" s="536">
        <f t="shared" si="230"/>
        <v>1.5899999880275573E-3</v>
      </c>
      <c r="BD82" s="536">
        <f t="shared" si="230"/>
        <v>1.5899999880275573E-3</v>
      </c>
    </row>
    <row r="83" spans="2:56" ht="16.5" thickTop="1">
      <c r="B83" s="479" t="s">
        <v>256</v>
      </c>
      <c r="E83" s="480">
        <f>_xll.Get_Balance(E78,"YTD","USD","Total","A","","001",$A$78,"GD","WA","DL")</f>
        <v>38932.730000000003</v>
      </c>
      <c r="F83" s="480">
        <f>_xll.Get_Balance(F78,"YTD","USD","Total","A","","001",$A$78,"GD","WA","DL")</f>
        <v>8140.24</v>
      </c>
      <c r="G83" s="480">
        <f>_xll.Get_Balance(G78,"YTD","USD","Total","A","","001",$A$78,"GD","WA","DL")</f>
        <v>-693.68</v>
      </c>
      <c r="H83" s="480">
        <f>_xll.Get_Balance(H78,"YTD","USD","Total","A","","001",$A$78,"GD","WA","DL")</f>
        <v>-13695.72</v>
      </c>
      <c r="I83" s="480">
        <v>-24946.5</v>
      </c>
      <c r="J83" s="480">
        <v>-35935.699999999997</v>
      </c>
      <c r="K83" s="480">
        <v>-43868.74</v>
      </c>
      <c r="L83" s="480">
        <v>-48533.96</v>
      </c>
      <c r="M83" s="480">
        <v>-51097.11</v>
      </c>
      <c r="N83" s="480">
        <v>-53019.41</v>
      </c>
      <c r="O83" s="480">
        <v>-54619.8</v>
      </c>
      <c r="P83" s="480">
        <v>-56173.41</v>
      </c>
      <c r="Q83" s="480">
        <v>-58149.36</v>
      </c>
      <c r="R83" s="480">
        <v>-61477.49</v>
      </c>
      <c r="S83" s="480">
        <v>-56200.45</v>
      </c>
      <c r="T83" s="480">
        <v>-49897.48</v>
      </c>
      <c r="U83" s="480">
        <v>-43064.03</v>
      </c>
      <c r="V83" s="480">
        <f>_xll.Get_Balance(V78,"YTD","USD","Total","A","","001",$A$78,"GD","WA","DL")</f>
        <v>-38138.129999999997</v>
      </c>
      <c r="W83" s="480">
        <f>_xll.Get_Balance(W78,"YTD","USD","Total","A","","001",$A$78,"GD","WA","DL")</f>
        <v>-34282.97</v>
      </c>
      <c r="X83" s="480">
        <f>_xll.Get_Balance(X78,"YTD","USD","Total","A","","001",$A$78,"GD","WA","DL")</f>
        <v>-31253.88</v>
      </c>
      <c r="Y83" s="480">
        <f>_xll.Get_Balance(Y78,"YTD","USD","Total","A","","001",$A$78,"GD","WA","DL")</f>
        <v>-29770.94</v>
      </c>
      <c r="Z83" s="480">
        <f>_xll.Get_Balance(Z78,"YTD","USD","Total","A","","001",$A$78,"GD","WA","DL")</f>
        <v>-28708.29</v>
      </c>
      <c r="AA83" s="480">
        <f>_xll.Get_Balance(AA78,"YTD","USD","Total","A","","001",$A$78,"GD","WA","DL")</f>
        <v>-27692.49</v>
      </c>
      <c r="AB83" s="480">
        <f>_xll.Get_Balance(AB78,"YTD","USD","Total","A","","001",$A$78,"GD","WA","DL")</f>
        <v>-26711.89</v>
      </c>
      <c r="AC83" s="480">
        <f>_xll.Get_Balance(AC78,"YTD","USD","Total","A","","001",$A$78,"GD","WA","DL")</f>
        <v>-25249.18</v>
      </c>
      <c r="AD83" s="480">
        <f>_xll.Get_Balance(AD78,"YTD","USD","Total","A","","001",$A$78,"GD","WA","DL")</f>
        <v>-23171.94</v>
      </c>
      <c r="AE83" s="480">
        <f>_xll.Get_Balance(AE78,"YTD","USD","Total","A","","001",$A$78,"GD","WA","DL")</f>
        <v>-21380.94</v>
      </c>
      <c r="AF83" s="480">
        <f>_xll.Get_Balance(AF78,"YTD","USD","Total","A","","001",$A$78,"GD","WA","DL")</f>
        <v>-18146.939999999999</v>
      </c>
      <c r="AG83" s="480">
        <f>_xll.Get_Balance(AG78,"YTD","USD","Total","A","","001",$A$78,"GD","WA","DL")</f>
        <v>-14523.15</v>
      </c>
      <c r="AH83" s="480">
        <f>_xll.Get_Balance(AH78,"YTD","USD","Total","A","","001",$A$78,"GD","WA","DL")</f>
        <v>-11852.27</v>
      </c>
      <c r="AI83" s="480">
        <f>_xll.Get_Balance(AI78,"YTD","USD","Total","A","","001",$A$78,"GD","WA","DL")</f>
        <v>-9512.61</v>
      </c>
      <c r="AJ83" s="480">
        <f>_xll.Get_Balance(AJ78,"YTD","USD","Total","A","","001",$A$78,"GD","WA","DL")</f>
        <v>-8373.74</v>
      </c>
      <c r="AK83" s="480">
        <f>_xll.Get_Balance(AK78,"YTD","USD","Total","A","","001",$A$78,"GD","WA","DL")</f>
        <v>-7543.49</v>
      </c>
      <c r="AL83" s="480">
        <f>_xll.Get_Balance(AL78,"YTD","USD","Total","A","","001",$A$78,"GD","WA","DL")</f>
        <v>-6882.12</v>
      </c>
      <c r="AM83" s="480">
        <f>_xll.Get_Balance(AM78,"YTD","USD","Total","A","","001",$A$78,"GD","WA","DL")</f>
        <v>-6303.99</v>
      </c>
      <c r="AN83" s="480">
        <f>_xll.Get_Balance(AN78,"YTD","USD","Total","A","","001",$A$78,"GD","WA","DL")</f>
        <v>-5710.36</v>
      </c>
      <c r="AO83" s="480">
        <f>_xll.Get_Balance(AO78,"YTD","USD","Total","A","","001",$A$78,"GD","WA","DL")</f>
        <v>-4950.6000000000004</v>
      </c>
      <c r="AP83" s="480">
        <f>_xll.Get_Balance(AP78,"YTD","USD","Total","A","","001",$A$78,"GD","WA","DL")</f>
        <v>-3439.83</v>
      </c>
      <c r="AQ83" s="480">
        <f>_xll.Get_Balance(AQ78,"YTD","USD","Total","A","","001",$A$78,"GD","WA","DL")</f>
        <v>-4198.83</v>
      </c>
      <c r="AR83" s="480">
        <f>_xll.Get_Balance(AR78,"YTD","USD","Total","A","","001",$A$78,"GD","WA","DL")</f>
        <v>-4496.83</v>
      </c>
      <c r="AS83" s="480">
        <f>_xll.Get_Balance(AS78,"YTD","USD","Total","A","","001",$A$78,"GD","WA","DL")</f>
        <v>-3535.35</v>
      </c>
      <c r="AT83" s="480">
        <f>_xll.Get_Balance(AT78,"YTD","USD","Total","A","","001",$A$78,"GD","WA","DL")</f>
        <v>-3265.04</v>
      </c>
      <c r="AU83" s="480">
        <f>_xll.Get_Balance(AU78,"YTD","USD","Total","A","","001",$A$78,"GD","WA","DL")</f>
        <v>-3060.71</v>
      </c>
      <c r="AV83" s="480">
        <f>_xll.Get_Balance(AV78,"YTD","USD","Total","A","","001",$A$78,"GD","WA","DL")</f>
        <v>-2919.81</v>
      </c>
      <c r="AW83" s="480">
        <f>_xll.Get_Balance(AW78,"YTD","USD","Total","A","","001",$A$78,"GD","WA","DL")</f>
        <v>-2842.03</v>
      </c>
      <c r="AX83" s="480">
        <f>_xll.Get_Balance(AX78,"YTD","USD","Total","A","","001",$A$78,"GD","WA","DL")</f>
        <v>-2794.18</v>
      </c>
      <c r="AY83" s="480">
        <f>_xll.Get_Balance(AY78,"YTD","USD","Total","A","","001",$A$78,"GD","WA","DL")</f>
        <v>-2755.12</v>
      </c>
      <c r="AZ83" s="480">
        <f>_xll.Get_Balance(AZ78,"YTD","USD","Total","A","","001",$A$78,"GD","WA","DL")</f>
        <v>-2716.25</v>
      </c>
      <c r="BA83" s="480">
        <f>_xll.Get_Balance(BA78,"YTD","USD","Total","A","","001",$A$78,"GD","WA","DL")</f>
        <v>-2659.02</v>
      </c>
      <c r="BB83" s="554">
        <f>_xll.Get_Balance(BB78,"YTD","USD","Total","A","","001",$A$78,"GD","WA","DL")</f>
        <v>-2530.9899999999998</v>
      </c>
      <c r="BC83" s="480">
        <f>_xll.Get_Balance(BC78,"YTD","USD","Total","A","","001",$A$78,"GD","WA","DL")</f>
        <v>0</v>
      </c>
      <c r="BD83" s="480">
        <f>_xll.Get_Balance(BD78,"YTD","USD","Total","A","","001",$A$78,"GD","WA","DL")</f>
        <v>0</v>
      </c>
    </row>
    <row r="84" spans="2:56">
      <c r="B84" s="479" t="s">
        <v>243</v>
      </c>
      <c r="E84" s="480">
        <f t="shared" ref="E84:H84" si="231">E82-E83</f>
        <v>-2.1000000560889021E-4</v>
      </c>
      <c r="F84" s="480">
        <f t="shared" si="231"/>
        <v>-1.4600000013160752E-3</v>
      </c>
      <c r="G84" s="480">
        <f t="shared" si="231"/>
        <v>-1.4600000016571357E-3</v>
      </c>
      <c r="H84" s="480">
        <f t="shared" si="231"/>
        <v>-1.4600000031350646E-3</v>
      </c>
      <c r="I84" s="480">
        <v>-1.6300000024784822E-3</v>
      </c>
      <c r="J84" s="480">
        <v>2.2599999938393012E-3</v>
      </c>
      <c r="K84" s="480">
        <v>2.7099999933852814E-3</v>
      </c>
      <c r="L84" s="480">
        <v>7.6399999961722642E-3</v>
      </c>
      <c r="M84" s="480">
        <v>4.8499999975319952E-3</v>
      </c>
      <c r="N84" s="480">
        <v>3.9899999974295497E-3</v>
      </c>
      <c r="O84" s="480">
        <v>4.0999999328050762E-4</v>
      </c>
      <c r="P84" s="480">
        <v>3.8499999936902896E-3</v>
      </c>
      <c r="Q84" s="480">
        <v>6.1099999875295907E-3</v>
      </c>
      <c r="R84" s="480">
        <v>7.5699999870266765E-3</v>
      </c>
      <c r="S84" s="480">
        <v>4.3599999844445847E-3</v>
      </c>
      <c r="T84" s="480">
        <v>4.3599999917205423E-3</v>
      </c>
      <c r="U84" s="480">
        <v>8.7499999863211997E-3</v>
      </c>
      <c r="V84" s="480">
        <f t="shared" ref="V84" si="232">V82-V83</f>
        <v>1.2219999982335139E-2</v>
      </c>
      <c r="W84" s="480">
        <f t="shared" ref="W84:AR84" si="233">W82-W83</f>
        <v>8.6599999849568121E-3</v>
      </c>
      <c r="X84" s="480">
        <f t="shared" si="233"/>
        <v>6.9499999844992999E-3</v>
      </c>
      <c r="Y84" s="480">
        <f t="shared" si="233"/>
        <v>1.0889999983191956E-2</v>
      </c>
      <c r="Z84" s="480">
        <f t="shared" si="233"/>
        <v>7.4599999861675315E-3</v>
      </c>
      <c r="AA84" s="480">
        <f t="shared" si="233"/>
        <v>2.469999988534255E-3</v>
      </c>
      <c r="AB84" s="480">
        <f t="shared" si="233"/>
        <v>3.1499999859079253E-3</v>
      </c>
      <c r="AC84" s="480">
        <f t="shared" si="233"/>
        <v>5.2099999884376302E-3</v>
      </c>
      <c r="AD84" s="480">
        <f t="shared" si="233"/>
        <v>4.339999988587806E-3</v>
      </c>
      <c r="AE84" s="480">
        <f t="shared" si="233"/>
        <v>4.339999988587806E-3</v>
      </c>
      <c r="AF84" s="480">
        <f t="shared" si="233"/>
        <v>4.339999988587806E-3</v>
      </c>
      <c r="AG84" s="480">
        <f t="shared" si="233"/>
        <v>2.6799999886861769E-3</v>
      </c>
      <c r="AH84" s="480">
        <f t="shared" si="233"/>
        <v>5.7799999885901343E-3</v>
      </c>
      <c r="AI84" s="480">
        <f t="shared" si="233"/>
        <v>9.6399999893037602E-3</v>
      </c>
      <c r="AJ84" s="480">
        <f t="shared" si="233"/>
        <v>1.1709999987942865E-2</v>
      </c>
      <c r="AK84" s="480">
        <f t="shared" si="233"/>
        <v>1.1939999987589545E-2</v>
      </c>
      <c r="AL84" s="480">
        <f t="shared" si="233"/>
        <v>9.1099999872312765E-3</v>
      </c>
      <c r="AM84" s="480">
        <f t="shared" si="233"/>
        <v>1.2019999987387564E-2</v>
      </c>
      <c r="AN84" s="480">
        <f t="shared" si="233"/>
        <v>1.0709999987739138E-2</v>
      </c>
      <c r="AO84" s="480">
        <f t="shared" si="233"/>
        <v>1.2369999988550262E-2</v>
      </c>
      <c r="AP84" s="480">
        <f t="shared" si="233"/>
        <v>1.3579999987996416E-2</v>
      </c>
      <c r="AQ84" s="480">
        <f t="shared" si="233"/>
        <v>1.3579999987996416E-2</v>
      </c>
      <c r="AR84" s="480">
        <f t="shared" si="233"/>
        <v>1.3579999987996416E-2</v>
      </c>
      <c r="AS84" s="480">
        <f>AS82-AS83</f>
        <v>1.0319999988041673E-2</v>
      </c>
      <c r="AT84" s="480">
        <f t="shared" ref="AT84:BD84" si="234">AT82-AT83</f>
        <v>1.3839999988249474E-2</v>
      </c>
      <c r="AU84" s="480">
        <f t="shared" si="234"/>
        <v>1.5779999988353666E-2</v>
      </c>
      <c r="AV84" s="480">
        <f t="shared" si="234"/>
        <v>1.9039999988308409E-2</v>
      </c>
      <c r="AW84" s="480">
        <f t="shared" si="234"/>
        <v>2.2219999988465133E-2</v>
      </c>
      <c r="AX84" s="480">
        <f t="shared" si="234"/>
        <v>1.8879999988257623E-2</v>
      </c>
      <c r="AY84" s="480">
        <f>AY82-AY83</f>
        <v>2.0659999988311029E-2</v>
      </c>
      <c r="AZ84" s="480">
        <f t="shared" si="234"/>
        <v>2.2739999988516502E-2</v>
      </c>
      <c r="BA84" s="480">
        <f t="shared" si="234"/>
        <v>2.6419999988320342E-2</v>
      </c>
      <c r="BB84" s="480">
        <f t="shared" si="234"/>
        <v>2.1589999988009367E-2</v>
      </c>
      <c r="BC84" s="480">
        <f t="shared" si="234"/>
        <v>1.5899999880275573E-3</v>
      </c>
      <c r="BD84" s="480">
        <f t="shared" si="234"/>
        <v>1.5899999880275573E-3</v>
      </c>
    </row>
  </sheetData>
  <conditionalFormatting sqref="E29 L65:AR65 K29:AK29 AN29:AR29 BE29 BE65">
    <cfRule type="cellIs" dxfId="203" priority="43" operator="notEqual">
      <formula>E28</formula>
    </cfRule>
  </conditionalFormatting>
  <conditionalFormatting sqref="F29">
    <cfRule type="cellIs" dxfId="202" priority="42" operator="notEqual">
      <formula>F28</formula>
    </cfRule>
  </conditionalFormatting>
  <conditionalFormatting sqref="G29">
    <cfRule type="cellIs" dxfId="201" priority="41" operator="notEqual">
      <formula>G28</formula>
    </cfRule>
  </conditionalFormatting>
  <conditionalFormatting sqref="H29">
    <cfRule type="cellIs" dxfId="200" priority="40" operator="notEqual">
      <formula>H28</formula>
    </cfRule>
  </conditionalFormatting>
  <conditionalFormatting sqref="G65">
    <cfRule type="cellIs" dxfId="199" priority="35" operator="notEqual">
      <formula>G64</formula>
    </cfRule>
  </conditionalFormatting>
  <conditionalFormatting sqref="H65">
    <cfRule type="cellIs" dxfId="198" priority="34" operator="notEqual">
      <formula>H64</formula>
    </cfRule>
  </conditionalFormatting>
  <conditionalFormatting sqref="E65">
    <cfRule type="cellIs" dxfId="197" priority="37" operator="notEqual">
      <formula>E64</formula>
    </cfRule>
  </conditionalFormatting>
  <conditionalFormatting sqref="F65">
    <cfRule type="cellIs" dxfId="196" priority="36" operator="notEqual">
      <formula>F64</formula>
    </cfRule>
  </conditionalFormatting>
  <conditionalFormatting sqref="BK80 BK47 BK11">
    <cfRule type="cellIs" dxfId="195" priority="31" operator="notEqual">
      <formula>0</formula>
    </cfRule>
  </conditionalFormatting>
  <conditionalFormatting sqref="D65">
    <cfRule type="cellIs" dxfId="194" priority="27" operator="notEqual">
      <formula>D64</formula>
    </cfRule>
  </conditionalFormatting>
  <conditionalFormatting sqref="C65">
    <cfRule type="cellIs" dxfId="193" priority="26" operator="notEqual">
      <formula>C64</formula>
    </cfRule>
  </conditionalFormatting>
  <conditionalFormatting sqref="D29">
    <cfRule type="cellIs" dxfId="192" priority="25" operator="notEqual">
      <formula>D28</formula>
    </cfRule>
  </conditionalFormatting>
  <conditionalFormatting sqref="C29">
    <cfRule type="cellIs" dxfId="191" priority="24" operator="notEqual">
      <formula>C28</formula>
    </cfRule>
  </conditionalFormatting>
  <conditionalFormatting sqref="I29">
    <cfRule type="cellIs" dxfId="190" priority="23" operator="notEqual">
      <formula>I28</formula>
    </cfRule>
  </conditionalFormatting>
  <conditionalFormatting sqref="I65">
    <cfRule type="cellIs" dxfId="189" priority="22" operator="notEqual">
      <formula>I64</formula>
    </cfRule>
  </conditionalFormatting>
  <conditionalFormatting sqref="J29">
    <cfRule type="cellIs" dxfId="188" priority="21" operator="notEqual">
      <formula>J28</formula>
    </cfRule>
  </conditionalFormatting>
  <conditionalFormatting sqref="J65">
    <cfRule type="cellIs" dxfId="187" priority="20" operator="notEqual">
      <formula>J64</formula>
    </cfRule>
  </conditionalFormatting>
  <conditionalFormatting sqref="K65">
    <cfRule type="cellIs" dxfId="186" priority="18" operator="notEqual">
      <formula>K64</formula>
    </cfRule>
  </conditionalFormatting>
  <conditionalFormatting sqref="U29">
    <cfRule type="cellIs" dxfId="185" priority="16" operator="notEqual">
      <formula>U28</formula>
    </cfRule>
  </conditionalFormatting>
  <conditionalFormatting sqref="U65">
    <cfRule type="cellIs" dxfId="184" priority="15" operator="notEqual">
      <formula>U64</formula>
    </cfRule>
  </conditionalFormatting>
  <conditionalFormatting sqref="V29">
    <cfRule type="cellIs" dxfId="183" priority="14" operator="notEqual">
      <formula>V28</formula>
    </cfRule>
  </conditionalFormatting>
  <conditionalFormatting sqref="V65">
    <cfRule type="cellIs" dxfId="182" priority="13" operator="notEqual">
      <formula>V64</formula>
    </cfRule>
  </conditionalFormatting>
  <conditionalFormatting sqref="W65">
    <cfRule type="cellIs" dxfId="181" priority="12" operator="notEqual">
      <formula>W64</formula>
    </cfRule>
  </conditionalFormatting>
  <conditionalFormatting sqref="AL29">
    <cfRule type="cellIs" dxfId="180" priority="9" operator="notEqual">
      <formula>AL28</formula>
    </cfRule>
  </conditionalFormatting>
  <conditionalFormatting sqref="AM29">
    <cfRule type="cellIs" dxfId="179" priority="8" operator="notEqual">
      <formula>AM28</formula>
    </cfRule>
  </conditionalFormatting>
  <conditionalFormatting sqref="AS65:AW65 AS29:AW29 AZ29:BD29 AZ65:BA65 BC65:BD65">
    <cfRule type="cellIs" dxfId="178" priority="7" operator="notEqual">
      <formula>AS28</formula>
    </cfRule>
  </conditionalFormatting>
  <conditionalFormatting sqref="AX29">
    <cfRule type="cellIs" dxfId="177" priority="6" operator="notEqual">
      <formula>AX28</formula>
    </cfRule>
  </conditionalFormatting>
  <conditionalFormatting sqref="AX65">
    <cfRule type="cellIs" dxfId="176" priority="4" operator="notEqual">
      <formula>AX64</formula>
    </cfRule>
  </conditionalFormatting>
  <conditionalFormatting sqref="AY29">
    <cfRule type="cellIs" dxfId="175" priority="3" operator="notEqual">
      <formula>AY28</formula>
    </cfRule>
  </conditionalFormatting>
  <conditionalFormatting sqref="AY65">
    <cfRule type="cellIs" dxfId="174" priority="2" operator="notEqual">
      <formula>AY64</formula>
    </cfRule>
  </conditionalFormatting>
  <conditionalFormatting sqref="BB65">
    <cfRule type="cellIs" dxfId="173" priority="1" operator="notEqual">
      <formula>BB64</formula>
    </cfRule>
  </conditionalFormatting>
  <pageMargins left="0" right="0" top="0.75" bottom="0.75" header="0.3" footer="0.3"/>
  <pageSetup scale="40" orientation="landscape" r:id="rId1"/>
  <customProperties>
    <customPr name="xxe4aPID" r:id="rId2"/>
  </customProperties>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AH56"/>
  <sheetViews>
    <sheetView zoomScale="85" zoomScaleNormal="85" workbookViewId="0">
      <selection activeCell="U36" sqref="U36"/>
    </sheetView>
  </sheetViews>
  <sheetFormatPr defaultRowHeight="12.75"/>
  <cols>
    <col min="1" max="1" width="18.7109375" bestFit="1" customWidth="1"/>
    <col min="2" max="14" width="9.85546875" customWidth="1"/>
    <col min="16" max="16" width="2.42578125" customWidth="1"/>
    <col min="17" max="23" width="10.7109375" customWidth="1"/>
    <col min="24" max="24" width="5.7109375" customWidth="1"/>
  </cols>
  <sheetData>
    <row r="1" spans="1:34">
      <c r="C1" s="633" t="s">
        <v>191</v>
      </c>
      <c r="D1" s="633"/>
      <c r="E1" s="633"/>
      <c r="F1" s="633"/>
      <c r="G1" s="633"/>
      <c r="H1" s="633"/>
      <c r="I1" s="633"/>
      <c r="J1" s="633"/>
      <c r="K1" s="633"/>
      <c r="P1" s="635"/>
      <c r="Q1" s="635"/>
      <c r="R1" s="635"/>
      <c r="S1" s="635"/>
      <c r="T1" s="635"/>
      <c r="U1" s="635"/>
      <c r="V1" s="635"/>
      <c r="W1" s="635"/>
      <c r="X1" s="635"/>
    </row>
    <row r="2" spans="1:34" ht="23.25">
      <c r="C2" s="634" t="s">
        <v>300</v>
      </c>
      <c r="D2" s="634"/>
      <c r="E2" s="634"/>
      <c r="F2" s="634"/>
      <c r="G2" s="634"/>
      <c r="H2" s="634"/>
      <c r="I2" s="634"/>
      <c r="J2" s="634"/>
      <c r="K2" s="634"/>
      <c r="P2" s="633"/>
      <c r="Q2" s="633"/>
      <c r="R2" s="633"/>
      <c r="S2" s="633"/>
      <c r="T2" s="633"/>
      <c r="U2" s="633"/>
      <c r="V2" s="633"/>
      <c r="W2" s="633"/>
      <c r="X2" s="633"/>
      <c r="Z2" s="633"/>
      <c r="AA2" s="633"/>
      <c r="AB2" s="633"/>
      <c r="AC2" s="633"/>
      <c r="AD2" s="633"/>
      <c r="AE2" s="633"/>
      <c r="AF2" s="633"/>
      <c r="AG2" s="633"/>
      <c r="AH2" s="633"/>
    </row>
    <row r="3" spans="1:34" ht="23.25">
      <c r="C3" s="633" t="s">
        <v>193</v>
      </c>
      <c r="D3" s="633"/>
      <c r="E3" s="633"/>
      <c r="F3" s="633"/>
      <c r="G3" s="633"/>
      <c r="H3" s="633"/>
      <c r="I3" s="633"/>
      <c r="J3" s="633"/>
      <c r="K3" s="633"/>
      <c r="P3" s="634"/>
      <c r="Q3" s="634"/>
      <c r="R3" s="634"/>
      <c r="S3" s="634"/>
      <c r="T3" s="634"/>
      <c r="U3" s="634"/>
      <c r="V3" s="634"/>
      <c r="W3" s="634"/>
      <c r="X3" s="634"/>
      <c r="Z3" s="636"/>
      <c r="AA3" s="636"/>
      <c r="AB3" s="636"/>
      <c r="AC3" s="636"/>
      <c r="AD3" s="636"/>
      <c r="AE3" s="636"/>
      <c r="AF3" s="636"/>
      <c r="AG3" s="636"/>
      <c r="AH3" s="636"/>
    </row>
    <row r="4" spans="1:34">
      <c r="A4" t="s">
        <v>192</v>
      </c>
      <c r="B4" s="266">
        <v>41548</v>
      </c>
      <c r="C4" s="266">
        <f>EOMONTH(B4,1)</f>
        <v>41608</v>
      </c>
      <c r="D4" s="266">
        <f t="shared" ref="D4:N4" si="0">EOMONTH(C4,1)</f>
        <v>41639</v>
      </c>
      <c r="E4" s="266">
        <f t="shared" si="0"/>
        <v>41670</v>
      </c>
      <c r="F4" s="266">
        <f t="shared" si="0"/>
        <v>41698</v>
      </c>
      <c r="G4" s="266">
        <f t="shared" si="0"/>
        <v>41729</v>
      </c>
      <c r="H4" s="266">
        <f t="shared" si="0"/>
        <v>41759</v>
      </c>
      <c r="I4" s="266">
        <f t="shared" si="0"/>
        <v>41790</v>
      </c>
      <c r="J4" s="266">
        <f t="shared" si="0"/>
        <v>41820</v>
      </c>
      <c r="K4" s="266">
        <f t="shared" si="0"/>
        <v>41851</v>
      </c>
      <c r="L4" s="266">
        <f t="shared" si="0"/>
        <v>41882</v>
      </c>
      <c r="M4" s="266">
        <f t="shared" si="0"/>
        <v>41912</v>
      </c>
      <c r="N4" s="266">
        <f t="shared" si="0"/>
        <v>41943</v>
      </c>
      <c r="P4" s="633"/>
      <c r="Q4" s="633"/>
      <c r="R4" s="633"/>
      <c r="S4" s="633"/>
      <c r="T4" s="633"/>
      <c r="U4" s="633"/>
      <c r="V4" s="633"/>
      <c r="W4" s="633"/>
      <c r="X4" s="633"/>
      <c r="Z4" s="633"/>
      <c r="AA4" s="633"/>
      <c r="AB4" s="633"/>
      <c r="AC4" s="633"/>
      <c r="AD4" s="633"/>
      <c r="AE4" s="633"/>
      <c r="AF4" s="633"/>
      <c r="AG4" s="633"/>
    </row>
    <row r="6" spans="1:34">
      <c r="A6" s="267" t="s">
        <v>299</v>
      </c>
    </row>
    <row r="7" spans="1:34">
      <c r="A7" s="268"/>
      <c r="B7" s="269" t="str">
        <f t="shared" ref="B7:N7" si="1">TEXT(B4,"mmmmm-YY")</f>
        <v>O-13</v>
      </c>
      <c r="C7" s="269" t="str">
        <f t="shared" si="1"/>
        <v>N-13</v>
      </c>
      <c r="D7" s="545" t="str">
        <f t="shared" si="1"/>
        <v>D-13</v>
      </c>
      <c r="E7" s="269" t="str">
        <f t="shared" si="1"/>
        <v>J-14</v>
      </c>
      <c r="F7" s="269" t="str">
        <f t="shared" si="1"/>
        <v>F-14</v>
      </c>
      <c r="G7" s="545" t="str">
        <f t="shared" si="1"/>
        <v>M-14</v>
      </c>
      <c r="H7" s="545" t="str">
        <f t="shared" si="1"/>
        <v>A-14</v>
      </c>
      <c r="I7" s="545" t="str">
        <f t="shared" si="1"/>
        <v>M-14</v>
      </c>
      <c r="J7" s="545" t="str">
        <f t="shared" si="1"/>
        <v>J-14</v>
      </c>
      <c r="K7" s="545" t="str">
        <f t="shared" si="1"/>
        <v>J-14</v>
      </c>
      <c r="L7" s="545" t="str">
        <f t="shared" si="1"/>
        <v>A-14</v>
      </c>
      <c r="M7" s="545" t="str">
        <f t="shared" si="1"/>
        <v>S-14</v>
      </c>
      <c r="N7" s="545" t="str">
        <f t="shared" si="1"/>
        <v>O-14</v>
      </c>
    </row>
    <row r="8" spans="1:34">
      <c r="A8" s="544" t="s">
        <v>302</v>
      </c>
      <c r="B8" s="540">
        <f>0.33052*10</f>
        <v>3.3051999999999997</v>
      </c>
      <c r="C8" s="540">
        <v>3.6246661221178802</v>
      </c>
      <c r="D8" s="540">
        <v>3.6234780920677898</v>
      </c>
      <c r="E8" s="540">
        <f>-Jan!$H$53/Jan!$G$46*10</f>
        <v>2.3860000000000001</v>
      </c>
      <c r="F8" s="540">
        <f>-Feb!$H$53/Feb!$G$46*10</f>
        <v>2.3860000000000001</v>
      </c>
      <c r="G8" s="540">
        <f>-Mar!$H$53/Mar!$G$46*10</f>
        <v>2.3860000000000001</v>
      </c>
      <c r="H8" s="540">
        <f>-Mar!$H$53/Mar!$G$46*10</f>
        <v>2.3860000000000001</v>
      </c>
      <c r="I8" s="540">
        <f>-Mar!$H$53/Mar!$G$46*10</f>
        <v>2.3860000000000001</v>
      </c>
      <c r="J8" s="540">
        <f>-Mar!$H$53/Mar!$G$46*10</f>
        <v>2.3860000000000001</v>
      </c>
      <c r="K8" s="540">
        <f>-Mar!$H$53/Mar!$G$46*10</f>
        <v>2.3860000000000001</v>
      </c>
      <c r="L8" s="540">
        <f>-Mar!$H$53/Mar!$G$46*10</f>
        <v>2.3860000000000001</v>
      </c>
      <c r="M8" s="540">
        <f>-Mar!$H$53/Mar!$G$46*10</f>
        <v>2.3860000000000001</v>
      </c>
      <c r="N8" s="540">
        <f>-Mar!$H$53/Mar!$G$46*10</f>
        <v>2.3860000000000001</v>
      </c>
    </row>
    <row r="9" spans="1:34" s="544" customFormat="1">
      <c r="A9" t="s">
        <v>303</v>
      </c>
      <c r="B9" s="540">
        <f>N9</f>
        <v>3.5167999999999999</v>
      </c>
      <c r="C9" s="540">
        <v>3.8812999999999995</v>
      </c>
      <c r="D9" s="540">
        <v>3.6348000000000003</v>
      </c>
      <c r="E9" s="540">
        <v>3.6143999999999998</v>
      </c>
      <c r="F9" s="540">
        <v>3.6770000000000005</v>
      </c>
      <c r="G9" s="540">
        <v>3.9145000000000003</v>
      </c>
      <c r="H9" s="540">
        <v>3.3395999999999999</v>
      </c>
      <c r="I9" s="540">
        <v>3.3895</v>
      </c>
      <c r="J9" s="540">
        <v>3.3272000000000004</v>
      </c>
      <c r="K9" s="540">
        <v>3.3701999999999996</v>
      </c>
      <c r="L9" s="540">
        <v>3.3369</v>
      </c>
      <c r="M9" s="540">
        <v>3.3742000000000001</v>
      </c>
      <c r="N9" s="540">
        <v>3.5167999999999999</v>
      </c>
    </row>
    <row r="10" spans="1:34">
      <c r="A10" t="s">
        <v>301</v>
      </c>
      <c r="B10" s="540">
        <f>0.278008560641104*10</f>
        <v>2.7800856064110402</v>
      </c>
      <c r="C10" s="540">
        <v>3.4540440792083</v>
      </c>
      <c r="D10" s="540">
        <v>3.1876161555634601</v>
      </c>
      <c r="E10" s="540">
        <f>Jan!$K$14/Jan!$G$46*10</f>
        <v>2.2515519992653972</v>
      </c>
      <c r="F10" s="540">
        <f>Feb!$K$14/Feb!$G$46*10</f>
        <v>2.311489818900661</v>
      </c>
      <c r="G10" s="540">
        <f>Mar!$K$14/Mar!$G$46*10</f>
        <v>2.0450092519691241</v>
      </c>
      <c r="H10" s="540"/>
      <c r="I10" s="540"/>
      <c r="J10" s="540"/>
      <c r="K10" s="540"/>
      <c r="L10" s="540"/>
      <c r="M10" s="540"/>
      <c r="N10" s="540"/>
    </row>
    <row r="11" spans="1:34">
      <c r="A11" s="544" t="s">
        <v>302</v>
      </c>
      <c r="B11" s="540">
        <f>0.0865086772229614*10</f>
        <v>0.86508677222961405</v>
      </c>
      <c r="C11" s="540">
        <v>0.98017103319810395</v>
      </c>
      <c r="D11" s="540">
        <v>0.99766447491792298</v>
      </c>
      <c r="E11" s="540">
        <f>(-Jan!$I$53/Jan!$G$33)*10</f>
        <v>1.1155279218288066</v>
      </c>
      <c r="F11" s="540">
        <f>-Feb!$I$53/Feb!$G$33*10</f>
        <v>1.099306696538465</v>
      </c>
      <c r="G11" s="540">
        <f>-Mar!$I$53/Mar!$G$33*10</f>
        <v>1.0652826254433267</v>
      </c>
      <c r="H11" s="540"/>
      <c r="I11" s="540"/>
      <c r="J11" s="540"/>
      <c r="K11" s="540"/>
      <c r="L11" s="540"/>
      <c r="M11" s="540"/>
      <c r="N11" s="540"/>
    </row>
    <row r="12" spans="1:34" s="544" customFormat="1">
      <c r="A12" s="544" t="s">
        <v>303</v>
      </c>
      <c r="B12" s="540">
        <f>N12</f>
        <v>1.4529330378220591</v>
      </c>
      <c r="C12" s="540">
        <v>0.79431349782690841</v>
      </c>
      <c r="D12" s="540">
        <v>0.60296290558547094</v>
      </c>
      <c r="E12" s="540">
        <v>0.60895264158951812</v>
      </c>
      <c r="F12" s="540">
        <v>0.60656225946654285</v>
      </c>
      <c r="G12" s="540">
        <v>0.87532504655494603</v>
      </c>
      <c r="H12" s="540">
        <v>1.1232232940560019</v>
      </c>
      <c r="I12" s="540">
        <v>2.0020366178222502</v>
      </c>
      <c r="J12" s="540">
        <v>2.9050208439006555</v>
      </c>
      <c r="K12" s="540">
        <v>3.9176133126746118</v>
      </c>
      <c r="L12" s="540">
        <v>3.8752231593583324</v>
      </c>
      <c r="M12" s="540">
        <v>3.4387986026867114</v>
      </c>
      <c r="N12" s="540">
        <v>1.4529330378220591</v>
      </c>
    </row>
    <row r="13" spans="1:34">
      <c r="A13" s="544" t="s">
        <v>301</v>
      </c>
      <c r="B13" s="540">
        <f>0.102504522593617*10</f>
        <v>1.02504522593617</v>
      </c>
      <c r="C13" s="540">
        <v>0.65827334268652904</v>
      </c>
      <c r="D13" s="540">
        <v>0.51365176254981604</v>
      </c>
      <c r="E13" s="540">
        <f>(Jan!$I$14/Jan!$G$33)*10</f>
        <v>0.40159287715394509</v>
      </c>
      <c r="F13" s="540">
        <f>(Feb!$I$14/Feb!$G$33)*10</f>
        <v>0.49156070472770064</v>
      </c>
      <c r="G13" s="540">
        <f>(Mar!$I$14/Mar!$G$33)*10</f>
        <v>0.68040260585030921</v>
      </c>
      <c r="H13" s="540"/>
      <c r="I13" s="540"/>
      <c r="J13" s="540"/>
      <c r="K13" s="540"/>
      <c r="L13" s="540"/>
      <c r="M13" s="540"/>
      <c r="N13" s="540"/>
    </row>
    <row r="15" spans="1:34">
      <c r="A15" s="267" t="s">
        <v>298</v>
      </c>
    </row>
    <row r="16" spans="1:34">
      <c r="A16" s="268"/>
      <c r="B16" s="542" t="str">
        <f>TEXT(B4,"mmmmm-YY")</f>
        <v>O-13</v>
      </c>
      <c r="C16" s="543" t="str">
        <f t="shared" ref="C16:N16" si="2">TEXT(C4,"mmmmm-YY")</f>
        <v>N-13</v>
      </c>
      <c r="D16" s="269" t="str">
        <f t="shared" si="2"/>
        <v>D-13</v>
      </c>
      <c r="E16" s="269" t="str">
        <f t="shared" si="2"/>
        <v>J-14</v>
      </c>
      <c r="F16" s="269" t="str">
        <f t="shared" si="2"/>
        <v>F-14</v>
      </c>
      <c r="G16" s="269" t="str">
        <f t="shared" si="2"/>
        <v>M-14</v>
      </c>
      <c r="H16" s="269" t="str">
        <f t="shared" si="2"/>
        <v>A-14</v>
      </c>
      <c r="I16" s="269" t="str">
        <f t="shared" si="2"/>
        <v>M-14</v>
      </c>
      <c r="J16" s="269" t="str">
        <f t="shared" si="2"/>
        <v>J-14</v>
      </c>
      <c r="K16" s="269" t="str">
        <f t="shared" si="2"/>
        <v>J-14</v>
      </c>
      <c r="L16" s="269" t="str">
        <f t="shared" si="2"/>
        <v>A-14</v>
      </c>
      <c r="M16" s="269" t="str">
        <f t="shared" si="2"/>
        <v>S-14</v>
      </c>
      <c r="N16" s="269" t="str">
        <f t="shared" si="2"/>
        <v>O-14</v>
      </c>
    </row>
    <row r="17" spans="1:20">
      <c r="A17" s="544" t="s">
        <v>302</v>
      </c>
      <c r="B17" s="540">
        <v>3.7138086914005299</v>
      </c>
      <c r="C17" s="540">
        <v>3.71000032320786</v>
      </c>
      <c r="D17" s="540">
        <v>3.7124000000000001</v>
      </c>
      <c r="E17" s="540">
        <f>-Jan!$J$53/Jan!$K$44*10</f>
        <v>2.3894999999999995</v>
      </c>
      <c r="F17" s="540">
        <f>-Feb!$J$53/Feb!$K$44*10</f>
        <v>2.3895</v>
      </c>
      <c r="G17" s="540">
        <f>-Mar!$J$53/Mar!$K$44*10</f>
        <v>2.3894999999999995</v>
      </c>
      <c r="H17" s="540">
        <f>-Apr!$J$53/Apr!$K$44*10</f>
        <v>2.3894999999999995</v>
      </c>
      <c r="I17" s="540">
        <f>-May!$J$53/May!$K$44*10</f>
        <v>2.3895</v>
      </c>
      <c r="J17" s="540">
        <f>-Jun!$J$53/Jun!$K$44*10</f>
        <v>2.3895</v>
      </c>
      <c r="K17" s="540">
        <f>-Jul!$J$53/Jul!$K$44*10</f>
        <v>2.3895</v>
      </c>
      <c r="L17" s="540">
        <f>-Aug!$J$53/Aug!$K$44*10</f>
        <v>2.3895000000000004</v>
      </c>
      <c r="M17" s="540">
        <f>-Sep!$J$53/Sep!$K$44*10</f>
        <v>2.3894999999999995</v>
      </c>
      <c r="N17" s="540">
        <f>-Oct!$J$53/Oct!$K$44*10</f>
        <v>2.3895</v>
      </c>
    </row>
    <row r="18" spans="1:20" s="544" customFormat="1">
      <c r="A18" s="544" t="s">
        <v>303</v>
      </c>
      <c r="B18" s="540">
        <v>2.9957000000000003</v>
      </c>
      <c r="C18" s="540">
        <v>3.9822000000000002</v>
      </c>
      <c r="D18" s="540">
        <v>3.8203999999999998</v>
      </c>
      <c r="E18" s="540">
        <v>3.7982</v>
      </c>
      <c r="F18" s="540">
        <v>3.8423000000000003</v>
      </c>
      <c r="G18" s="540">
        <v>4.0292000000000003</v>
      </c>
      <c r="H18" s="540">
        <v>3.4569000000000001</v>
      </c>
      <c r="I18" s="540">
        <v>3.5224000000000002</v>
      </c>
      <c r="J18" s="540">
        <v>3.4592000000000001</v>
      </c>
      <c r="K18" s="540">
        <v>3.4888000000000003</v>
      </c>
      <c r="L18" s="540">
        <v>3.4600999999999997</v>
      </c>
      <c r="M18" s="540">
        <v>3.4959000000000002</v>
      </c>
      <c r="N18" s="540">
        <v>3.6281000000000003</v>
      </c>
    </row>
    <row r="19" spans="1:20">
      <c r="A19" s="544" t="s">
        <v>301</v>
      </c>
      <c r="B19" s="540">
        <v>2.76346512007138</v>
      </c>
      <c r="C19" s="540">
        <v>3.4542924833702302</v>
      </c>
      <c r="D19" s="540">
        <v>3.1868860970503601</v>
      </c>
      <c r="E19" s="540">
        <f>Jan!$L$14/Jan!$K$43*10</f>
        <v>2.253129517207229</v>
      </c>
      <c r="F19" s="540">
        <f>Feb!$L$14/Feb!$K$43*10</f>
        <v>2.3140732827809436</v>
      </c>
      <c r="G19" s="540">
        <f>Mar!$L$14/Mar!$K$43*10</f>
        <v>2.0458022474092501</v>
      </c>
      <c r="H19" s="540">
        <f>Apr!$L$14/Apr!$K$43*10</f>
        <v>1.735039179986686</v>
      </c>
      <c r="I19" s="540">
        <f>May!$L$14/May!$K$43*10</f>
        <v>1.7712163855477994</v>
      </c>
      <c r="J19" s="540">
        <f>Jun!$L$14/Jun!$K$43*10</f>
        <v>1.1465765309900064</v>
      </c>
      <c r="K19" s="540">
        <f>Jul!$L$14/Jul!$K$43*10</f>
        <v>-3.2934037840054495</v>
      </c>
      <c r="L19" s="540">
        <f>Aug!$L$14/Aug!$K$43*10</f>
        <v>-3.0441734094790673</v>
      </c>
      <c r="M19" s="540">
        <f>Sep!$L$14/Sep!$K$43*10</f>
        <v>-2.4130847903889947</v>
      </c>
      <c r="N19" s="540">
        <f>Oct!$L$14/Oct!$K$43*10</f>
        <v>8.7637639244904142E-2</v>
      </c>
    </row>
    <row r="20" spans="1:20">
      <c r="A20" s="544" t="s">
        <v>302</v>
      </c>
      <c r="B20" s="540">
        <v>1.0742522128918399</v>
      </c>
      <c r="C20" s="540">
        <v>1.0741263842636799</v>
      </c>
      <c r="D20" s="540">
        <v>1.0744</v>
      </c>
      <c r="E20" s="540">
        <f>-Jan!$K$53/Jan!$K$29*10</f>
        <v>1.1331</v>
      </c>
      <c r="F20" s="540">
        <f>-Feb!$K$53/Feb!$K$29*10</f>
        <v>1.1330999999999998</v>
      </c>
      <c r="G20" s="540">
        <f>-Mar!$K$53/Mar!$K$29*10</f>
        <v>1.1331</v>
      </c>
      <c r="H20" s="540">
        <f>-Apr!$K$53/Apr!$K$29*10</f>
        <v>1.1331</v>
      </c>
      <c r="I20" s="540">
        <f>-May!$K$53/May!$K$29*10</f>
        <v>1.1331</v>
      </c>
      <c r="J20" s="540">
        <f>-Jun!$K$53/Jun!$K$29*10</f>
        <v>1.1331</v>
      </c>
      <c r="K20" s="540">
        <f>-Jul!$K$53/Jul!$K$29*10</f>
        <v>1.1330999999999998</v>
      </c>
      <c r="L20" s="540">
        <f>-Aug!$K$53/Aug!$K$29*10</f>
        <v>1.1330999999999998</v>
      </c>
      <c r="M20" s="540">
        <f>-Sep!$K$53/Sep!$K$29*10</f>
        <v>1.1331</v>
      </c>
      <c r="N20" s="540">
        <f>-Oct!$K$53/Oct!$K$29*10</f>
        <v>1.1330999999999998</v>
      </c>
    </row>
    <row r="21" spans="1:20" s="544" customFormat="1">
      <c r="A21" s="544" t="s">
        <v>303</v>
      </c>
      <c r="B21" s="540">
        <v>1.2942886206113142</v>
      </c>
      <c r="C21" s="540">
        <v>0.74518730633512642</v>
      </c>
      <c r="D21" s="540">
        <v>0.58083452630008092</v>
      </c>
      <c r="E21" s="540">
        <v>0.60843027300764696</v>
      </c>
      <c r="F21" s="540">
        <v>0.68505702536755764</v>
      </c>
      <c r="G21" s="540">
        <v>0.81792088296424315</v>
      </c>
      <c r="H21" s="540">
        <v>1.0438035301560928</v>
      </c>
      <c r="I21" s="540">
        <v>1.8765356717896455</v>
      </c>
      <c r="J21" s="540">
        <v>2.5204558648798452</v>
      </c>
      <c r="K21" s="540">
        <v>3.0722913458699082</v>
      </c>
      <c r="L21" s="540">
        <v>3.0936566161461703</v>
      </c>
      <c r="M21" s="540">
        <v>2.484887676291045</v>
      </c>
      <c r="N21" s="540">
        <v>1.1747692347018237</v>
      </c>
    </row>
    <row r="22" spans="1:20">
      <c r="A22" s="544" t="s">
        <v>301</v>
      </c>
      <c r="B22" s="540">
        <v>1.2115295970631399</v>
      </c>
      <c r="C22" s="540">
        <v>0.708429666562987</v>
      </c>
      <c r="D22" s="540">
        <v>0.54697005486642902</v>
      </c>
      <c r="E22" s="540">
        <f>Jan!$J$14/Jan!$K$29*10</f>
        <v>0.4289025834277691</v>
      </c>
      <c r="F22" s="540">
        <f>Feb!$J$14/Feb!$K$29*10</f>
        <v>0.56073878354375173</v>
      </c>
      <c r="G22" s="540">
        <f>Mar!$J$14/Mar!$K$29*10</f>
        <v>0.70672190201602447</v>
      </c>
      <c r="H22" s="540">
        <f>Apr!$J$14/Apr!$K$29*10</f>
        <v>0.94543211512380787</v>
      </c>
      <c r="I22" s="540">
        <f>May!$J$14/May!$K$29*10</f>
        <v>1.6512951599992522</v>
      </c>
      <c r="J22" s="540">
        <f>Jun!$J$14/Jun!$K$29*10</f>
        <v>2.4665077540659297</v>
      </c>
      <c r="K22" s="540">
        <f>Jul!$J$14/Jul!$K$29*10</f>
        <v>3.2134641912453965</v>
      </c>
      <c r="L22" s="540">
        <f>Aug!$J$14/Aug!$K$29*10</f>
        <v>2.6987053733376323</v>
      </c>
      <c r="M22" s="540">
        <f>Sep!$J$14/Sep!$K$29*10</f>
        <v>2.5919797704657084</v>
      </c>
      <c r="N22" s="540">
        <f>Oct!$J$14/Oct!$K$29*10</f>
        <v>0.98481662794712244</v>
      </c>
    </row>
    <row r="23" spans="1:20">
      <c r="C23" s="544"/>
      <c r="D23" s="544"/>
      <c r="E23" s="544"/>
      <c r="F23" s="544"/>
      <c r="G23" s="544"/>
      <c r="H23" s="544"/>
      <c r="I23" s="544"/>
      <c r="J23" s="544"/>
      <c r="K23" s="544"/>
      <c r="L23" s="544"/>
      <c r="M23" s="544"/>
      <c r="N23" s="544"/>
      <c r="S23" s="544"/>
      <c r="T23" s="544"/>
    </row>
    <row r="24" spans="1:20">
      <c r="S24" s="544"/>
      <c r="T24" s="544"/>
    </row>
    <row r="25" spans="1:20">
      <c r="S25" s="544"/>
      <c r="T25" s="544"/>
    </row>
    <row r="26" spans="1:20">
      <c r="R26" s="544"/>
      <c r="S26" s="544"/>
      <c r="T26" s="544"/>
    </row>
    <row r="27" spans="1:20">
      <c r="R27" s="544"/>
      <c r="S27" s="544"/>
      <c r="T27" s="544"/>
    </row>
    <row r="28" spans="1:20">
      <c r="R28" s="544"/>
      <c r="S28" s="544"/>
      <c r="T28" s="544"/>
    </row>
    <row r="29" spans="1:20">
      <c r="R29" s="544"/>
      <c r="S29" s="544"/>
      <c r="T29" s="544"/>
    </row>
    <row r="30" spans="1:20">
      <c r="R30" s="544"/>
      <c r="S30" s="544"/>
      <c r="T30" s="544"/>
    </row>
    <row r="31" spans="1:20">
      <c r="R31" s="544"/>
      <c r="S31" s="544"/>
      <c r="T31" s="544"/>
    </row>
    <row r="32" spans="1:20">
      <c r="R32" s="544"/>
      <c r="S32" s="544"/>
      <c r="T32" s="544"/>
    </row>
    <row r="33" spans="18:30">
      <c r="R33" s="544"/>
      <c r="S33" s="544"/>
      <c r="T33" s="544"/>
    </row>
    <row r="34" spans="18:30">
      <c r="R34" s="544"/>
      <c r="S34" s="544"/>
      <c r="T34" s="544"/>
    </row>
    <row r="35" spans="18:30">
      <c r="R35" s="544"/>
      <c r="S35" s="544"/>
      <c r="T35" s="544"/>
      <c r="U35" s="544"/>
      <c r="V35" s="544"/>
      <c r="W35" s="544"/>
      <c r="X35" s="544"/>
      <c r="Y35" s="544"/>
      <c r="Z35" s="544"/>
      <c r="AA35" s="544"/>
      <c r="AB35" s="544"/>
      <c r="AC35" s="544"/>
      <c r="AD35" s="544"/>
    </row>
    <row r="36" spans="18:30">
      <c r="R36" s="544"/>
      <c r="S36" s="544"/>
      <c r="T36" s="544"/>
      <c r="U36" s="544"/>
      <c r="V36" s="544"/>
      <c r="W36" s="544"/>
      <c r="X36" s="544"/>
      <c r="Y36" s="544"/>
      <c r="Z36" s="544"/>
      <c r="AA36" s="544"/>
      <c r="AB36" s="544"/>
      <c r="AC36" s="544"/>
      <c r="AD36" s="544"/>
    </row>
    <row r="37" spans="18:30">
      <c r="R37" s="544"/>
      <c r="S37" s="544"/>
      <c r="T37" s="544"/>
      <c r="U37" s="544"/>
      <c r="V37" s="544"/>
      <c r="W37" s="544"/>
      <c r="X37" s="544"/>
      <c r="Y37" s="544"/>
      <c r="Z37" s="544"/>
      <c r="AA37" s="544"/>
      <c r="AB37" s="544"/>
      <c r="AC37" s="544"/>
      <c r="AD37" s="544"/>
    </row>
    <row r="38" spans="18:30">
      <c r="R38" s="544"/>
      <c r="S38" s="544"/>
      <c r="T38" s="544"/>
      <c r="U38" s="544"/>
      <c r="V38" s="544"/>
      <c r="W38" s="544"/>
      <c r="X38" s="544"/>
      <c r="Y38" s="544"/>
      <c r="Z38" s="544"/>
      <c r="AA38" s="544"/>
      <c r="AB38" s="544"/>
      <c r="AC38" s="544"/>
      <c r="AD38" s="544"/>
    </row>
    <row r="39" spans="18:30">
      <c r="R39" s="544"/>
      <c r="S39" s="544"/>
      <c r="T39" s="544"/>
      <c r="U39" s="544"/>
      <c r="V39" s="544"/>
      <c r="W39" s="544"/>
      <c r="X39" s="544"/>
      <c r="Y39" s="544"/>
      <c r="Z39" s="544"/>
      <c r="AA39" s="544"/>
      <c r="AB39" s="544"/>
      <c r="AC39" s="544"/>
      <c r="AD39" s="544"/>
    </row>
    <row r="40" spans="18:30">
      <c r="R40" s="544"/>
      <c r="S40" s="544"/>
      <c r="T40" s="544"/>
      <c r="U40" s="544"/>
      <c r="V40" s="544"/>
      <c r="W40" s="544"/>
      <c r="X40" s="544"/>
      <c r="Y40" s="544"/>
      <c r="Z40" s="544"/>
      <c r="AA40" s="544"/>
      <c r="AB40" s="544"/>
      <c r="AC40" s="544"/>
      <c r="AD40" s="544"/>
    </row>
    <row r="41" spans="18:30">
      <c r="R41" s="544"/>
      <c r="S41" s="544"/>
      <c r="T41" s="544"/>
      <c r="U41" s="544"/>
      <c r="V41" s="544"/>
      <c r="W41" s="544"/>
      <c r="X41" s="544"/>
      <c r="Y41" s="544"/>
      <c r="Z41" s="544"/>
      <c r="AA41" s="544"/>
      <c r="AB41" s="544"/>
      <c r="AC41" s="544"/>
      <c r="AD41" s="544"/>
    </row>
    <row r="42" spans="18:30">
      <c r="R42" s="544"/>
      <c r="S42" s="544"/>
      <c r="T42" s="544"/>
      <c r="U42" s="544"/>
      <c r="V42" s="544"/>
      <c r="W42" s="544"/>
      <c r="X42" s="544"/>
      <c r="Y42" s="544"/>
      <c r="Z42" s="544"/>
      <c r="AA42" s="544"/>
      <c r="AB42" s="544"/>
      <c r="AC42" s="544"/>
      <c r="AD42" s="544"/>
    </row>
    <row r="43" spans="18:30" ht="15">
      <c r="S43" s="541"/>
    </row>
    <row r="44" spans="18:30" ht="15">
      <c r="S44" s="541"/>
    </row>
    <row r="45" spans="18:30" ht="15">
      <c r="S45" s="541"/>
    </row>
    <row r="46" spans="18:30" ht="15">
      <c r="S46" s="541"/>
    </row>
    <row r="47" spans="18:30" ht="15">
      <c r="S47" s="541"/>
    </row>
    <row r="48" spans="18:30" ht="15">
      <c r="S48" s="541"/>
    </row>
    <row r="56" ht="9.75" customHeight="1"/>
  </sheetData>
  <mergeCells count="10">
    <mergeCell ref="P4:X4"/>
    <mergeCell ref="Z4:AG4"/>
    <mergeCell ref="C1:K1"/>
    <mergeCell ref="P1:X1"/>
    <mergeCell ref="C2:K2"/>
    <mergeCell ref="P2:X2"/>
    <mergeCell ref="Z2:AH2"/>
    <mergeCell ref="C3:K3"/>
    <mergeCell ref="P3:X3"/>
    <mergeCell ref="Z3:AH3"/>
  </mergeCells>
  <printOptions horizontalCentered="1"/>
  <pageMargins left="0.7" right="0.7" top="0.75" bottom="0.5" header="0.3" footer="0.3"/>
  <pageSetup scale="61" orientation="landscape" r:id="rId1"/>
  <headerFooter>
    <oddFooter>&amp;L&amp;F - &amp;A</oddFooter>
  </headerFooter>
  <customProperties>
    <customPr name="xxe4aPID" r:id="rId2"/>
  </customProperties>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40">
    <tabColor rgb="FF92D050"/>
    <pageSetUpPr fitToPage="1"/>
  </sheetPr>
  <dimension ref="A1:P118"/>
  <sheetViews>
    <sheetView showGridLines="0" view="pageBreakPreview" topLeftCell="A34" zoomScale="80" zoomScaleNormal="100" zoomScaleSheetLayoutView="80" workbookViewId="0">
      <selection activeCell="G51" sqref="G51:J55"/>
    </sheetView>
  </sheetViews>
  <sheetFormatPr defaultColWidth="9.140625" defaultRowHeight="15"/>
  <cols>
    <col min="1" max="1" width="13.140625" style="384" customWidth="1"/>
    <col min="2" max="2" width="9.28515625" style="384" customWidth="1"/>
    <col min="3" max="3" width="17.85546875" style="384" customWidth="1"/>
    <col min="4" max="4" width="18.42578125" style="384" customWidth="1"/>
    <col min="5" max="5" width="20.140625" style="320" bestFit="1" customWidth="1"/>
    <col min="6" max="6" width="16.140625" style="384" customWidth="1"/>
    <col min="7" max="7" width="34.5703125" style="384" bestFit="1" customWidth="1"/>
    <col min="8" max="8" width="16.85546875" style="384" customWidth="1"/>
    <col min="9" max="9" width="18.28515625" style="384" bestFit="1" customWidth="1"/>
    <col min="10" max="10" width="18.28515625" style="384" customWidth="1"/>
    <col min="11" max="11" width="3.42578125" style="384" customWidth="1"/>
    <col min="12" max="16384" width="9.140625" style="384"/>
  </cols>
  <sheetData>
    <row r="1" spans="1:10" ht="15.75">
      <c r="A1" s="51" t="s">
        <v>13</v>
      </c>
    </row>
    <row r="2" spans="1:10" ht="15.75">
      <c r="A2" s="51" t="s">
        <v>46</v>
      </c>
    </row>
    <row r="3" spans="1:10" ht="15.75">
      <c r="A3" s="51" t="s">
        <v>170</v>
      </c>
    </row>
    <row r="4" spans="1:10" ht="15.75">
      <c r="A4" s="51" t="s">
        <v>171</v>
      </c>
    </row>
    <row r="7" spans="1:10" s="385" customFormat="1" ht="16.5" thickBot="1">
      <c r="D7" s="142" t="s">
        <v>223</v>
      </c>
      <c r="E7" s="329">
        <f>'ID Holdback 191015'!C101</f>
        <v>-1565571.2499999998</v>
      </c>
    </row>
    <row r="8" spans="1:10" ht="16.5" thickTop="1" thickBot="1"/>
    <row r="9" spans="1:10" ht="15.75">
      <c r="A9" s="73" t="s">
        <v>142</v>
      </c>
      <c r="B9" s="74"/>
      <c r="C9" s="75"/>
      <c r="D9" s="76"/>
      <c r="E9" s="321"/>
      <c r="G9" s="16"/>
      <c r="H9" s="5"/>
      <c r="I9" s="56"/>
      <c r="J9" s="56"/>
    </row>
    <row r="10" spans="1:10" ht="15.75">
      <c r="A10" s="219">
        <v>41578</v>
      </c>
      <c r="B10" s="71"/>
      <c r="C10" s="16"/>
      <c r="D10" s="72" t="s">
        <v>23</v>
      </c>
      <c r="E10" s="322" t="s">
        <v>21</v>
      </c>
      <c r="G10" s="5"/>
      <c r="H10" s="5"/>
      <c r="I10" s="8"/>
      <c r="J10" s="10"/>
    </row>
    <row r="11" spans="1:10" ht="16.5" thickBot="1">
      <c r="A11" s="14"/>
      <c r="B11" s="18"/>
      <c r="C11" s="131" t="s">
        <v>21</v>
      </c>
      <c r="D11" s="131" t="s">
        <v>22</v>
      </c>
      <c r="E11" s="323" t="s">
        <v>23</v>
      </c>
      <c r="F11" s="385"/>
      <c r="G11" s="7"/>
      <c r="H11" s="7"/>
      <c r="I11" s="10"/>
      <c r="J11" s="10"/>
    </row>
    <row r="12" spans="1:10" ht="15.75">
      <c r="A12" s="2" t="s">
        <v>24</v>
      </c>
      <c r="B12" s="17">
        <v>101</v>
      </c>
      <c r="C12" s="252">
        <v>0</v>
      </c>
      <c r="D12" s="389" t="s">
        <v>187</v>
      </c>
      <c r="E12" s="324">
        <v>61399.94</v>
      </c>
      <c r="F12" s="385"/>
      <c r="G12" s="7"/>
      <c r="H12" s="7"/>
      <c r="I12" s="8"/>
      <c r="J12" s="7"/>
    </row>
    <row r="13" spans="1:10" ht="16.5" thickBot="1">
      <c r="A13" s="2" t="s">
        <v>24</v>
      </c>
      <c r="B13" s="17">
        <v>111</v>
      </c>
      <c r="C13" s="252">
        <v>0</v>
      </c>
      <c r="D13" s="389" t="s">
        <v>187</v>
      </c>
      <c r="E13" s="324">
        <v>26738.47</v>
      </c>
      <c r="F13" s="385"/>
      <c r="G13" s="146">
        <f>A10</f>
        <v>41578</v>
      </c>
      <c r="H13" s="147"/>
      <c r="I13" s="147"/>
      <c r="J13" s="147"/>
    </row>
    <row r="14" spans="1:10" ht="16.5" thickBot="1">
      <c r="A14" s="2" t="s">
        <v>24</v>
      </c>
      <c r="B14" s="17">
        <v>112</v>
      </c>
      <c r="C14" s="252"/>
      <c r="D14" s="389" t="s">
        <v>187</v>
      </c>
      <c r="E14" s="324">
        <v>367.45</v>
      </c>
      <c r="F14" s="385"/>
      <c r="G14" s="102" t="s">
        <v>25</v>
      </c>
      <c r="H14" s="148"/>
      <c r="I14" s="149" t="s">
        <v>18</v>
      </c>
      <c r="J14" s="150" t="s">
        <v>19</v>
      </c>
    </row>
    <row r="15" spans="1:10" ht="15.75">
      <c r="A15" s="2" t="s">
        <v>24</v>
      </c>
      <c r="B15" s="17">
        <v>121</v>
      </c>
      <c r="C15" s="252"/>
      <c r="D15" s="220"/>
      <c r="E15" s="324">
        <v>0</v>
      </c>
      <c r="F15" s="385"/>
      <c r="G15" s="151" t="s">
        <v>28</v>
      </c>
      <c r="H15" s="152" t="s">
        <v>77</v>
      </c>
      <c r="I15" s="108"/>
      <c r="J15" s="394">
        <f>IF(E24&gt;0,-E24,0)</f>
        <v>0</v>
      </c>
    </row>
    <row r="16" spans="1:10" ht="15.75">
      <c r="A16" s="2" t="s">
        <v>24</v>
      </c>
      <c r="B16" s="17">
        <v>122</v>
      </c>
      <c r="C16" s="253"/>
      <c r="D16" s="220"/>
      <c r="E16" s="324">
        <v>0</v>
      </c>
      <c r="F16" s="385"/>
      <c r="G16" s="153" t="s">
        <v>29</v>
      </c>
      <c r="H16" s="7" t="s">
        <v>78</v>
      </c>
      <c r="I16" s="395">
        <f>IF(E24&lt;0,-E24,0)</f>
        <v>1267.76</v>
      </c>
      <c r="J16" s="222"/>
    </row>
    <row r="17" spans="1:10" ht="15.75">
      <c r="A17" s="2" t="s">
        <v>24</v>
      </c>
      <c r="B17" s="17">
        <v>131</v>
      </c>
      <c r="C17" s="252">
        <v>0</v>
      </c>
      <c r="D17" s="389" t="s">
        <v>187</v>
      </c>
      <c r="E17" s="324">
        <v>0</v>
      </c>
      <c r="F17" s="385"/>
      <c r="G17" s="153" t="s">
        <v>99</v>
      </c>
      <c r="H17" s="7" t="s">
        <v>228</v>
      </c>
      <c r="I17" s="395">
        <f>IF((E7-E23)&gt;0,E7-E23,0)</f>
        <v>0</v>
      </c>
      <c r="J17" s="395">
        <f>IF((E7-E23)&lt;0,E7-E23,0)</f>
        <v>-88526.800000000047</v>
      </c>
    </row>
    <row r="18" spans="1:10" ht="15.75">
      <c r="A18" s="2" t="s">
        <v>24</v>
      </c>
      <c r="B18" s="17">
        <v>132</v>
      </c>
      <c r="C18" s="253"/>
      <c r="D18" s="389" t="s">
        <v>187</v>
      </c>
      <c r="E18" s="324">
        <v>20.94</v>
      </c>
      <c r="F18" s="385"/>
      <c r="G18" s="153" t="s">
        <v>10</v>
      </c>
      <c r="H18" s="7" t="s">
        <v>58</v>
      </c>
      <c r="I18" s="7"/>
      <c r="J18" s="460"/>
    </row>
    <row r="19" spans="1:10" ht="16.5" thickBot="1">
      <c r="A19" s="2" t="s">
        <v>24</v>
      </c>
      <c r="B19" s="17" t="s">
        <v>61</v>
      </c>
      <c r="C19" s="253"/>
      <c r="D19" s="121"/>
      <c r="E19" s="324">
        <v>0</v>
      </c>
      <c r="F19" s="385"/>
      <c r="G19" s="154" t="s">
        <v>100</v>
      </c>
      <c r="H19" s="147" t="s">
        <v>207</v>
      </c>
      <c r="I19" s="462">
        <f>IF((E25-E7)&gt;0,E25-E7,0)</f>
        <v>87259.040000000037</v>
      </c>
      <c r="J19" s="107">
        <f>IF((E25-E7)&lt;0,E25-E7,0)</f>
        <v>0</v>
      </c>
    </row>
    <row r="20" spans="1:10" ht="15.75">
      <c r="A20" s="2" t="s">
        <v>156</v>
      </c>
      <c r="B20" s="70"/>
      <c r="C20" s="251"/>
      <c r="D20" s="136"/>
      <c r="E20" s="327">
        <v>0</v>
      </c>
      <c r="F20" s="385"/>
      <c r="G20" s="7"/>
      <c r="H20" s="7"/>
      <c r="I20" s="8"/>
      <c r="J20" s="260">
        <f>ROUND(SUM(I15:J19),2)</f>
        <v>0</v>
      </c>
    </row>
    <row r="21" spans="1:10" ht="16.5" thickBot="1">
      <c r="B21" s="6"/>
      <c r="C21" s="254">
        <f>SUM(C12:C20)</f>
        <v>0</v>
      </c>
      <c r="D21" s="155"/>
      <c r="E21" s="326">
        <f>SUM(E12:E20)</f>
        <v>88526.8</v>
      </c>
      <c r="F21" s="385"/>
      <c r="G21" s="7"/>
      <c r="H21" s="7"/>
      <c r="I21" s="7"/>
      <c r="J21" s="7"/>
    </row>
    <row r="22" spans="1:10" ht="16.5" thickTop="1">
      <c r="B22" s="6"/>
      <c r="C22" s="255">
        <v>0</v>
      </c>
      <c r="D22" s="66" t="s">
        <v>161</v>
      </c>
      <c r="E22" s="327">
        <v>0</v>
      </c>
      <c r="F22" s="385"/>
      <c r="G22" s="65" t="s">
        <v>158</v>
      </c>
      <c r="H22" s="7"/>
      <c r="I22" s="12"/>
      <c r="J22" s="12"/>
    </row>
    <row r="23" spans="1:10" ht="15.75">
      <c r="C23" s="317">
        <f>C21-C22</f>
        <v>0</v>
      </c>
      <c r="D23" s="66" t="s">
        <v>87</v>
      </c>
      <c r="E23" s="326">
        <f>E21+E22+E7</f>
        <v>-1477044.4499999997</v>
      </c>
      <c r="F23" s="385"/>
      <c r="G23" s="8">
        <f>(E7*(D24/12))+((E21-E20)*(D24/24))</f>
        <v>-1267.7565416666666</v>
      </c>
      <c r="H23" s="7"/>
      <c r="I23" s="8"/>
      <c r="J23" s="10"/>
    </row>
    <row r="24" spans="1:10" ht="15.75">
      <c r="C24" s="50"/>
      <c r="D24" s="225">
        <v>0.01</v>
      </c>
      <c r="E24" s="328">
        <f>ROUND(((E7)+(E21-E20)/2)*(D24/12),2)</f>
        <v>-1267.76</v>
      </c>
      <c r="F24" s="385"/>
      <c r="G24" s="65"/>
      <c r="H24" s="7"/>
      <c r="I24" s="10"/>
      <c r="J24" s="10"/>
    </row>
    <row r="25" spans="1:10" ht="16.5" thickBot="1">
      <c r="A25" s="5"/>
      <c r="B25" s="5"/>
      <c r="C25" s="50" t="s">
        <v>1</v>
      </c>
      <c r="D25" s="143">
        <f>A10</f>
        <v>41578</v>
      </c>
      <c r="E25" s="329">
        <f>SUM(E23:E24)</f>
        <v>-1478312.2099999997</v>
      </c>
      <c r="F25" s="385"/>
      <c r="G25" s="7"/>
      <c r="H25" s="7"/>
      <c r="I25" s="8"/>
      <c r="J25" s="7"/>
    </row>
    <row r="26" spans="1:10" ht="16.5" thickTop="1" thickBot="1"/>
    <row r="27" spans="1:10" ht="15.75">
      <c r="A27" s="73" t="s">
        <v>142</v>
      </c>
      <c r="B27" s="74"/>
      <c r="C27" s="75"/>
      <c r="D27" s="76"/>
      <c r="E27" s="321"/>
      <c r="G27" s="16"/>
      <c r="H27" s="5"/>
      <c r="I27" s="56"/>
      <c r="J27" s="56"/>
    </row>
    <row r="28" spans="1:10" ht="15.75">
      <c r="A28" s="219">
        <v>41608</v>
      </c>
      <c r="B28" s="71"/>
      <c r="C28" s="16"/>
      <c r="D28" s="72" t="s">
        <v>23</v>
      </c>
      <c r="E28" s="322" t="s">
        <v>21</v>
      </c>
      <c r="G28" s="5"/>
      <c r="H28" s="5"/>
      <c r="I28" s="8"/>
      <c r="J28" s="10"/>
    </row>
    <row r="29" spans="1:10" ht="16.5" thickBot="1">
      <c r="A29" s="14"/>
      <c r="B29" s="18"/>
      <c r="C29" s="131" t="s">
        <v>21</v>
      </c>
      <c r="D29" s="131" t="s">
        <v>22</v>
      </c>
      <c r="E29" s="323" t="s">
        <v>23</v>
      </c>
      <c r="F29" s="385"/>
      <c r="G29" s="7"/>
      <c r="H29" s="7"/>
      <c r="I29" s="10"/>
      <c r="J29" s="10"/>
    </row>
    <row r="30" spans="1:10" ht="15.75">
      <c r="A30" s="2" t="s">
        <v>24</v>
      </c>
      <c r="B30" s="17">
        <v>101</v>
      </c>
      <c r="C30" s="252">
        <v>7085932</v>
      </c>
      <c r="D30" s="389" t="s">
        <v>187</v>
      </c>
      <c r="E30" s="324">
        <v>104530.84</v>
      </c>
      <c r="F30" s="385"/>
      <c r="G30" s="7"/>
      <c r="H30" s="7"/>
      <c r="I30" s="8"/>
      <c r="J30" s="7"/>
    </row>
    <row r="31" spans="1:10" ht="16.5" thickBot="1">
      <c r="A31" s="2" t="s">
        <v>24</v>
      </c>
      <c r="B31" s="17">
        <v>111</v>
      </c>
      <c r="C31" s="252">
        <v>2422167</v>
      </c>
      <c r="D31" s="389" t="s">
        <v>187</v>
      </c>
      <c r="E31" s="324">
        <v>35529.620000000003</v>
      </c>
      <c r="F31" s="385"/>
      <c r="G31" s="146">
        <f>A28</f>
        <v>41608</v>
      </c>
      <c r="H31" s="147"/>
      <c r="I31" s="147"/>
      <c r="J31" s="147"/>
    </row>
    <row r="32" spans="1:10" ht="16.5" thickBot="1">
      <c r="A32" s="2" t="s">
        <v>24</v>
      </c>
      <c r="B32" s="17">
        <v>112</v>
      </c>
      <c r="C32" s="252">
        <v>24496</v>
      </c>
      <c r="D32" s="389" t="s">
        <v>187</v>
      </c>
      <c r="E32" s="324">
        <v>363.03</v>
      </c>
      <c r="F32" s="385"/>
      <c r="G32" s="102" t="s">
        <v>25</v>
      </c>
      <c r="H32" s="148"/>
      <c r="I32" s="149" t="s">
        <v>18</v>
      </c>
      <c r="J32" s="150" t="s">
        <v>19</v>
      </c>
    </row>
    <row r="33" spans="1:10" ht="15.75">
      <c r="A33" s="2" t="s">
        <v>24</v>
      </c>
      <c r="B33" s="17">
        <v>121</v>
      </c>
      <c r="C33" s="252"/>
      <c r="D33" s="220"/>
      <c r="E33" s="324">
        <v>0</v>
      </c>
      <c r="F33" s="385"/>
      <c r="G33" s="151" t="s">
        <v>28</v>
      </c>
      <c r="H33" s="152" t="s">
        <v>77</v>
      </c>
      <c r="I33" s="108"/>
      <c r="J33" s="394">
        <f>IF(E42&gt;0,-E42,0)</f>
        <v>0</v>
      </c>
    </row>
    <row r="34" spans="1:10" ht="15.75">
      <c r="A34" s="2" t="s">
        <v>24</v>
      </c>
      <c r="B34" s="17">
        <v>122</v>
      </c>
      <c r="C34" s="252"/>
      <c r="D34" s="220"/>
      <c r="E34" s="324">
        <v>0</v>
      </c>
      <c r="F34" s="385"/>
      <c r="G34" s="153" t="s">
        <v>29</v>
      </c>
      <c r="H34" s="7" t="s">
        <v>78</v>
      </c>
      <c r="I34" s="395">
        <f>IF(E42&lt;0,-E42,0)</f>
        <v>1173.9403833333333</v>
      </c>
      <c r="J34" s="222"/>
    </row>
    <row r="35" spans="1:10" ht="15.75">
      <c r="A35" s="2" t="s">
        <v>24</v>
      </c>
      <c r="B35" s="17">
        <v>131</v>
      </c>
      <c r="C35" s="252">
        <v>0</v>
      </c>
      <c r="D35" s="389" t="s">
        <v>187</v>
      </c>
      <c r="E35" s="324">
        <v>0</v>
      </c>
      <c r="F35" s="385"/>
      <c r="G35" s="153" t="s">
        <v>99</v>
      </c>
      <c r="H35" s="7" t="s">
        <v>228</v>
      </c>
      <c r="I35" s="395">
        <f>IF((E25-E41)&gt;0,E25-E41,0)</f>
        <v>0</v>
      </c>
      <c r="J35" s="395">
        <f>IF((E25-E41)&lt;0,E25-E41,0)</f>
        <v>-140007.26</v>
      </c>
    </row>
    <row r="36" spans="1:10" ht="15.75">
      <c r="A36" s="2" t="s">
        <v>24</v>
      </c>
      <c r="B36" s="17">
        <v>132</v>
      </c>
      <c r="C36" s="252">
        <v>27816</v>
      </c>
      <c r="D36" s="389" t="s">
        <v>187</v>
      </c>
      <c r="E36" s="324">
        <v>412.23</v>
      </c>
      <c r="F36" s="385"/>
      <c r="G36" s="153" t="s">
        <v>10</v>
      </c>
      <c r="H36" s="7" t="s">
        <v>58</v>
      </c>
      <c r="I36" s="7"/>
      <c r="J36" s="460"/>
    </row>
    <row r="37" spans="1:10" ht="16.5" thickBot="1">
      <c r="A37" s="2" t="s">
        <v>24</v>
      </c>
      <c r="B37" s="17" t="s">
        <v>61</v>
      </c>
      <c r="C37" s="252"/>
      <c r="D37" s="121"/>
      <c r="E37" s="324">
        <v>0</v>
      </c>
      <c r="F37" s="385"/>
      <c r="G37" s="154" t="s">
        <v>100</v>
      </c>
      <c r="H37" s="147" t="s">
        <v>207</v>
      </c>
      <c r="I37" s="462">
        <f>IF((E43-E25)&gt;0,E43-E25,0)</f>
        <v>138833.31961666676</v>
      </c>
      <c r="J37" s="107">
        <f>IF((E43-E25)&lt;0,E43-E25,0)</f>
        <v>0</v>
      </c>
    </row>
    <row r="38" spans="1:10" ht="15.75">
      <c r="A38" s="2" t="s">
        <v>156</v>
      </c>
      <c r="B38" s="70"/>
      <c r="C38" s="251"/>
      <c r="D38" s="136"/>
      <c r="E38" s="327">
        <v>0</v>
      </c>
      <c r="F38" s="385"/>
      <c r="G38" s="7"/>
      <c r="H38" s="7"/>
      <c r="I38" s="8"/>
      <c r="J38" s="260">
        <f>ROUND(SUM(I33:J37),2)</f>
        <v>0</v>
      </c>
    </row>
    <row r="39" spans="1:10" ht="16.5" thickBot="1">
      <c r="B39" s="6"/>
      <c r="C39" s="254">
        <f>SUM(C30:C38)</f>
        <v>9560411</v>
      </c>
      <c r="D39" s="155"/>
      <c r="E39" s="326">
        <f>SUM(E30:E38)</f>
        <v>140835.72</v>
      </c>
      <c r="F39" s="385"/>
      <c r="G39" s="7"/>
      <c r="H39" s="7"/>
      <c r="I39" s="7"/>
      <c r="J39" s="7"/>
    </row>
    <row r="40" spans="1:10" ht="16.5" thickTop="1">
      <c r="B40" s="6"/>
      <c r="C40" s="255">
        <v>9560411</v>
      </c>
      <c r="D40" s="66" t="s">
        <v>161</v>
      </c>
      <c r="E40" s="327">
        <f>-828.46</f>
        <v>-828.46</v>
      </c>
      <c r="F40" s="385"/>
      <c r="G40" s="65" t="s">
        <v>158</v>
      </c>
      <c r="H40" s="7"/>
      <c r="I40" s="12"/>
      <c r="J40" s="12"/>
    </row>
    <row r="41" spans="1:10" ht="15.75">
      <c r="C41" s="317">
        <f>C39-C40</f>
        <v>0</v>
      </c>
      <c r="D41" s="66" t="s">
        <v>87</v>
      </c>
      <c r="E41" s="326">
        <f>E39+E40+E25</f>
        <v>-1338304.9499999997</v>
      </c>
      <c r="F41" s="385"/>
      <c r="G41" s="8">
        <f>(E25*(D42/12))+((E39-E38)*(D42/24))</f>
        <v>-1173.2452916666666</v>
      </c>
      <c r="H41" s="7"/>
      <c r="I41" s="8"/>
      <c r="J41" s="10"/>
    </row>
    <row r="42" spans="1:10" ht="15.75">
      <c r="C42" s="50"/>
      <c r="D42" s="225">
        <v>0.01</v>
      </c>
      <c r="E42" s="328">
        <f>ROUND(((E25)+(E39-E38)/2)*(D42/12),2)+(E40*0.01/12)</f>
        <v>-1173.9403833333333</v>
      </c>
      <c r="F42" s="385"/>
      <c r="G42" s="65">
        <f>E42-G41</f>
        <v>-0.69509166666671263</v>
      </c>
      <c r="H42" s="467" t="s">
        <v>229</v>
      </c>
      <c r="I42" s="10"/>
      <c r="J42" s="10"/>
    </row>
    <row r="43" spans="1:10" ht="16.5" thickBot="1">
      <c r="A43" s="5"/>
      <c r="B43" s="5"/>
      <c r="C43" s="50" t="s">
        <v>1</v>
      </c>
      <c r="D43" s="143">
        <f>A28</f>
        <v>41608</v>
      </c>
      <c r="E43" s="329">
        <f>SUM(E41:E42)</f>
        <v>-1339478.890383333</v>
      </c>
      <c r="F43" s="385"/>
      <c r="G43" s="7"/>
      <c r="H43" s="7"/>
      <c r="I43" s="8"/>
      <c r="J43" s="7"/>
    </row>
    <row r="44" spans="1:10" ht="16.5" thickTop="1" thickBot="1"/>
    <row r="45" spans="1:10" ht="15.75">
      <c r="A45" s="73" t="s">
        <v>142</v>
      </c>
      <c r="B45" s="74"/>
      <c r="C45" s="75"/>
      <c r="D45" s="76"/>
      <c r="E45" s="321"/>
      <c r="G45" s="16"/>
      <c r="H45" s="5"/>
      <c r="I45" s="56"/>
      <c r="J45" s="56"/>
    </row>
    <row r="46" spans="1:10" ht="15.75">
      <c r="A46" s="219">
        <f>EOMONTH(A28,1)</f>
        <v>41639</v>
      </c>
      <c r="B46" s="71"/>
      <c r="C46" s="16"/>
      <c r="D46" s="72" t="s">
        <v>23</v>
      </c>
      <c r="E46" s="322" t="s">
        <v>21</v>
      </c>
      <c r="G46" s="5"/>
      <c r="H46" s="5"/>
      <c r="I46" s="8"/>
      <c r="J46" s="10"/>
    </row>
    <row r="47" spans="1:10" ht="16.5" thickBot="1">
      <c r="A47" s="14"/>
      <c r="B47" s="18"/>
      <c r="C47" s="131" t="s">
        <v>21</v>
      </c>
      <c r="D47" s="131" t="s">
        <v>22</v>
      </c>
      <c r="E47" s="323" t="s">
        <v>23</v>
      </c>
      <c r="F47" s="385"/>
      <c r="G47" s="7"/>
      <c r="H47" s="7"/>
      <c r="I47" s="10"/>
      <c r="J47" s="10"/>
    </row>
    <row r="48" spans="1:10" ht="15.75">
      <c r="A48" s="2" t="s">
        <v>24</v>
      </c>
      <c r="B48" s="17">
        <v>101</v>
      </c>
      <c r="C48" s="252">
        <f>Jan!$K$36</f>
        <v>12030330</v>
      </c>
      <c r="D48" s="389">
        <v>1.482E-2</v>
      </c>
      <c r="E48" s="324">
        <f>C48*D48</f>
        <v>178289.49059999999</v>
      </c>
      <c r="F48" s="385"/>
      <c r="G48" s="7"/>
      <c r="H48" s="7"/>
      <c r="I48" s="8"/>
      <c r="J48" s="7"/>
    </row>
    <row r="49" spans="1:10" ht="16.5" thickBot="1">
      <c r="A49" s="2" t="s">
        <v>24</v>
      </c>
      <c r="B49" s="17">
        <v>111</v>
      </c>
      <c r="C49" s="252">
        <f>Jan!$K$37</f>
        <v>3930876</v>
      </c>
      <c r="D49" s="389">
        <v>1.482E-2</v>
      </c>
      <c r="E49" s="324">
        <f t="shared" ref="E49:E55" si="0">C49*D49</f>
        <v>58255.582320000001</v>
      </c>
      <c r="F49" s="385"/>
      <c r="G49" s="146">
        <f>A46</f>
        <v>41639</v>
      </c>
      <c r="H49" s="147"/>
      <c r="I49" s="147"/>
      <c r="J49" s="147"/>
    </row>
    <row r="50" spans="1:10" ht="16.5" thickBot="1">
      <c r="A50" s="2" t="s">
        <v>24</v>
      </c>
      <c r="B50" s="17">
        <v>112</v>
      </c>
      <c r="C50" s="252">
        <f>Jan!$K$38</f>
        <v>4671</v>
      </c>
      <c r="D50" s="389">
        <v>1.482E-2</v>
      </c>
      <c r="E50" s="324">
        <f t="shared" si="0"/>
        <v>69.224220000000003</v>
      </c>
      <c r="F50" s="385"/>
      <c r="G50" s="102" t="s">
        <v>25</v>
      </c>
      <c r="H50" s="148"/>
      <c r="I50" s="149" t="s">
        <v>18</v>
      </c>
      <c r="J50" s="150" t="s">
        <v>19</v>
      </c>
    </row>
    <row r="51" spans="1:10" ht="15.75">
      <c r="A51" s="2" t="s">
        <v>24</v>
      </c>
      <c r="B51" s="17">
        <v>121</v>
      </c>
      <c r="C51" s="252">
        <f>Jan!$K$39</f>
        <v>0</v>
      </c>
      <c r="D51" s="389">
        <v>1.482E-2</v>
      </c>
      <c r="E51" s="324">
        <f t="shared" si="0"/>
        <v>0</v>
      </c>
      <c r="F51" s="385"/>
      <c r="G51" s="151" t="s">
        <v>28</v>
      </c>
      <c r="H51" s="152" t="s">
        <v>77</v>
      </c>
      <c r="I51" s="108"/>
      <c r="J51" s="394">
        <f>IF(E60&gt;0,-E60,0)</f>
        <v>0</v>
      </c>
    </row>
    <row r="52" spans="1:10" ht="15.75">
      <c r="A52" s="2" t="s">
        <v>24</v>
      </c>
      <c r="B52" s="17">
        <v>122</v>
      </c>
      <c r="C52" s="252"/>
      <c r="D52" s="220"/>
      <c r="E52" s="324">
        <f t="shared" si="0"/>
        <v>0</v>
      </c>
      <c r="F52" s="385"/>
      <c r="G52" s="153" t="s">
        <v>29</v>
      </c>
      <c r="H52" s="7" t="s">
        <v>78</v>
      </c>
      <c r="I52" s="395">
        <f>IF(E60&lt;0,-E60,0)</f>
        <v>1017.64</v>
      </c>
      <c r="J52" s="222"/>
    </row>
    <row r="53" spans="1:10" ht="15.75">
      <c r="A53" s="2" t="s">
        <v>24</v>
      </c>
      <c r="B53" s="17">
        <v>131</v>
      </c>
      <c r="C53" s="252"/>
      <c r="D53" s="389"/>
      <c r="E53" s="324">
        <f t="shared" si="0"/>
        <v>0</v>
      </c>
      <c r="F53" s="385"/>
      <c r="G53" s="153" t="s">
        <v>99</v>
      </c>
      <c r="H53" s="7" t="s">
        <v>228</v>
      </c>
      <c r="I53" s="395">
        <f>IF((E43-E59)&gt;0,E43-E59,0)</f>
        <v>0</v>
      </c>
      <c r="J53" s="395">
        <f>IF((E43-E59)&lt;0,E43-E59,0)</f>
        <v>-236614.29713999992</v>
      </c>
    </row>
    <row r="54" spans="1:10" ht="15.75">
      <c r="A54" s="2" t="s">
        <v>24</v>
      </c>
      <c r="B54" s="17">
        <v>132</v>
      </c>
      <c r="C54" s="252">
        <f>Jan!$K$42</f>
        <v>0</v>
      </c>
      <c r="D54" s="389">
        <v>1.482E-2</v>
      </c>
      <c r="E54" s="324">
        <f t="shared" si="0"/>
        <v>0</v>
      </c>
      <c r="F54" s="385"/>
      <c r="G54" s="153" t="s">
        <v>10</v>
      </c>
      <c r="H54" s="7" t="s">
        <v>58</v>
      </c>
      <c r="I54" s="7"/>
      <c r="J54" s="460"/>
    </row>
    <row r="55" spans="1:10" ht="16.5" thickBot="1">
      <c r="A55" s="2" t="s">
        <v>24</v>
      </c>
      <c r="B55" s="17" t="s">
        <v>61</v>
      </c>
      <c r="C55" s="252"/>
      <c r="D55" s="121"/>
      <c r="E55" s="324">
        <f t="shared" si="0"/>
        <v>0</v>
      </c>
      <c r="F55" s="385"/>
      <c r="G55" s="154" t="s">
        <v>100</v>
      </c>
      <c r="H55" s="147" t="s">
        <v>207</v>
      </c>
      <c r="I55" s="462">
        <f>IF((E61-E43)&gt;0,E61-E43,0)</f>
        <v>235596.65714000002</v>
      </c>
      <c r="J55" s="107">
        <f>IF((E61-E43)&lt;0,E61-E43,0)</f>
        <v>0</v>
      </c>
    </row>
    <row r="56" spans="1:10" ht="15.75">
      <c r="A56" s="2" t="s">
        <v>156</v>
      </c>
      <c r="B56" s="70"/>
      <c r="C56" s="251"/>
      <c r="D56" s="136"/>
      <c r="E56" s="327">
        <v>0</v>
      </c>
      <c r="F56" s="385"/>
      <c r="G56" s="7"/>
      <c r="H56" s="7"/>
      <c r="I56" s="8"/>
      <c r="J56" s="260">
        <f>ROUND(SUM(I51:J55),2)</f>
        <v>0</v>
      </c>
    </row>
    <row r="57" spans="1:10" ht="16.5" thickBot="1">
      <c r="B57" s="6"/>
      <c r="C57" s="254">
        <f>SUM(C48:C56)</f>
        <v>15965877</v>
      </c>
      <c r="D57" s="155"/>
      <c r="E57" s="326">
        <f>SUM(E48:E56)</f>
        <v>236614.29714000001</v>
      </c>
      <c r="F57" s="385"/>
      <c r="G57" s="7"/>
      <c r="H57" s="7"/>
      <c r="I57" s="7"/>
      <c r="J57" s="7"/>
    </row>
    <row r="58" spans="1:10" ht="16.5" thickTop="1">
      <c r="B58" s="6"/>
      <c r="C58" s="255">
        <v>13799763</v>
      </c>
      <c r="D58" s="66" t="s">
        <v>161</v>
      </c>
      <c r="E58" s="327">
        <v>0</v>
      </c>
      <c r="F58" s="385"/>
      <c r="G58" s="65" t="s">
        <v>158</v>
      </c>
      <c r="H58" s="7"/>
      <c r="I58" s="12"/>
      <c r="J58" s="12"/>
    </row>
    <row r="59" spans="1:10" ht="15.75">
      <c r="C59" s="317">
        <f>C57-C58</f>
        <v>2166114</v>
      </c>
      <c r="D59" s="66" t="s">
        <v>87</v>
      </c>
      <c r="E59" s="326">
        <f>E57+E58+E43</f>
        <v>-1102864.593243333</v>
      </c>
      <c r="F59" s="385"/>
      <c r="G59" s="8">
        <f>(E43*(D60/12))+((E57-E56)*(D60/24))</f>
        <v>-1017.6431181777776</v>
      </c>
      <c r="H59" s="7"/>
      <c r="I59" s="8"/>
      <c r="J59" s="10"/>
    </row>
    <row r="60" spans="1:10" ht="15.75">
      <c r="C60" s="50"/>
      <c r="D60" s="225">
        <v>0.01</v>
      </c>
      <c r="E60" s="328">
        <f>ROUND(((E43)+(E57-E56)/2)*(D60/12),2)</f>
        <v>-1017.64</v>
      </c>
      <c r="F60" s="385"/>
      <c r="G60" s="65"/>
      <c r="H60" s="467"/>
      <c r="I60" s="10"/>
      <c r="J60" s="10"/>
    </row>
    <row r="61" spans="1:10" ht="16.5" thickBot="1">
      <c r="A61" s="5"/>
      <c r="B61" s="5"/>
      <c r="C61" s="50" t="s">
        <v>1</v>
      </c>
      <c r="D61" s="143">
        <f>A46</f>
        <v>41639</v>
      </c>
      <c r="E61" s="329">
        <f>SUM(E59:E60)</f>
        <v>-1103882.2332433329</v>
      </c>
      <c r="F61" s="385"/>
      <c r="G61" s="475" t="s">
        <v>244</v>
      </c>
      <c r="H61" s="476" t="e">
        <f>_xll.Get_Balance(I61,"YTD","USD","Total","A","","001","191015","GD","ID","DL")-E61</f>
        <v>#VALUE!</v>
      </c>
      <c r="I61" s="477">
        <v>201312</v>
      </c>
      <c r="J61" s="7"/>
    </row>
    <row r="62" spans="1:10" ht="15.75" thickTop="1"/>
    <row r="118" spans="16:16">
      <c r="P118" s="384">
        <f>(C106*M117)/12+((C109+C112+C113)*M117)/24</f>
        <v>0</v>
      </c>
    </row>
  </sheetData>
  <conditionalFormatting sqref="C23">
    <cfRule type="cellIs" dxfId="172" priority="45" operator="notEqual">
      <formula>0</formula>
    </cfRule>
  </conditionalFormatting>
  <conditionalFormatting sqref="J20">
    <cfRule type="cellIs" dxfId="171" priority="43" stopIfTrue="1" operator="equal">
      <formula>0</formula>
    </cfRule>
    <cfRule type="cellIs" dxfId="170" priority="44" stopIfTrue="1" operator="notEqual">
      <formula>0</formula>
    </cfRule>
  </conditionalFormatting>
  <conditionalFormatting sqref="C41">
    <cfRule type="cellIs" dxfId="169" priority="6" operator="notEqual">
      <formula>0</formula>
    </cfRule>
  </conditionalFormatting>
  <conditionalFormatting sqref="J38">
    <cfRule type="cellIs" dxfId="168" priority="4" stopIfTrue="1" operator="equal">
      <formula>0</formula>
    </cfRule>
    <cfRule type="cellIs" dxfId="167" priority="5" stopIfTrue="1" operator="notEqual">
      <formula>0</formula>
    </cfRule>
  </conditionalFormatting>
  <conditionalFormatting sqref="C59">
    <cfRule type="cellIs" dxfId="166" priority="3" operator="notEqual">
      <formula>0</formula>
    </cfRule>
  </conditionalFormatting>
  <conditionalFormatting sqref="J56">
    <cfRule type="cellIs" dxfId="165" priority="1" stopIfTrue="1" operator="equal">
      <formula>0</formula>
    </cfRule>
    <cfRule type="cellIs" dxfId="164" priority="2" stopIfTrue="1" operator="notEqual">
      <formula>0</formula>
    </cfRule>
  </conditionalFormatting>
  <printOptions gridLinesSet="0"/>
  <pageMargins left="0.5" right="0.5" top="1.04" bottom="0.5" header="0.25" footer="0.25"/>
  <pageSetup scale="53" orientation="portrait" horizontalDpi="300" verticalDpi="300" r:id="rId1"/>
  <headerFooter alignWithMargins="0">
    <oddHeader>&amp;L&amp;12Prior Period Unrecovered Gas Costs
Idaho
191000</oddHeader>
    <oddFooter>&amp;L&amp;F&amp;C&amp;A&amp;R&amp;D &amp;T</oddFooter>
  </headerFooter>
  <customProperties>
    <customPr name="xxe4aPI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5">
    <tabColor rgb="FF92D050"/>
    <pageSetUpPr fitToPage="1"/>
  </sheetPr>
  <dimension ref="A1:P355"/>
  <sheetViews>
    <sheetView showGridLines="0" view="pageBreakPreview" topLeftCell="A276" zoomScale="80" zoomScaleNormal="100" zoomScaleSheetLayoutView="80" workbookViewId="0">
      <selection activeCell="G51" sqref="G51:J55"/>
    </sheetView>
  </sheetViews>
  <sheetFormatPr defaultColWidth="9.140625" defaultRowHeight="15"/>
  <cols>
    <col min="1" max="1" width="13.140625" style="1" customWidth="1"/>
    <col min="2" max="2" width="9.28515625" style="1" customWidth="1"/>
    <col min="3" max="3" width="17.85546875" style="1" customWidth="1"/>
    <col min="4" max="4" width="18.42578125" style="1" customWidth="1"/>
    <col min="5" max="5" width="20.140625" style="320" bestFit="1" customWidth="1"/>
    <col min="6" max="6" width="16.140625" style="1" customWidth="1"/>
    <col min="7" max="7" width="34.5703125" style="1" bestFit="1" customWidth="1"/>
    <col min="8" max="8" width="16.85546875" style="1" customWidth="1"/>
    <col min="9" max="9" width="18.28515625" style="1" bestFit="1" customWidth="1"/>
    <col min="10" max="10" width="18.28515625" style="1" customWidth="1"/>
    <col min="11" max="11" width="3.42578125" style="1" customWidth="1"/>
    <col min="12" max="16384" width="9.140625" style="1"/>
  </cols>
  <sheetData>
    <row r="1" spans="1:10" ht="15.75">
      <c r="A1" s="51" t="s">
        <v>13</v>
      </c>
    </row>
    <row r="2" spans="1:10" ht="15.75">
      <c r="A2" s="51" t="s">
        <v>46</v>
      </c>
    </row>
    <row r="3" spans="1:10" ht="15.75">
      <c r="A3" s="51" t="s">
        <v>170</v>
      </c>
    </row>
    <row r="4" spans="1:10" ht="15.75">
      <c r="A4" s="51" t="s">
        <v>171</v>
      </c>
    </row>
    <row r="7" spans="1:10" s="331" customFormat="1" ht="16.5" hidden="1" thickBot="1">
      <c r="A7" s="5"/>
      <c r="B7" s="5"/>
      <c r="C7" s="50" t="s">
        <v>1</v>
      </c>
      <c r="D7" s="143">
        <v>41182</v>
      </c>
      <c r="E7" s="329">
        <v>802311.62372397084</v>
      </c>
      <c r="F7" s="333"/>
      <c r="G7" s="7"/>
      <c r="H7" s="7"/>
      <c r="I7" s="8"/>
      <c r="J7" s="7"/>
    </row>
    <row r="8" spans="1:10" s="385" customFormat="1" ht="16.5" hidden="1" thickTop="1">
      <c r="D8" s="142" t="s">
        <v>208</v>
      </c>
      <c r="E8" s="326">
        <f>'ID Def 191010'!T17</f>
        <v>-2122091.5699999998</v>
      </c>
    </row>
    <row r="9" spans="1:10" s="385" customFormat="1" ht="16.5" hidden="1" thickBot="1">
      <c r="D9" s="142" t="s">
        <v>204</v>
      </c>
      <c r="E9" s="329">
        <f>E8+E7</f>
        <v>-1319779.9462760291</v>
      </c>
    </row>
    <row r="10" spans="1:10" s="331" customFormat="1" ht="16.5" hidden="1" thickTop="1" thickBot="1">
      <c r="E10" s="320"/>
    </row>
    <row r="11" spans="1:10" ht="15.75" hidden="1">
      <c r="A11" s="73" t="s">
        <v>142</v>
      </c>
      <c r="B11" s="74"/>
      <c r="C11" s="75"/>
      <c r="D11" s="76"/>
      <c r="E11" s="321"/>
      <c r="F11" s="331"/>
      <c r="G11" s="16"/>
      <c r="H11" s="5"/>
      <c r="I11" s="56"/>
      <c r="J11" s="56"/>
    </row>
    <row r="12" spans="1:10" ht="15.75" hidden="1">
      <c r="A12" s="219">
        <v>41213</v>
      </c>
      <c r="B12" s="71"/>
      <c r="C12" s="16"/>
      <c r="D12" s="72" t="s">
        <v>23</v>
      </c>
      <c r="E12" s="322" t="s">
        <v>21</v>
      </c>
      <c r="F12" s="331"/>
      <c r="G12" s="5"/>
      <c r="H12" s="5"/>
      <c r="I12" s="8"/>
      <c r="J12" s="10"/>
    </row>
    <row r="13" spans="1:10" ht="16.5" hidden="1" thickBot="1">
      <c r="A13" s="14"/>
      <c r="B13" s="18"/>
      <c r="C13" s="131" t="s">
        <v>21</v>
      </c>
      <c r="D13" s="131" t="s">
        <v>22</v>
      </c>
      <c r="E13" s="323" t="s">
        <v>23</v>
      </c>
      <c r="F13" s="333"/>
      <c r="G13" s="7"/>
      <c r="H13" s="7"/>
      <c r="I13" s="10"/>
      <c r="J13" s="10"/>
    </row>
    <row r="14" spans="1:10" ht="15.75" hidden="1">
      <c r="A14" s="2" t="s">
        <v>24</v>
      </c>
      <c r="B14" s="17">
        <v>101</v>
      </c>
      <c r="C14" s="252">
        <v>3765205</v>
      </c>
      <c r="D14" s="233">
        <v>1.7780000000000001E-2</v>
      </c>
      <c r="E14" s="324">
        <v>66929.279999999999</v>
      </c>
      <c r="F14" s="385" t="s">
        <v>187</v>
      </c>
      <c r="G14" s="7"/>
      <c r="H14" s="7"/>
      <c r="I14" s="8"/>
      <c r="J14" s="7"/>
    </row>
    <row r="15" spans="1:10" ht="16.5" hidden="1" thickBot="1">
      <c r="A15" s="2" t="s">
        <v>24</v>
      </c>
      <c r="B15" s="17">
        <v>111</v>
      </c>
      <c r="C15" s="252">
        <v>1887716</v>
      </c>
      <c r="D15" s="233">
        <v>1.7780000000000001E-2</v>
      </c>
      <c r="E15" s="324">
        <v>32198.03</v>
      </c>
      <c r="F15" s="385" t="s">
        <v>187</v>
      </c>
      <c r="G15" s="146">
        <f>A12</f>
        <v>41213</v>
      </c>
      <c r="H15" s="147"/>
      <c r="I15" s="147"/>
      <c r="J15" s="147"/>
    </row>
    <row r="16" spans="1:10" ht="16.5" hidden="1" thickBot="1">
      <c r="A16" s="2" t="s">
        <v>24</v>
      </c>
      <c r="B16" s="17">
        <v>112</v>
      </c>
      <c r="C16" s="252"/>
      <c r="D16" s="233"/>
      <c r="E16" s="324">
        <v>0</v>
      </c>
      <c r="F16" s="333"/>
      <c r="G16" s="102" t="s">
        <v>25</v>
      </c>
      <c r="H16" s="148"/>
      <c r="I16" s="149" t="s">
        <v>18</v>
      </c>
      <c r="J16" s="150" t="s">
        <v>19</v>
      </c>
    </row>
    <row r="17" spans="1:10" ht="15.75" hidden="1">
      <c r="A17" s="2" t="s">
        <v>24</v>
      </c>
      <c r="B17" s="17">
        <v>121</v>
      </c>
      <c r="C17" s="252"/>
      <c r="D17" s="220"/>
      <c r="E17" s="324">
        <v>0</v>
      </c>
      <c r="F17" s="333"/>
      <c r="G17" s="151" t="s">
        <v>28</v>
      </c>
      <c r="H17" s="152" t="s">
        <v>77</v>
      </c>
      <c r="I17" s="108"/>
      <c r="J17" s="394">
        <v>0</v>
      </c>
    </row>
    <row r="18" spans="1:10" ht="15.75" hidden="1">
      <c r="A18" s="2" t="s">
        <v>24</v>
      </c>
      <c r="B18" s="17">
        <v>122</v>
      </c>
      <c r="C18" s="253"/>
      <c r="D18" s="220"/>
      <c r="E18" s="324">
        <v>0</v>
      </c>
      <c r="F18" s="333"/>
      <c r="G18" s="153" t="s">
        <v>29</v>
      </c>
      <c r="H18" s="7" t="s">
        <v>78</v>
      </c>
      <c r="I18" s="395">
        <f>-E26</f>
        <v>1058.51</v>
      </c>
      <c r="J18" s="222"/>
    </row>
    <row r="19" spans="1:10" ht="15.75" hidden="1">
      <c r="A19" s="2" t="s">
        <v>24</v>
      </c>
      <c r="B19" s="17">
        <v>131</v>
      </c>
      <c r="C19" s="252">
        <v>0</v>
      </c>
      <c r="D19" s="233">
        <v>1.6570000000000001E-2</v>
      </c>
      <c r="E19" s="324">
        <v>0</v>
      </c>
      <c r="F19" s="333"/>
      <c r="G19" s="153" t="s">
        <v>99</v>
      </c>
      <c r="H19" s="7" t="s">
        <v>60</v>
      </c>
      <c r="I19" s="8"/>
      <c r="J19" s="98">
        <f>-E23-E24</f>
        <v>-147173</v>
      </c>
    </row>
    <row r="20" spans="1:10" ht="15.75" hidden="1">
      <c r="A20" s="2" t="s">
        <v>24</v>
      </c>
      <c r="B20" s="17">
        <v>132</v>
      </c>
      <c r="C20" s="253"/>
      <c r="D20" s="121"/>
      <c r="E20" s="324">
        <v>0</v>
      </c>
      <c r="F20" s="333"/>
      <c r="G20" s="153" t="s">
        <v>10</v>
      </c>
      <c r="H20" s="7" t="s">
        <v>58</v>
      </c>
      <c r="I20" s="7">
        <v>0</v>
      </c>
      <c r="J20" s="109"/>
    </row>
    <row r="21" spans="1:10" ht="16.5" hidden="1" thickBot="1">
      <c r="A21" s="2" t="s">
        <v>24</v>
      </c>
      <c r="B21" s="17" t="s">
        <v>61</v>
      </c>
      <c r="C21" s="253"/>
      <c r="D21" s="121"/>
      <c r="E21" s="324">
        <v>0</v>
      </c>
      <c r="F21" s="333"/>
      <c r="G21" s="154" t="s">
        <v>100</v>
      </c>
      <c r="H21" s="147" t="s">
        <v>62</v>
      </c>
      <c r="I21" s="110">
        <f>-E9+E27</f>
        <v>146114.49</v>
      </c>
      <c r="J21" s="107">
        <v>0</v>
      </c>
    </row>
    <row r="22" spans="1:10" ht="15.75" hidden="1">
      <c r="A22" s="2" t="s">
        <v>156</v>
      </c>
      <c r="B22" s="70"/>
      <c r="C22" s="251"/>
      <c r="D22" s="136"/>
      <c r="E22" s="325">
        <v>48045.69</v>
      </c>
      <c r="F22" s="333"/>
      <c r="G22" s="7"/>
      <c r="H22" s="7"/>
      <c r="I22" s="8"/>
      <c r="J22" s="260">
        <f>ROUND(SUM(I17:J21),2)</f>
        <v>0</v>
      </c>
    </row>
    <row r="23" spans="1:10" ht="16.5" hidden="1" thickBot="1">
      <c r="A23" s="331"/>
      <c r="B23" s="6"/>
      <c r="C23" s="254">
        <f>SUM(C14:C22)</f>
        <v>5652921</v>
      </c>
      <c r="D23" s="155"/>
      <c r="E23" s="326">
        <f>SUM(E14:E22)</f>
        <v>147173</v>
      </c>
      <c r="F23" s="333"/>
      <c r="G23" s="7"/>
      <c r="H23" s="7"/>
      <c r="I23" s="7"/>
      <c r="J23" s="7"/>
    </row>
    <row r="24" spans="1:10" ht="16.5" hidden="1" thickTop="1">
      <c r="A24" s="331"/>
      <c r="B24" s="6"/>
      <c r="C24" s="255">
        <v>5652921</v>
      </c>
      <c r="D24" s="66" t="s">
        <v>161</v>
      </c>
      <c r="E24" s="327">
        <v>0</v>
      </c>
      <c r="F24" s="333"/>
      <c r="G24" s="65" t="s">
        <v>158</v>
      </c>
      <c r="H24" s="7"/>
      <c r="I24" s="12"/>
      <c r="J24" s="12"/>
    </row>
    <row r="25" spans="1:10" ht="15.75" hidden="1">
      <c r="A25" s="331"/>
      <c r="B25" s="331"/>
      <c r="C25" s="317">
        <f>C23-C24</f>
        <v>0</v>
      </c>
      <c r="D25" s="66" t="s">
        <v>87</v>
      </c>
      <c r="E25" s="326">
        <f>E23+E24+E9</f>
        <v>-1172606.9462760291</v>
      </c>
      <c r="F25" s="333"/>
      <c r="G25" s="8">
        <f>(E9*(D26/12))+((E23-E22)*(D26/24))</f>
        <v>-1058.5135760633577</v>
      </c>
      <c r="H25" s="7"/>
      <c r="I25" s="8"/>
      <c r="J25" s="10"/>
    </row>
    <row r="26" spans="1:10" ht="15.75" hidden="1">
      <c r="A26" s="331"/>
      <c r="B26" s="331"/>
      <c r="C26" s="50"/>
      <c r="D26" s="225">
        <v>0.01</v>
      </c>
      <c r="E26" s="328">
        <f>ROUND(((E9)+(E23-E22)/2)*(D26/12),2)</f>
        <v>-1058.51</v>
      </c>
      <c r="F26" s="333"/>
      <c r="G26" s="65"/>
      <c r="H26" s="7"/>
      <c r="I26" s="10"/>
      <c r="J26" s="10"/>
    </row>
    <row r="27" spans="1:10" ht="16.5" hidden="1" thickBot="1">
      <c r="A27" s="5"/>
      <c r="B27" s="5"/>
      <c r="C27" s="50" t="s">
        <v>1</v>
      </c>
      <c r="D27" s="143">
        <f>A12</f>
        <v>41213</v>
      </c>
      <c r="E27" s="329">
        <f>SUM(E25:E26)</f>
        <v>-1173665.4562760291</v>
      </c>
      <c r="F27" s="333"/>
      <c r="G27" s="7"/>
      <c r="H27" s="7"/>
      <c r="I27" s="8"/>
      <c r="J27" s="7"/>
    </row>
    <row r="28" spans="1:10" ht="16.5" hidden="1" thickTop="1" thickBot="1"/>
    <row r="29" spans="1:10" ht="15.75" hidden="1">
      <c r="A29" s="73" t="s">
        <v>142</v>
      </c>
      <c r="B29" s="74"/>
      <c r="C29" s="75"/>
      <c r="D29" s="76"/>
      <c r="E29" s="321"/>
      <c r="F29" s="384"/>
      <c r="G29" s="16"/>
      <c r="H29" s="5"/>
      <c r="I29" s="56"/>
      <c r="J29" s="56"/>
    </row>
    <row r="30" spans="1:10" ht="15.75" hidden="1">
      <c r="A30" s="219">
        <v>41243</v>
      </c>
      <c r="B30" s="71"/>
      <c r="C30" s="16"/>
      <c r="D30" s="72" t="s">
        <v>23</v>
      </c>
      <c r="E30" s="322" t="s">
        <v>21</v>
      </c>
      <c r="F30" s="384"/>
      <c r="G30" s="5"/>
      <c r="H30" s="5"/>
      <c r="I30" s="8"/>
      <c r="J30" s="10"/>
    </row>
    <row r="31" spans="1:10" ht="16.5" hidden="1" thickBot="1">
      <c r="A31" s="14"/>
      <c r="B31" s="18"/>
      <c r="C31" s="131" t="s">
        <v>21</v>
      </c>
      <c r="D31" s="131" t="s">
        <v>22</v>
      </c>
      <c r="E31" s="323" t="s">
        <v>23</v>
      </c>
      <c r="F31" s="385"/>
      <c r="G31" s="7"/>
      <c r="H31" s="7"/>
      <c r="I31" s="10"/>
      <c r="J31" s="10"/>
    </row>
    <row r="32" spans="1:10" ht="15.75" hidden="1">
      <c r="A32" s="2" t="s">
        <v>24</v>
      </c>
      <c r="B32" s="17">
        <v>101</v>
      </c>
      <c r="C32" s="252">
        <v>6036412</v>
      </c>
      <c r="D32" s="389">
        <v>1.7780000000000001E-2</v>
      </c>
      <c r="E32" s="324">
        <v>74956.77</v>
      </c>
      <c r="F32" s="385" t="s">
        <v>187</v>
      </c>
      <c r="G32" s="7"/>
      <c r="H32" s="7"/>
      <c r="I32" s="8"/>
      <c r="J32" s="7"/>
    </row>
    <row r="33" spans="1:10" ht="16.5" hidden="1" thickBot="1">
      <c r="A33" s="2" t="s">
        <v>24</v>
      </c>
      <c r="B33" s="17">
        <v>111</v>
      </c>
      <c r="C33" s="252">
        <v>1867362</v>
      </c>
      <c r="D33" s="389">
        <v>1.7780000000000001E-2</v>
      </c>
      <c r="E33" s="324">
        <v>15979.81</v>
      </c>
      <c r="F33" s="385" t="s">
        <v>187</v>
      </c>
      <c r="G33" s="146">
        <v>41243</v>
      </c>
      <c r="H33" s="147"/>
      <c r="I33" s="147"/>
      <c r="J33" s="147"/>
    </row>
    <row r="34" spans="1:10" ht="16.5" hidden="1" thickBot="1">
      <c r="A34" s="2" t="s">
        <v>24</v>
      </c>
      <c r="B34" s="17">
        <v>112</v>
      </c>
      <c r="C34" s="252"/>
      <c r="D34" s="389"/>
      <c r="E34" s="324">
        <v>0</v>
      </c>
      <c r="F34" s="385"/>
      <c r="G34" s="102" t="s">
        <v>214</v>
      </c>
      <c r="H34" s="148"/>
      <c r="I34" s="149" t="s">
        <v>18</v>
      </c>
      <c r="J34" s="150" t="s">
        <v>19</v>
      </c>
    </row>
    <row r="35" spans="1:10" ht="15.75" hidden="1">
      <c r="A35" s="2" t="s">
        <v>24</v>
      </c>
      <c r="B35" s="17">
        <v>121</v>
      </c>
      <c r="C35" s="252"/>
      <c r="D35" s="220"/>
      <c r="E35" s="324">
        <v>0</v>
      </c>
      <c r="F35" s="385"/>
      <c r="G35" s="151" t="s">
        <v>28</v>
      </c>
      <c r="H35" s="152" t="s">
        <v>77</v>
      </c>
      <c r="I35" s="108"/>
      <c r="J35" s="394">
        <v>0</v>
      </c>
    </row>
    <row r="36" spans="1:10" ht="15.75" hidden="1">
      <c r="A36" s="2" t="s">
        <v>24</v>
      </c>
      <c r="B36" s="17">
        <v>122</v>
      </c>
      <c r="C36" s="253"/>
      <c r="D36" s="220"/>
      <c r="E36" s="324">
        <v>0</v>
      </c>
      <c r="F36" s="385"/>
      <c r="G36" s="153" t="s">
        <v>29</v>
      </c>
      <c r="H36" s="7" t="s">
        <v>78</v>
      </c>
      <c r="I36" s="395">
        <v>940.16</v>
      </c>
      <c r="J36" s="222"/>
    </row>
    <row r="37" spans="1:10" ht="15.75" hidden="1">
      <c r="A37" s="2" t="s">
        <v>24</v>
      </c>
      <c r="B37" s="17">
        <v>131</v>
      </c>
      <c r="C37" s="252">
        <v>0</v>
      </c>
      <c r="D37" s="389">
        <v>1.6570000000000001E-2</v>
      </c>
      <c r="E37" s="324">
        <v>0</v>
      </c>
      <c r="F37" s="385"/>
      <c r="G37" s="153" t="s">
        <v>99</v>
      </c>
      <c r="H37" s="7" t="s">
        <v>60</v>
      </c>
      <c r="I37" s="8"/>
      <c r="J37" s="98">
        <v>-90758.61</v>
      </c>
    </row>
    <row r="38" spans="1:10" ht="15.75" hidden="1">
      <c r="A38" s="2" t="s">
        <v>24</v>
      </c>
      <c r="B38" s="17">
        <v>132</v>
      </c>
      <c r="C38" s="253"/>
      <c r="D38" s="121"/>
      <c r="E38" s="324">
        <v>0</v>
      </c>
      <c r="F38" s="385"/>
      <c r="G38" s="153" t="s">
        <v>10</v>
      </c>
      <c r="H38" s="7" t="s">
        <v>58</v>
      </c>
      <c r="I38" s="7">
        <v>0</v>
      </c>
      <c r="J38" s="109"/>
    </row>
    <row r="39" spans="1:10" ht="16.5" hidden="1" thickBot="1">
      <c r="A39" s="2" t="s">
        <v>24</v>
      </c>
      <c r="B39" s="17" t="s">
        <v>61</v>
      </c>
      <c r="C39" s="253"/>
      <c r="D39" s="121"/>
      <c r="E39" s="324">
        <v>0</v>
      </c>
      <c r="F39" s="385"/>
      <c r="G39" s="154" t="s">
        <v>100</v>
      </c>
      <c r="H39" s="147" t="s">
        <v>62</v>
      </c>
      <c r="I39" s="110">
        <v>89818.450000000186</v>
      </c>
      <c r="J39" s="107">
        <v>0</v>
      </c>
    </row>
    <row r="40" spans="1:10" ht="15.75" hidden="1">
      <c r="A40" s="2" t="s">
        <v>156</v>
      </c>
      <c r="B40" s="70"/>
      <c r="C40" s="251"/>
      <c r="D40" s="136"/>
      <c r="E40" s="325">
        <v>0</v>
      </c>
      <c r="F40" s="385"/>
      <c r="G40" s="7"/>
      <c r="H40" s="7"/>
      <c r="I40" s="8"/>
      <c r="J40" s="260">
        <v>0</v>
      </c>
    </row>
    <row r="41" spans="1:10" ht="16.5" hidden="1" thickBot="1">
      <c r="A41" s="384"/>
      <c r="B41" s="6"/>
      <c r="C41" s="254">
        <v>7903774</v>
      </c>
      <c r="D41" s="155"/>
      <c r="E41" s="326">
        <v>90936.58</v>
      </c>
      <c r="F41" s="385"/>
      <c r="G41" s="7"/>
      <c r="H41" s="7"/>
      <c r="I41" s="7"/>
      <c r="J41" s="7"/>
    </row>
    <row r="42" spans="1:10" ht="16.5" hidden="1" thickTop="1">
      <c r="A42" s="384"/>
      <c r="B42" s="6"/>
      <c r="C42" s="255">
        <v>7903774</v>
      </c>
      <c r="D42" s="66" t="s">
        <v>161</v>
      </c>
      <c r="E42" s="327">
        <v>-177.97000000000116</v>
      </c>
      <c r="F42" s="385"/>
      <c r="G42" s="65" t="s">
        <v>158</v>
      </c>
      <c r="H42" s="7"/>
      <c r="I42" s="12"/>
      <c r="J42" s="12"/>
    </row>
    <row r="43" spans="1:10" ht="15.75" hidden="1">
      <c r="A43" s="384"/>
      <c r="B43" s="384"/>
      <c r="C43" s="317">
        <v>0</v>
      </c>
      <c r="D43" s="66" t="s">
        <v>87</v>
      </c>
      <c r="E43" s="326">
        <v>-1082906.846276029</v>
      </c>
      <c r="F43" s="385"/>
      <c r="G43" s="8">
        <v>-940.16430523002441</v>
      </c>
      <c r="H43" s="7"/>
      <c r="I43" s="8"/>
      <c r="J43" s="10"/>
    </row>
    <row r="44" spans="1:10" ht="15.75" hidden="1">
      <c r="A44" s="384"/>
      <c r="B44" s="384"/>
      <c r="C44" s="50"/>
      <c r="D44" s="225">
        <v>0.01</v>
      </c>
      <c r="E44" s="328">
        <v>-940.16</v>
      </c>
      <c r="F44" s="385"/>
      <c r="G44" s="65"/>
      <c r="H44" s="7"/>
      <c r="I44" s="10"/>
      <c r="J44" s="10"/>
    </row>
    <row r="45" spans="1:10" ht="16.5" hidden="1" thickBot="1">
      <c r="A45" s="5"/>
      <c r="B45" s="5"/>
      <c r="C45" s="50" t="s">
        <v>1</v>
      </c>
      <c r="D45" s="143">
        <v>41243</v>
      </c>
      <c r="E45" s="329">
        <v>-1083847.0062760289</v>
      </c>
      <c r="F45" s="385"/>
      <c r="G45" s="7"/>
      <c r="H45" s="7"/>
      <c r="I45" s="8"/>
      <c r="J45" s="7"/>
    </row>
    <row r="46" spans="1:10" s="384" customFormat="1" ht="16.5" hidden="1" thickTop="1" thickBot="1">
      <c r="E46" s="320"/>
    </row>
    <row r="47" spans="1:10" s="384" customFormat="1" ht="15.75" hidden="1">
      <c r="A47" s="73" t="s">
        <v>142</v>
      </c>
      <c r="B47" s="74"/>
      <c r="C47" s="75"/>
      <c r="D47" s="76"/>
      <c r="E47" s="321"/>
      <c r="G47" s="16"/>
      <c r="H47" s="5"/>
      <c r="I47" s="56"/>
      <c r="J47" s="56"/>
    </row>
    <row r="48" spans="1:10" s="384" customFormat="1" ht="15.75" hidden="1">
      <c r="A48" s="219" t="s">
        <v>219</v>
      </c>
      <c r="B48" s="71"/>
      <c r="C48" s="16"/>
      <c r="D48" s="72" t="s">
        <v>23</v>
      </c>
      <c r="E48" s="322" t="s">
        <v>21</v>
      </c>
      <c r="G48" s="5"/>
      <c r="H48" s="5"/>
      <c r="I48" s="8"/>
      <c r="J48" s="10"/>
    </row>
    <row r="49" spans="1:10" s="384" customFormat="1" ht="16.5" hidden="1" thickBot="1">
      <c r="A49" s="14"/>
      <c r="B49" s="18"/>
      <c r="C49" s="131" t="s">
        <v>21</v>
      </c>
      <c r="D49" s="131" t="s">
        <v>22</v>
      </c>
      <c r="E49" s="323" t="s">
        <v>23</v>
      </c>
      <c r="F49" s="385"/>
      <c r="G49" s="7"/>
      <c r="H49" s="7"/>
      <c r="I49" s="10"/>
      <c r="J49" s="10"/>
    </row>
    <row r="50" spans="1:10" s="384" customFormat="1" ht="15.75" hidden="1">
      <c r="A50" s="2" t="s">
        <v>24</v>
      </c>
      <c r="B50" s="17">
        <v>101</v>
      </c>
      <c r="C50" s="252">
        <v>6036412</v>
      </c>
      <c r="D50" s="389">
        <v>1.7780000000000001E-2</v>
      </c>
      <c r="E50" s="324">
        <v>107587.32</v>
      </c>
      <c r="F50" s="385" t="s">
        <v>187</v>
      </c>
      <c r="G50" s="7"/>
      <c r="H50" s="7"/>
      <c r="I50" s="8"/>
      <c r="J50" s="7"/>
    </row>
    <row r="51" spans="1:10" s="384" customFormat="1" ht="16.5" hidden="1" thickBot="1">
      <c r="A51" s="2" t="s">
        <v>24</v>
      </c>
      <c r="B51" s="17">
        <v>111</v>
      </c>
      <c r="C51" s="252">
        <v>1867362</v>
      </c>
      <c r="D51" s="389">
        <v>1.7780000000000001E-2</v>
      </c>
      <c r="E51" s="324">
        <v>33861.39</v>
      </c>
      <c r="F51" s="385" t="s">
        <v>187</v>
      </c>
      <c r="G51" s="399" t="str">
        <f>A48</f>
        <v>11-30-2012 - Corrected</v>
      </c>
      <c r="H51" s="400"/>
      <c r="I51" s="400"/>
      <c r="J51" s="400"/>
    </row>
    <row r="52" spans="1:10" s="384" customFormat="1" ht="16.5" hidden="1" thickBot="1">
      <c r="A52" s="2" t="s">
        <v>24</v>
      </c>
      <c r="B52" s="17">
        <v>112</v>
      </c>
      <c r="C52" s="252"/>
      <c r="D52" s="389"/>
      <c r="E52" s="324">
        <f t="shared" ref="E52:E57" si="0">C52*D52</f>
        <v>0</v>
      </c>
      <c r="F52" s="385"/>
      <c r="G52" s="401" t="s">
        <v>215</v>
      </c>
      <c r="H52" s="402"/>
      <c r="I52" s="403" t="s">
        <v>18</v>
      </c>
      <c r="J52" s="404" t="s">
        <v>19</v>
      </c>
    </row>
    <row r="53" spans="1:10" s="384" customFormat="1" ht="15.75" hidden="1">
      <c r="A53" s="2" t="s">
        <v>24</v>
      </c>
      <c r="B53" s="17">
        <v>121</v>
      </c>
      <c r="C53" s="252"/>
      <c r="D53" s="220"/>
      <c r="E53" s="324">
        <f t="shared" si="0"/>
        <v>0</v>
      </c>
      <c r="F53" s="385"/>
      <c r="G53" s="405" t="s">
        <v>28</v>
      </c>
      <c r="H53" s="406" t="s">
        <v>77</v>
      </c>
      <c r="I53" s="407"/>
      <c r="J53" s="408">
        <v>0</v>
      </c>
    </row>
    <row r="54" spans="1:10" s="384" customFormat="1" ht="15.75" hidden="1">
      <c r="A54" s="2" t="s">
        <v>24</v>
      </c>
      <c r="B54" s="17">
        <v>122</v>
      </c>
      <c r="C54" s="253"/>
      <c r="D54" s="220"/>
      <c r="E54" s="324">
        <f t="shared" si="0"/>
        <v>0</v>
      </c>
      <c r="F54" s="385"/>
      <c r="G54" s="409" t="s">
        <v>29</v>
      </c>
      <c r="H54" s="410" t="s">
        <v>78</v>
      </c>
      <c r="I54" s="411">
        <v>0</v>
      </c>
      <c r="J54" s="412">
        <f>-E62+E44</f>
        <v>-95.889999999999986</v>
      </c>
    </row>
    <row r="55" spans="1:10" s="384" customFormat="1" ht="15.75" hidden="1">
      <c r="A55" s="2" t="s">
        <v>24</v>
      </c>
      <c r="B55" s="17">
        <v>131</v>
      </c>
      <c r="C55" s="252">
        <v>0</v>
      </c>
      <c r="D55" s="389">
        <v>1.6570000000000001E-2</v>
      </c>
      <c r="E55" s="324">
        <f t="shared" si="0"/>
        <v>0</v>
      </c>
      <c r="F55" s="385"/>
      <c r="G55" s="409" t="s">
        <v>99</v>
      </c>
      <c r="H55" s="410" t="s">
        <v>60</v>
      </c>
      <c r="I55" s="330">
        <v>0</v>
      </c>
      <c r="J55" s="413">
        <f>E41-E59</f>
        <v>-50512.130000000019</v>
      </c>
    </row>
    <row r="56" spans="1:10" s="384" customFormat="1" ht="15.75" hidden="1">
      <c r="A56" s="2" t="s">
        <v>24</v>
      </c>
      <c r="B56" s="17">
        <v>132</v>
      </c>
      <c r="C56" s="253"/>
      <c r="D56" s="121"/>
      <c r="E56" s="324">
        <f t="shared" si="0"/>
        <v>0</v>
      </c>
      <c r="F56" s="385"/>
      <c r="G56" s="409" t="s">
        <v>10</v>
      </c>
      <c r="H56" s="410" t="s">
        <v>58</v>
      </c>
      <c r="I56" s="410">
        <v>0</v>
      </c>
      <c r="J56" s="414"/>
    </row>
    <row r="57" spans="1:10" s="384" customFormat="1" ht="16.5" hidden="1" thickBot="1">
      <c r="A57" s="2" t="s">
        <v>24</v>
      </c>
      <c r="B57" s="17" t="s">
        <v>61</v>
      </c>
      <c r="C57" s="253"/>
      <c r="D57" s="121"/>
      <c r="E57" s="324">
        <f t="shared" si="0"/>
        <v>0</v>
      </c>
      <c r="F57" s="385"/>
      <c r="G57" s="415" t="s">
        <v>100</v>
      </c>
      <c r="H57" s="400" t="s">
        <v>62</v>
      </c>
      <c r="I57" s="416">
        <f>-J55-J54</f>
        <v>50608.020000000019</v>
      </c>
      <c r="J57" s="417">
        <v>0</v>
      </c>
    </row>
    <row r="58" spans="1:10" s="384" customFormat="1" ht="15.75" hidden="1">
      <c r="A58" s="2" t="s">
        <v>156</v>
      </c>
      <c r="B58" s="70"/>
      <c r="C58" s="251"/>
      <c r="D58" s="136"/>
      <c r="E58" s="325">
        <v>0</v>
      </c>
      <c r="F58" s="385"/>
      <c r="G58" s="410"/>
      <c r="H58" s="410"/>
      <c r="I58" s="330"/>
      <c r="J58" s="330">
        <f>ROUND(SUM(I53:J57),2)</f>
        <v>0</v>
      </c>
    </row>
    <row r="59" spans="1:10" s="384" customFormat="1" ht="16.5" hidden="1" thickBot="1">
      <c r="B59" s="6"/>
      <c r="C59" s="254">
        <f>SUM(C50:C58)</f>
        <v>7903774</v>
      </c>
      <c r="D59" s="155"/>
      <c r="E59" s="326">
        <f>SUM(E50:E58)</f>
        <v>141448.71000000002</v>
      </c>
      <c r="F59" s="385"/>
      <c r="G59" s="7"/>
      <c r="H59" s="7"/>
      <c r="I59" s="7"/>
      <c r="J59" s="7"/>
    </row>
    <row r="60" spans="1:10" s="384" customFormat="1" ht="16.5" hidden="1" thickTop="1">
      <c r="B60" s="6"/>
      <c r="C60" s="255">
        <v>7903774</v>
      </c>
      <c r="D60" s="66" t="s">
        <v>161</v>
      </c>
      <c r="E60" s="327">
        <f>47867.72-48045.69</f>
        <v>-177.97000000000116</v>
      </c>
      <c r="F60" s="385"/>
      <c r="G60" s="65" t="s">
        <v>158</v>
      </c>
      <c r="H60" s="7"/>
      <c r="I60" s="12"/>
      <c r="J60" s="12"/>
    </row>
    <row r="61" spans="1:10" s="384" customFormat="1" ht="15.75" hidden="1">
      <c r="C61" s="317">
        <f>C59-C60</f>
        <v>0</v>
      </c>
      <c r="D61" s="66" t="s">
        <v>87</v>
      </c>
      <c r="E61" s="326">
        <f>E59+E60+E27</f>
        <v>-1032394.7162760291</v>
      </c>
      <c r="F61" s="385"/>
      <c r="G61" s="8">
        <f>(E45*(D62/12))+(E59*(D62/24))</f>
        <v>-844.26887606335742</v>
      </c>
      <c r="H61" s="7"/>
      <c r="I61" s="8"/>
      <c r="J61" s="10"/>
    </row>
    <row r="62" spans="1:10" s="384" customFormat="1" ht="15.75" hidden="1">
      <c r="C62" s="50"/>
      <c r="D62" s="225">
        <v>0.01</v>
      </c>
      <c r="E62" s="328">
        <f>ROUND(((E45)+(E59)/2)*(D62/12),2)</f>
        <v>-844.27</v>
      </c>
      <c r="F62" s="385"/>
      <c r="G62" s="65"/>
      <c r="H62" s="7"/>
      <c r="I62" s="10"/>
      <c r="J62" s="10"/>
    </row>
    <row r="63" spans="1:10" s="384" customFormat="1" ht="16.5" hidden="1" thickBot="1">
      <c r="A63" s="5"/>
      <c r="B63" s="5"/>
      <c r="C63" s="50" t="s">
        <v>1</v>
      </c>
      <c r="D63" s="143" t="str">
        <f>A48</f>
        <v>11-30-2012 - Corrected</v>
      </c>
      <c r="E63" s="329">
        <f>SUM(E61:E62)</f>
        <v>-1033238.9862760291</v>
      </c>
      <c r="F63" s="385"/>
      <c r="G63" s="7"/>
      <c r="H63" s="7"/>
      <c r="I63" s="8"/>
      <c r="J63" s="7"/>
    </row>
    <row r="64" spans="1:10" s="384" customFormat="1" ht="16.5" hidden="1" thickTop="1" thickBot="1">
      <c r="E64" s="320"/>
    </row>
    <row r="65" spans="1:10" s="384" customFormat="1" ht="15.75" hidden="1">
      <c r="A65" s="73" t="s">
        <v>142</v>
      </c>
      <c r="B65" s="74"/>
      <c r="C65" s="75"/>
      <c r="D65" s="76"/>
      <c r="E65" s="321"/>
      <c r="G65" s="16"/>
      <c r="H65" s="5"/>
      <c r="I65" s="56"/>
      <c r="J65" s="56"/>
    </row>
    <row r="66" spans="1:10" s="384" customFormat="1" ht="15.75" hidden="1">
      <c r="A66" s="219">
        <v>41274</v>
      </c>
      <c r="B66" s="71"/>
      <c r="C66" s="16"/>
      <c r="D66" s="72" t="s">
        <v>23</v>
      </c>
      <c r="E66" s="322" t="s">
        <v>21</v>
      </c>
      <c r="G66" s="5"/>
      <c r="H66" s="5"/>
      <c r="I66" s="8"/>
      <c r="J66" s="10"/>
    </row>
    <row r="67" spans="1:10" s="384" customFormat="1" ht="16.5" hidden="1" thickBot="1">
      <c r="A67" s="14"/>
      <c r="B67" s="18"/>
      <c r="C67" s="131" t="s">
        <v>21</v>
      </c>
      <c r="D67" s="131" t="s">
        <v>22</v>
      </c>
      <c r="E67" s="323" t="s">
        <v>23</v>
      </c>
      <c r="F67" s="385"/>
      <c r="G67" s="7"/>
      <c r="H67" s="7"/>
      <c r="I67" s="10"/>
      <c r="J67" s="10"/>
    </row>
    <row r="68" spans="1:10" s="384" customFormat="1" ht="15.75" hidden="1">
      <c r="A68" s="2" t="s">
        <v>24</v>
      </c>
      <c r="B68" s="17">
        <v>101</v>
      </c>
      <c r="C68" s="252">
        <v>8220978</v>
      </c>
      <c r="D68" s="389">
        <v>1.7780000000000001E-2</v>
      </c>
      <c r="E68" s="324">
        <f>C68*D68</f>
        <v>146168.98884000001</v>
      </c>
      <c r="F68" s="385"/>
      <c r="G68" s="7"/>
      <c r="H68" s="7"/>
      <c r="I68" s="8"/>
      <c r="J68" s="7"/>
    </row>
    <row r="69" spans="1:10" s="384" customFormat="1" ht="16.5" hidden="1" thickBot="1">
      <c r="A69" s="2" t="s">
        <v>24</v>
      </c>
      <c r="B69" s="17">
        <v>111</v>
      </c>
      <c r="C69" s="252">
        <v>2679003</v>
      </c>
      <c r="D69" s="389">
        <v>1.7780000000000001E-2</v>
      </c>
      <c r="E69" s="324">
        <f t="shared" ref="E69:E76" si="1">C69*D69</f>
        <v>47632.673340000001</v>
      </c>
      <c r="F69" s="385"/>
      <c r="G69" s="146">
        <f>A66</f>
        <v>41274</v>
      </c>
      <c r="H69" s="147"/>
      <c r="I69" s="147"/>
      <c r="J69" s="147"/>
    </row>
    <row r="70" spans="1:10" s="384" customFormat="1" ht="16.5" hidden="1" thickBot="1">
      <c r="A70" s="2" t="s">
        <v>24</v>
      </c>
      <c r="B70" s="17">
        <v>112</v>
      </c>
      <c r="C70" s="252"/>
      <c r="D70" s="389"/>
      <c r="E70" s="324">
        <f t="shared" si="1"/>
        <v>0</v>
      </c>
      <c r="F70" s="385"/>
      <c r="G70" s="102" t="s">
        <v>25</v>
      </c>
      <c r="H70" s="148"/>
      <c r="I70" s="149" t="s">
        <v>18</v>
      </c>
      <c r="J70" s="150" t="s">
        <v>19</v>
      </c>
    </row>
    <row r="71" spans="1:10" s="384" customFormat="1" ht="15.75" hidden="1">
      <c r="A71" s="2" t="s">
        <v>24</v>
      </c>
      <c r="B71" s="17">
        <v>121</v>
      </c>
      <c r="C71" s="252"/>
      <c r="D71" s="220"/>
      <c r="E71" s="324">
        <f t="shared" si="1"/>
        <v>0</v>
      </c>
      <c r="F71" s="385"/>
      <c r="G71" s="151" t="s">
        <v>28</v>
      </c>
      <c r="H71" s="152" t="s">
        <v>77</v>
      </c>
      <c r="I71" s="108"/>
      <c r="J71" s="394">
        <v>0</v>
      </c>
    </row>
    <row r="72" spans="1:10" s="384" customFormat="1" ht="15.75" hidden="1">
      <c r="A72" s="2" t="s">
        <v>24</v>
      </c>
      <c r="B72" s="17">
        <v>122</v>
      </c>
      <c r="C72" s="253"/>
      <c r="D72" s="220"/>
      <c r="E72" s="324">
        <f t="shared" si="1"/>
        <v>0</v>
      </c>
      <c r="F72" s="385"/>
      <c r="G72" s="153" t="s">
        <v>29</v>
      </c>
      <c r="H72" s="7" t="s">
        <v>78</v>
      </c>
      <c r="I72" s="395">
        <f>-E80</f>
        <v>780.28</v>
      </c>
      <c r="J72" s="222"/>
    </row>
    <row r="73" spans="1:10" s="384" customFormat="1" ht="15.75" hidden="1">
      <c r="A73" s="2" t="s">
        <v>24</v>
      </c>
      <c r="B73" s="17">
        <v>131</v>
      </c>
      <c r="C73" s="252">
        <v>0</v>
      </c>
      <c r="D73" s="389">
        <v>1.6570000000000001E-2</v>
      </c>
      <c r="E73" s="324">
        <f t="shared" si="1"/>
        <v>0</v>
      </c>
      <c r="F73" s="385"/>
      <c r="G73" s="153" t="s">
        <v>99</v>
      </c>
      <c r="H73" s="7" t="s">
        <v>60</v>
      </c>
      <c r="I73" s="8"/>
      <c r="J73" s="98">
        <f>-E77-E78</f>
        <v>-193801.66218000001</v>
      </c>
    </row>
    <row r="74" spans="1:10" s="384" customFormat="1" ht="15.75" hidden="1">
      <c r="A74" s="2" t="s">
        <v>24</v>
      </c>
      <c r="B74" s="17">
        <v>132</v>
      </c>
      <c r="C74" s="253"/>
      <c r="D74" s="121"/>
      <c r="E74" s="324">
        <f t="shared" si="1"/>
        <v>0</v>
      </c>
      <c r="F74" s="385"/>
      <c r="G74" s="153" t="s">
        <v>10</v>
      </c>
      <c r="H74" s="7" t="s">
        <v>58</v>
      </c>
      <c r="I74" s="7">
        <v>0</v>
      </c>
      <c r="J74" s="109"/>
    </row>
    <row r="75" spans="1:10" s="384" customFormat="1" ht="16.5" hidden="1" thickBot="1">
      <c r="A75" s="2" t="s">
        <v>24</v>
      </c>
      <c r="B75" s="17" t="s">
        <v>61</v>
      </c>
      <c r="C75" s="253"/>
      <c r="D75" s="121"/>
      <c r="E75" s="324">
        <f t="shared" si="1"/>
        <v>0</v>
      </c>
      <c r="F75" s="385"/>
      <c r="G75" s="154" t="s">
        <v>100</v>
      </c>
      <c r="H75" s="147" t="s">
        <v>62</v>
      </c>
      <c r="I75" s="110">
        <f>-E63+E81</f>
        <v>193021.38217999996</v>
      </c>
      <c r="J75" s="107">
        <v>0</v>
      </c>
    </row>
    <row r="76" spans="1:10" s="384" customFormat="1" ht="15.75" hidden="1">
      <c r="A76" s="2" t="s">
        <v>156</v>
      </c>
      <c r="B76" s="70"/>
      <c r="C76" s="251"/>
      <c r="D76" s="136"/>
      <c r="E76" s="325">
        <f t="shared" si="1"/>
        <v>0</v>
      </c>
      <c r="F76" s="385"/>
      <c r="G76" s="7"/>
      <c r="H76" s="7"/>
      <c r="I76" s="8"/>
      <c r="J76" s="260">
        <f>ROUND(SUM(I71:J75),2)</f>
        <v>0</v>
      </c>
    </row>
    <row r="77" spans="1:10" s="384" customFormat="1" ht="16.5" hidden="1" thickBot="1">
      <c r="B77" s="6"/>
      <c r="C77" s="254">
        <f>SUM(C68:C76)</f>
        <v>10899981</v>
      </c>
      <c r="D77" s="155"/>
      <c r="E77" s="326">
        <f>SUM(E68:E76)</f>
        <v>193801.66218000001</v>
      </c>
      <c r="F77" s="385"/>
      <c r="G77" s="7"/>
      <c r="H77" s="7"/>
      <c r="I77" s="7"/>
      <c r="J77" s="7"/>
    </row>
    <row r="78" spans="1:10" s="384" customFormat="1" ht="16.5" hidden="1" thickTop="1">
      <c r="B78" s="6"/>
      <c r="C78" s="255">
        <v>10899981</v>
      </c>
      <c r="D78" s="66" t="s">
        <v>161</v>
      </c>
      <c r="E78" s="327">
        <v>0</v>
      </c>
      <c r="F78" s="385"/>
      <c r="G78" s="65" t="s">
        <v>158</v>
      </c>
      <c r="H78" s="7"/>
      <c r="I78" s="12"/>
      <c r="J78" s="12"/>
    </row>
    <row r="79" spans="1:10" s="384" customFormat="1" ht="15.75" hidden="1">
      <c r="C79" s="317">
        <f>C77-C78</f>
        <v>0</v>
      </c>
      <c r="D79" s="66" t="s">
        <v>87</v>
      </c>
      <c r="E79" s="326">
        <f>E77+E78+E63</f>
        <v>-839437.32409602916</v>
      </c>
      <c r="F79" s="385"/>
      <c r="G79" s="8">
        <f>(E63*(D80/12))+(E77*(D80/24))</f>
        <v>-780.28179598835766</v>
      </c>
      <c r="H79" s="7"/>
      <c r="I79" s="8"/>
      <c r="J79" s="10"/>
    </row>
    <row r="80" spans="1:10" s="384" customFormat="1" ht="15.75" hidden="1">
      <c r="C80" s="50"/>
      <c r="D80" s="225">
        <v>0.01</v>
      </c>
      <c r="E80" s="328">
        <f>ROUND(((E63)+(E77)/2)*(D80/12),2)</f>
        <v>-780.28</v>
      </c>
      <c r="F80" s="385"/>
      <c r="G80" s="65"/>
      <c r="H80" s="7"/>
      <c r="I80" s="10"/>
      <c r="J80" s="10"/>
    </row>
    <row r="81" spans="1:10" s="384" customFormat="1" ht="16.5" hidden="1" thickBot="1">
      <c r="A81" s="5"/>
      <c r="B81" s="5"/>
      <c r="C81" s="50" t="s">
        <v>1</v>
      </c>
      <c r="D81" s="143">
        <f>A66</f>
        <v>41274</v>
      </c>
      <c r="E81" s="329">
        <f>SUM(E79:E80)</f>
        <v>-840217.60409602919</v>
      </c>
      <c r="F81" s="385"/>
      <c r="G81" s="7"/>
      <c r="H81" s="7"/>
      <c r="I81" s="8"/>
      <c r="J81" s="7"/>
    </row>
    <row r="82" spans="1:10" s="384" customFormat="1" ht="15.75" hidden="1" thickTop="1">
      <c r="E82" s="320"/>
    </row>
    <row r="83" spans="1:10" s="384" customFormat="1" ht="15.75" hidden="1">
      <c r="A83" s="73" t="s">
        <v>142</v>
      </c>
      <c r="B83" s="74"/>
      <c r="C83" s="75"/>
      <c r="D83" s="76"/>
      <c r="E83" s="321"/>
      <c r="G83" s="16"/>
      <c r="H83" s="5"/>
      <c r="I83" s="56"/>
      <c r="J83" s="56"/>
    </row>
    <row r="84" spans="1:10" s="384" customFormat="1" ht="15.75" hidden="1">
      <c r="A84" s="219">
        <v>41275</v>
      </c>
      <c r="B84" s="71"/>
      <c r="C84" s="16"/>
      <c r="D84" s="72" t="s">
        <v>23</v>
      </c>
      <c r="E84" s="322" t="s">
        <v>21</v>
      </c>
      <c r="G84" s="5"/>
      <c r="H84" s="5"/>
      <c r="I84" s="8"/>
      <c r="J84" s="10"/>
    </row>
    <row r="85" spans="1:10" s="384" customFormat="1" ht="16.5" hidden="1" thickBot="1">
      <c r="A85" s="14"/>
      <c r="B85" s="18"/>
      <c r="C85" s="131" t="s">
        <v>21</v>
      </c>
      <c r="D85" s="131" t="s">
        <v>22</v>
      </c>
      <c r="E85" s="323" t="s">
        <v>23</v>
      </c>
      <c r="F85" s="385"/>
      <c r="G85" s="7"/>
      <c r="H85" s="7"/>
      <c r="I85" s="10"/>
      <c r="J85" s="10"/>
    </row>
    <row r="86" spans="1:10" s="384" customFormat="1" ht="15.75" hidden="1">
      <c r="A86" s="2" t="s">
        <v>24</v>
      </c>
      <c r="B86" s="17">
        <v>101</v>
      </c>
      <c r="C86" s="252">
        <v>9764920</v>
      </c>
      <c r="D86" s="389">
        <v>1.7780000000000001E-2</v>
      </c>
      <c r="E86" s="324">
        <f>C86*D86</f>
        <v>173620.2776</v>
      </c>
      <c r="F86" s="385"/>
      <c r="G86" s="7"/>
      <c r="H86" s="7"/>
      <c r="I86" s="8"/>
      <c r="J86" s="7"/>
    </row>
    <row r="87" spans="1:10" s="384" customFormat="1" ht="16.5" hidden="1" thickBot="1">
      <c r="A87" s="2" t="s">
        <v>24</v>
      </c>
      <c r="B87" s="17">
        <v>111</v>
      </c>
      <c r="C87" s="252">
        <v>3069039</v>
      </c>
      <c r="D87" s="389">
        <v>1.7780000000000001E-2</v>
      </c>
      <c r="E87" s="324">
        <f>C87*D87</f>
        <v>54567.513420000003</v>
      </c>
      <c r="F87" s="385"/>
      <c r="G87" s="146">
        <f>A84</f>
        <v>41275</v>
      </c>
      <c r="H87" s="147"/>
      <c r="I87" s="147"/>
      <c r="J87" s="147"/>
    </row>
    <row r="88" spans="1:10" s="384" customFormat="1" ht="16.5" hidden="1" thickBot="1">
      <c r="A88" s="2" t="s">
        <v>24</v>
      </c>
      <c r="B88" s="17">
        <v>112</v>
      </c>
      <c r="C88" s="252"/>
      <c r="D88" s="389"/>
      <c r="E88" s="324">
        <f t="shared" ref="E88:E94" si="2">C88*D88</f>
        <v>0</v>
      </c>
      <c r="F88" s="385"/>
      <c r="G88" s="102" t="s">
        <v>25</v>
      </c>
      <c r="H88" s="148"/>
      <c r="I88" s="149" t="s">
        <v>18</v>
      </c>
      <c r="J88" s="150" t="s">
        <v>19</v>
      </c>
    </row>
    <row r="89" spans="1:10" s="384" customFormat="1" ht="15.75" hidden="1">
      <c r="A89" s="2" t="s">
        <v>24</v>
      </c>
      <c r="B89" s="17">
        <v>121</v>
      </c>
      <c r="C89" s="252"/>
      <c r="D89" s="220"/>
      <c r="E89" s="324">
        <f t="shared" si="2"/>
        <v>0</v>
      </c>
      <c r="F89" s="385"/>
      <c r="G89" s="151" t="s">
        <v>28</v>
      </c>
      <c r="H89" s="152" t="s">
        <v>77</v>
      </c>
      <c r="I89" s="108"/>
      <c r="J89" s="394">
        <v>0</v>
      </c>
    </row>
    <row r="90" spans="1:10" s="384" customFormat="1" ht="15.75" hidden="1">
      <c r="A90" s="2" t="s">
        <v>24</v>
      </c>
      <c r="B90" s="17">
        <v>122</v>
      </c>
      <c r="C90" s="253"/>
      <c r="D90" s="220"/>
      <c r="E90" s="324">
        <f t="shared" si="2"/>
        <v>0</v>
      </c>
      <c r="F90" s="385"/>
      <c r="G90" s="153" t="s">
        <v>29</v>
      </c>
      <c r="H90" s="7" t="s">
        <v>78</v>
      </c>
      <c r="I90" s="395">
        <f>-E98</f>
        <v>605.1</v>
      </c>
      <c r="J90" s="222"/>
    </row>
    <row r="91" spans="1:10" s="384" customFormat="1" ht="15.75" hidden="1">
      <c r="A91" s="2" t="s">
        <v>24</v>
      </c>
      <c r="B91" s="17">
        <v>131</v>
      </c>
      <c r="C91" s="252">
        <v>0</v>
      </c>
      <c r="D91" s="389">
        <v>1.6570000000000001E-2</v>
      </c>
      <c r="E91" s="324">
        <f>C91*D91</f>
        <v>0</v>
      </c>
      <c r="F91" s="385"/>
      <c r="G91" s="153" t="s">
        <v>99</v>
      </c>
      <c r="H91" s="7" t="s">
        <v>60</v>
      </c>
      <c r="I91" s="8"/>
      <c r="J91" s="98">
        <f>-E95-E96</f>
        <v>-228187.79102</v>
      </c>
    </row>
    <row r="92" spans="1:10" s="384" customFormat="1" ht="15.75" hidden="1">
      <c r="A92" s="2" t="s">
        <v>24</v>
      </c>
      <c r="B92" s="17">
        <v>132</v>
      </c>
      <c r="C92" s="253"/>
      <c r="D92" s="121"/>
      <c r="E92" s="324">
        <f t="shared" si="2"/>
        <v>0</v>
      </c>
      <c r="F92" s="385"/>
      <c r="G92" s="153" t="s">
        <v>10</v>
      </c>
      <c r="H92" s="7" t="s">
        <v>58</v>
      </c>
      <c r="I92" s="7">
        <v>0</v>
      </c>
      <c r="J92" s="109"/>
    </row>
    <row r="93" spans="1:10" s="384" customFormat="1" ht="16.5" hidden="1" thickBot="1">
      <c r="A93" s="2" t="s">
        <v>24</v>
      </c>
      <c r="B93" s="17" t="s">
        <v>61</v>
      </c>
      <c r="C93" s="253"/>
      <c r="D93" s="121"/>
      <c r="E93" s="324">
        <f t="shared" si="2"/>
        <v>0</v>
      </c>
      <c r="F93" s="385"/>
      <c r="G93" s="154" t="s">
        <v>100</v>
      </c>
      <c r="H93" s="147" t="s">
        <v>62</v>
      </c>
      <c r="I93" s="110">
        <f>-E81+E99</f>
        <v>227582.69102000003</v>
      </c>
      <c r="J93" s="107">
        <v>0</v>
      </c>
    </row>
    <row r="94" spans="1:10" s="384" customFormat="1" ht="15.75" hidden="1">
      <c r="A94" s="2" t="s">
        <v>156</v>
      </c>
      <c r="B94" s="70"/>
      <c r="C94" s="251"/>
      <c r="D94" s="136"/>
      <c r="E94" s="325">
        <f t="shared" si="2"/>
        <v>0</v>
      </c>
      <c r="F94" s="385"/>
      <c r="G94" s="7"/>
      <c r="H94" s="7"/>
      <c r="I94" s="8"/>
      <c r="J94" s="260">
        <f>ROUND(SUM(I89:J93),2)</f>
        <v>0</v>
      </c>
    </row>
    <row r="95" spans="1:10" s="384" customFormat="1" ht="16.5" hidden="1" thickBot="1">
      <c r="B95" s="6"/>
      <c r="C95" s="254">
        <f>SUM(C86:C94)</f>
        <v>12833959</v>
      </c>
      <c r="D95" s="155"/>
      <c r="E95" s="326">
        <f>SUM(E86:E94)</f>
        <v>228187.79102</v>
      </c>
      <c r="F95" s="385"/>
      <c r="G95" s="7"/>
      <c r="H95" s="7"/>
      <c r="I95" s="7"/>
      <c r="J95" s="7"/>
    </row>
    <row r="96" spans="1:10" s="384" customFormat="1" ht="16.5" hidden="1" thickTop="1">
      <c r="B96" s="6"/>
      <c r="C96" s="255">
        <v>12833959</v>
      </c>
      <c r="D96" s="66" t="s">
        <v>161</v>
      </c>
      <c r="E96" s="327">
        <v>0</v>
      </c>
      <c r="F96" s="385"/>
      <c r="G96" s="65" t="s">
        <v>158</v>
      </c>
      <c r="H96" s="7"/>
      <c r="I96" s="12"/>
      <c r="J96" s="12"/>
    </row>
    <row r="97" spans="1:10" s="384" customFormat="1" ht="15.75" hidden="1">
      <c r="C97" s="317">
        <f>C95-C96</f>
        <v>0</v>
      </c>
      <c r="D97" s="66" t="s">
        <v>87</v>
      </c>
      <c r="E97" s="326">
        <f>E95+E96+E81</f>
        <v>-612029.81307602918</v>
      </c>
      <c r="F97" s="385"/>
      <c r="G97" s="8">
        <f>(E81*(D98/12))+(E95*(D98/24))</f>
        <v>-605.10309048835768</v>
      </c>
      <c r="H97" s="7"/>
      <c r="I97" s="8"/>
      <c r="J97" s="10"/>
    </row>
    <row r="98" spans="1:10" s="384" customFormat="1" ht="15.75" hidden="1">
      <c r="C98" s="50"/>
      <c r="D98" s="225">
        <v>0.01</v>
      </c>
      <c r="E98" s="328">
        <f>ROUND(((E81)+(E95)/2)*(D98/12),2)</f>
        <v>-605.1</v>
      </c>
      <c r="F98" s="385"/>
      <c r="G98" s="65"/>
      <c r="H98" s="7"/>
      <c r="I98" s="10"/>
      <c r="J98" s="10"/>
    </row>
    <row r="99" spans="1:10" s="384" customFormat="1" ht="16.5" hidden="1" thickBot="1">
      <c r="A99" s="5"/>
      <c r="B99" s="5"/>
      <c r="C99" s="50" t="s">
        <v>1</v>
      </c>
      <c r="D99" s="143">
        <f>A84</f>
        <v>41275</v>
      </c>
      <c r="E99" s="329">
        <f>SUM(E97:E98)</f>
        <v>-612634.91307602916</v>
      </c>
      <c r="F99" s="385"/>
      <c r="G99" s="7"/>
      <c r="H99" s="7"/>
      <c r="I99" s="8"/>
      <c r="J99" s="7"/>
    </row>
    <row r="100" spans="1:10" s="384" customFormat="1" ht="16.5" hidden="1" thickTop="1" thickBot="1">
      <c r="E100" s="320"/>
    </row>
    <row r="101" spans="1:10" s="384" customFormat="1" ht="15.75" hidden="1">
      <c r="A101" s="73" t="s">
        <v>142</v>
      </c>
      <c r="B101" s="74"/>
      <c r="C101" s="75"/>
      <c r="D101" s="76"/>
      <c r="E101" s="321"/>
      <c r="G101" s="16"/>
      <c r="H101" s="5"/>
      <c r="I101" s="56"/>
      <c r="J101" s="56"/>
    </row>
    <row r="102" spans="1:10" s="384" customFormat="1" ht="15.75" hidden="1">
      <c r="A102" s="219">
        <v>41333</v>
      </c>
      <c r="B102" s="71"/>
      <c r="C102" s="16"/>
      <c r="D102" s="72" t="s">
        <v>23</v>
      </c>
      <c r="E102" s="322" t="s">
        <v>21</v>
      </c>
      <c r="G102" s="5"/>
      <c r="H102" s="5"/>
      <c r="I102" s="8"/>
      <c r="J102" s="10"/>
    </row>
    <row r="103" spans="1:10" s="384" customFormat="1" ht="16.5" hidden="1" thickBot="1">
      <c r="A103" s="14"/>
      <c r="B103" s="18"/>
      <c r="C103" s="131" t="s">
        <v>21</v>
      </c>
      <c r="D103" s="131" t="s">
        <v>22</v>
      </c>
      <c r="E103" s="323" t="s">
        <v>23</v>
      </c>
      <c r="F103" s="385"/>
      <c r="G103" s="7"/>
      <c r="H103" s="7"/>
      <c r="I103" s="10"/>
      <c r="J103" s="10"/>
    </row>
    <row r="104" spans="1:10" s="384" customFormat="1" ht="15.75" hidden="1">
      <c r="A104" s="2" t="s">
        <v>24</v>
      </c>
      <c r="B104" s="17">
        <v>101</v>
      </c>
      <c r="C104" s="252">
        <v>6162035</v>
      </c>
      <c r="D104" s="389">
        <v>1.7780000000000001E-2</v>
      </c>
      <c r="E104" s="324">
        <f>C104*D104</f>
        <v>109560.9823</v>
      </c>
      <c r="F104" s="385"/>
      <c r="G104" s="7"/>
      <c r="H104" s="7"/>
      <c r="I104" s="8"/>
      <c r="J104" s="7"/>
    </row>
    <row r="105" spans="1:10" s="384" customFormat="1" ht="16.5" hidden="1" thickBot="1">
      <c r="A105" s="2" t="s">
        <v>24</v>
      </c>
      <c r="B105" s="17">
        <v>111</v>
      </c>
      <c r="C105" s="252">
        <v>2375460</v>
      </c>
      <c r="D105" s="389">
        <v>1.7780000000000001E-2</v>
      </c>
      <c r="E105" s="324">
        <f>C105*D105</f>
        <v>42235.678800000002</v>
      </c>
      <c r="F105" s="385"/>
      <c r="G105" s="146">
        <f>A102</f>
        <v>41333</v>
      </c>
      <c r="H105" s="147"/>
      <c r="I105" s="147"/>
      <c r="J105" s="147"/>
    </row>
    <row r="106" spans="1:10" s="384" customFormat="1" ht="16.5" hidden="1" thickBot="1">
      <c r="A106" s="2" t="s">
        <v>24</v>
      </c>
      <c r="B106" s="17">
        <v>112</v>
      </c>
      <c r="C106" s="252"/>
      <c r="D106" s="389"/>
      <c r="E106" s="324">
        <f t="shared" ref="E106:E108" si="3">C106*D106</f>
        <v>0</v>
      </c>
      <c r="F106" s="385"/>
      <c r="G106" s="102" t="s">
        <v>25</v>
      </c>
      <c r="H106" s="148"/>
      <c r="I106" s="149" t="s">
        <v>18</v>
      </c>
      <c r="J106" s="150" t="s">
        <v>19</v>
      </c>
    </row>
    <row r="107" spans="1:10" s="384" customFormat="1" ht="15.75" hidden="1">
      <c r="A107" s="2" t="s">
        <v>24</v>
      </c>
      <c r="B107" s="17">
        <v>121</v>
      </c>
      <c r="C107" s="252"/>
      <c r="D107" s="220"/>
      <c r="E107" s="324">
        <f t="shared" si="3"/>
        <v>0</v>
      </c>
      <c r="F107" s="385"/>
      <c r="G107" s="151" t="s">
        <v>28</v>
      </c>
      <c r="H107" s="152" t="s">
        <v>77</v>
      </c>
      <c r="I107" s="108"/>
      <c r="J107" s="394">
        <v>0</v>
      </c>
    </row>
    <row r="108" spans="1:10" s="384" customFormat="1" ht="15.75" hidden="1">
      <c r="A108" s="2" t="s">
        <v>24</v>
      </c>
      <c r="B108" s="17">
        <v>122</v>
      </c>
      <c r="C108" s="253"/>
      <c r="D108" s="220"/>
      <c r="E108" s="324">
        <f t="shared" si="3"/>
        <v>0</v>
      </c>
      <c r="F108" s="385"/>
      <c r="G108" s="153" t="s">
        <v>29</v>
      </c>
      <c r="H108" s="7" t="s">
        <v>78</v>
      </c>
      <c r="I108" s="395">
        <f>-E116</f>
        <v>447.28</v>
      </c>
      <c r="J108" s="222"/>
    </row>
    <row r="109" spans="1:10" s="384" customFormat="1" ht="15.75" hidden="1">
      <c r="A109" s="2" t="s">
        <v>24</v>
      </c>
      <c r="B109" s="17">
        <v>131</v>
      </c>
      <c r="C109" s="252">
        <v>0</v>
      </c>
      <c r="D109" s="389">
        <v>1.6570000000000001E-2</v>
      </c>
      <c r="E109" s="324">
        <f>C109*D109</f>
        <v>0</v>
      </c>
      <c r="F109" s="385"/>
      <c r="G109" s="153" t="s">
        <v>99</v>
      </c>
      <c r="H109" s="7" t="s">
        <v>60</v>
      </c>
      <c r="I109" s="8"/>
      <c r="J109" s="98">
        <f>-E113-E114</f>
        <v>-151796.6611</v>
      </c>
    </row>
    <row r="110" spans="1:10" s="384" customFormat="1" ht="15.75" hidden="1">
      <c r="A110" s="2" t="s">
        <v>24</v>
      </c>
      <c r="B110" s="17">
        <v>132</v>
      </c>
      <c r="C110" s="253"/>
      <c r="D110" s="121"/>
      <c r="E110" s="324">
        <f t="shared" ref="E110:E112" si="4">C110*D110</f>
        <v>0</v>
      </c>
      <c r="F110" s="385"/>
      <c r="G110" s="153" t="s">
        <v>10</v>
      </c>
      <c r="H110" s="7" t="s">
        <v>58</v>
      </c>
      <c r="I110" s="7">
        <v>0</v>
      </c>
      <c r="J110" s="109"/>
    </row>
    <row r="111" spans="1:10" s="384" customFormat="1" ht="16.5" hidden="1" thickBot="1">
      <c r="A111" s="2" t="s">
        <v>24</v>
      </c>
      <c r="B111" s="17" t="s">
        <v>61</v>
      </c>
      <c r="C111" s="253"/>
      <c r="D111" s="121"/>
      <c r="E111" s="324">
        <f t="shared" si="4"/>
        <v>0</v>
      </c>
      <c r="F111" s="385"/>
      <c r="G111" s="154" t="s">
        <v>100</v>
      </c>
      <c r="H111" s="147" t="s">
        <v>62</v>
      </c>
      <c r="I111" s="110">
        <f>-E99+E117</f>
        <v>151349.3811</v>
      </c>
      <c r="J111" s="107">
        <v>0</v>
      </c>
    </row>
    <row r="112" spans="1:10" s="384" customFormat="1" ht="15.75" hidden="1">
      <c r="A112" s="2" t="s">
        <v>156</v>
      </c>
      <c r="B112" s="70"/>
      <c r="C112" s="251"/>
      <c r="D112" s="136"/>
      <c r="E112" s="325">
        <f t="shared" si="4"/>
        <v>0</v>
      </c>
      <c r="F112" s="385"/>
      <c r="G112" s="7"/>
      <c r="H112" s="7"/>
      <c r="I112" s="8"/>
      <c r="J112" s="260">
        <f>ROUND(SUM(I107:J111),2)</f>
        <v>0</v>
      </c>
    </row>
    <row r="113" spans="1:10" s="384" customFormat="1" ht="16.5" hidden="1" thickBot="1">
      <c r="B113" s="6"/>
      <c r="C113" s="254">
        <f>SUM(C104:C112)</f>
        <v>8537495</v>
      </c>
      <c r="D113" s="155"/>
      <c r="E113" s="326">
        <f>SUM(E104:E112)</f>
        <v>151796.6611</v>
      </c>
      <c r="F113" s="385"/>
      <c r="G113" s="7"/>
      <c r="H113" s="7"/>
      <c r="I113" s="7"/>
      <c r="J113" s="7"/>
    </row>
    <row r="114" spans="1:10" s="384" customFormat="1" ht="16.5" hidden="1" thickTop="1">
      <c r="B114" s="6"/>
      <c r="C114" s="255">
        <v>8537495</v>
      </c>
      <c r="D114" s="66" t="s">
        <v>161</v>
      </c>
      <c r="E114" s="327">
        <v>0</v>
      </c>
      <c r="F114" s="385"/>
      <c r="G114" s="65" t="s">
        <v>158</v>
      </c>
      <c r="H114" s="7"/>
      <c r="I114" s="12"/>
      <c r="J114" s="12"/>
    </row>
    <row r="115" spans="1:10" s="384" customFormat="1" ht="15.75" hidden="1">
      <c r="C115" s="317">
        <f>C113-C114</f>
        <v>0</v>
      </c>
      <c r="D115" s="66" t="s">
        <v>87</v>
      </c>
      <c r="E115" s="326">
        <f>E113+E114+E99</f>
        <v>-460838.25197602913</v>
      </c>
      <c r="F115" s="385"/>
      <c r="G115" s="8">
        <f>(E99*(D116/12))+(E113*(D116/24))</f>
        <v>-447.28048543835769</v>
      </c>
      <c r="H115" s="7"/>
      <c r="I115" s="8"/>
      <c r="J115" s="10"/>
    </row>
    <row r="116" spans="1:10" s="384" customFormat="1" ht="15.75" hidden="1">
      <c r="C116" s="50"/>
      <c r="D116" s="225">
        <v>0.01</v>
      </c>
      <c r="E116" s="328">
        <f>ROUND(((E99)+(E113)/2)*(D116/12),2)</f>
        <v>-447.28</v>
      </c>
      <c r="F116" s="385"/>
      <c r="G116" s="65"/>
      <c r="H116" s="7"/>
      <c r="I116" s="10"/>
      <c r="J116" s="10"/>
    </row>
    <row r="117" spans="1:10" s="384" customFormat="1" ht="16.5" hidden="1" thickBot="1">
      <c r="A117" s="5"/>
      <c r="B117" s="5"/>
      <c r="C117" s="50" t="s">
        <v>1</v>
      </c>
      <c r="D117" s="143">
        <f>A102</f>
        <v>41333</v>
      </c>
      <c r="E117" s="329">
        <f>SUM(E115:E116)</f>
        <v>-461285.53197602916</v>
      </c>
      <c r="F117" s="385"/>
      <c r="G117" s="7"/>
      <c r="H117" s="7"/>
      <c r="I117" s="8"/>
      <c r="J117" s="7"/>
    </row>
    <row r="118" spans="1:10" s="384" customFormat="1" ht="16.5" hidden="1" thickTop="1" thickBot="1">
      <c r="E118" s="320"/>
    </row>
    <row r="119" spans="1:10" s="384" customFormat="1" ht="15.75" hidden="1">
      <c r="A119" s="73" t="s">
        <v>142</v>
      </c>
      <c r="B119" s="74"/>
      <c r="C119" s="75"/>
      <c r="D119" s="76"/>
      <c r="E119" s="321"/>
      <c r="G119" s="16"/>
      <c r="H119" s="5"/>
      <c r="I119" s="56"/>
      <c r="J119" s="56"/>
    </row>
    <row r="120" spans="1:10" s="384" customFormat="1" ht="15.75" hidden="1">
      <c r="A120" s="219">
        <v>41364</v>
      </c>
      <c r="B120" s="71"/>
      <c r="C120" s="16"/>
      <c r="D120" s="72" t="s">
        <v>23</v>
      </c>
      <c r="E120" s="322" t="s">
        <v>21</v>
      </c>
      <c r="G120" s="5"/>
      <c r="H120" s="5"/>
      <c r="I120" s="8"/>
      <c r="J120" s="10"/>
    </row>
    <row r="121" spans="1:10" s="384" customFormat="1" ht="16.5" hidden="1" thickBot="1">
      <c r="A121" s="14"/>
      <c r="B121" s="18"/>
      <c r="C121" s="131" t="s">
        <v>21</v>
      </c>
      <c r="D121" s="131" t="s">
        <v>22</v>
      </c>
      <c r="E121" s="323" t="s">
        <v>23</v>
      </c>
      <c r="F121" s="385"/>
      <c r="G121" s="7"/>
      <c r="H121" s="7"/>
      <c r="I121" s="10"/>
      <c r="J121" s="10"/>
    </row>
    <row r="122" spans="1:10" s="384" customFormat="1" ht="15.75" hidden="1">
      <c r="A122" s="2" t="s">
        <v>24</v>
      </c>
      <c r="B122" s="17">
        <v>101</v>
      </c>
      <c r="C122" s="252">
        <v>6046642</v>
      </c>
      <c r="D122" s="389">
        <v>1.7780000000000001E-2</v>
      </c>
      <c r="E122" s="324">
        <v>107509.29476</v>
      </c>
      <c r="F122" s="385"/>
      <c r="G122" s="7"/>
      <c r="H122" s="7"/>
      <c r="I122" s="8"/>
      <c r="J122" s="7"/>
    </row>
    <row r="123" spans="1:10" s="384" customFormat="1" ht="16.5" hidden="1" thickBot="1">
      <c r="A123" s="2" t="s">
        <v>24</v>
      </c>
      <c r="B123" s="17">
        <v>111</v>
      </c>
      <c r="C123" s="252">
        <v>2214620</v>
      </c>
      <c r="D123" s="389">
        <v>1.7780000000000001E-2</v>
      </c>
      <c r="E123" s="324">
        <v>39375.943599999999</v>
      </c>
      <c r="F123" s="385"/>
      <c r="G123" s="146">
        <f>A120</f>
        <v>41364</v>
      </c>
      <c r="H123" s="147"/>
      <c r="I123" s="147"/>
      <c r="J123" s="147"/>
    </row>
    <row r="124" spans="1:10" s="384" customFormat="1" ht="16.5" hidden="1" thickBot="1">
      <c r="A124" s="2" t="s">
        <v>24</v>
      </c>
      <c r="B124" s="17">
        <v>112</v>
      </c>
      <c r="C124" s="252"/>
      <c r="D124" s="389"/>
      <c r="E124" s="324">
        <v>0</v>
      </c>
      <c r="F124" s="385"/>
      <c r="G124" s="102" t="s">
        <v>25</v>
      </c>
      <c r="H124" s="148"/>
      <c r="I124" s="149" t="s">
        <v>18</v>
      </c>
      <c r="J124" s="150" t="s">
        <v>19</v>
      </c>
    </row>
    <row r="125" spans="1:10" s="384" customFormat="1" ht="15.75" hidden="1">
      <c r="A125" s="2" t="s">
        <v>24</v>
      </c>
      <c r="B125" s="17">
        <v>121</v>
      </c>
      <c r="C125" s="252"/>
      <c r="D125" s="220"/>
      <c r="E125" s="324">
        <v>0</v>
      </c>
      <c r="F125" s="385"/>
      <c r="G125" s="151" t="s">
        <v>28</v>
      </c>
      <c r="H125" s="152" t="s">
        <v>77</v>
      </c>
      <c r="I125" s="108"/>
      <c r="J125" s="394">
        <v>0</v>
      </c>
    </row>
    <row r="126" spans="1:10" s="384" customFormat="1" ht="15.75" hidden="1">
      <c r="A126" s="2" t="s">
        <v>24</v>
      </c>
      <c r="B126" s="17">
        <v>122</v>
      </c>
      <c r="C126" s="253"/>
      <c r="D126" s="220"/>
      <c r="E126" s="324">
        <v>0</v>
      </c>
      <c r="F126" s="385"/>
      <c r="G126" s="153" t="s">
        <v>29</v>
      </c>
      <c r="H126" s="7" t="s">
        <v>78</v>
      </c>
      <c r="I126" s="395">
        <f>-E134</f>
        <v>323.2</v>
      </c>
      <c r="J126" s="222"/>
    </row>
    <row r="127" spans="1:10" s="384" customFormat="1" ht="15.75" hidden="1">
      <c r="A127" s="2" t="s">
        <v>24</v>
      </c>
      <c r="B127" s="17">
        <v>131</v>
      </c>
      <c r="C127" s="252">
        <v>0</v>
      </c>
      <c r="D127" s="389">
        <v>1.6570000000000001E-2</v>
      </c>
      <c r="E127" s="324">
        <v>0</v>
      </c>
      <c r="F127" s="385"/>
      <c r="G127" s="153" t="s">
        <v>99</v>
      </c>
      <c r="H127" s="7" t="s">
        <v>60</v>
      </c>
      <c r="I127" s="8"/>
      <c r="J127" s="98">
        <f>-E131-E132</f>
        <v>-146885.23836000002</v>
      </c>
    </row>
    <row r="128" spans="1:10" s="384" customFormat="1" ht="15.75" hidden="1">
      <c r="A128" s="2" t="s">
        <v>24</v>
      </c>
      <c r="B128" s="17">
        <v>132</v>
      </c>
      <c r="C128" s="253"/>
      <c r="D128" s="121"/>
      <c r="E128" s="324">
        <v>0</v>
      </c>
      <c r="F128" s="385"/>
      <c r="G128" s="153" t="s">
        <v>10</v>
      </c>
      <c r="H128" s="7" t="s">
        <v>58</v>
      </c>
      <c r="I128" s="7">
        <v>0</v>
      </c>
      <c r="J128" s="109"/>
    </row>
    <row r="129" spans="1:10" s="384" customFormat="1" ht="16.5" hidden="1" thickBot="1">
      <c r="A129" s="2" t="s">
        <v>24</v>
      </c>
      <c r="B129" s="17" t="s">
        <v>61</v>
      </c>
      <c r="C129" s="253"/>
      <c r="D129" s="121"/>
      <c r="E129" s="324">
        <v>0</v>
      </c>
      <c r="F129" s="385"/>
      <c r="G129" s="154" t="s">
        <v>100</v>
      </c>
      <c r="H129" s="147" t="s">
        <v>62</v>
      </c>
      <c r="I129" s="110">
        <f>-E117+E135</f>
        <v>146562.03836000001</v>
      </c>
      <c r="J129" s="107">
        <v>0</v>
      </c>
    </row>
    <row r="130" spans="1:10" s="384" customFormat="1" ht="15.75" hidden="1">
      <c r="A130" s="2" t="s">
        <v>156</v>
      </c>
      <c r="B130" s="70"/>
      <c r="C130" s="251"/>
      <c r="D130" s="136"/>
      <c r="E130" s="325">
        <v>0</v>
      </c>
      <c r="F130" s="385"/>
      <c r="G130" s="7"/>
      <c r="H130" s="7"/>
      <c r="I130" s="8"/>
      <c r="J130" s="260">
        <f>ROUND(SUM(I125:J129),2)</f>
        <v>0</v>
      </c>
    </row>
    <row r="131" spans="1:10" s="384" customFormat="1" ht="16.5" hidden="1" thickBot="1">
      <c r="B131" s="6"/>
      <c r="C131" s="254">
        <f>SUM(C122:C130)</f>
        <v>8261262</v>
      </c>
      <c r="D131" s="155"/>
      <c r="E131" s="326">
        <f>SUM(E122:E130)</f>
        <v>146885.23836000002</v>
      </c>
      <c r="F131" s="385"/>
      <c r="G131" s="7"/>
      <c r="H131" s="7"/>
      <c r="I131" s="7"/>
      <c r="J131" s="7"/>
    </row>
    <row r="132" spans="1:10" s="384" customFormat="1" ht="16.5" hidden="1" thickTop="1">
      <c r="B132" s="6"/>
      <c r="C132" s="255">
        <v>8261262</v>
      </c>
      <c r="D132" s="66" t="s">
        <v>161</v>
      </c>
      <c r="E132" s="327">
        <v>0</v>
      </c>
      <c r="F132" s="385"/>
      <c r="G132" s="65" t="s">
        <v>158</v>
      </c>
      <c r="H132" s="7"/>
      <c r="I132" s="12"/>
      <c r="J132" s="12"/>
    </row>
    <row r="133" spans="1:10" s="384" customFormat="1" ht="15.75" hidden="1">
      <c r="C133" s="317">
        <f>C131-C132</f>
        <v>0</v>
      </c>
      <c r="D133" s="66" t="s">
        <v>87</v>
      </c>
      <c r="E133" s="326">
        <f>E131+E132+E117</f>
        <v>-314400.29361602914</v>
      </c>
      <c r="F133" s="385"/>
      <c r="G133" s="8">
        <f>(E117*(D134/12))+(E131*(D134/24))</f>
        <v>-323.20242733002431</v>
      </c>
      <c r="H133" s="7"/>
      <c r="I133" s="8"/>
      <c r="J133" s="10"/>
    </row>
    <row r="134" spans="1:10" s="384" customFormat="1" ht="15.75" hidden="1">
      <c r="C134" s="50"/>
      <c r="D134" s="225">
        <v>0.01</v>
      </c>
      <c r="E134" s="328">
        <f>ROUND(((E117)+(E131)/2)*(D134/12),2)</f>
        <v>-323.2</v>
      </c>
      <c r="F134" s="385"/>
      <c r="G134" s="65"/>
      <c r="H134" s="7"/>
      <c r="I134" s="10"/>
      <c r="J134" s="10"/>
    </row>
    <row r="135" spans="1:10" s="384" customFormat="1" ht="16.5" hidden="1" thickBot="1">
      <c r="A135" s="5"/>
      <c r="B135" s="5"/>
      <c r="C135" s="50" t="s">
        <v>1</v>
      </c>
      <c r="D135" s="143">
        <f>A120</f>
        <v>41364</v>
      </c>
      <c r="E135" s="329">
        <f>SUM(E133:E134)</f>
        <v>-314723.49361602915</v>
      </c>
      <c r="F135" s="385"/>
      <c r="G135" s="7"/>
      <c r="H135" s="7"/>
      <c r="I135" s="8"/>
      <c r="J135" s="7"/>
    </row>
    <row r="136" spans="1:10" ht="16.5" hidden="1" thickTop="1" thickBot="1">
      <c r="A136" s="384"/>
      <c r="B136" s="384"/>
      <c r="C136" s="384"/>
      <c r="D136" s="384"/>
      <c r="F136" s="384"/>
      <c r="G136" s="384"/>
      <c r="H136" s="384"/>
      <c r="I136" s="384"/>
      <c r="J136" s="384"/>
    </row>
    <row r="137" spans="1:10" ht="15.75" hidden="1">
      <c r="A137" s="73" t="s">
        <v>142</v>
      </c>
      <c r="B137" s="74"/>
      <c r="C137" s="75"/>
      <c r="D137" s="76"/>
      <c r="E137" s="321"/>
      <c r="F137" s="384"/>
      <c r="G137" s="16"/>
      <c r="H137" s="5"/>
      <c r="I137" s="56"/>
      <c r="J137" s="56"/>
    </row>
    <row r="138" spans="1:10" ht="15.75" hidden="1">
      <c r="A138" s="219">
        <v>41394</v>
      </c>
      <c r="B138" s="71"/>
      <c r="C138" s="16"/>
      <c r="D138" s="72" t="s">
        <v>23</v>
      </c>
      <c r="E138" s="322" t="s">
        <v>21</v>
      </c>
      <c r="F138" s="384"/>
      <c r="G138" s="5"/>
      <c r="H138" s="5"/>
      <c r="I138" s="8"/>
      <c r="J138" s="10"/>
    </row>
    <row r="139" spans="1:10" ht="16.5" hidden="1" thickBot="1">
      <c r="A139" s="14"/>
      <c r="B139" s="18"/>
      <c r="C139" s="131" t="s">
        <v>21</v>
      </c>
      <c r="D139" s="131" t="s">
        <v>22</v>
      </c>
      <c r="E139" s="323" t="s">
        <v>23</v>
      </c>
      <c r="F139" s="385"/>
      <c r="G139" s="7"/>
      <c r="H139" s="7"/>
      <c r="I139" s="10"/>
      <c r="J139" s="10"/>
    </row>
    <row r="140" spans="1:10" ht="15.75" hidden="1">
      <c r="A140" s="2" t="s">
        <v>24</v>
      </c>
      <c r="B140" s="17">
        <v>101</v>
      </c>
      <c r="C140" s="252">
        <v>4076497</v>
      </c>
      <c r="D140" s="389">
        <v>1.7780000000000001E-2</v>
      </c>
      <c r="E140" s="324">
        <v>72480.11666</v>
      </c>
      <c r="F140" s="385"/>
      <c r="G140" s="7"/>
      <c r="H140" s="7"/>
      <c r="I140" s="8"/>
      <c r="J140" s="7"/>
    </row>
    <row r="141" spans="1:10" ht="16.5" hidden="1" thickBot="1">
      <c r="A141" s="2" t="s">
        <v>24</v>
      </c>
      <c r="B141" s="17">
        <v>111</v>
      </c>
      <c r="C141" s="252">
        <v>1757142</v>
      </c>
      <c r="D141" s="389">
        <v>1.7780000000000001E-2</v>
      </c>
      <c r="E141" s="324">
        <v>31241.984759999999</v>
      </c>
      <c r="F141" s="385"/>
      <c r="G141" s="146">
        <f>A138</f>
        <v>41394</v>
      </c>
      <c r="H141" s="147"/>
      <c r="I141" s="147"/>
      <c r="J141" s="147"/>
    </row>
    <row r="142" spans="1:10" ht="16.5" hidden="1" thickBot="1">
      <c r="A142" s="2" t="s">
        <v>24</v>
      </c>
      <c r="B142" s="17">
        <v>112</v>
      </c>
      <c r="C142" s="252"/>
      <c r="D142" s="389"/>
      <c r="E142" s="324">
        <v>0</v>
      </c>
      <c r="F142" s="385"/>
      <c r="G142" s="102" t="s">
        <v>25</v>
      </c>
      <c r="H142" s="148"/>
      <c r="I142" s="149" t="s">
        <v>18</v>
      </c>
      <c r="J142" s="150" t="s">
        <v>19</v>
      </c>
    </row>
    <row r="143" spans="1:10" ht="15.75" hidden="1">
      <c r="A143" s="2" t="s">
        <v>24</v>
      </c>
      <c r="B143" s="17">
        <v>121</v>
      </c>
      <c r="C143" s="252"/>
      <c r="D143" s="220"/>
      <c r="E143" s="324">
        <v>0</v>
      </c>
      <c r="F143" s="385"/>
      <c r="G143" s="151" t="s">
        <v>28</v>
      </c>
      <c r="H143" s="152" t="s">
        <v>77</v>
      </c>
      <c r="I143" s="108"/>
      <c r="J143" s="394">
        <v>0</v>
      </c>
    </row>
    <row r="144" spans="1:10" ht="15.75" hidden="1">
      <c r="A144" s="2" t="s">
        <v>24</v>
      </c>
      <c r="B144" s="17">
        <v>122</v>
      </c>
      <c r="C144" s="253"/>
      <c r="D144" s="220"/>
      <c r="E144" s="324">
        <v>0</v>
      </c>
      <c r="F144" s="385"/>
      <c r="G144" s="153" t="s">
        <v>29</v>
      </c>
      <c r="H144" s="7" t="s">
        <v>78</v>
      </c>
      <c r="I144" s="395">
        <f>-E152</f>
        <v>219.05</v>
      </c>
      <c r="J144" s="222"/>
    </row>
    <row r="145" spans="1:10" ht="15.75" hidden="1">
      <c r="A145" s="2" t="s">
        <v>24</v>
      </c>
      <c r="B145" s="17">
        <v>131</v>
      </c>
      <c r="C145" s="252">
        <v>0</v>
      </c>
      <c r="D145" s="389">
        <v>1.6570000000000001E-2</v>
      </c>
      <c r="E145" s="324">
        <v>0</v>
      </c>
      <c r="F145" s="385"/>
      <c r="G145" s="153" t="s">
        <v>99</v>
      </c>
      <c r="H145" s="7" t="s">
        <v>60</v>
      </c>
      <c r="I145" s="8"/>
      <c r="J145" s="98">
        <f>-E149-E150</f>
        <v>-103722.10141999999</v>
      </c>
    </row>
    <row r="146" spans="1:10" ht="15.75" hidden="1">
      <c r="A146" s="2" t="s">
        <v>24</v>
      </c>
      <c r="B146" s="17">
        <v>132</v>
      </c>
      <c r="C146" s="253"/>
      <c r="D146" s="121"/>
      <c r="E146" s="324">
        <v>0</v>
      </c>
      <c r="F146" s="385"/>
      <c r="G146" s="153" t="s">
        <v>10</v>
      </c>
      <c r="H146" s="7" t="s">
        <v>58</v>
      </c>
      <c r="I146" s="7">
        <v>0</v>
      </c>
      <c r="J146" s="109"/>
    </row>
    <row r="147" spans="1:10" ht="16.5" hidden="1" thickBot="1">
      <c r="A147" s="2" t="s">
        <v>24</v>
      </c>
      <c r="B147" s="17" t="s">
        <v>61</v>
      </c>
      <c r="C147" s="253"/>
      <c r="D147" s="121"/>
      <c r="E147" s="324">
        <v>0</v>
      </c>
      <c r="F147" s="385"/>
      <c r="G147" s="154" t="s">
        <v>100</v>
      </c>
      <c r="H147" s="147" t="s">
        <v>62</v>
      </c>
      <c r="I147" s="110">
        <f>-E135+E153</f>
        <v>103503.05142</v>
      </c>
      <c r="J147" s="107">
        <v>0</v>
      </c>
    </row>
    <row r="148" spans="1:10" ht="15.75" hidden="1">
      <c r="A148" s="2" t="s">
        <v>156</v>
      </c>
      <c r="B148" s="70"/>
      <c r="C148" s="251"/>
      <c r="D148" s="136"/>
      <c r="E148" s="325">
        <v>0</v>
      </c>
      <c r="F148" s="385"/>
      <c r="G148" s="7"/>
      <c r="H148" s="7"/>
      <c r="I148" s="8"/>
      <c r="J148" s="260">
        <f>ROUND(SUM(I143:J147),2)</f>
        <v>0</v>
      </c>
    </row>
    <row r="149" spans="1:10" ht="16.5" hidden="1" thickBot="1">
      <c r="A149" s="384"/>
      <c r="B149" s="6"/>
      <c r="C149" s="254">
        <f>SUM(C140:C148)</f>
        <v>5833639</v>
      </c>
      <c r="D149" s="155"/>
      <c r="E149" s="326">
        <f>SUM(E140:E148)</f>
        <v>103722.10141999999</v>
      </c>
      <c r="F149" s="385"/>
      <c r="G149" s="7"/>
      <c r="H149" s="7"/>
      <c r="I149" s="7"/>
      <c r="J149" s="7"/>
    </row>
    <row r="150" spans="1:10" ht="16.5" hidden="1" thickTop="1">
      <c r="A150" s="384"/>
      <c r="B150" s="6"/>
      <c r="C150" s="255">
        <v>5833639</v>
      </c>
      <c r="D150" s="66" t="s">
        <v>161</v>
      </c>
      <c r="E150" s="327">
        <v>0</v>
      </c>
      <c r="F150" s="385"/>
      <c r="G150" s="65" t="s">
        <v>158</v>
      </c>
      <c r="H150" s="7"/>
      <c r="I150" s="12"/>
      <c r="J150" s="12"/>
    </row>
    <row r="151" spans="1:10" ht="15.75" hidden="1">
      <c r="A151" s="384"/>
      <c r="B151" s="384"/>
      <c r="C151" s="317">
        <f>C149-C150</f>
        <v>0</v>
      </c>
      <c r="D151" s="66" t="s">
        <v>87</v>
      </c>
      <c r="E151" s="326">
        <f>E149+E150+E135</f>
        <v>-211001.39219602916</v>
      </c>
      <c r="F151" s="385"/>
      <c r="G151" s="8">
        <f>(E135*(D152/12))+(E149*(D152/24))</f>
        <v>-219.05203575502432</v>
      </c>
      <c r="H151" s="7"/>
      <c r="I151" s="8"/>
      <c r="J151" s="10"/>
    </row>
    <row r="152" spans="1:10" ht="15.75" hidden="1">
      <c r="A152" s="384"/>
      <c r="B152" s="384"/>
      <c r="C152" s="50"/>
      <c r="D152" s="225">
        <v>0.01</v>
      </c>
      <c r="E152" s="328">
        <f>ROUND(((E135)+(E149)/2)*(D152/12),2)</f>
        <v>-219.05</v>
      </c>
      <c r="F152" s="385"/>
      <c r="G152" s="65"/>
      <c r="H152" s="7"/>
      <c r="I152" s="10"/>
      <c r="J152" s="10"/>
    </row>
    <row r="153" spans="1:10" ht="16.5" hidden="1" thickBot="1">
      <c r="A153" s="5"/>
      <c r="B153" s="5"/>
      <c r="C153" s="50" t="s">
        <v>1</v>
      </c>
      <c r="D153" s="143">
        <f>A138</f>
        <v>41394</v>
      </c>
      <c r="E153" s="329">
        <f>SUM(E151:E152)</f>
        <v>-211220.44219602915</v>
      </c>
      <c r="F153" s="385"/>
      <c r="G153" s="7"/>
      <c r="H153" s="7"/>
      <c r="I153" s="8"/>
      <c r="J153" s="7"/>
    </row>
    <row r="154" spans="1:10" s="384" customFormat="1" ht="16.5" hidden="1" thickTop="1" thickBot="1">
      <c r="E154" s="320"/>
    </row>
    <row r="155" spans="1:10" s="384" customFormat="1" ht="15.75" hidden="1">
      <c r="A155" s="73" t="s">
        <v>142</v>
      </c>
      <c r="B155" s="74"/>
      <c r="C155" s="75"/>
      <c r="D155" s="76"/>
      <c r="E155" s="321"/>
      <c r="G155" s="16"/>
      <c r="H155" s="5"/>
      <c r="I155" s="56"/>
      <c r="J155" s="56"/>
    </row>
    <row r="156" spans="1:10" s="384" customFormat="1" ht="15.75" hidden="1">
      <c r="A156" s="219">
        <v>41425</v>
      </c>
      <c r="B156" s="71"/>
      <c r="C156" s="16"/>
      <c r="D156" s="72" t="s">
        <v>23</v>
      </c>
      <c r="E156" s="322" t="s">
        <v>21</v>
      </c>
      <c r="G156" s="5"/>
      <c r="H156" s="5"/>
      <c r="I156" s="8"/>
      <c r="J156" s="10"/>
    </row>
    <row r="157" spans="1:10" s="384" customFormat="1" ht="16.5" hidden="1" thickBot="1">
      <c r="A157" s="14"/>
      <c r="B157" s="18"/>
      <c r="C157" s="131" t="s">
        <v>21</v>
      </c>
      <c r="D157" s="131" t="s">
        <v>22</v>
      </c>
      <c r="E157" s="323" t="s">
        <v>23</v>
      </c>
      <c r="F157" s="385"/>
      <c r="G157" s="7"/>
      <c r="H157" s="7"/>
      <c r="I157" s="10"/>
      <c r="J157" s="10"/>
    </row>
    <row r="158" spans="1:10" s="384" customFormat="1" ht="15.75" hidden="1">
      <c r="A158" s="2" t="s">
        <v>24</v>
      </c>
      <c r="B158" s="17">
        <v>101</v>
      </c>
      <c r="C158" s="252">
        <v>1886293</v>
      </c>
      <c r="D158" s="389">
        <v>1.7780000000000001E-2</v>
      </c>
      <c r="E158" s="324">
        <v>33538.289539999998</v>
      </c>
      <c r="F158" s="385"/>
      <c r="G158" s="7"/>
      <c r="H158" s="7"/>
      <c r="I158" s="8"/>
      <c r="J158" s="7"/>
    </row>
    <row r="159" spans="1:10" s="384" customFormat="1" ht="16.5" hidden="1" thickBot="1">
      <c r="A159" s="2" t="s">
        <v>24</v>
      </c>
      <c r="B159" s="17">
        <v>111</v>
      </c>
      <c r="C159" s="252">
        <v>1075171</v>
      </c>
      <c r="D159" s="389">
        <v>1.7780000000000001E-2</v>
      </c>
      <c r="E159" s="324">
        <v>19116.540380000002</v>
      </c>
      <c r="F159" s="385"/>
      <c r="G159" s="146">
        <f>A156</f>
        <v>41425</v>
      </c>
      <c r="H159" s="147"/>
      <c r="I159" s="147"/>
      <c r="J159" s="147"/>
    </row>
    <row r="160" spans="1:10" s="384" customFormat="1" ht="16.5" hidden="1" thickBot="1">
      <c r="A160" s="2" t="s">
        <v>24</v>
      </c>
      <c r="B160" s="17">
        <v>112</v>
      </c>
      <c r="C160" s="252"/>
      <c r="D160" s="389"/>
      <c r="E160" s="324">
        <v>0</v>
      </c>
      <c r="F160" s="385"/>
      <c r="G160" s="102" t="s">
        <v>25</v>
      </c>
      <c r="H160" s="148"/>
      <c r="I160" s="149" t="s">
        <v>18</v>
      </c>
      <c r="J160" s="150" t="s">
        <v>19</v>
      </c>
    </row>
    <row r="161" spans="1:10" s="384" customFormat="1" ht="15.75" hidden="1">
      <c r="A161" s="2" t="s">
        <v>24</v>
      </c>
      <c r="B161" s="17">
        <v>121</v>
      </c>
      <c r="C161" s="252"/>
      <c r="D161" s="220"/>
      <c r="E161" s="324">
        <v>0</v>
      </c>
      <c r="F161" s="385"/>
      <c r="G161" s="151" t="s">
        <v>28</v>
      </c>
      <c r="H161" s="152" t="s">
        <v>77</v>
      </c>
      <c r="I161" s="108"/>
      <c r="J161" s="394">
        <v>0</v>
      </c>
    </row>
    <row r="162" spans="1:10" s="384" customFormat="1" ht="15.75" hidden="1">
      <c r="A162" s="2" t="s">
        <v>24</v>
      </c>
      <c r="B162" s="17">
        <v>122</v>
      </c>
      <c r="C162" s="253"/>
      <c r="D162" s="220"/>
      <c r="E162" s="324">
        <v>0</v>
      </c>
      <c r="F162" s="385"/>
      <c r="G162" s="153" t="s">
        <v>29</v>
      </c>
      <c r="H162" s="7" t="s">
        <v>78</v>
      </c>
      <c r="I162" s="395">
        <f>-E170</f>
        <v>154.08000000000001</v>
      </c>
      <c r="J162" s="222"/>
    </row>
    <row r="163" spans="1:10" s="384" customFormat="1" ht="15.75" hidden="1">
      <c r="A163" s="2" t="s">
        <v>24</v>
      </c>
      <c r="B163" s="17">
        <v>131</v>
      </c>
      <c r="C163" s="252">
        <v>0</v>
      </c>
      <c r="D163" s="389">
        <v>1.6570000000000001E-2</v>
      </c>
      <c r="E163" s="324">
        <v>0</v>
      </c>
      <c r="F163" s="385"/>
      <c r="G163" s="153" t="s">
        <v>99</v>
      </c>
      <c r="H163" s="7" t="s">
        <v>60</v>
      </c>
      <c r="I163" s="8"/>
      <c r="J163" s="98">
        <f>-E167-E168</f>
        <v>-52654.829920000004</v>
      </c>
    </row>
    <row r="164" spans="1:10" s="384" customFormat="1" ht="15.75" hidden="1">
      <c r="A164" s="2" t="s">
        <v>24</v>
      </c>
      <c r="B164" s="17">
        <v>132</v>
      </c>
      <c r="C164" s="253"/>
      <c r="D164" s="121"/>
      <c r="E164" s="324">
        <v>0</v>
      </c>
      <c r="F164" s="385"/>
      <c r="G164" s="153" t="s">
        <v>10</v>
      </c>
      <c r="H164" s="7" t="s">
        <v>58</v>
      </c>
      <c r="I164" s="7">
        <v>0</v>
      </c>
      <c r="J164" s="109"/>
    </row>
    <row r="165" spans="1:10" s="384" customFormat="1" ht="16.5" hidden="1" thickBot="1">
      <c r="A165" s="2" t="s">
        <v>24</v>
      </c>
      <c r="B165" s="17" t="s">
        <v>61</v>
      </c>
      <c r="C165" s="253"/>
      <c r="D165" s="121"/>
      <c r="E165" s="324">
        <v>0</v>
      </c>
      <c r="F165" s="385"/>
      <c r="G165" s="154" t="s">
        <v>100</v>
      </c>
      <c r="H165" s="147" t="s">
        <v>62</v>
      </c>
      <c r="I165" s="110">
        <f>-E153+E171</f>
        <v>52500.749920000031</v>
      </c>
      <c r="J165" s="107">
        <v>0</v>
      </c>
    </row>
    <row r="166" spans="1:10" s="384" customFormat="1" ht="15.75" hidden="1">
      <c r="A166" s="2" t="s">
        <v>156</v>
      </c>
      <c r="B166" s="70"/>
      <c r="C166" s="251"/>
      <c r="D166" s="136"/>
      <c r="E166" s="325">
        <v>0</v>
      </c>
      <c r="F166" s="385"/>
      <c r="G166" s="7"/>
      <c r="H166" s="7"/>
      <c r="I166" s="8"/>
      <c r="J166" s="260">
        <f>ROUND(SUM(I161:J165),2)</f>
        <v>0</v>
      </c>
    </row>
    <row r="167" spans="1:10" s="384" customFormat="1" ht="16.5" hidden="1" thickBot="1">
      <c r="B167" s="6"/>
      <c r="C167" s="254">
        <f>SUM(C158:C166)</f>
        <v>2961464</v>
      </c>
      <c r="D167" s="155"/>
      <c r="E167" s="326">
        <f>SUM(E158:E166)</f>
        <v>52654.829920000004</v>
      </c>
      <c r="F167" s="385"/>
      <c r="G167" s="7"/>
      <c r="H167" s="7"/>
      <c r="I167" s="7"/>
      <c r="J167" s="7"/>
    </row>
    <row r="168" spans="1:10" s="384" customFormat="1" ht="16.5" hidden="1" thickTop="1">
      <c r="B168" s="6"/>
      <c r="C168" s="255">
        <v>2961464</v>
      </c>
      <c r="D168" s="66" t="s">
        <v>161</v>
      </c>
      <c r="E168" s="327">
        <v>0</v>
      </c>
      <c r="F168" s="385"/>
      <c r="G168" s="65" t="s">
        <v>158</v>
      </c>
      <c r="H168" s="7"/>
      <c r="I168" s="12"/>
      <c r="J168" s="12"/>
    </row>
    <row r="169" spans="1:10" s="384" customFormat="1" ht="15.75" hidden="1">
      <c r="C169" s="317">
        <f>C167-C168</f>
        <v>0</v>
      </c>
      <c r="D169" s="66" t="s">
        <v>87</v>
      </c>
      <c r="E169" s="326">
        <f>E167+E168+E153</f>
        <v>-158565.61227602913</v>
      </c>
      <c r="F169" s="385"/>
      <c r="G169" s="8">
        <f>(E153*(D170/12))+(E167*(D170/24))</f>
        <v>-154.07752269669095</v>
      </c>
      <c r="H169" s="7"/>
      <c r="I169" s="8"/>
      <c r="J169" s="10"/>
    </row>
    <row r="170" spans="1:10" s="384" customFormat="1" ht="15.75" hidden="1">
      <c r="C170" s="50"/>
      <c r="D170" s="225">
        <v>0.01</v>
      </c>
      <c r="E170" s="328">
        <f>ROUND(((E153)+(E167)/2)*(D170/12),2)</f>
        <v>-154.08000000000001</v>
      </c>
      <c r="F170" s="385"/>
      <c r="G170" s="65"/>
      <c r="H170" s="7"/>
      <c r="I170" s="10"/>
      <c r="J170" s="10"/>
    </row>
    <row r="171" spans="1:10" s="384" customFormat="1" ht="16.5" hidden="1" thickBot="1">
      <c r="A171" s="5"/>
      <c r="B171" s="5"/>
      <c r="C171" s="50" t="s">
        <v>1</v>
      </c>
      <c r="D171" s="143">
        <f>A156</f>
        <v>41425</v>
      </c>
      <c r="E171" s="329">
        <f>SUM(E169:E170)</f>
        <v>-158719.69227602912</v>
      </c>
      <c r="F171" s="385"/>
      <c r="G171" s="7"/>
      <c r="H171" s="7"/>
      <c r="I171" s="8"/>
      <c r="J171" s="7"/>
    </row>
    <row r="172" spans="1:10" s="384" customFormat="1" ht="16.5" hidden="1" thickTop="1" thickBot="1">
      <c r="E172" s="320"/>
    </row>
    <row r="173" spans="1:10" s="384" customFormat="1" ht="15.75" hidden="1">
      <c r="A173" s="73" t="s">
        <v>142</v>
      </c>
      <c r="B173" s="74"/>
      <c r="C173" s="75"/>
      <c r="D173" s="76"/>
      <c r="E173" s="321"/>
      <c r="G173" s="16"/>
      <c r="H173" s="5"/>
      <c r="I173" s="56"/>
      <c r="J173" s="56"/>
    </row>
    <row r="174" spans="1:10" s="384" customFormat="1" ht="15.75" hidden="1">
      <c r="A174" s="219">
        <v>41426</v>
      </c>
      <c r="B174" s="71"/>
      <c r="C174" s="16"/>
      <c r="D174" s="72" t="s">
        <v>23</v>
      </c>
      <c r="E174" s="322" t="s">
        <v>21</v>
      </c>
      <c r="G174" s="5"/>
      <c r="H174" s="5"/>
      <c r="I174" s="8"/>
      <c r="J174" s="10"/>
    </row>
    <row r="175" spans="1:10" s="384" customFormat="1" ht="16.5" hidden="1" thickBot="1">
      <c r="A175" s="14"/>
      <c r="B175" s="18"/>
      <c r="C175" s="131" t="s">
        <v>21</v>
      </c>
      <c r="D175" s="131" t="s">
        <v>22</v>
      </c>
      <c r="E175" s="323" t="s">
        <v>23</v>
      </c>
      <c r="F175" s="385"/>
      <c r="G175" s="7"/>
      <c r="H175" s="7"/>
      <c r="I175" s="10"/>
      <c r="J175" s="10"/>
    </row>
    <row r="176" spans="1:10" s="384" customFormat="1" ht="15.75" hidden="1">
      <c r="A176" s="2" t="s">
        <v>24</v>
      </c>
      <c r="B176" s="17">
        <v>101</v>
      </c>
      <c r="C176" s="252">
        <v>1322327</v>
      </c>
      <c r="D176" s="389">
        <v>1.7780000000000001E-2</v>
      </c>
      <c r="E176" s="324">
        <v>23510.97406</v>
      </c>
      <c r="F176" s="385"/>
      <c r="G176" s="7"/>
      <c r="H176" s="7"/>
      <c r="I176" s="8"/>
      <c r="J176" s="7"/>
    </row>
    <row r="177" spans="1:10" s="384" customFormat="1" ht="16.5" hidden="1" thickBot="1">
      <c r="A177" s="2" t="s">
        <v>24</v>
      </c>
      <c r="B177" s="17">
        <v>111</v>
      </c>
      <c r="C177" s="252">
        <v>1044472</v>
      </c>
      <c r="D177" s="389">
        <v>1.7780000000000001E-2</v>
      </c>
      <c r="E177" s="324">
        <v>18570.712159999999</v>
      </c>
      <c r="F177" s="385"/>
      <c r="G177" s="146">
        <f>A174</f>
        <v>41426</v>
      </c>
      <c r="H177" s="147"/>
      <c r="I177" s="147"/>
      <c r="J177" s="147"/>
    </row>
    <row r="178" spans="1:10" s="384" customFormat="1" ht="16.5" hidden="1" thickBot="1">
      <c r="A178" s="2" t="s">
        <v>24</v>
      </c>
      <c r="B178" s="17">
        <v>112</v>
      </c>
      <c r="C178" s="252"/>
      <c r="D178" s="389"/>
      <c r="E178" s="324">
        <v>0</v>
      </c>
      <c r="F178" s="385"/>
      <c r="G178" s="102" t="s">
        <v>25</v>
      </c>
      <c r="H178" s="148"/>
      <c r="I178" s="149" t="s">
        <v>18</v>
      </c>
      <c r="J178" s="150" t="s">
        <v>19</v>
      </c>
    </row>
    <row r="179" spans="1:10" s="384" customFormat="1" ht="15.75" hidden="1">
      <c r="A179" s="2" t="s">
        <v>24</v>
      </c>
      <c r="B179" s="17">
        <v>121</v>
      </c>
      <c r="C179" s="252"/>
      <c r="D179" s="220"/>
      <c r="E179" s="324">
        <v>0</v>
      </c>
      <c r="F179" s="385"/>
      <c r="G179" s="151" t="s">
        <v>28</v>
      </c>
      <c r="H179" s="152" t="s">
        <v>77</v>
      </c>
      <c r="I179" s="108"/>
      <c r="J179" s="394">
        <v>0</v>
      </c>
    </row>
    <row r="180" spans="1:10" s="384" customFormat="1" ht="15.75" hidden="1">
      <c r="A180" s="2" t="s">
        <v>24</v>
      </c>
      <c r="B180" s="17">
        <v>122</v>
      </c>
      <c r="C180" s="253"/>
      <c r="D180" s="220"/>
      <c r="E180" s="324">
        <v>0</v>
      </c>
      <c r="F180" s="385"/>
      <c r="G180" s="153" t="s">
        <v>29</v>
      </c>
      <c r="H180" s="7" t="s">
        <v>78</v>
      </c>
      <c r="I180" s="395">
        <f>-E188</f>
        <v>114.73</v>
      </c>
      <c r="J180" s="222"/>
    </row>
    <row r="181" spans="1:10" s="384" customFormat="1" ht="15.75" hidden="1">
      <c r="A181" s="2" t="s">
        <v>24</v>
      </c>
      <c r="B181" s="17">
        <v>131</v>
      </c>
      <c r="C181" s="252">
        <v>0</v>
      </c>
      <c r="D181" s="389">
        <v>1.6570000000000001E-2</v>
      </c>
      <c r="E181" s="324">
        <v>0</v>
      </c>
      <c r="F181" s="385"/>
      <c r="G181" s="153" t="s">
        <v>99</v>
      </c>
      <c r="H181" s="7" t="s">
        <v>60</v>
      </c>
      <c r="I181" s="8"/>
      <c r="J181" s="98">
        <f>-E185-E186</f>
        <v>-42081.686220000003</v>
      </c>
    </row>
    <row r="182" spans="1:10" s="384" customFormat="1" ht="15.75" hidden="1">
      <c r="A182" s="2" t="s">
        <v>24</v>
      </c>
      <c r="B182" s="17">
        <v>132</v>
      </c>
      <c r="C182" s="253"/>
      <c r="D182" s="121"/>
      <c r="E182" s="324">
        <v>0</v>
      </c>
      <c r="F182" s="385"/>
      <c r="G182" s="153" t="s">
        <v>10</v>
      </c>
      <c r="H182" s="7" t="s">
        <v>58</v>
      </c>
      <c r="I182" s="7">
        <v>0</v>
      </c>
      <c r="J182" s="109"/>
    </row>
    <row r="183" spans="1:10" s="384" customFormat="1" ht="16.5" hidden="1" thickBot="1">
      <c r="A183" s="2" t="s">
        <v>24</v>
      </c>
      <c r="B183" s="17" t="s">
        <v>61</v>
      </c>
      <c r="C183" s="253"/>
      <c r="D183" s="121"/>
      <c r="E183" s="324">
        <v>0</v>
      </c>
      <c r="F183" s="385"/>
      <c r="G183" s="154" t="s">
        <v>100</v>
      </c>
      <c r="H183" s="147" t="s">
        <v>62</v>
      </c>
      <c r="I183" s="110">
        <f>-E171+E189</f>
        <v>41966.956220000007</v>
      </c>
      <c r="J183" s="107">
        <v>0</v>
      </c>
    </row>
    <row r="184" spans="1:10" s="384" customFormat="1" ht="15.75" hidden="1">
      <c r="A184" s="2" t="s">
        <v>156</v>
      </c>
      <c r="B184" s="70"/>
      <c r="C184" s="251"/>
      <c r="D184" s="136"/>
      <c r="E184" s="325">
        <v>0</v>
      </c>
      <c r="F184" s="385"/>
      <c r="G184" s="7"/>
      <c r="H184" s="7"/>
      <c r="I184" s="8"/>
      <c r="J184" s="260">
        <f>ROUND(SUM(I179:J183),2)</f>
        <v>0</v>
      </c>
    </row>
    <row r="185" spans="1:10" s="384" customFormat="1" ht="16.5" hidden="1" thickBot="1">
      <c r="B185" s="6"/>
      <c r="C185" s="254">
        <f>SUM(C176:C184)</f>
        <v>2366799</v>
      </c>
      <c r="D185" s="155"/>
      <c r="E185" s="326">
        <f>SUM(E176:E184)</f>
        <v>42081.686220000003</v>
      </c>
      <c r="F185" s="385"/>
      <c r="G185" s="7"/>
      <c r="H185" s="7"/>
      <c r="I185" s="7"/>
      <c r="J185" s="7"/>
    </row>
    <row r="186" spans="1:10" s="384" customFormat="1" ht="16.5" hidden="1" thickTop="1">
      <c r="B186" s="6"/>
      <c r="C186" s="255">
        <v>2366799</v>
      </c>
      <c r="D186" s="66" t="s">
        <v>161</v>
      </c>
      <c r="E186" s="327">
        <v>0</v>
      </c>
      <c r="F186" s="385"/>
      <c r="G186" s="65" t="s">
        <v>158</v>
      </c>
      <c r="H186" s="7"/>
      <c r="I186" s="12"/>
      <c r="J186" s="12"/>
    </row>
    <row r="187" spans="1:10" s="384" customFormat="1" ht="15.75" hidden="1">
      <c r="C187" s="317">
        <f>C185-C186</f>
        <v>0</v>
      </c>
      <c r="D187" s="66" t="s">
        <v>87</v>
      </c>
      <c r="E187" s="326">
        <f>E185+E186+E171</f>
        <v>-116638.00605602912</v>
      </c>
      <c r="F187" s="385"/>
      <c r="G187" s="8">
        <f>(E171*(D188/12))+(E185*(D188/24))</f>
        <v>-114.73237430502427</v>
      </c>
      <c r="H187" s="7"/>
      <c r="I187" s="8"/>
      <c r="J187" s="10"/>
    </row>
    <row r="188" spans="1:10" s="384" customFormat="1" ht="15.75" hidden="1">
      <c r="C188" s="50"/>
      <c r="D188" s="225">
        <v>0.01</v>
      </c>
      <c r="E188" s="328">
        <f>ROUND(((E171)+(E185)/2)*(D188/12),2)</f>
        <v>-114.73</v>
      </c>
      <c r="F188" s="385"/>
      <c r="G188" s="65"/>
      <c r="H188" s="7"/>
      <c r="I188" s="10"/>
      <c r="J188" s="10"/>
    </row>
    <row r="189" spans="1:10" s="384" customFormat="1" ht="16.5" thickBot="1">
      <c r="A189" s="5"/>
      <c r="B189" s="5"/>
      <c r="C189" s="50" t="s">
        <v>1</v>
      </c>
      <c r="D189" s="143">
        <f>A174</f>
        <v>41426</v>
      </c>
      <c r="E189" s="329">
        <f>SUM(E187:E188)</f>
        <v>-116752.73605602911</v>
      </c>
      <c r="F189" s="385"/>
      <c r="G189" s="7"/>
      <c r="H189" s="7"/>
      <c r="I189" s="8"/>
      <c r="J189" s="7"/>
    </row>
    <row r="190" spans="1:10" s="384" customFormat="1" ht="16.5" thickTop="1" thickBot="1">
      <c r="E190" s="320"/>
    </row>
    <row r="191" spans="1:10" s="384" customFormat="1" ht="15.75">
      <c r="A191" s="73" t="s">
        <v>142</v>
      </c>
      <c r="B191" s="74"/>
      <c r="C191" s="75"/>
      <c r="D191" s="76"/>
      <c r="E191" s="321"/>
      <c r="G191" s="16"/>
      <c r="H191" s="5"/>
      <c r="I191" s="56"/>
      <c r="J191" s="56"/>
    </row>
    <row r="192" spans="1:10" s="384" customFormat="1" ht="15.75">
      <c r="A192" s="219">
        <v>41456</v>
      </c>
      <c r="B192" s="71"/>
      <c r="C192" s="16"/>
      <c r="D192" s="72" t="s">
        <v>23</v>
      </c>
      <c r="E192" s="322" t="s">
        <v>21</v>
      </c>
      <c r="G192" s="5"/>
      <c r="H192" s="5"/>
      <c r="I192" s="8"/>
      <c r="J192" s="10"/>
    </row>
    <row r="193" spans="1:10" s="384" customFormat="1" ht="16.5" thickBot="1">
      <c r="A193" s="14"/>
      <c r="B193" s="18"/>
      <c r="C193" s="131" t="s">
        <v>21</v>
      </c>
      <c r="D193" s="131" t="s">
        <v>22</v>
      </c>
      <c r="E193" s="323" t="s">
        <v>23</v>
      </c>
      <c r="F193" s="385"/>
      <c r="G193" s="7"/>
      <c r="H193" s="7"/>
      <c r="I193" s="10"/>
      <c r="J193" s="10"/>
    </row>
    <row r="194" spans="1:10" s="384" customFormat="1" ht="15.75">
      <c r="A194" s="2" t="s">
        <v>24</v>
      </c>
      <c r="B194" s="17">
        <v>101</v>
      </c>
      <c r="C194" s="252">
        <v>970543</v>
      </c>
      <c r="D194" s="389">
        <v>1.7780000000000001E-2</v>
      </c>
      <c r="E194" s="324">
        <v>17256.254540000002</v>
      </c>
      <c r="F194" s="385"/>
      <c r="G194" s="7"/>
      <c r="H194" s="7"/>
      <c r="I194" s="8"/>
      <c r="J194" s="7"/>
    </row>
    <row r="195" spans="1:10" s="384" customFormat="1" ht="16.5" thickBot="1">
      <c r="A195" s="2" t="s">
        <v>24</v>
      </c>
      <c r="B195" s="17">
        <v>111</v>
      </c>
      <c r="C195" s="252">
        <v>805059</v>
      </c>
      <c r="D195" s="389">
        <v>1.7780000000000001E-2</v>
      </c>
      <c r="E195" s="324">
        <v>14313.94902</v>
      </c>
      <c r="F195" s="385"/>
      <c r="G195" s="146">
        <f>A192</f>
        <v>41456</v>
      </c>
      <c r="H195" s="147"/>
      <c r="I195" s="147"/>
      <c r="J195" s="147"/>
    </row>
    <row r="196" spans="1:10" s="384" customFormat="1" ht="16.5" thickBot="1">
      <c r="A196" s="2" t="s">
        <v>24</v>
      </c>
      <c r="B196" s="17">
        <v>112</v>
      </c>
      <c r="C196" s="252"/>
      <c r="D196" s="389"/>
      <c r="E196" s="324">
        <v>0</v>
      </c>
      <c r="F196" s="385"/>
      <c r="G196" s="102" t="s">
        <v>25</v>
      </c>
      <c r="H196" s="148"/>
      <c r="I196" s="149" t="s">
        <v>18</v>
      </c>
      <c r="J196" s="150" t="s">
        <v>19</v>
      </c>
    </row>
    <row r="197" spans="1:10" s="384" customFormat="1" ht="15.75">
      <c r="A197" s="2" t="s">
        <v>24</v>
      </c>
      <c r="B197" s="17">
        <v>121</v>
      </c>
      <c r="C197" s="252"/>
      <c r="D197" s="220"/>
      <c r="E197" s="324">
        <v>0</v>
      </c>
      <c r="F197" s="385"/>
      <c r="G197" s="151" t="s">
        <v>28</v>
      </c>
      <c r="H197" s="152" t="s">
        <v>77</v>
      </c>
      <c r="I197" s="108"/>
      <c r="J197" s="394">
        <v>0</v>
      </c>
    </row>
    <row r="198" spans="1:10" s="384" customFormat="1" ht="15.75">
      <c r="A198" s="2" t="s">
        <v>24</v>
      </c>
      <c r="B198" s="17">
        <v>122</v>
      </c>
      <c r="C198" s="253"/>
      <c r="D198" s="220"/>
      <c r="E198" s="324">
        <v>0</v>
      </c>
      <c r="F198" s="385"/>
      <c r="G198" s="153" t="s">
        <v>29</v>
      </c>
      <c r="H198" s="7" t="s">
        <v>78</v>
      </c>
      <c r="I198" s="395">
        <f>-E206</f>
        <v>84.14</v>
      </c>
      <c r="J198" s="222"/>
    </row>
    <row r="199" spans="1:10" s="384" customFormat="1" ht="15.75">
      <c r="A199" s="2" t="s">
        <v>24</v>
      </c>
      <c r="B199" s="17">
        <v>131</v>
      </c>
      <c r="C199" s="252">
        <v>0</v>
      </c>
      <c r="D199" s="389">
        <v>1.6570000000000001E-2</v>
      </c>
      <c r="E199" s="324">
        <v>0</v>
      </c>
      <c r="F199" s="385"/>
      <c r="G199" s="153" t="s">
        <v>99</v>
      </c>
      <c r="H199" s="7" t="s">
        <v>60</v>
      </c>
      <c r="I199" s="8"/>
      <c r="J199" s="98">
        <f>-E203-E204</f>
        <v>-31570.203560000002</v>
      </c>
    </row>
    <row r="200" spans="1:10" s="384" customFormat="1" ht="15.75">
      <c r="A200" s="2" t="s">
        <v>24</v>
      </c>
      <c r="B200" s="17">
        <v>132</v>
      </c>
      <c r="C200" s="253"/>
      <c r="D200" s="121"/>
      <c r="E200" s="324">
        <v>0</v>
      </c>
      <c r="F200" s="385"/>
      <c r="G200" s="153" t="s">
        <v>10</v>
      </c>
      <c r="H200" s="7" t="s">
        <v>58</v>
      </c>
      <c r="I200" s="7">
        <v>0</v>
      </c>
      <c r="J200" s="109"/>
    </row>
    <row r="201" spans="1:10" s="384" customFormat="1" ht="16.5" thickBot="1">
      <c r="A201" s="2" t="s">
        <v>24</v>
      </c>
      <c r="B201" s="17" t="s">
        <v>61</v>
      </c>
      <c r="C201" s="253"/>
      <c r="D201" s="121"/>
      <c r="E201" s="324">
        <v>0</v>
      </c>
      <c r="F201" s="385"/>
      <c r="G201" s="154" t="s">
        <v>100</v>
      </c>
      <c r="H201" s="147" t="s">
        <v>62</v>
      </c>
      <c r="I201" s="110">
        <f>-E189+E207</f>
        <v>31486.06356000001</v>
      </c>
      <c r="J201" s="107">
        <v>0</v>
      </c>
    </row>
    <row r="202" spans="1:10" s="384" customFormat="1" ht="15.75">
      <c r="A202" s="2" t="s">
        <v>156</v>
      </c>
      <c r="B202" s="70"/>
      <c r="C202" s="251"/>
      <c r="D202" s="136"/>
      <c r="E202" s="325">
        <v>0</v>
      </c>
      <c r="F202" s="385"/>
      <c r="G202" s="7"/>
      <c r="H202" s="7"/>
      <c r="I202" s="8"/>
      <c r="J202" s="260">
        <f>ROUND(SUM(I197:J201),2)</f>
        <v>0</v>
      </c>
    </row>
    <row r="203" spans="1:10" s="384" customFormat="1" ht="16.5" thickBot="1">
      <c r="B203" s="6"/>
      <c r="C203" s="254">
        <f>SUM(C194:C202)</f>
        <v>1775602</v>
      </c>
      <c r="D203" s="155"/>
      <c r="E203" s="326">
        <f>SUM(E194:E202)</f>
        <v>31570.203560000002</v>
      </c>
      <c r="F203" s="385"/>
      <c r="G203" s="7"/>
      <c r="H203" s="7"/>
      <c r="I203" s="7"/>
      <c r="J203" s="7"/>
    </row>
    <row r="204" spans="1:10" s="384" customFormat="1" ht="16.5" thickTop="1">
      <c r="B204" s="6"/>
      <c r="C204" s="255">
        <v>1775602</v>
      </c>
      <c r="D204" s="66" t="s">
        <v>161</v>
      </c>
      <c r="E204" s="327">
        <v>0</v>
      </c>
      <c r="F204" s="385"/>
      <c r="G204" s="65" t="s">
        <v>158</v>
      </c>
      <c r="H204" s="7"/>
      <c r="I204" s="12"/>
      <c r="J204" s="12"/>
    </row>
    <row r="205" spans="1:10" s="384" customFormat="1" ht="15.75">
      <c r="C205" s="317">
        <f>C203-C204</f>
        <v>0</v>
      </c>
      <c r="D205" s="66" t="s">
        <v>87</v>
      </c>
      <c r="E205" s="326">
        <f>E203+E204+E189</f>
        <v>-85182.532496029104</v>
      </c>
      <c r="F205" s="385"/>
      <c r="G205" s="8">
        <f>(E189*(D206/12))+(E203*(D206/24))</f>
        <v>-84.139695230024259</v>
      </c>
      <c r="H205" s="7"/>
      <c r="I205" s="8"/>
      <c r="J205" s="10"/>
    </row>
    <row r="206" spans="1:10" s="384" customFormat="1" ht="15.75">
      <c r="C206" s="50"/>
      <c r="D206" s="225">
        <v>0.01</v>
      </c>
      <c r="E206" s="328">
        <f>ROUND(((E189)+(E203)/2)*(D206/12),2)</f>
        <v>-84.14</v>
      </c>
      <c r="F206" s="385"/>
      <c r="G206" s="65"/>
      <c r="H206" s="7"/>
      <c r="I206" s="10"/>
      <c r="J206" s="10"/>
    </row>
    <row r="207" spans="1:10" s="384" customFormat="1" ht="16.5" thickBot="1">
      <c r="A207" s="5"/>
      <c r="B207" s="5"/>
      <c r="C207" s="50" t="s">
        <v>1</v>
      </c>
      <c r="D207" s="143">
        <f>A192</f>
        <v>41456</v>
      </c>
      <c r="E207" s="329">
        <f>SUM(E205:E206)</f>
        <v>-85266.672496029103</v>
      </c>
      <c r="F207" s="385"/>
      <c r="G207" s="7"/>
      <c r="H207" s="7"/>
      <c r="I207" s="8"/>
      <c r="J207" s="7"/>
    </row>
    <row r="208" spans="1:10" ht="16.5" thickTop="1" thickBot="1"/>
    <row r="209" spans="1:10" s="384" customFormat="1" ht="15.75">
      <c r="A209" s="73" t="s">
        <v>142</v>
      </c>
      <c r="B209" s="74"/>
      <c r="C209" s="75"/>
      <c r="D209" s="76"/>
      <c r="E209" s="321"/>
      <c r="G209" s="16"/>
      <c r="H209" s="5"/>
      <c r="I209" s="56"/>
      <c r="J209" s="56"/>
    </row>
    <row r="210" spans="1:10" s="384" customFormat="1" ht="15.75">
      <c r="A210" s="219">
        <v>41487</v>
      </c>
      <c r="B210" s="71"/>
      <c r="C210" s="16"/>
      <c r="D210" s="72" t="s">
        <v>23</v>
      </c>
      <c r="E210" s="322" t="s">
        <v>21</v>
      </c>
      <c r="G210" s="5"/>
      <c r="H210" s="5"/>
      <c r="I210" s="8"/>
      <c r="J210" s="10"/>
    </row>
    <row r="211" spans="1:10" s="384" customFormat="1" ht="16.5" thickBot="1">
      <c r="A211" s="14"/>
      <c r="B211" s="18"/>
      <c r="C211" s="131" t="s">
        <v>21</v>
      </c>
      <c r="D211" s="131" t="s">
        <v>22</v>
      </c>
      <c r="E211" s="323" t="s">
        <v>23</v>
      </c>
      <c r="F211" s="385"/>
      <c r="G211" s="7"/>
      <c r="H211" s="7"/>
      <c r="I211" s="10"/>
      <c r="J211" s="10"/>
    </row>
    <row r="212" spans="1:10" s="384" customFormat="1" ht="15.75">
      <c r="A212" s="2" t="s">
        <v>24</v>
      </c>
      <c r="B212" s="17">
        <v>101</v>
      </c>
      <c r="C212" s="252">
        <v>985214</v>
      </c>
      <c r="D212" s="389">
        <v>1.7780000000000001E-2</v>
      </c>
      <c r="E212" s="324">
        <v>17517.104920000002</v>
      </c>
      <c r="F212" s="385"/>
      <c r="G212" s="7"/>
      <c r="H212" s="7"/>
      <c r="I212" s="8"/>
      <c r="J212" s="7"/>
    </row>
    <row r="213" spans="1:10" s="384" customFormat="1" ht="16.5" thickBot="1">
      <c r="A213" s="2" t="s">
        <v>24</v>
      </c>
      <c r="B213" s="17">
        <v>111</v>
      </c>
      <c r="C213" s="252">
        <v>994287</v>
      </c>
      <c r="D213" s="389">
        <v>1.7780000000000001E-2</v>
      </c>
      <c r="E213" s="324">
        <v>17678.422860000002</v>
      </c>
      <c r="F213" s="385"/>
      <c r="G213" s="146">
        <f>A210</f>
        <v>41487</v>
      </c>
      <c r="H213" s="147"/>
      <c r="I213" s="147"/>
      <c r="J213" s="147"/>
    </row>
    <row r="214" spans="1:10" s="384" customFormat="1" ht="16.5" thickBot="1">
      <c r="A214" s="2" t="s">
        <v>24</v>
      </c>
      <c r="B214" s="17">
        <v>112</v>
      </c>
      <c r="C214" s="252"/>
      <c r="D214" s="389"/>
      <c r="E214" s="324">
        <v>0</v>
      </c>
      <c r="F214" s="385"/>
      <c r="G214" s="102" t="s">
        <v>25</v>
      </c>
      <c r="H214" s="148"/>
      <c r="I214" s="149" t="s">
        <v>18</v>
      </c>
      <c r="J214" s="150" t="s">
        <v>19</v>
      </c>
    </row>
    <row r="215" spans="1:10" s="384" customFormat="1" ht="15.75">
      <c r="A215" s="2" t="s">
        <v>24</v>
      </c>
      <c r="B215" s="17">
        <v>121</v>
      </c>
      <c r="C215" s="252"/>
      <c r="D215" s="220"/>
      <c r="E215" s="324">
        <v>0</v>
      </c>
      <c r="F215" s="385"/>
      <c r="G215" s="151" t="s">
        <v>28</v>
      </c>
      <c r="H215" s="152" t="s">
        <v>77</v>
      </c>
      <c r="I215" s="108"/>
      <c r="J215" s="394">
        <v>0</v>
      </c>
    </row>
    <row r="216" spans="1:10" s="384" customFormat="1" ht="15.75">
      <c r="A216" s="2" t="s">
        <v>24</v>
      </c>
      <c r="B216" s="17">
        <v>122</v>
      </c>
      <c r="C216" s="253"/>
      <c r="D216" s="220"/>
      <c r="E216" s="324">
        <v>0</v>
      </c>
      <c r="F216" s="385"/>
      <c r="G216" s="153" t="s">
        <v>29</v>
      </c>
      <c r="H216" s="7" t="s">
        <v>78</v>
      </c>
      <c r="I216" s="395">
        <f>-E224</f>
        <v>56.39</v>
      </c>
      <c r="J216" s="222"/>
    </row>
    <row r="217" spans="1:10" s="384" customFormat="1" ht="15.75">
      <c r="A217" s="2" t="s">
        <v>24</v>
      </c>
      <c r="B217" s="17">
        <v>131</v>
      </c>
      <c r="C217" s="252">
        <v>0</v>
      </c>
      <c r="D217" s="389">
        <v>1.6570000000000001E-2</v>
      </c>
      <c r="E217" s="324">
        <v>0</v>
      </c>
      <c r="F217" s="385"/>
      <c r="G217" s="153" t="s">
        <v>99</v>
      </c>
      <c r="H217" s="7" t="s">
        <v>60</v>
      </c>
      <c r="I217" s="8"/>
      <c r="J217" s="98">
        <f>-E221-E222</f>
        <v>-35195.527780000004</v>
      </c>
    </row>
    <row r="218" spans="1:10" s="384" customFormat="1" ht="15.75">
      <c r="A218" s="2" t="s">
        <v>24</v>
      </c>
      <c r="B218" s="17">
        <v>132</v>
      </c>
      <c r="C218" s="253"/>
      <c r="D218" s="121"/>
      <c r="E218" s="324">
        <v>0</v>
      </c>
      <c r="F218" s="385"/>
      <c r="G218" s="153" t="s">
        <v>10</v>
      </c>
      <c r="H218" s="7" t="s">
        <v>58</v>
      </c>
      <c r="I218" s="7">
        <v>0</v>
      </c>
      <c r="J218" s="109"/>
    </row>
    <row r="219" spans="1:10" s="384" customFormat="1" ht="16.5" thickBot="1">
      <c r="A219" s="2" t="s">
        <v>24</v>
      </c>
      <c r="B219" s="17" t="s">
        <v>61</v>
      </c>
      <c r="C219" s="253"/>
      <c r="D219" s="121"/>
      <c r="E219" s="324">
        <v>0</v>
      </c>
      <c r="F219" s="385"/>
      <c r="G219" s="154" t="s">
        <v>100</v>
      </c>
      <c r="H219" s="147" t="s">
        <v>62</v>
      </c>
      <c r="I219" s="110">
        <f>-E207+E225</f>
        <v>35139.137780000005</v>
      </c>
      <c r="J219" s="107">
        <v>0</v>
      </c>
    </row>
    <row r="220" spans="1:10" s="384" customFormat="1" ht="15.75">
      <c r="A220" s="2" t="s">
        <v>156</v>
      </c>
      <c r="B220" s="70"/>
      <c r="C220" s="251"/>
      <c r="D220" s="136"/>
      <c r="E220" s="325">
        <v>0</v>
      </c>
      <c r="F220" s="385"/>
      <c r="G220" s="7"/>
      <c r="H220" s="7"/>
      <c r="I220" s="8"/>
      <c r="J220" s="260">
        <f>ROUND(SUM(I215:J219),2)</f>
        <v>0</v>
      </c>
    </row>
    <row r="221" spans="1:10" s="384" customFormat="1" ht="16.5" thickBot="1">
      <c r="B221" s="6"/>
      <c r="C221" s="254">
        <f>SUM(C212:C220)</f>
        <v>1979501</v>
      </c>
      <c r="D221" s="155"/>
      <c r="E221" s="326">
        <f>SUM(E212:E220)</f>
        <v>35195.527780000004</v>
      </c>
      <c r="F221" s="385"/>
      <c r="G221" s="7"/>
      <c r="H221" s="7"/>
      <c r="I221" s="7"/>
      <c r="J221" s="7"/>
    </row>
    <row r="222" spans="1:10" s="384" customFormat="1" ht="16.5" thickTop="1">
      <c r="B222" s="6"/>
      <c r="C222" s="255">
        <v>1979501</v>
      </c>
      <c r="D222" s="66" t="s">
        <v>161</v>
      </c>
      <c r="E222" s="327">
        <v>0</v>
      </c>
      <c r="F222" s="385"/>
      <c r="G222" s="65" t="s">
        <v>158</v>
      </c>
      <c r="H222" s="7"/>
      <c r="I222" s="12"/>
      <c r="J222" s="12"/>
    </row>
    <row r="223" spans="1:10" s="384" customFormat="1" ht="15.75">
      <c r="C223" s="317">
        <f>C221-C222</f>
        <v>0</v>
      </c>
      <c r="D223" s="66" t="s">
        <v>87</v>
      </c>
      <c r="E223" s="326">
        <f>E221+E222+E207</f>
        <v>-50071.144716029099</v>
      </c>
      <c r="F223" s="385"/>
      <c r="G223" s="8">
        <f>(E207*(D224/12))+(E221*(D224/24))</f>
        <v>-56.390757171690929</v>
      </c>
      <c r="H223" s="7"/>
      <c r="I223" s="8"/>
      <c r="J223" s="10"/>
    </row>
    <row r="224" spans="1:10" s="384" customFormat="1" ht="15.75">
      <c r="C224" s="50"/>
      <c r="D224" s="225">
        <v>0.01</v>
      </c>
      <c r="E224" s="328">
        <f>ROUND(((E207)+(E221)/2)*(D224/12),2)</f>
        <v>-56.39</v>
      </c>
      <c r="F224" s="385"/>
      <c r="G224" s="65"/>
      <c r="H224" s="7"/>
      <c r="I224" s="10"/>
      <c r="J224" s="10"/>
    </row>
    <row r="225" spans="1:10" s="384" customFormat="1" ht="16.5" thickBot="1">
      <c r="A225" s="5"/>
      <c r="B225" s="5"/>
      <c r="C225" s="50" t="s">
        <v>1</v>
      </c>
      <c r="D225" s="143">
        <f>A210</f>
        <v>41487</v>
      </c>
      <c r="E225" s="329">
        <f>SUM(E223:E224)</f>
        <v>-50127.534716029098</v>
      </c>
      <c r="F225" s="385"/>
      <c r="G225" s="7"/>
      <c r="H225" s="7"/>
      <c r="I225" s="8"/>
      <c r="J225" s="7"/>
    </row>
    <row r="226" spans="1:10" ht="16.5" thickTop="1" thickBot="1"/>
    <row r="227" spans="1:10" s="384" customFormat="1" ht="15.75">
      <c r="A227" s="73" t="s">
        <v>142</v>
      </c>
      <c r="B227" s="74"/>
      <c r="C227" s="75"/>
      <c r="D227" s="76"/>
      <c r="E227" s="321"/>
      <c r="G227" s="16"/>
      <c r="H227" s="5"/>
      <c r="I227" s="56"/>
      <c r="J227" s="56"/>
    </row>
    <row r="228" spans="1:10" s="384" customFormat="1" ht="15.75">
      <c r="A228" s="219">
        <v>41518</v>
      </c>
      <c r="B228" s="71"/>
      <c r="C228" s="16"/>
      <c r="D228" s="72" t="s">
        <v>23</v>
      </c>
      <c r="E228" s="322" t="s">
        <v>21</v>
      </c>
      <c r="G228" s="5"/>
      <c r="H228" s="5"/>
      <c r="I228" s="8"/>
      <c r="J228" s="10"/>
    </row>
    <row r="229" spans="1:10" s="384" customFormat="1" ht="16.5" thickBot="1">
      <c r="A229" s="14"/>
      <c r="B229" s="18"/>
      <c r="C229" s="131" t="s">
        <v>21</v>
      </c>
      <c r="D229" s="131" t="s">
        <v>22</v>
      </c>
      <c r="E229" s="323" t="s">
        <v>23</v>
      </c>
      <c r="F229" s="385"/>
      <c r="G229" s="7"/>
      <c r="H229" s="7"/>
      <c r="I229" s="10"/>
      <c r="J229" s="10"/>
    </row>
    <row r="230" spans="1:10" s="384" customFormat="1" ht="15.75">
      <c r="A230" s="2" t="s">
        <v>24</v>
      </c>
      <c r="B230" s="17">
        <v>101</v>
      </c>
      <c r="C230" s="252">
        <v>1338764</v>
      </c>
      <c r="D230" s="389">
        <v>1.7780000000000001E-2</v>
      </c>
      <c r="E230" s="324">
        <v>23803.22392</v>
      </c>
      <c r="F230" s="385"/>
      <c r="G230" s="7"/>
      <c r="H230" s="7"/>
      <c r="I230" s="8"/>
      <c r="J230" s="7"/>
    </row>
    <row r="231" spans="1:10" s="384" customFormat="1" ht="16.5" thickBot="1">
      <c r="A231" s="2" t="s">
        <v>24</v>
      </c>
      <c r="B231" s="17">
        <v>111</v>
      </c>
      <c r="C231" s="252">
        <v>1168974</v>
      </c>
      <c r="D231" s="389">
        <v>1.7780000000000001E-2</v>
      </c>
      <c r="E231" s="324">
        <v>20784.35772</v>
      </c>
      <c r="F231" s="385"/>
      <c r="G231" s="146">
        <f>A228</f>
        <v>41518</v>
      </c>
      <c r="H231" s="147"/>
      <c r="I231" s="147"/>
      <c r="J231" s="147"/>
    </row>
    <row r="232" spans="1:10" s="384" customFormat="1" ht="16.5" thickBot="1">
      <c r="A232" s="2" t="s">
        <v>24</v>
      </c>
      <c r="B232" s="17">
        <v>112</v>
      </c>
      <c r="C232" s="252"/>
      <c r="D232" s="389"/>
      <c r="E232" s="324">
        <v>0</v>
      </c>
      <c r="F232" s="385"/>
      <c r="G232" s="102" t="s">
        <v>25</v>
      </c>
      <c r="H232" s="148"/>
      <c r="I232" s="149" t="s">
        <v>18</v>
      </c>
      <c r="J232" s="150" t="s">
        <v>19</v>
      </c>
    </row>
    <row r="233" spans="1:10" s="384" customFormat="1" ht="15.75">
      <c r="A233" s="2" t="s">
        <v>24</v>
      </c>
      <c r="B233" s="17">
        <v>121</v>
      </c>
      <c r="C233" s="252"/>
      <c r="D233" s="220"/>
      <c r="E233" s="324">
        <v>0</v>
      </c>
      <c r="F233" s="385"/>
      <c r="G233" s="151" t="s">
        <v>28</v>
      </c>
      <c r="H233" s="152" t="s">
        <v>77</v>
      </c>
      <c r="I233" s="108"/>
      <c r="J233" s="394">
        <v>0</v>
      </c>
    </row>
    <row r="234" spans="1:10" s="384" customFormat="1" ht="15.75">
      <c r="A234" s="2" t="s">
        <v>24</v>
      </c>
      <c r="B234" s="17">
        <v>122</v>
      </c>
      <c r="C234" s="253"/>
      <c r="D234" s="220"/>
      <c r="E234" s="324">
        <v>0</v>
      </c>
      <c r="F234" s="385"/>
      <c r="G234" s="153" t="s">
        <v>29</v>
      </c>
      <c r="H234" s="7" t="s">
        <v>78</v>
      </c>
      <c r="I234" s="395">
        <f>-E242</f>
        <v>23.19</v>
      </c>
      <c r="J234" s="222"/>
    </row>
    <row r="235" spans="1:10" s="384" customFormat="1" ht="15.75">
      <c r="A235" s="2" t="s">
        <v>24</v>
      </c>
      <c r="B235" s="17">
        <v>131</v>
      </c>
      <c r="C235" s="252">
        <v>0</v>
      </c>
      <c r="D235" s="389">
        <v>1.6570000000000001E-2</v>
      </c>
      <c r="E235" s="324">
        <v>0</v>
      </c>
      <c r="F235" s="385"/>
      <c r="G235" s="153" t="s">
        <v>99</v>
      </c>
      <c r="H235" s="7" t="s">
        <v>60</v>
      </c>
      <c r="I235" s="8"/>
      <c r="J235" s="98">
        <f>-E239-E240</f>
        <v>-44587.581640000004</v>
      </c>
    </row>
    <row r="236" spans="1:10" s="384" customFormat="1" ht="15.75">
      <c r="A236" s="2" t="s">
        <v>24</v>
      </c>
      <c r="B236" s="17">
        <v>132</v>
      </c>
      <c r="C236" s="253"/>
      <c r="D236" s="121"/>
      <c r="E236" s="324">
        <v>0</v>
      </c>
      <c r="F236" s="385"/>
      <c r="G236" s="153" t="s">
        <v>10</v>
      </c>
      <c r="H236" s="7" t="s">
        <v>58</v>
      </c>
      <c r="I236" s="7">
        <v>0</v>
      </c>
      <c r="J236" s="109"/>
    </row>
    <row r="237" spans="1:10" s="384" customFormat="1" ht="16.5" thickBot="1">
      <c r="A237" s="2" t="s">
        <v>24</v>
      </c>
      <c r="B237" s="17" t="s">
        <v>61</v>
      </c>
      <c r="C237" s="253"/>
      <c r="D237" s="121"/>
      <c r="E237" s="324">
        <v>0</v>
      </c>
      <c r="F237" s="385"/>
      <c r="G237" s="154" t="s">
        <v>100</v>
      </c>
      <c r="H237" s="147" t="s">
        <v>62</v>
      </c>
      <c r="I237" s="110">
        <f>-E225+E243</f>
        <v>44564.391640000002</v>
      </c>
      <c r="J237" s="107">
        <v>0</v>
      </c>
    </row>
    <row r="238" spans="1:10" s="384" customFormat="1" ht="15.75">
      <c r="A238" s="2" t="s">
        <v>156</v>
      </c>
      <c r="B238" s="70"/>
      <c r="C238" s="251"/>
      <c r="D238" s="136"/>
      <c r="E238" s="325">
        <v>0</v>
      </c>
      <c r="F238" s="385"/>
      <c r="G238" s="7"/>
      <c r="H238" s="7"/>
      <c r="I238" s="8"/>
      <c r="J238" s="260">
        <f>ROUND(SUM(I233:J237),2)</f>
        <v>0</v>
      </c>
    </row>
    <row r="239" spans="1:10" s="384" customFormat="1" ht="16.5" thickBot="1">
      <c r="B239" s="6"/>
      <c r="C239" s="254">
        <f>SUM(C230:C238)</f>
        <v>2507738</v>
      </c>
      <c r="D239" s="155"/>
      <c r="E239" s="326">
        <f>SUM(E230:E238)</f>
        <v>44587.581640000004</v>
      </c>
      <c r="F239" s="385"/>
      <c r="G239" s="7"/>
      <c r="H239" s="7"/>
      <c r="I239" s="7"/>
      <c r="J239" s="7"/>
    </row>
    <row r="240" spans="1:10" s="384" customFormat="1" ht="16.5" thickTop="1">
      <c r="B240" s="6"/>
      <c r="C240" s="255">
        <v>2507738</v>
      </c>
      <c r="D240" s="66" t="s">
        <v>161</v>
      </c>
      <c r="E240" s="327">
        <v>0</v>
      </c>
      <c r="F240" s="385"/>
      <c r="G240" s="65" t="s">
        <v>158</v>
      </c>
      <c r="H240" s="7"/>
      <c r="I240" s="12"/>
      <c r="J240" s="12"/>
    </row>
    <row r="241" spans="1:10" s="384" customFormat="1" ht="15.75">
      <c r="C241" s="317">
        <f>C239-C240</f>
        <v>0</v>
      </c>
      <c r="D241" s="66" t="s">
        <v>87</v>
      </c>
      <c r="E241" s="326">
        <f>E239+E240+E225</f>
        <v>-5539.9530760290945</v>
      </c>
      <c r="F241" s="385"/>
      <c r="G241" s="8">
        <f>(E225*(D242/12))+(E239*(D242/24))</f>
        <v>-23.194786580024246</v>
      </c>
      <c r="H241" s="7"/>
      <c r="I241" s="8"/>
      <c r="J241" s="10"/>
    </row>
    <row r="242" spans="1:10" s="384" customFormat="1" ht="15.75">
      <c r="C242" s="50"/>
      <c r="D242" s="225">
        <v>0.01</v>
      </c>
      <c r="E242" s="328">
        <f>ROUND(((E225)+(E239)/2)*(D242/12),2)</f>
        <v>-23.19</v>
      </c>
      <c r="F242" s="385"/>
      <c r="G242" s="65"/>
      <c r="H242" s="7"/>
      <c r="I242" s="10"/>
      <c r="J242" s="10"/>
    </row>
    <row r="243" spans="1:10" s="384" customFormat="1" ht="15.75">
      <c r="A243" s="5"/>
      <c r="B243" s="5"/>
      <c r="C243" s="50" t="s">
        <v>1</v>
      </c>
      <c r="D243" s="143">
        <f>A228</f>
        <v>41518</v>
      </c>
      <c r="E243" s="328">
        <f>SUM(E241:E242)</f>
        <v>-5563.1430760290941</v>
      </c>
      <c r="F243" s="385"/>
      <c r="G243" s="7"/>
      <c r="H243" s="7"/>
      <c r="I243" s="8"/>
      <c r="J243" s="7"/>
    </row>
    <row r="244" spans="1:10" s="384" customFormat="1" ht="15.75">
      <c r="A244" s="5"/>
      <c r="B244" s="5"/>
      <c r="C244" s="50"/>
      <c r="D244" s="461" t="s">
        <v>225</v>
      </c>
      <c r="E244" s="463">
        <f>'ID Def 191010'!C131*-1</f>
        <v>108659.43754694135</v>
      </c>
      <c r="F244" s="385"/>
      <c r="G244" s="7"/>
      <c r="H244" s="7"/>
      <c r="I244" s="8"/>
      <c r="J244" s="7"/>
    </row>
    <row r="245" spans="1:10" s="384" customFormat="1" ht="16.5" thickBot="1">
      <c r="A245" s="5"/>
      <c r="B245" s="5"/>
      <c r="C245" s="50"/>
      <c r="D245" s="461" t="s">
        <v>226</v>
      </c>
      <c r="E245" s="464">
        <f>SUM(E243:E244)</f>
        <v>103096.29447091225</v>
      </c>
      <c r="F245" s="385"/>
      <c r="G245" s="7"/>
      <c r="H245" s="7"/>
      <c r="I245" s="8"/>
      <c r="J245" s="7"/>
    </row>
    <row r="246" spans="1:10" ht="16.5" thickTop="1" thickBot="1"/>
    <row r="247" spans="1:10" s="384" customFormat="1" ht="15.75">
      <c r="A247" s="73" t="s">
        <v>142</v>
      </c>
      <c r="B247" s="74"/>
      <c r="C247" s="75"/>
      <c r="D247" s="76"/>
      <c r="E247" s="321"/>
      <c r="G247" s="16"/>
      <c r="H247" s="5"/>
      <c r="I247" s="56"/>
      <c r="J247" s="56"/>
    </row>
    <row r="248" spans="1:10" s="384" customFormat="1" ht="15.75">
      <c r="A248" s="219">
        <v>41578</v>
      </c>
      <c r="B248" s="71"/>
      <c r="C248" s="16"/>
      <c r="D248" s="72" t="s">
        <v>23</v>
      </c>
      <c r="E248" s="322" t="s">
        <v>21</v>
      </c>
      <c r="G248" s="5"/>
      <c r="H248" s="5"/>
      <c r="I248" s="8"/>
      <c r="J248" s="10"/>
    </row>
    <row r="249" spans="1:10" s="384" customFormat="1" ht="16.5" thickBot="1">
      <c r="A249" s="14"/>
      <c r="B249" s="18"/>
      <c r="C249" s="131" t="s">
        <v>21</v>
      </c>
      <c r="D249" s="131" t="s">
        <v>22</v>
      </c>
      <c r="E249" s="323" t="s">
        <v>23</v>
      </c>
      <c r="F249" s="385"/>
      <c r="G249" s="7"/>
      <c r="H249" s="7"/>
      <c r="I249" s="10"/>
      <c r="J249" s="10"/>
    </row>
    <row r="250" spans="1:10" s="384" customFormat="1" ht="15.75">
      <c r="A250" s="2" t="s">
        <v>24</v>
      </c>
      <c r="B250" s="17">
        <v>101</v>
      </c>
      <c r="C250" s="252">
        <v>4291264</v>
      </c>
      <c r="D250" s="389" t="s">
        <v>187</v>
      </c>
      <c r="E250" s="324">
        <v>2709.04</v>
      </c>
      <c r="F250" s="385"/>
      <c r="G250" s="7"/>
      <c r="H250" s="7"/>
      <c r="I250" s="8"/>
      <c r="J250" s="7"/>
    </row>
    <row r="251" spans="1:10" s="384" customFormat="1" ht="16.5" thickBot="1">
      <c r="A251" s="2" t="s">
        <v>24</v>
      </c>
      <c r="B251" s="17">
        <v>111</v>
      </c>
      <c r="C251" s="252">
        <v>1602282</v>
      </c>
      <c r="D251" s="389" t="s">
        <v>187</v>
      </c>
      <c r="E251" s="324">
        <v>-3558.27</v>
      </c>
      <c r="F251" s="385"/>
      <c r="G251" s="146">
        <f>A248</f>
        <v>41578</v>
      </c>
      <c r="H251" s="147"/>
      <c r="I251" s="147"/>
      <c r="J251" s="147"/>
    </row>
    <row r="252" spans="1:10" s="384" customFormat="1" ht="16.5" thickBot="1">
      <c r="A252" s="2" t="s">
        <v>24</v>
      </c>
      <c r="B252" s="17">
        <v>112</v>
      </c>
      <c r="C252" s="252"/>
      <c r="D252" s="389"/>
      <c r="E252" s="324">
        <v>0</v>
      </c>
      <c r="F252" s="385"/>
      <c r="G252" s="102" t="s">
        <v>25</v>
      </c>
      <c r="H252" s="148"/>
      <c r="I252" s="149" t="s">
        <v>18</v>
      </c>
      <c r="J252" s="150" t="s">
        <v>19</v>
      </c>
    </row>
    <row r="253" spans="1:10" s="384" customFormat="1" ht="15.75">
      <c r="A253" s="2" t="s">
        <v>24</v>
      </c>
      <c r="B253" s="17">
        <v>121</v>
      </c>
      <c r="C253" s="252"/>
      <c r="D253" s="220"/>
      <c r="E253" s="324">
        <v>0</v>
      </c>
      <c r="F253" s="385"/>
      <c r="G253" s="151" t="s">
        <v>28</v>
      </c>
      <c r="H253" s="152" t="s">
        <v>77</v>
      </c>
      <c r="I253" s="108"/>
      <c r="J253" s="394">
        <f>IF(E262&gt;0,-E262,0)</f>
        <v>-93.84</v>
      </c>
    </row>
    <row r="254" spans="1:10" s="384" customFormat="1" ht="15.75">
      <c r="A254" s="2" t="s">
        <v>24</v>
      </c>
      <c r="B254" s="17">
        <v>122</v>
      </c>
      <c r="C254" s="253"/>
      <c r="D254" s="220"/>
      <c r="E254" s="324">
        <v>0</v>
      </c>
      <c r="F254" s="385"/>
      <c r="G254" s="153" t="s">
        <v>29</v>
      </c>
      <c r="H254" s="7" t="s">
        <v>78</v>
      </c>
      <c r="I254" s="395">
        <f>IF(E262&lt;0,-E262,0)</f>
        <v>0</v>
      </c>
      <c r="J254" s="222"/>
    </row>
    <row r="255" spans="1:10" s="384" customFormat="1" ht="15.75">
      <c r="A255" s="2" t="s">
        <v>24</v>
      </c>
      <c r="B255" s="17">
        <v>131</v>
      </c>
      <c r="C255" s="252">
        <v>0</v>
      </c>
      <c r="D255" s="389" t="s">
        <v>187</v>
      </c>
      <c r="E255" s="324">
        <v>0</v>
      </c>
      <c r="F255" s="385"/>
      <c r="G255" s="153" t="s">
        <v>99</v>
      </c>
      <c r="H255" s="7" t="s">
        <v>60</v>
      </c>
      <c r="I255" s="395">
        <f>IF((E245-E261)&gt;0,E245-E261,0)</f>
        <v>0</v>
      </c>
      <c r="J255" s="395">
        <f>IF((E245-E261)&lt;0,E245-E261,0)</f>
        <v>-19013.619999999995</v>
      </c>
    </row>
    <row r="256" spans="1:10" s="384" customFormat="1" ht="15.75">
      <c r="A256" s="2" t="s">
        <v>24</v>
      </c>
      <c r="B256" s="17">
        <v>132</v>
      </c>
      <c r="C256" s="253"/>
      <c r="D256" s="121"/>
      <c r="E256" s="324">
        <v>0</v>
      </c>
      <c r="F256" s="385"/>
      <c r="G256" s="153" t="s">
        <v>10</v>
      </c>
      <c r="H256" s="7" t="s">
        <v>58</v>
      </c>
      <c r="I256" s="7"/>
      <c r="J256" s="460"/>
    </row>
    <row r="257" spans="1:10" s="384" customFormat="1" ht="16.5" thickBot="1">
      <c r="A257" s="2" t="s">
        <v>24</v>
      </c>
      <c r="B257" s="17" t="s">
        <v>61</v>
      </c>
      <c r="C257" s="253"/>
      <c r="D257" s="121"/>
      <c r="E257" s="324">
        <v>0</v>
      </c>
      <c r="F257" s="385"/>
      <c r="G257" s="154" t="s">
        <v>100</v>
      </c>
      <c r="H257" s="147" t="s">
        <v>62</v>
      </c>
      <c r="I257" s="462">
        <f>IF((E263-E245)&gt;0,E263-E245,0)</f>
        <v>19107.459999999992</v>
      </c>
      <c r="J257" s="107">
        <f>IF((E263-E245)&lt;0,E263-E245,0)</f>
        <v>0</v>
      </c>
    </row>
    <row r="258" spans="1:10" s="384" customFormat="1" ht="15.75">
      <c r="A258" s="2" t="s">
        <v>156</v>
      </c>
      <c r="B258" s="70"/>
      <c r="C258" s="251"/>
      <c r="D258" s="136"/>
      <c r="E258" s="325">
        <v>19862.850000000002</v>
      </c>
      <c r="F258" s="385"/>
      <c r="G258" s="7"/>
      <c r="H258" s="7"/>
      <c r="I258" s="8"/>
      <c r="J258" s="260">
        <f>ROUND(SUM(I253:J257),2)</f>
        <v>0</v>
      </c>
    </row>
    <row r="259" spans="1:10" s="384" customFormat="1" ht="16.5" thickBot="1">
      <c r="B259" s="6"/>
      <c r="C259" s="254">
        <f>SUM(C250:C258)</f>
        <v>5893546</v>
      </c>
      <c r="D259" s="155"/>
      <c r="E259" s="326">
        <f>SUM(E250:E258)</f>
        <v>19013.620000000003</v>
      </c>
      <c r="F259" s="385"/>
      <c r="G259" s="7"/>
      <c r="H259" s="7"/>
      <c r="I259" s="7"/>
      <c r="J259" s="7"/>
    </row>
    <row r="260" spans="1:10" s="384" customFormat="1" ht="16.5" thickTop="1">
      <c r="B260" s="6"/>
      <c r="C260" s="255"/>
      <c r="D260" s="66" t="s">
        <v>161</v>
      </c>
      <c r="E260" s="327">
        <v>0</v>
      </c>
      <c r="F260" s="385">
        <f>E251+E250</f>
        <v>-849.23</v>
      </c>
      <c r="G260" s="65" t="s">
        <v>158</v>
      </c>
      <c r="H260" s="7"/>
      <c r="I260" s="12"/>
      <c r="J260" s="12"/>
    </row>
    <row r="261" spans="1:10" s="384" customFormat="1" ht="15.75">
      <c r="C261" s="317">
        <f>C259-C260</f>
        <v>5893546</v>
      </c>
      <c r="D261" s="66" t="s">
        <v>87</v>
      </c>
      <c r="E261" s="326">
        <f>E259+E260+E245</f>
        <v>122109.91447091225</v>
      </c>
      <c r="F261" s="385"/>
      <c r="G261" s="8">
        <f>(E243*(D262/12))+(E259*(D262/24))</f>
        <v>3.2863891033090891</v>
      </c>
      <c r="H261" s="7">
        <f>E262-G261</f>
        <v>90.553610896690913</v>
      </c>
      <c r="I261" s="8"/>
      <c r="J261" s="10"/>
    </row>
    <row r="262" spans="1:10" s="384" customFormat="1" ht="15.75">
      <c r="C262" s="50"/>
      <c r="D262" s="225">
        <v>0.01</v>
      </c>
      <c r="E262" s="328">
        <f>ROUND(((E245)+(E259)/2)*(D262/12),2)</f>
        <v>93.84</v>
      </c>
      <c r="F262" s="385"/>
      <c r="G262" s="65"/>
      <c r="H262" s="7"/>
      <c r="I262" s="10"/>
      <c r="J262" s="10"/>
    </row>
    <row r="263" spans="1:10" s="384" customFormat="1" ht="16.5" thickBot="1">
      <c r="A263" s="5"/>
      <c r="B263" s="5"/>
      <c r="C263" s="50" t="s">
        <v>1</v>
      </c>
      <c r="D263" s="143">
        <f>A248</f>
        <v>41578</v>
      </c>
      <c r="E263" s="329">
        <f>SUM(E261:E262)</f>
        <v>122203.75447091224</v>
      </c>
      <c r="F263" s="385"/>
      <c r="G263" s="7"/>
      <c r="H263" s="7"/>
      <c r="I263" s="8"/>
      <c r="J263" s="7"/>
    </row>
    <row r="264" spans="1:10" s="384" customFormat="1" ht="16.5" thickTop="1" thickBot="1">
      <c r="E264" s="320"/>
    </row>
    <row r="265" spans="1:10" s="384" customFormat="1" ht="15.75">
      <c r="A265" s="73" t="s">
        <v>142</v>
      </c>
      <c r="B265" s="74"/>
      <c r="C265" s="75"/>
      <c r="D265" s="76"/>
      <c r="E265" s="321"/>
      <c r="G265" s="16"/>
      <c r="H265" s="5"/>
      <c r="I265" s="56"/>
      <c r="J265" s="56"/>
    </row>
    <row r="266" spans="1:10" s="384" customFormat="1" ht="15.75">
      <c r="A266" s="219">
        <f>EOMONTH(A248,1)</f>
        <v>41608</v>
      </c>
      <c r="B266" s="71"/>
      <c r="C266" s="16"/>
      <c r="D266" s="72" t="s">
        <v>23</v>
      </c>
      <c r="E266" s="322" t="s">
        <v>21</v>
      </c>
      <c r="G266" s="5"/>
      <c r="H266" s="5"/>
      <c r="I266" s="8"/>
      <c r="J266" s="10"/>
    </row>
    <row r="267" spans="1:10" s="384" customFormat="1" ht="16.5" thickBot="1">
      <c r="A267" s="14"/>
      <c r="B267" s="18"/>
      <c r="C267" s="131" t="s">
        <v>21</v>
      </c>
      <c r="D267" s="131" t="s">
        <v>22</v>
      </c>
      <c r="E267" s="323" t="s">
        <v>23</v>
      </c>
      <c r="F267" s="385"/>
      <c r="G267" s="7"/>
      <c r="H267" s="7"/>
      <c r="I267" s="10"/>
      <c r="J267" s="10"/>
    </row>
    <row r="268" spans="1:10" s="384" customFormat="1" ht="15.75">
      <c r="A268" s="2" t="s">
        <v>24</v>
      </c>
      <c r="B268" s="17">
        <v>101</v>
      </c>
      <c r="C268" s="252">
        <v>7085932</v>
      </c>
      <c r="D268" s="389" t="s">
        <v>187</v>
      </c>
      <c r="E268" s="324">
        <v>-478.93</v>
      </c>
      <c r="F268" s="385"/>
      <c r="G268" s="7"/>
      <c r="H268" s="7"/>
      <c r="I268" s="8"/>
      <c r="J268" s="7"/>
    </row>
    <row r="269" spans="1:10" s="384" customFormat="1" ht="16.5" thickBot="1">
      <c r="A269" s="2" t="s">
        <v>24</v>
      </c>
      <c r="B269" s="17">
        <v>111</v>
      </c>
      <c r="C269" s="252">
        <v>2422167</v>
      </c>
      <c r="D269" s="389" t="s">
        <v>187</v>
      </c>
      <c r="E269" s="324">
        <v>80.569999999999993</v>
      </c>
      <c r="F269" s="385"/>
      <c r="G269" s="146">
        <f>A266</f>
        <v>41608</v>
      </c>
      <c r="H269" s="147"/>
      <c r="I269" s="147"/>
      <c r="J269" s="147"/>
    </row>
    <row r="270" spans="1:10" s="384" customFormat="1" ht="16.5" thickBot="1">
      <c r="A270" s="2" t="s">
        <v>24</v>
      </c>
      <c r="B270" s="17">
        <v>112</v>
      </c>
      <c r="C270" s="252"/>
      <c r="D270" s="389"/>
      <c r="E270" s="324">
        <v>0</v>
      </c>
      <c r="F270" s="385"/>
      <c r="G270" s="102" t="s">
        <v>25</v>
      </c>
      <c r="H270" s="148"/>
      <c r="I270" s="149" t="s">
        <v>18</v>
      </c>
      <c r="J270" s="150" t="s">
        <v>19</v>
      </c>
    </row>
    <row r="271" spans="1:10" s="384" customFormat="1" ht="15.75">
      <c r="A271" s="2" t="s">
        <v>24</v>
      </c>
      <c r="B271" s="17">
        <v>121</v>
      </c>
      <c r="C271" s="252"/>
      <c r="D271" s="220"/>
      <c r="E271" s="324">
        <v>0</v>
      </c>
      <c r="F271" s="385"/>
      <c r="G271" s="151" t="s">
        <v>28</v>
      </c>
      <c r="H271" s="152" t="s">
        <v>77</v>
      </c>
      <c r="I271" s="108"/>
      <c r="J271" s="394">
        <f>IF(E280&gt;0,-E280,0)</f>
        <v>-101.67</v>
      </c>
    </row>
    <row r="272" spans="1:10" s="384" customFormat="1" ht="15.75">
      <c r="A272" s="2" t="s">
        <v>24</v>
      </c>
      <c r="B272" s="17">
        <v>122</v>
      </c>
      <c r="C272" s="253"/>
      <c r="D272" s="220"/>
      <c r="E272" s="324">
        <v>0</v>
      </c>
      <c r="F272" s="385"/>
      <c r="G272" s="153" t="s">
        <v>29</v>
      </c>
      <c r="H272" s="7" t="s">
        <v>78</v>
      </c>
      <c r="I272" s="395">
        <f>IF(E280&lt;0,-E280,0)</f>
        <v>0</v>
      </c>
      <c r="J272" s="222"/>
    </row>
    <row r="273" spans="1:10" s="384" customFormat="1" ht="15.75">
      <c r="A273" s="2" t="s">
        <v>24</v>
      </c>
      <c r="B273" s="17">
        <v>131</v>
      </c>
      <c r="C273" s="252">
        <v>0</v>
      </c>
      <c r="D273" s="389" t="s">
        <v>187</v>
      </c>
      <c r="E273" s="324">
        <v>0</v>
      </c>
      <c r="F273" s="385"/>
      <c r="G273" s="153" t="s">
        <v>99</v>
      </c>
      <c r="H273" s="7" t="s">
        <v>60</v>
      </c>
      <c r="I273" s="395">
        <f>IF((E263-E279)&gt;0,E263-E279,0)</f>
        <v>398.36000000000058</v>
      </c>
      <c r="J273" s="395">
        <f>IF((E263-E279)&lt;0,E263-E279,0)</f>
        <v>0</v>
      </c>
    </row>
    <row r="274" spans="1:10" s="384" customFormat="1" ht="15.75">
      <c r="A274" s="2" t="s">
        <v>24</v>
      </c>
      <c r="B274" s="17">
        <v>132</v>
      </c>
      <c r="C274" s="253"/>
      <c r="D274" s="121"/>
      <c r="E274" s="324">
        <v>0</v>
      </c>
      <c r="F274" s="385"/>
      <c r="G274" s="153" t="s">
        <v>10</v>
      </c>
      <c r="H274" s="7" t="s">
        <v>58</v>
      </c>
      <c r="I274" s="7"/>
      <c r="J274" s="460"/>
    </row>
    <row r="275" spans="1:10" s="384" customFormat="1" ht="16.5" thickBot="1">
      <c r="A275" s="2" t="s">
        <v>24</v>
      </c>
      <c r="B275" s="17" t="s">
        <v>61</v>
      </c>
      <c r="C275" s="253"/>
      <c r="D275" s="121"/>
      <c r="E275" s="324">
        <v>0</v>
      </c>
      <c r="F275" s="385"/>
      <c r="G275" s="154" t="s">
        <v>100</v>
      </c>
      <c r="H275" s="147" t="s">
        <v>62</v>
      </c>
      <c r="I275" s="462">
        <f>IF((E281-E263)&gt;0,E281-E263,0)</f>
        <v>0</v>
      </c>
      <c r="J275" s="107">
        <f>IF((E281-E263)&lt;0,E281-E263,0)</f>
        <v>-296.69000000000233</v>
      </c>
    </row>
    <row r="276" spans="1:10" s="384" customFormat="1" ht="15.75">
      <c r="A276" s="2" t="s">
        <v>156</v>
      </c>
      <c r="B276" s="70"/>
      <c r="C276" s="251"/>
      <c r="D276" s="136"/>
      <c r="E276" s="325">
        <v>0</v>
      </c>
      <c r="F276" s="385"/>
      <c r="G276" s="7"/>
      <c r="H276" s="7"/>
      <c r="I276" s="8"/>
      <c r="J276" s="260">
        <f>ROUND(SUM(I271:J275),2)</f>
        <v>0</v>
      </c>
    </row>
    <row r="277" spans="1:10" s="384" customFormat="1" ht="16.5" thickBot="1">
      <c r="B277" s="6"/>
      <c r="C277" s="254">
        <f>SUM(C268:C276)</f>
        <v>9508099</v>
      </c>
      <c r="D277" s="155"/>
      <c r="E277" s="326">
        <f>SUM(E268:E276)</f>
        <v>-398.36</v>
      </c>
      <c r="F277" s="385"/>
      <c r="G277" s="7"/>
      <c r="H277" s="7"/>
      <c r="I277" s="7"/>
      <c r="J277" s="7"/>
    </row>
    <row r="278" spans="1:10" s="384" customFormat="1" ht="16.5" thickTop="1">
      <c r="B278" s="6"/>
      <c r="C278" s="255">
        <v>9508099</v>
      </c>
      <c r="D278" s="66" t="s">
        <v>161</v>
      </c>
      <c r="E278" s="327">
        <v>0</v>
      </c>
      <c r="F278" s="385"/>
      <c r="G278" s="65" t="s">
        <v>158</v>
      </c>
      <c r="H278" s="7"/>
      <c r="I278" s="12"/>
      <c r="J278" s="12"/>
    </row>
    <row r="279" spans="1:10" s="384" customFormat="1" ht="15.75">
      <c r="C279" s="317">
        <f>C277-C278</f>
        <v>0</v>
      </c>
      <c r="D279" s="66" t="s">
        <v>87</v>
      </c>
      <c r="E279" s="326">
        <f>E277+E278+E263</f>
        <v>121805.39447091224</v>
      </c>
      <c r="F279" s="385"/>
      <c r="G279" s="8">
        <f>(E261*(D280/12))+(E277*(D280/24))</f>
        <v>101.59227872576022</v>
      </c>
      <c r="H279" s="7">
        <f>E280-G279</f>
        <v>7.7721274239777927E-2</v>
      </c>
      <c r="I279" s="8"/>
      <c r="J279" s="10"/>
    </row>
    <row r="280" spans="1:10" s="384" customFormat="1" ht="15.75">
      <c r="C280" s="50"/>
      <c r="D280" s="225">
        <v>0.01</v>
      </c>
      <c r="E280" s="328">
        <f>ROUND(((E263)+(E277)/2)*(D280/12),2)</f>
        <v>101.67</v>
      </c>
      <c r="F280" s="385"/>
      <c r="G280" s="65"/>
      <c r="H280" s="7"/>
      <c r="I280" s="10"/>
      <c r="J280" s="10"/>
    </row>
    <row r="281" spans="1:10" s="384" customFormat="1" ht="16.5" thickBot="1">
      <c r="A281" s="5"/>
      <c r="B281" s="5"/>
      <c r="C281" s="50" t="s">
        <v>1</v>
      </c>
      <c r="D281" s="143">
        <f>A266</f>
        <v>41608</v>
      </c>
      <c r="E281" s="329">
        <f>SUM(E279:E280)</f>
        <v>121907.06447091224</v>
      </c>
      <c r="F281" s="385"/>
      <c r="G281" s="7"/>
      <c r="H281" s="7"/>
      <c r="I281" s="8"/>
      <c r="J281" s="7"/>
    </row>
    <row r="282" spans="1:10" s="384" customFormat="1" ht="16.5" thickTop="1" thickBot="1">
      <c r="E282" s="320"/>
    </row>
    <row r="283" spans="1:10" s="384" customFormat="1" ht="15.75">
      <c r="A283" s="73" t="s">
        <v>142</v>
      </c>
      <c r="B283" s="74"/>
      <c r="C283" s="75"/>
      <c r="D283" s="76"/>
      <c r="E283" s="321"/>
      <c r="G283" s="16"/>
      <c r="H283" s="5"/>
      <c r="I283" s="56"/>
      <c r="J283" s="56"/>
    </row>
    <row r="284" spans="1:10" s="384" customFormat="1" ht="15.75">
      <c r="A284" s="219">
        <f>EOMONTH(A266,1)</f>
        <v>41639</v>
      </c>
      <c r="B284" s="71"/>
      <c r="C284" s="16"/>
      <c r="D284" s="72" t="s">
        <v>23</v>
      </c>
      <c r="E284" s="322" t="s">
        <v>21</v>
      </c>
      <c r="G284" s="5"/>
      <c r="H284" s="5"/>
      <c r="I284" s="8"/>
      <c r="J284" s="10"/>
    </row>
    <row r="285" spans="1:10" s="384" customFormat="1" ht="16.5" thickBot="1">
      <c r="A285" s="14"/>
      <c r="B285" s="18"/>
      <c r="C285" s="131" t="s">
        <v>21</v>
      </c>
      <c r="D285" s="131" t="s">
        <v>22</v>
      </c>
      <c r="E285" s="323" t="s">
        <v>23</v>
      </c>
      <c r="F285" s="385"/>
      <c r="G285" s="7"/>
      <c r="H285" s="7"/>
      <c r="I285" s="10"/>
      <c r="J285" s="10"/>
    </row>
    <row r="286" spans="1:10" s="384" customFormat="1" ht="15.75">
      <c r="A286" s="2" t="s">
        <v>24</v>
      </c>
      <c r="B286" s="17">
        <v>101</v>
      </c>
      <c r="C286" s="252">
        <f>Jan!$K$23</f>
        <v>12030330</v>
      </c>
      <c r="D286" s="389">
        <v>-1.4999999999999999E-4</v>
      </c>
      <c r="E286" s="324">
        <f>C286*D286</f>
        <v>-1804.5494999999999</v>
      </c>
      <c r="F286" s="385"/>
      <c r="G286" s="7"/>
      <c r="H286" s="7"/>
      <c r="I286" s="8"/>
      <c r="J286" s="7"/>
    </row>
    <row r="287" spans="1:10" s="384" customFormat="1" ht="16.5" thickBot="1">
      <c r="A287" s="2" t="s">
        <v>24</v>
      </c>
      <c r="B287" s="17">
        <v>111</v>
      </c>
      <c r="C287" s="252">
        <f>Jan!$K$24</f>
        <v>3930876</v>
      </c>
      <c r="D287" s="389">
        <v>-1.4999999999999999E-4</v>
      </c>
      <c r="E287" s="324">
        <f t="shared" ref="E287:E293" si="5">C287*D287</f>
        <v>-589.63139999999999</v>
      </c>
      <c r="F287" s="385"/>
      <c r="G287" s="146">
        <f>A284</f>
        <v>41639</v>
      </c>
      <c r="H287" s="147"/>
      <c r="I287" s="147"/>
      <c r="J287" s="147"/>
    </row>
    <row r="288" spans="1:10" s="384" customFormat="1" ht="16.5" thickBot="1">
      <c r="A288" s="2" t="s">
        <v>24</v>
      </c>
      <c r="B288" s="17">
        <v>112</v>
      </c>
      <c r="C288" s="252"/>
      <c r="D288" s="389"/>
      <c r="E288" s="324">
        <f t="shared" si="5"/>
        <v>0</v>
      </c>
      <c r="F288" s="385"/>
      <c r="G288" s="102" t="s">
        <v>25</v>
      </c>
      <c r="H288" s="148"/>
      <c r="I288" s="149" t="s">
        <v>18</v>
      </c>
      <c r="J288" s="150" t="s">
        <v>19</v>
      </c>
    </row>
    <row r="289" spans="1:10" s="384" customFormat="1" ht="15.75">
      <c r="A289" s="2" t="s">
        <v>24</v>
      </c>
      <c r="B289" s="17">
        <v>121</v>
      </c>
      <c r="C289" s="252"/>
      <c r="D289" s="220"/>
      <c r="E289" s="324">
        <f t="shared" si="5"/>
        <v>0</v>
      </c>
      <c r="F289" s="385"/>
      <c r="G289" s="151" t="s">
        <v>28</v>
      </c>
      <c r="H289" s="152" t="s">
        <v>77</v>
      </c>
      <c r="I289" s="108"/>
      <c r="J289" s="394">
        <f>IF(E298&gt;0,-E298,0)</f>
        <v>-100.59</v>
      </c>
    </row>
    <row r="290" spans="1:10" s="384" customFormat="1" ht="15.75">
      <c r="A290" s="2" t="s">
        <v>24</v>
      </c>
      <c r="B290" s="17">
        <v>122</v>
      </c>
      <c r="C290" s="253"/>
      <c r="D290" s="220"/>
      <c r="E290" s="324">
        <f t="shared" si="5"/>
        <v>0</v>
      </c>
      <c r="F290" s="385"/>
      <c r="G290" s="153" t="s">
        <v>29</v>
      </c>
      <c r="H290" s="7" t="s">
        <v>78</v>
      </c>
      <c r="I290" s="395">
        <f>IF(E298&lt;0,-E298,0)</f>
        <v>0</v>
      </c>
      <c r="J290" s="222"/>
    </row>
    <row r="291" spans="1:10" s="384" customFormat="1" ht="15.75">
      <c r="A291" s="2" t="s">
        <v>24</v>
      </c>
      <c r="B291" s="17">
        <v>131</v>
      </c>
      <c r="C291" s="252">
        <f>Jan!$K$41</f>
        <v>0</v>
      </c>
      <c r="D291" s="389">
        <v>1.042E-2</v>
      </c>
      <c r="E291" s="324">
        <f t="shared" si="5"/>
        <v>0</v>
      </c>
      <c r="F291" s="385"/>
      <c r="G291" s="153" t="s">
        <v>99</v>
      </c>
      <c r="H291" s="7" t="s">
        <v>60</v>
      </c>
      <c r="I291" s="395">
        <f>IF((E281-E297)&gt;0,E281-E297,0)</f>
        <v>2394.1809000000067</v>
      </c>
      <c r="J291" s="395">
        <f>IF((E281-E297)&lt;0,E281-E297,0)</f>
        <v>0</v>
      </c>
    </row>
    <row r="292" spans="1:10" s="384" customFormat="1" ht="15.75">
      <c r="A292" s="2" t="s">
        <v>24</v>
      </c>
      <c r="B292" s="17">
        <v>132</v>
      </c>
      <c r="C292" s="253"/>
      <c r="D292" s="121"/>
      <c r="E292" s="324">
        <f t="shared" si="5"/>
        <v>0</v>
      </c>
      <c r="F292" s="385"/>
      <c r="G292" s="153" t="s">
        <v>10</v>
      </c>
      <c r="H292" s="7" t="s">
        <v>58</v>
      </c>
      <c r="I292" s="7"/>
      <c r="J292" s="460"/>
    </row>
    <row r="293" spans="1:10" s="384" customFormat="1" ht="16.5" thickBot="1">
      <c r="A293" s="2" t="s">
        <v>24</v>
      </c>
      <c r="B293" s="17" t="s">
        <v>61</v>
      </c>
      <c r="C293" s="253"/>
      <c r="D293" s="121"/>
      <c r="E293" s="324">
        <f t="shared" si="5"/>
        <v>0</v>
      </c>
      <c r="F293" s="385"/>
      <c r="G293" s="154" t="s">
        <v>100</v>
      </c>
      <c r="H293" s="147" t="s">
        <v>62</v>
      </c>
      <c r="I293" s="462">
        <f>IF((E299-E281)&gt;0,E299-E281,0)</f>
        <v>0</v>
      </c>
      <c r="J293" s="107">
        <f>IF((E299-E281)&lt;0,E299-E281,0)</f>
        <v>-2293.5909000000102</v>
      </c>
    </row>
    <row r="294" spans="1:10" s="384" customFormat="1" ht="15.75">
      <c r="A294" s="2" t="s">
        <v>156</v>
      </c>
      <c r="B294" s="70"/>
      <c r="C294" s="251"/>
      <c r="D294" s="136"/>
      <c r="E294" s="325">
        <v>0</v>
      </c>
      <c r="F294" s="385"/>
      <c r="G294" s="7"/>
      <c r="H294" s="7"/>
      <c r="I294" s="8"/>
      <c r="J294" s="260">
        <f>ROUND(SUM(I289:J293),2)</f>
        <v>0</v>
      </c>
    </row>
    <row r="295" spans="1:10" s="384" customFormat="1" ht="16.5" thickBot="1">
      <c r="B295" s="6"/>
      <c r="C295" s="254">
        <f>SUM(C286:C294)</f>
        <v>15961206</v>
      </c>
      <c r="D295" s="155"/>
      <c r="E295" s="326">
        <f>SUM(E286:E294)</f>
        <v>-2394.1808999999998</v>
      </c>
      <c r="F295" s="385"/>
      <c r="G295" s="7"/>
      <c r="H295" s="7"/>
      <c r="I295" s="7"/>
      <c r="J295" s="7"/>
    </row>
    <row r="296" spans="1:10" s="384" customFormat="1" ht="16.5" thickTop="1">
      <c r="B296" s="6"/>
      <c r="C296" s="255">
        <v>13760186</v>
      </c>
      <c r="D296" s="66" t="s">
        <v>161</v>
      </c>
      <c r="E296" s="327">
        <v>0</v>
      </c>
      <c r="F296" s="385"/>
      <c r="G296" s="65" t="s">
        <v>158</v>
      </c>
      <c r="H296" s="7"/>
      <c r="I296" s="12"/>
      <c r="J296" s="12"/>
    </row>
    <row r="297" spans="1:10" s="384" customFormat="1" ht="15.75">
      <c r="C297" s="317">
        <f>C295-C296</f>
        <v>2201020</v>
      </c>
      <c r="D297" s="66" t="s">
        <v>87</v>
      </c>
      <c r="E297" s="326">
        <f>E295+E296+E281</f>
        <v>119512.88357091224</v>
      </c>
      <c r="F297" s="385"/>
      <c r="G297" s="8">
        <f>(E279*(D298/12))+(E295*(D298/24))</f>
        <v>100.50692001742688</v>
      </c>
      <c r="H297" s="7">
        <f>E298-G297</f>
        <v>8.3079982573124767E-2</v>
      </c>
      <c r="I297" s="8"/>
      <c r="J297" s="10"/>
    </row>
    <row r="298" spans="1:10" s="384" customFormat="1" ht="15.75">
      <c r="C298" s="50"/>
      <c r="D298" s="225">
        <v>0.01</v>
      </c>
      <c r="E298" s="328">
        <f>ROUND(((E281)+(E295)/2)*(D298/12),2)</f>
        <v>100.59</v>
      </c>
      <c r="F298" s="385"/>
      <c r="G298" s="65"/>
      <c r="H298" s="7"/>
      <c r="I298" s="10"/>
      <c r="J298" s="10"/>
    </row>
    <row r="299" spans="1:10" s="384" customFormat="1" ht="16.5" thickBot="1">
      <c r="A299" s="5"/>
      <c r="B299" s="5"/>
      <c r="C299" s="50" t="s">
        <v>1</v>
      </c>
      <c r="D299" s="143">
        <f>A284</f>
        <v>41639</v>
      </c>
      <c r="E299" s="329">
        <f>SUM(E297:E298)</f>
        <v>119613.47357091223</v>
      </c>
      <c r="F299" s="385"/>
      <c r="G299" s="475" t="s">
        <v>244</v>
      </c>
      <c r="H299" s="476" t="e">
        <f>_xll.Get_Balance(I299,"YTD","USD","Total","A","","001","191000","GD","ID","DL")-E299</f>
        <v>#VALUE!</v>
      </c>
      <c r="I299" s="477">
        <v>201312</v>
      </c>
      <c r="J299" s="7"/>
    </row>
    <row r="300" spans="1:10" ht="15.75" thickTop="1"/>
    <row r="355" spans="16:16">
      <c r="P355" s="1">
        <f>(C343*M354)/12+((C346+C349+C350)*M354)/24</f>
        <v>0</v>
      </c>
    </row>
  </sheetData>
  <phoneticPr fontId="0" type="noConversion"/>
  <conditionalFormatting sqref="C25">
    <cfRule type="cellIs" dxfId="163" priority="48" operator="notEqual">
      <formula>0</formula>
    </cfRule>
  </conditionalFormatting>
  <conditionalFormatting sqref="J22">
    <cfRule type="cellIs" dxfId="162" priority="46" stopIfTrue="1" operator="equal">
      <formula>0</formula>
    </cfRule>
    <cfRule type="cellIs" dxfId="161" priority="47" stopIfTrue="1" operator="notEqual">
      <formula>0</formula>
    </cfRule>
  </conditionalFormatting>
  <conditionalFormatting sqref="C43">
    <cfRule type="cellIs" dxfId="160" priority="45" operator="notEqual">
      <formula>0</formula>
    </cfRule>
  </conditionalFormatting>
  <conditionalFormatting sqref="J40">
    <cfRule type="cellIs" dxfId="159" priority="43" stopIfTrue="1" operator="equal">
      <formula>0</formula>
    </cfRule>
    <cfRule type="cellIs" dxfId="158" priority="44" stopIfTrue="1" operator="notEqual">
      <formula>0</formula>
    </cfRule>
  </conditionalFormatting>
  <conditionalFormatting sqref="C61">
    <cfRule type="cellIs" dxfId="157" priority="42" operator="notEqual">
      <formula>0</formula>
    </cfRule>
  </conditionalFormatting>
  <conditionalFormatting sqref="J58">
    <cfRule type="cellIs" dxfId="156" priority="40" stopIfTrue="1" operator="equal">
      <formula>0</formula>
    </cfRule>
    <cfRule type="cellIs" dxfId="155" priority="41" stopIfTrue="1" operator="notEqual">
      <formula>0</formula>
    </cfRule>
  </conditionalFormatting>
  <conditionalFormatting sqref="C79">
    <cfRule type="cellIs" dxfId="154" priority="39" operator="notEqual">
      <formula>0</formula>
    </cfRule>
  </conditionalFormatting>
  <conditionalFormatting sqref="J76">
    <cfRule type="cellIs" dxfId="153" priority="37" stopIfTrue="1" operator="equal">
      <formula>0</formula>
    </cfRule>
    <cfRule type="cellIs" dxfId="152" priority="38" stopIfTrue="1" operator="notEqual">
      <formula>0</formula>
    </cfRule>
  </conditionalFormatting>
  <conditionalFormatting sqref="C97">
    <cfRule type="cellIs" dxfId="151" priority="36" operator="notEqual">
      <formula>0</formula>
    </cfRule>
  </conditionalFormatting>
  <conditionalFormatting sqref="J94">
    <cfRule type="cellIs" dxfId="150" priority="34" stopIfTrue="1" operator="equal">
      <formula>0</formula>
    </cfRule>
    <cfRule type="cellIs" dxfId="149" priority="35" stopIfTrue="1" operator="notEqual">
      <formula>0</formula>
    </cfRule>
  </conditionalFormatting>
  <conditionalFormatting sqref="C115">
    <cfRule type="cellIs" dxfId="148" priority="33" operator="notEqual">
      <formula>0</formula>
    </cfRule>
  </conditionalFormatting>
  <conditionalFormatting sqref="J112">
    <cfRule type="cellIs" dxfId="147" priority="31" stopIfTrue="1" operator="equal">
      <formula>0</formula>
    </cfRule>
    <cfRule type="cellIs" dxfId="146" priority="32" stopIfTrue="1" operator="notEqual">
      <formula>0</formula>
    </cfRule>
  </conditionalFormatting>
  <conditionalFormatting sqref="C133">
    <cfRule type="cellIs" dxfId="145" priority="30" operator="notEqual">
      <formula>0</formula>
    </cfRule>
  </conditionalFormatting>
  <conditionalFormatting sqref="J130">
    <cfRule type="cellIs" dxfId="144" priority="28" stopIfTrue="1" operator="equal">
      <formula>0</formula>
    </cfRule>
    <cfRule type="cellIs" dxfId="143" priority="29" stopIfTrue="1" operator="notEqual">
      <formula>0</formula>
    </cfRule>
  </conditionalFormatting>
  <conditionalFormatting sqref="C151">
    <cfRule type="cellIs" dxfId="142" priority="27" operator="notEqual">
      <formula>0</formula>
    </cfRule>
  </conditionalFormatting>
  <conditionalFormatting sqref="J148">
    <cfRule type="cellIs" dxfId="141" priority="25" stopIfTrue="1" operator="equal">
      <formula>0</formula>
    </cfRule>
    <cfRule type="cellIs" dxfId="140" priority="26" stopIfTrue="1" operator="notEqual">
      <formula>0</formula>
    </cfRule>
  </conditionalFormatting>
  <conditionalFormatting sqref="C169">
    <cfRule type="cellIs" dxfId="139" priority="24" operator="notEqual">
      <formula>0</formula>
    </cfRule>
  </conditionalFormatting>
  <conditionalFormatting sqref="J166">
    <cfRule type="cellIs" dxfId="138" priority="22" stopIfTrue="1" operator="equal">
      <formula>0</formula>
    </cfRule>
    <cfRule type="cellIs" dxfId="137" priority="23" stopIfTrue="1" operator="notEqual">
      <formula>0</formula>
    </cfRule>
  </conditionalFormatting>
  <conditionalFormatting sqref="C187">
    <cfRule type="cellIs" dxfId="136" priority="21" operator="notEqual">
      <formula>0</formula>
    </cfRule>
  </conditionalFormatting>
  <conditionalFormatting sqref="J184">
    <cfRule type="cellIs" dxfId="135" priority="19" stopIfTrue="1" operator="equal">
      <formula>0</formula>
    </cfRule>
    <cfRule type="cellIs" dxfId="134" priority="20" stopIfTrue="1" operator="notEqual">
      <formula>0</formula>
    </cfRule>
  </conditionalFormatting>
  <conditionalFormatting sqref="C205">
    <cfRule type="cellIs" dxfId="133" priority="18" operator="notEqual">
      <formula>0</formula>
    </cfRule>
  </conditionalFormatting>
  <conditionalFormatting sqref="J202">
    <cfRule type="cellIs" dxfId="132" priority="16" stopIfTrue="1" operator="equal">
      <formula>0</formula>
    </cfRule>
    <cfRule type="cellIs" dxfId="131" priority="17" stopIfTrue="1" operator="notEqual">
      <formula>0</formula>
    </cfRule>
  </conditionalFormatting>
  <conditionalFormatting sqref="C223">
    <cfRule type="cellIs" dxfId="130" priority="15" operator="notEqual">
      <formula>0</formula>
    </cfRule>
  </conditionalFormatting>
  <conditionalFormatting sqref="J220">
    <cfRule type="cellIs" dxfId="129" priority="13" stopIfTrue="1" operator="equal">
      <formula>0</formula>
    </cfRule>
    <cfRule type="cellIs" dxfId="128" priority="14" stopIfTrue="1" operator="notEqual">
      <formula>0</formula>
    </cfRule>
  </conditionalFormatting>
  <conditionalFormatting sqref="C241">
    <cfRule type="cellIs" dxfId="127" priority="12" operator="notEqual">
      <formula>0</formula>
    </cfRule>
  </conditionalFormatting>
  <conditionalFormatting sqref="J238">
    <cfRule type="cellIs" dxfId="126" priority="10" stopIfTrue="1" operator="equal">
      <formula>0</formula>
    </cfRule>
    <cfRule type="cellIs" dxfId="125" priority="11" stopIfTrue="1" operator="notEqual">
      <formula>0</formula>
    </cfRule>
  </conditionalFormatting>
  <conditionalFormatting sqref="C261">
    <cfRule type="cellIs" dxfId="124" priority="9" operator="notEqual">
      <formula>0</formula>
    </cfRule>
  </conditionalFormatting>
  <conditionalFormatting sqref="J258">
    <cfRule type="cellIs" dxfId="123" priority="7" stopIfTrue="1" operator="equal">
      <formula>0</formula>
    </cfRule>
    <cfRule type="cellIs" dxfId="122" priority="8" stopIfTrue="1" operator="notEqual">
      <formula>0</formula>
    </cfRule>
  </conditionalFormatting>
  <conditionalFormatting sqref="C279">
    <cfRule type="cellIs" dxfId="121" priority="6" operator="notEqual">
      <formula>0</formula>
    </cfRule>
  </conditionalFormatting>
  <conditionalFormatting sqref="J276">
    <cfRule type="cellIs" dxfId="120" priority="4" stopIfTrue="1" operator="equal">
      <formula>0</formula>
    </cfRule>
    <cfRule type="cellIs" dxfId="119" priority="5" stopIfTrue="1" operator="notEqual">
      <formula>0</formula>
    </cfRule>
  </conditionalFormatting>
  <conditionalFormatting sqref="C297">
    <cfRule type="cellIs" dxfId="118" priority="3" operator="notEqual">
      <formula>0</formula>
    </cfRule>
  </conditionalFormatting>
  <conditionalFormatting sqref="J294">
    <cfRule type="cellIs" dxfId="117" priority="1" stopIfTrue="1" operator="equal">
      <formula>0</formula>
    </cfRule>
    <cfRule type="cellIs" dxfId="116" priority="2" stopIfTrue="1" operator="notEqual">
      <formula>0</formula>
    </cfRule>
  </conditionalFormatting>
  <printOptions gridLinesSet="0"/>
  <pageMargins left="0.5" right="0.5" top="1.04" bottom="0.5" header="0.25" footer="0.25"/>
  <pageSetup scale="37" orientation="portrait" horizontalDpi="300" verticalDpi="300" r:id="rId1"/>
  <headerFooter alignWithMargins="0">
    <oddHeader>&amp;L&amp;12Prior Period Unrecovered Gas Costs
Idaho
191000</oddHeader>
    <oddFooter>&amp;L&amp;F&amp;C&amp;A&amp;R&amp;D &amp;T</oddFooter>
  </headerFooter>
  <customProperties>
    <customPr name="xxe4aP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M32"/>
  <sheetViews>
    <sheetView zoomScale="85" zoomScaleNormal="85" workbookViewId="0">
      <selection activeCell="H2" sqref="H2"/>
    </sheetView>
  </sheetViews>
  <sheetFormatPr defaultRowHeight="12.75"/>
  <cols>
    <col min="1" max="1" width="17.5703125" bestFit="1" customWidth="1"/>
    <col min="2" max="2" width="7.28515625" bestFit="1" customWidth="1"/>
    <col min="3" max="3" width="4.85546875" bestFit="1" customWidth="1"/>
    <col min="4" max="4" width="16.7109375" bestFit="1" customWidth="1"/>
    <col min="5" max="5" width="12.28515625" bestFit="1" customWidth="1"/>
    <col min="6" max="6" width="9.28515625" bestFit="1" customWidth="1"/>
    <col min="7" max="7" width="7.140625" bestFit="1" customWidth="1"/>
    <col min="8" max="8" width="12.42578125" bestFit="1" customWidth="1"/>
    <col min="9" max="9" width="22.85546875" bestFit="1" customWidth="1"/>
    <col min="10" max="10" width="18.140625" bestFit="1" customWidth="1"/>
    <col min="11" max="11" width="12.42578125" bestFit="1" customWidth="1"/>
    <col min="12" max="12" width="23.5703125" bestFit="1" customWidth="1"/>
    <col min="13" max="13" width="40.42578125" bestFit="1" customWidth="1"/>
    <col min="15" max="15" width="12.85546875" customWidth="1"/>
  </cols>
  <sheetData>
    <row r="1" spans="1:13" ht="15">
      <c r="A1" s="500" t="s">
        <v>267</v>
      </c>
      <c r="B1" s="501" t="s">
        <v>268</v>
      </c>
      <c r="C1" s="502" t="s">
        <v>269</v>
      </c>
      <c r="D1" s="503" t="s">
        <v>270</v>
      </c>
      <c r="E1" s="502" t="s">
        <v>271</v>
      </c>
      <c r="F1" s="500" t="s">
        <v>272</v>
      </c>
      <c r="G1" s="500" t="s">
        <v>273</v>
      </c>
      <c r="H1" s="500" t="s">
        <v>274</v>
      </c>
      <c r="I1" s="500" t="s">
        <v>275</v>
      </c>
      <c r="J1" s="500" t="s">
        <v>276</v>
      </c>
      <c r="K1" s="504" t="s">
        <v>277</v>
      </c>
      <c r="L1" s="504" t="s">
        <v>278</v>
      </c>
      <c r="M1" s="502" t="s">
        <v>279</v>
      </c>
    </row>
    <row r="2" spans="1:13" ht="15">
      <c r="A2" s="505" t="s">
        <v>280</v>
      </c>
      <c r="B2" s="506"/>
      <c r="C2" s="506"/>
      <c r="D2" s="506"/>
      <c r="E2" s="506"/>
      <c r="F2" s="505">
        <v>1</v>
      </c>
      <c r="G2" s="507" t="str">
        <f>LEFT('WA - Def-Amtz (current)'!BG5,6)</f>
        <v>419600</v>
      </c>
      <c r="H2" s="507" t="str">
        <f>LEFT('WA - Def-Amtz (current)'!BH5,6)</f>
        <v>GD</v>
      </c>
      <c r="I2" s="507" t="str">
        <f>LEFT('WA - Def-Amtz (current)'!BI5,6)</f>
        <v>WA</v>
      </c>
      <c r="J2" s="505" t="s">
        <v>283</v>
      </c>
      <c r="K2" s="508">
        <f>'WA - Def-Amtz (current)'!BJ5</f>
        <v>0</v>
      </c>
      <c r="L2" s="508">
        <f>'WA - Def-Amtz (current)'!BK5</f>
        <v>0</v>
      </c>
      <c r="M2" s="528" t="str">
        <f>'WA - Def-Amtz (current)'!BF5</f>
        <v>WA Deferral Interest Income</v>
      </c>
    </row>
    <row r="3" spans="1:13" ht="15">
      <c r="A3" s="505" t="s">
        <v>280</v>
      </c>
      <c r="B3" s="506"/>
      <c r="C3" s="506"/>
      <c r="D3" s="506"/>
      <c r="E3" s="506"/>
      <c r="F3" s="505">
        <v>1</v>
      </c>
      <c r="G3" s="507" t="str">
        <f>LEFT('WA - Def-Amtz (current)'!BG6,6)</f>
        <v>431600</v>
      </c>
      <c r="H3" s="507" t="str">
        <f>LEFT('WA - Def-Amtz (current)'!BH6,6)</f>
        <v>GD</v>
      </c>
      <c r="I3" s="507" t="str">
        <f>LEFT('WA - Def-Amtz (current)'!BI6,6)</f>
        <v>WA</v>
      </c>
      <c r="J3" s="505" t="s">
        <v>283</v>
      </c>
      <c r="K3" s="508">
        <f>'WA - Def-Amtz (current)'!BJ6</f>
        <v>33791.47</v>
      </c>
      <c r="L3" s="508">
        <f>'WA - Def-Amtz (current)'!BK6</f>
        <v>0</v>
      </c>
      <c r="M3" s="528" t="str">
        <f>'WA - Def-Amtz (current)'!BF6</f>
        <v>WA Deferral Interest Expense</v>
      </c>
    </row>
    <row r="4" spans="1:13" ht="15">
      <c r="A4" s="505" t="s">
        <v>280</v>
      </c>
      <c r="B4" s="506"/>
      <c r="C4" s="506"/>
      <c r="D4" s="506"/>
      <c r="E4" s="506"/>
      <c r="F4" s="505">
        <v>1</v>
      </c>
      <c r="G4" s="507" t="str">
        <f>LEFT('WA - Def-Amtz (current)'!BG7,6)</f>
        <v>191010</v>
      </c>
      <c r="H4" s="507" t="str">
        <f>LEFT('WA - Def-Amtz (current)'!BH7,6)</f>
        <v>GD</v>
      </c>
      <c r="I4" s="507" t="str">
        <f>LEFT('WA - Def-Amtz (current)'!BI7,6)</f>
        <v>WA</v>
      </c>
      <c r="J4" s="505" t="s">
        <v>283</v>
      </c>
      <c r="K4" s="508">
        <f>'WA - Def-Amtz (current)'!BJ7</f>
        <v>0</v>
      </c>
      <c r="L4" s="508">
        <f>'WA - Def-Amtz (current)'!BK7</f>
        <v>2917708.2497340054</v>
      </c>
      <c r="M4" s="528" t="str">
        <f>'WA - Def-Amtz (current)'!BF7</f>
        <v>WA Deferral</v>
      </c>
    </row>
    <row r="5" spans="1:13" ht="15">
      <c r="A5" s="505" t="s">
        <v>280</v>
      </c>
      <c r="B5" s="506"/>
      <c r="C5" s="506"/>
      <c r="D5" s="506"/>
      <c r="E5" s="506"/>
      <c r="F5" s="505">
        <v>1</v>
      </c>
      <c r="G5" s="507" t="str">
        <f>LEFT('WA - Def-Amtz (current)'!BG8,6)</f>
        <v>805120</v>
      </c>
      <c r="H5" s="507" t="str">
        <f>LEFT('WA - Def-Amtz (current)'!BH8,6)</f>
        <v>GD</v>
      </c>
      <c r="I5" s="507" t="str">
        <f>LEFT('WA - Def-Amtz (current)'!BI8,6)</f>
        <v>WA</v>
      </c>
      <c r="J5" s="505" t="s">
        <v>283</v>
      </c>
      <c r="K5" s="508">
        <f>'WA - Def-Amtz (current)'!BJ8</f>
        <v>2883916.7797340052</v>
      </c>
      <c r="L5" s="508">
        <f>'WA - Def-Amtz (current)'!BK8</f>
        <v>0</v>
      </c>
      <c r="M5" s="528" t="str">
        <f>'WA - Def-Amtz (current)'!BF8</f>
        <v>WA Deferral Expense</v>
      </c>
    </row>
    <row r="6" spans="1:13" ht="15">
      <c r="A6" s="505" t="s">
        <v>280</v>
      </c>
      <c r="B6" s="506"/>
      <c r="C6" s="506"/>
      <c r="D6" s="506"/>
      <c r="E6" s="506"/>
      <c r="F6" s="505">
        <v>1</v>
      </c>
      <c r="G6" s="507" t="str">
        <f>LEFT('WA - Def-Amtz (current)'!BG42,6)</f>
        <v>431600</v>
      </c>
      <c r="H6" s="507" t="str">
        <f>LEFT('WA - Def-Amtz (current)'!BH42,6)</f>
        <v>GD</v>
      </c>
      <c r="I6" s="507" t="str">
        <f>LEFT('WA - Def-Amtz (current)'!BI42,6)</f>
        <v>WA</v>
      </c>
      <c r="J6" s="505" t="s">
        <v>283</v>
      </c>
      <c r="K6" s="508">
        <f>'WA - Def-Amtz (current)'!BJ42</f>
        <v>35324.029654968952</v>
      </c>
      <c r="L6" s="508">
        <f>'WA - Def-Amtz (current)'!BK42</f>
        <v>0</v>
      </c>
      <c r="M6" s="528" t="str">
        <f>'WA - Def-Amtz (current)'!BF42</f>
        <v>WA Amortization Interest Expense</v>
      </c>
    </row>
    <row r="7" spans="1:13" ht="15">
      <c r="A7" s="505" t="s">
        <v>280</v>
      </c>
      <c r="B7" s="506"/>
      <c r="C7" s="506"/>
      <c r="D7" s="506"/>
      <c r="E7" s="506"/>
      <c r="F7" s="505">
        <v>1</v>
      </c>
      <c r="G7" s="507" t="str">
        <f>LEFT('WA - Def-Amtz (current)'!BG43,6)</f>
        <v>191000</v>
      </c>
      <c r="H7" s="507" t="str">
        <f>LEFT('WA - Def-Amtz (current)'!BH43,6)</f>
        <v>GD</v>
      </c>
      <c r="I7" s="507" t="str">
        <f>LEFT('WA - Def-Amtz (current)'!BI43,6)</f>
        <v>WA</v>
      </c>
      <c r="J7" s="505" t="s">
        <v>283</v>
      </c>
      <c r="K7" s="508">
        <f>'WA - Def-Amtz (current)'!BJ43</f>
        <v>2627576.970345031</v>
      </c>
      <c r="L7" s="508">
        <f>'WA - Def-Amtz (current)'!BK43</f>
        <v>0</v>
      </c>
      <c r="M7" s="528" t="str">
        <f>'WA - Def-Amtz (current)'!BF43</f>
        <v>WA Amortization</v>
      </c>
    </row>
    <row r="8" spans="1:13" ht="15">
      <c r="A8" s="505" t="s">
        <v>280</v>
      </c>
      <c r="B8" s="506"/>
      <c r="C8" s="506"/>
      <c r="D8" s="506"/>
      <c r="E8" s="506"/>
      <c r="F8" s="505">
        <v>1</v>
      </c>
      <c r="G8" s="507" t="str">
        <f>LEFT('WA - Def-Amtz (current)'!BG44,6)</f>
        <v>805110</v>
      </c>
      <c r="H8" s="507" t="str">
        <f>LEFT('WA - Def-Amtz (current)'!BH44,6)</f>
        <v>GD</v>
      </c>
      <c r="I8" s="507" t="str">
        <f>LEFT('WA - Def-Amtz (current)'!BI44,6)</f>
        <v>WA</v>
      </c>
      <c r="J8" s="505" t="s">
        <v>283</v>
      </c>
      <c r="K8" s="508">
        <f>'WA - Def-Amtz (current)'!BJ44</f>
        <v>0</v>
      </c>
      <c r="L8" s="508">
        <f>'WA - Def-Amtz (current)'!BK44</f>
        <v>2662901</v>
      </c>
      <c r="M8" s="528" t="str">
        <f>'WA - Def-Amtz (current)'!BF44</f>
        <v>WA Amortization Expense</v>
      </c>
    </row>
    <row r="9" spans="1:13" ht="15">
      <c r="A9" s="505" t="s">
        <v>280</v>
      </c>
      <c r="B9" s="506"/>
      <c r="C9" s="506"/>
      <c r="D9" s="506"/>
      <c r="E9" s="506"/>
      <c r="F9" s="505">
        <v>1</v>
      </c>
      <c r="G9" s="507" t="str">
        <f>LEFT('WA - Def-Amtz (current)'!BG76,6)</f>
        <v>191025</v>
      </c>
      <c r="H9" s="507" t="str">
        <f>LEFT('WA - Def-Amtz (current)'!BH76,6)</f>
        <v>GD</v>
      </c>
      <c r="I9" s="507" t="str">
        <f>LEFT('WA - Def-Amtz (current)'!BI76,6)</f>
        <v>WA</v>
      </c>
      <c r="J9" s="505" t="s">
        <v>283</v>
      </c>
      <c r="K9" s="508">
        <f>'WA - Def-Amtz (current)'!BJ76</f>
        <v>0</v>
      </c>
      <c r="L9" s="508">
        <f>'WA - Def-Amtz (current)'!BK76</f>
        <v>0</v>
      </c>
      <c r="M9" s="528" t="str">
        <f>'WA - Def-Amtz (current)'!BF76</f>
        <v>WA Amortization JP</v>
      </c>
    </row>
    <row r="10" spans="1:13" ht="15">
      <c r="A10" s="505" t="s">
        <v>280</v>
      </c>
      <c r="B10" s="506"/>
      <c r="C10" s="506"/>
      <c r="D10" s="506"/>
      <c r="E10" s="506"/>
      <c r="F10" s="505">
        <v>1</v>
      </c>
      <c r="G10" s="507" t="str">
        <f>LEFT('WA - Def-Amtz (current)'!BG77,6)</f>
        <v>805110</v>
      </c>
      <c r="H10" s="507" t="str">
        <f>LEFT('WA - Def-Amtz (current)'!BH77,6)</f>
        <v>GD</v>
      </c>
      <c r="I10" s="507" t="str">
        <f>LEFT('WA - Def-Amtz (current)'!BI77,6)</f>
        <v>WA</v>
      </c>
      <c r="J10" s="505" t="s">
        <v>283</v>
      </c>
      <c r="K10" s="508">
        <f>'WA - Def-Amtz (current)'!BJ77</f>
        <v>0</v>
      </c>
      <c r="L10" s="508">
        <f>'WA - Def-Amtz (current)'!BK77</f>
        <v>0</v>
      </c>
      <c r="M10" s="528" t="str">
        <f>'WA - Def-Amtz (current)'!BF77</f>
        <v>WA Amortization Expense JP</v>
      </c>
    </row>
    <row r="11" spans="1:13" ht="15">
      <c r="A11" s="505"/>
      <c r="B11" s="506"/>
      <c r="C11" s="506"/>
      <c r="D11" s="506"/>
      <c r="E11" s="506"/>
      <c r="F11" s="505"/>
      <c r="G11" s="507"/>
      <c r="H11" s="507"/>
      <c r="I11" s="507"/>
      <c r="J11" s="505"/>
      <c r="K11" s="508"/>
      <c r="L11" s="508"/>
      <c r="M11" s="528"/>
    </row>
    <row r="12" spans="1:13" ht="15">
      <c r="A12" s="505"/>
      <c r="B12" s="506"/>
      <c r="C12" s="506"/>
      <c r="D12" s="506"/>
      <c r="E12" s="506"/>
      <c r="F12" s="505"/>
      <c r="G12" s="507"/>
      <c r="H12" s="507"/>
      <c r="I12" s="507"/>
      <c r="J12" s="505"/>
      <c r="K12" s="508"/>
      <c r="L12" s="508"/>
      <c r="M12" s="528"/>
    </row>
    <row r="13" spans="1:13" ht="15">
      <c r="A13" s="505" t="s">
        <v>280</v>
      </c>
      <c r="B13" s="506"/>
      <c r="C13" s="506"/>
      <c r="D13" s="506"/>
      <c r="E13" s="506"/>
      <c r="F13" s="505">
        <v>1</v>
      </c>
      <c r="G13" s="507" t="e">
        <f>LEFT(#REF!,6)</f>
        <v>#REF!</v>
      </c>
      <c r="H13" s="507" t="e">
        <f>LEFT(#REF!,6)</f>
        <v>#REF!</v>
      </c>
      <c r="I13" s="507" t="e">
        <f>LEFT(#REF!,6)</f>
        <v>#REF!</v>
      </c>
      <c r="J13" s="505" t="s">
        <v>283</v>
      </c>
      <c r="K13" s="508" t="e">
        <f>#REF!</f>
        <v>#REF!</v>
      </c>
      <c r="L13" s="508" t="e">
        <f>#REF!</f>
        <v>#REF!</v>
      </c>
      <c r="M13" s="528" t="e">
        <f>#REF!</f>
        <v>#REF!</v>
      </c>
    </row>
    <row r="14" spans="1:13" ht="15">
      <c r="A14" s="505" t="s">
        <v>280</v>
      </c>
      <c r="B14" s="506"/>
      <c r="C14" s="506"/>
      <c r="D14" s="506"/>
      <c r="E14" s="506"/>
      <c r="F14" s="505">
        <v>1</v>
      </c>
      <c r="G14" s="507" t="e">
        <f>LEFT(#REF!,6)</f>
        <v>#REF!</v>
      </c>
      <c r="H14" s="507" t="e">
        <f>LEFT(#REF!,6)</f>
        <v>#REF!</v>
      </c>
      <c r="I14" s="507" t="e">
        <f>LEFT(#REF!,6)</f>
        <v>#REF!</v>
      </c>
      <c r="J14" s="505" t="s">
        <v>283</v>
      </c>
      <c r="K14" s="508" t="e">
        <f>#REF!</f>
        <v>#REF!</v>
      </c>
      <c r="L14" s="508" t="e">
        <f>#REF!</f>
        <v>#REF!</v>
      </c>
      <c r="M14" s="528" t="e">
        <f>#REF!</f>
        <v>#REF!</v>
      </c>
    </row>
    <row r="15" spans="1:13" ht="15">
      <c r="A15" s="505" t="s">
        <v>280</v>
      </c>
      <c r="B15" s="506"/>
      <c r="C15" s="506"/>
      <c r="D15" s="506"/>
      <c r="E15" s="506"/>
      <c r="F15" s="505">
        <v>1</v>
      </c>
      <c r="G15" s="507" t="e">
        <f>LEFT(#REF!,6)</f>
        <v>#REF!</v>
      </c>
      <c r="H15" s="507" t="e">
        <f>LEFT(#REF!,6)</f>
        <v>#REF!</v>
      </c>
      <c r="I15" s="507" t="e">
        <f>LEFT(#REF!,6)</f>
        <v>#REF!</v>
      </c>
      <c r="J15" s="505" t="s">
        <v>283</v>
      </c>
      <c r="K15" s="508" t="e">
        <f>#REF!</f>
        <v>#REF!</v>
      </c>
      <c r="L15" s="508" t="e">
        <f>#REF!</f>
        <v>#REF!</v>
      </c>
      <c r="M15" s="528" t="e">
        <f>#REF!</f>
        <v>#REF!</v>
      </c>
    </row>
    <row r="16" spans="1:13" ht="15">
      <c r="A16" s="505" t="s">
        <v>280</v>
      </c>
      <c r="B16" s="506"/>
      <c r="C16" s="506"/>
      <c r="D16" s="506"/>
      <c r="E16" s="506"/>
      <c r="F16" s="505">
        <v>1</v>
      </c>
      <c r="G16" s="507" t="e">
        <f>LEFT(#REF!,6)</f>
        <v>#REF!</v>
      </c>
      <c r="H16" s="507" t="e">
        <f>LEFT(#REF!,6)</f>
        <v>#REF!</v>
      </c>
      <c r="I16" s="507" t="e">
        <f>LEFT(#REF!,6)</f>
        <v>#REF!</v>
      </c>
      <c r="J16" s="505" t="s">
        <v>283</v>
      </c>
      <c r="K16" s="508" t="e">
        <f>#REF!</f>
        <v>#REF!</v>
      </c>
      <c r="L16" s="508" t="e">
        <f>#REF!</f>
        <v>#REF!</v>
      </c>
      <c r="M16" s="528" t="e">
        <f>#REF!</f>
        <v>#REF!</v>
      </c>
    </row>
    <row r="17" spans="1:13" ht="15">
      <c r="A17" s="505" t="s">
        <v>280</v>
      </c>
      <c r="B17" s="506"/>
      <c r="C17" s="506"/>
      <c r="D17" s="506"/>
      <c r="E17" s="506"/>
      <c r="F17" s="505">
        <v>1</v>
      </c>
      <c r="G17" s="507" t="e">
        <f>LEFT(#REF!,6)</f>
        <v>#REF!</v>
      </c>
      <c r="H17" s="507" t="e">
        <f>LEFT(#REF!,6)</f>
        <v>#REF!</v>
      </c>
      <c r="I17" s="507" t="e">
        <f>LEFT(#REF!,6)</f>
        <v>#REF!</v>
      </c>
      <c r="J17" s="505" t="s">
        <v>283</v>
      </c>
      <c r="K17" s="508" t="e">
        <f>#REF!</f>
        <v>#REF!</v>
      </c>
      <c r="L17" s="508" t="e">
        <f>#REF!</f>
        <v>#REF!</v>
      </c>
      <c r="M17" s="528" t="e">
        <f>#REF!</f>
        <v>#REF!</v>
      </c>
    </row>
    <row r="18" spans="1:13" ht="15">
      <c r="A18" s="505" t="s">
        <v>280</v>
      </c>
      <c r="B18" s="506"/>
      <c r="C18" s="506"/>
      <c r="D18" s="506"/>
      <c r="E18" s="506"/>
      <c r="F18" s="505">
        <v>1</v>
      </c>
      <c r="G18" s="507" t="e">
        <f>LEFT(#REF!,6)</f>
        <v>#REF!</v>
      </c>
      <c r="H18" s="507" t="e">
        <f>LEFT(#REF!,6)</f>
        <v>#REF!</v>
      </c>
      <c r="I18" s="507" t="e">
        <f>LEFT(#REF!,6)</f>
        <v>#REF!</v>
      </c>
      <c r="J18" s="505" t="s">
        <v>283</v>
      </c>
      <c r="K18" s="508" t="e">
        <f>#REF!</f>
        <v>#REF!</v>
      </c>
      <c r="L18" s="508" t="e">
        <f>#REF!</f>
        <v>#REF!</v>
      </c>
      <c r="M18" s="528" t="e">
        <f>#REF!</f>
        <v>#REF!</v>
      </c>
    </row>
    <row r="19" spans="1:13" ht="15">
      <c r="A19" s="505" t="s">
        <v>280</v>
      </c>
      <c r="B19" s="506"/>
      <c r="C19" s="506"/>
      <c r="D19" s="506"/>
      <c r="E19" s="506"/>
      <c r="F19" s="505">
        <v>1</v>
      </c>
      <c r="G19" s="507" t="e">
        <f>LEFT(#REF!,6)</f>
        <v>#REF!</v>
      </c>
      <c r="H19" s="507" t="e">
        <f>LEFT(#REF!,6)</f>
        <v>#REF!</v>
      </c>
      <c r="I19" s="507" t="e">
        <f>LEFT(#REF!,6)</f>
        <v>#REF!</v>
      </c>
      <c r="J19" s="505" t="s">
        <v>283</v>
      </c>
      <c r="K19" s="508" t="e">
        <f>#REF!</f>
        <v>#REF!</v>
      </c>
      <c r="L19" s="508" t="e">
        <f>#REF!</f>
        <v>#REF!</v>
      </c>
      <c r="M19" s="528" t="e">
        <f>#REF!</f>
        <v>#REF!</v>
      </c>
    </row>
    <row r="20" spans="1:13" ht="15">
      <c r="A20" s="505" t="s">
        <v>280</v>
      </c>
      <c r="B20" s="506"/>
      <c r="C20" s="506"/>
      <c r="D20" s="506"/>
      <c r="E20" s="506"/>
      <c r="F20" s="505">
        <v>1</v>
      </c>
      <c r="G20" s="507" t="e">
        <f>LEFT(#REF!,6)</f>
        <v>#REF!</v>
      </c>
      <c r="H20" s="507" t="e">
        <f>LEFT(#REF!,6)</f>
        <v>#REF!</v>
      </c>
      <c r="I20" s="507" t="e">
        <f>LEFT(#REF!,6)</f>
        <v>#REF!</v>
      </c>
      <c r="J20" s="505" t="s">
        <v>283</v>
      </c>
      <c r="K20" s="508" t="e">
        <f>#REF!</f>
        <v>#REF!</v>
      </c>
      <c r="L20" s="508" t="e">
        <f>#REF!</f>
        <v>#REF!</v>
      </c>
      <c r="M20" s="528" t="e">
        <f>#REF!</f>
        <v>#REF!</v>
      </c>
    </row>
    <row r="21" spans="1:13" ht="15">
      <c r="A21" s="505"/>
      <c r="B21" s="506"/>
      <c r="C21" s="506"/>
      <c r="D21" s="506"/>
      <c r="E21" s="506"/>
      <c r="F21" s="505"/>
      <c r="G21" s="507"/>
      <c r="H21" s="507"/>
      <c r="I21" s="507"/>
      <c r="J21" s="505"/>
      <c r="K21" s="508"/>
      <c r="L21" s="508"/>
      <c r="M21" s="528"/>
    </row>
    <row r="22" spans="1:13" ht="15">
      <c r="A22" s="505"/>
      <c r="B22" s="506"/>
      <c r="C22" s="506"/>
      <c r="D22" s="506"/>
      <c r="E22" s="506"/>
      <c r="F22" s="505"/>
      <c r="G22" s="507"/>
      <c r="H22" s="507"/>
      <c r="I22" s="507"/>
      <c r="J22" s="505"/>
      <c r="K22" s="508"/>
      <c r="L22" s="508"/>
      <c r="M22" s="528"/>
    </row>
    <row r="23" spans="1:13" s="544" customFormat="1" ht="15">
      <c r="A23" s="505"/>
      <c r="B23" s="506"/>
      <c r="C23" s="506"/>
      <c r="D23" s="506"/>
      <c r="E23" s="506"/>
      <c r="F23" s="505"/>
      <c r="G23" s="507"/>
      <c r="H23" s="507"/>
      <c r="I23" s="507"/>
      <c r="J23" s="505"/>
      <c r="K23" s="508"/>
      <c r="L23" s="508"/>
      <c r="M23" s="553"/>
    </row>
    <row r="24" spans="1:13" s="544" customFormat="1" ht="15">
      <c r="A24" s="505"/>
      <c r="B24" s="506"/>
      <c r="C24" s="506"/>
      <c r="D24" s="506"/>
      <c r="E24" s="506"/>
      <c r="F24" s="505"/>
      <c r="G24" s="507"/>
      <c r="H24" s="507"/>
      <c r="I24" s="507"/>
      <c r="J24" s="505"/>
      <c r="K24" s="508"/>
      <c r="L24" s="508"/>
      <c r="M24" s="553"/>
    </row>
    <row r="25" spans="1:13" ht="15">
      <c r="A25" s="505" t="s">
        <v>280</v>
      </c>
      <c r="B25" s="506"/>
      <c r="C25" s="506"/>
      <c r="D25" s="506"/>
      <c r="E25" s="506"/>
      <c r="F25" s="505">
        <v>1</v>
      </c>
      <c r="G25" s="507" t="e">
        <f>LEFT(#REF!,6)</f>
        <v>#REF!</v>
      </c>
      <c r="H25" s="507" t="e">
        <f>LEFT(#REF!,6)</f>
        <v>#REF!</v>
      </c>
      <c r="I25" s="507" t="e">
        <f>LEFT(#REF!,6)</f>
        <v>#REF!</v>
      </c>
      <c r="J25" s="505" t="s">
        <v>283</v>
      </c>
      <c r="K25" s="508" t="e">
        <f>#REF!</f>
        <v>#REF!</v>
      </c>
      <c r="L25" s="508" t="e">
        <f>#REF!</f>
        <v>#REF!</v>
      </c>
      <c r="M25" s="528" t="e">
        <f>#REF!</f>
        <v>#REF!</v>
      </c>
    </row>
    <row r="26" spans="1:13" ht="15">
      <c r="A26" s="505" t="s">
        <v>280</v>
      </c>
      <c r="B26" s="506"/>
      <c r="C26" s="506"/>
      <c r="D26" s="506"/>
      <c r="E26" s="506"/>
      <c r="F26" s="505">
        <v>1</v>
      </c>
      <c r="G26" s="507" t="e">
        <f>LEFT(#REF!,6)</f>
        <v>#REF!</v>
      </c>
      <c r="H26" s="507" t="e">
        <f>LEFT(#REF!,6)</f>
        <v>#REF!</v>
      </c>
      <c r="I26" s="507" t="e">
        <f>LEFT(#REF!,6)</f>
        <v>#REF!</v>
      </c>
      <c r="J26" s="505" t="s">
        <v>283</v>
      </c>
      <c r="K26" s="508" t="e">
        <f>#REF!</f>
        <v>#REF!</v>
      </c>
      <c r="L26" s="508" t="e">
        <f>#REF!</f>
        <v>#REF!</v>
      </c>
      <c r="M26" s="528" t="e">
        <f>#REF!</f>
        <v>#REF!</v>
      </c>
    </row>
    <row r="27" spans="1:13" ht="15">
      <c r="A27" s="505" t="s">
        <v>280</v>
      </c>
      <c r="B27" s="506"/>
      <c r="C27" s="506"/>
      <c r="D27" s="506"/>
      <c r="E27" s="506"/>
      <c r="F27" s="505">
        <v>1</v>
      </c>
      <c r="G27" s="507" t="e">
        <f>LEFT(#REF!,6)</f>
        <v>#REF!</v>
      </c>
      <c r="H27" s="507" t="e">
        <f>LEFT(#REF!,6)</f>
        <v>#REF!</v>
      </c>
      <c r="I27" s="507" t="e">
        <f>LEFT(#REF!,6)</f>
        <v>#REF!</v>
      </c>
      <c r="J27" s="505" t="s">
        <v>283</v>
      </c>
      <c r="K27" s="508" t="e">
        <f>#REF!</f>
        <v>#REF!</v>
      </c>
      <c r="L27" s="508" t="e">
        <f>#REF!</f>
        <v>#REF!</v>
      </c>
      <c r="M27" s="528" t="e">
        <f>#REF!</f>
        <v>#REF!</v>
      </c>
    </row>
    <row r="28" spans="1:13" ht="15">
      <c r="A28" s="505" t="s">
        <v>280</v>
      </c>
      <c r="B28" s="506"/>
      <c r="C28" s="506"/>
      <c r="D28" s="506"/>
      <c r="E28" s="506"/>
      <c r="F28" s="505">
        <v>1</v>
      </c>
      <c r="G28" s="507" t="e">
        <f>LEFT(#REF!,6)</f>
        <v>#REF!</v>
      </c>
      <c r="H28" s="507" t="e">
        <f>LEFT(#REF!,6)</f>
        <v>#REF!</v>
      </c>
      <c r="I28" s="507" t="e">
        <f>LEFT(#REF!,6)</f>
        <v>#REF!</v>
      </c>
      <c r="J28" s="505" t="s">
        <v>283</v>
      </c>
      <c r="K28" s="508" t="e">
        <f>#REF!</f>
        <v>#REF!</v>
      </c>
      <c r="L28" s="508" t="e">
        <f>#REF!</f>
        <v>#REF!</v>
      </c>
      <c r="M28" s="528" t="e">
        <f>#REF!</f>
        <v>#REF!</v>
      </c>
    </row>
    <row r="29" spans="1:13" ht="15">
      <c r="A29" s="505" t="s">
        <v>280</v>
      </c>
      <c r="B29" s="506"/>
      <c r="C29" s="506"/>
      <c r="D29" s="506"/>
      <c r="E29" s="506"/>
      <c r="F29" s="505">
        <v>1</v>
      </c>
      <c r="G29" s="507" t="e">
        <f>LEFT(#REF!,6)</f>
        <v>#REF!</v>
      </c>
      <c r="H29" s="507" t="e">
        <f>LEFT(#REF!,6)</f>
        <v>#REF!</v>
      </c>
      <c r="I29" s="507" t="e">
        <f>LEFT(#REF!,6)</f>
        <v>#REF!</v>
      </c>
      <c r="J29" s="505" t="s">
        <v>283</v>
      </c>
      <c r="K29" s="508" t="e">
        <f>#REF!</f>
        <v>#REF!</v>
      </c>
      <c r="L29" s="508" t="e">
        <f>#REF!</f>
        <v>#REF!</v>
      </c>
      <c r="M29" s="528" t="e">
        <f>#REF!</f>
        <v>#REF!</v>
      </c>
    </row>
    <row r="30" spans="1:13" ht="15">
      <c r="A30" s="505" t="s">
        <v>280</v>
      </c>
      <c r="B30" s="506"/>
      <c r="C30" s="506"/>
      <c r="D30" s="506"/>
      <c r="E30" s="506"/>
      <c r="F30" s="505">
        <v>1</v>
      </c>
      <c r="G30" s="507" t="e">
        <f>LEFT(#REF!,6)</f>
        <v>#REF!</v>
      </c>
      <c r="H30" s="507" t="e">
        <f>LEFT(#REF!,6)</f>
        <v>#REF!</v>
      </c>
      <c r="I30" s="507" t="e">
        <f>LEFT(#REF!,6)</f>
        <v>#REF!</v>
      </c>
      <c r="J30" s="505" t="s">
        <v>283</v>
      </c>
      <c r="K30" s="508" t="e">
        <f>#REF!</f>
        <v>#REF!</v>
      </c>
      <c r="L30" s="508" t="e">
        <f>#REF!</f>
        <v>#REF!</v>
      </c>
      <c r="M30" s="528" t="e">
        <f>#REF!</f>
        <v>#REF!</v>
      </c>
    </row>
    <row r="31" spans="1:13" ht="15">
      <c r="A31" s="505"/>
      <c r="B31" s="506"/>
      <c r="C31" s="506"/>
      <c r="D31" s="506"/>
      <c r="E31" s="506"/>
      <c r="F31" s="505"/>
      <c r="G31" s="507"/>
      <c r="H31" s="507"/>
      <c r="I31" s="507"/>
      <c r="J31" s="505"/>
    </row>
    <row r="32" spans="1:13">
      <c r="K32" t="e">
        <f>SUM(K2:K31)</f>
        <v>#REF!</v>
      </c>
      <c r="L32" t="e">
        <f>SUM(L2:L31)</f>
        <v>#REF!</v>
      </c>
    </row>
  </sheetData>
  <pageMargins left="0.7" right="0.7" top="0.75" bottom="0.75" header="0.3" footer="0.3"/>
  <pageSetup scale="61" orientation="landscape" r:id="rId1"/>
  <customProperties>
    <customPr name="xxe4aP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
    <tabColor rgb="FFFFFF00"/>
    <pageSetUpPr fitToPage="1"/>
  </sheetPr>
  <dimension ref="A1:R1010"/>
  <sheetViews>
    <sheetView showGridLines="0" view="pageBreakPreview" topLeftCell="A109" zoomScaleNormal="100" zoomScaleSheetLayoutView="100" workbookViewId="0">
      <selection activeCell="E128" sqref="E128"/>
    </sheetView>
  </sheetViews>
  <sheetFormatPr defaultColWidth="9.85546875" defaultRowHeight="15"/>
  <cols>
    <col min="1" max="1" width="12.42578125" style="53" customWidth="1"/>
    <col min="2" max="2" width="39.85546875" style="1" customWidth="1"/>
    <col min="3" max="3" width="24.85546875" style="1" customWidth="1"/>
    <col min="4" max="4" width="20.140625" style="1" bestFit="1" customWidth="1"/>
    <col min="5" max="5" width="19.7109375" style="1" customWidth="1"/>
    <col min="6" max="6" width="16.7109375" style="1" customWidth="1"/>
    <col min="7" max="7" width="16.7109375" style="1" hidden="1" customWidth="1"/>
    <col min="8" max="8" width="13.140625" style="1" hidden="1" customWidth="1"/>
    <col min="9" max="9" width="14.28515625" style="1" hidden="1" customWidth="1"/>
    <col min="10" max="10" width="16" style="1" hidden="1" customWidth="1"/>
    <col min="11" max="11" width="11.28515625" style="1" hidden="1" customWidth="1"/>
    <col min="12" max="12" width="25.7109375" style="1" bestFit="1" customWidth="1"/>
    <col min="13" max="13" width="18" style="52" customWidth="1"/>
    <col min="14" max="14" width="3.140625" style="1" customWidth="1"/>
    <col min="15" max="15" width="25.85546875" style="1" customWidth="1"/>
    <col min="16" max="16" width="20.28515625" style="1" customWidth="1"/>
    <col min="17" max="17" width="19.85546875" style="1" customWidth="1"/>
    <col min="18" max="18" width="20" style="1" customWidth="1"/>
    <col min="19" max="16384" width="9.85546875" style="1"/>
  </cols>
  <sheetData>
    <row r="1" spans="1:18" ht="18.75" customHeight="1">
      <c r="A1" s="51" t="s">
        <v>13</v>
      </c>
    </row>
    <row r="2" spans="1:18" ht="15.75">
      <c r="A2" s="51" t="s">
        <v>0</v>
      </c>
    </row>
    <row r="3" spans="1:18" ht="15.75">
      <c r="A3" s="51" t="s">
        <v>15</v>
      </c>
    </row>
    <row r="4" spans="1:18" ht="15.75">
      <c r="A4" s="51" t="s">
        <v>104</v>
      </c>
    </row>
    <row r="5" spans="1:18" ht="15.75">
      <c r="C5" s="55" t="s">
        <v>21</v>
      </c>
      <c r="D5" s="55" t="s">
        <v>2</v>
      </c>
      <c r="E5" s="55" t="s">
        <v>3</v>
      </c>
      <c r="F5" s="55"/>
      <c r="J5" s="46"/>
    </row>
    <row r="6" spans="1:18" ht="15.75">
      <c r="A6" s="62"/>
      <c r="B6" s="69"/>
      <c r="C6" s="55" t="s">
        <v>16</v>
      </c>
      <c r="D6" s="55" t="s">
        <v>7</v>
      </c>
      <c r="E6" s="55" t="s">
        <v>7</v>
      </c>
      <c r="F6" s="55" t="s">
        <v>4</v>
      </c>
      <c r="O6" s="92"/>
      <c r="P6" s="91"/>
      <c r="Q6" s="19"/>
      <c r="R6" s="19"/>
    </row>
    <row r="7" spans="1:18" ht="15.75">
      <c r="A7" s="62"/>
      <c r="B7" s="69"/>
      <c r="C7" s="55"/>
      <c r="D7" s="55"/>
      <c r="E7" s="55"/>
      <c r="O7" s="92"/>
      <c r="P7" s="91"/>
      <c r="Q7" s="19"/>
      <c r="R7" s="19"/>
    </row>
    <row r="8" spans="1:18" s="331" customFormat="1" ht="16.5" thickBot="1">
      <c r="A8" s="103">
        <v>41183</v>
      </c>
      <c r="B8" s="50" t="s">
        <v>56</v>
      </c>
      <c r="C8" s="158">
        <v>-6056575.765431677</v>
      </c>
      <c r="D8" s="158">
        <v>-6691252.0927546788</v>
      </c>
      <c r="E8" s="158">
        <v>809169.36732299952</v>
      </c>
      <c r="F8" s="158">
        <v>-174493.04</v>
      </c>
      <c r="G8" s="158">
        <v>0</v>
      </c>
      <c r="H8" s="158">
        <v>0</v>
      </c>
      <c r="I8" s="158">
        <v>0</v>
      </c>
      <c r="J8" s="158">
        <v>0</v>
      </c>
      <c r="K8" s="158">
        <v>0</v>
      </c>
      <c r="L8" s="158">
        <v>0</v>
      </c>
      <c r="M8" s="57"/>
      <c r="N8" s="333"/>
      <c r="O8" s="333"/>
      <c r="P8" s="333"/>
      <c r="Q8" s="333"/>
      <c r="R8" s="19"/>
    </row>
    <row r="9" spans="1:18" s="384" customFormat="1" ht="16.5" thickTop="1">
      <c r="A9" s="103"/>
      <c r="B9" s="50"/>
      <c r="C9" s="11"/>
      <c r="D9" s="11"/>
      <c r="E9" s="11"/>
      <c r="F9" s="11"/>
      <c r="G9" s="11"/>
      <c r="H9" s="11"/>
      <c r="I9" s="11"/>
      <c r="J9" s="11"/>
      <c r="K9" s="11"/>
      <c r="L9" s="11"/>
      <c r="M9" s="57"/>
      <c r="N9" s="385"/>
      <c r="O9" s="385"/>
      <c r="P9" s="385"/>
      <c r="Q9" s="385"/>
      <c r="R9" s="385"/>
    </row>
    <row r="10" spans="1:18" s="384" customFormat="1" ht="15.75">
      <c r="A10" s="256"/>
      <c r="B10" s="161" t="s">
        <v>11</v>
      </c>
      <c r="C10" s="203">
        <v>7340824.0093394704</v>
      </c>
      <c r="D10" s="203">
        <v>4103157.0665184702</v>
      </c>
      <c r="E10" s="203">
        <v>3134193.9628209998</v>
      </c>
      <c r="F10" s="203">
        <v>103472.98</v>
      </c>
      <c r="G10" s="203">
        <v>0</v>
      </c>
      <c r="H10" s="203">
        <v>0</v>
      </c>
      <c r="I10" s="203">
        <v>0</v>
      </c>
      <c r="J10" s="203">
        <v>0</v>
      </c>
      <c r="K10" s="203">
        <v>0</v>
      </c>
      <c r="L10" s="203">
        <v>0</v>
      </c>
      <c r="M10" s="203"/>
      <c r="N10" s="203"/>
      <c r="O10" s="202"/>
      <c r="P10" s="202"/>
      <c r="Q10" s="202"/>
      <c r="R10" s="202"/>
    </row>
    <row r="11" spans="1:18" s="384" customFormat="1" ht="16.5" thickBot="1">
      <c r="A11" s="256"/>
      <c r="B11" s="161" t="s">
        <v>210</v>
      </c>
      <c r="C11" s="390">
        <f>SUM(C8:C10)</f>
        <v>1284248.2439077934</v>
      </c>
      <c r="D11" s="390">
        <f>SUM(D8:D10)</f>
        <v>-2588095.0262362086</v>
      </c>
      <c r="E11" s="390">
        <f>SUM(E8:E10)</f>
        <v>3943363.3301439993</v>
      </c>
      <c r="F11" s="390">
        <f>SUM(F8:F10)</f>
        <v>-71020.060000000012</v>
      </c>
      <c r="G11" s="390">
        <v>0</v>
      </c>
      <c r="H11" s="390">
        <v>0</v>
      </c>
      <c r="I11" s="390">
        <v>0</v>
      </c>
      <c r="J11" s="390">
        <v>0</v>
      </c>
      <c r="K11" s="390">
        <v>0</v>
      </c>
      <c r="L11" s="390">
        <f>SUM(L8:L10)</f>
        <v>0</v>
      </c>
      <c r="M11" s="390"/>
      <c r="N11" s="390"/>
      <c r="O11" s="202"/>
      <c r="P11" s="202"/>
      <c r="Q11" s="202"/>
      <c r="R11" s="202"/>
    </row>
    <row r="12" spans="1:18" ht="16.5" thickTop="1" thickBot="1"/>
    <row r="13" spans="1:18" s="384" customFormat="1" ht="16.5" thickBot="1">
      <c r="A13" s="58">
        <v>41243</v>
      </c>
      <c r="B13" s="59" t="s">
        <v>84</v>
      </c>
      <c r="C13" s="50">
        <f>SUM(D13:L13)</f>
        <v>1615352.97</v>
      </c>
      <c r="D13" s="244">
        <v>1685691.83</v>
      </c>
      <c r="E13" s="244">
        <v>-70338.86</v>
      </c>
      <c r="F13" s="161">
        <v>0</v>
      </c>
      <c r="G13" s="161"/>
      <c r="H13" s="161"/>
      <c r="I13" s="161"/>
      <c r="J13" s="388"/>
      <c r="K13" s="161"/>
      <c r="L13" s="161">
        <v>0</v>
      </c>
      <c r="M13" s="133"/>
      <c r="N13" s="50"/>
      <c r="O13" s="336" t="s">
        <v>106</v>
      </c>
      <c r="P13" s="93"/>
      <c r="Q13" s="93"/>
      <c r="R13" s="94"/>
    </row>
    <row r="14" spans="1:18" s="384" customFormat="1" ht="15.75">
      <c r="A14" s="58"/>
      <c r="B14" s="59" t="s">
        <v>148</v>
      </c>
      <c r="C14" s="50">
        <f>SUM(D14:F14)</f>
        <v>0</v>
      </c>
      <c r="D14" s="241"/>
      <c r="E14" s="241">
        <v>0</v>
      </c>
      <c r="F14" s="161"/>
      <c r="G14" s="161"/>
      <c r="H14" s="161"/>
      <c r="I14" s="161"/>
      <c r="J14" s="161"/>
      <c r="K14" s="161"/>
      <c r="L14" s="161"/>
      <c r="M14" s="133"/>
      <c r="N14" s="50"/>
      <c r="O14" s="347" t="s">
        <v>211</v>
      </c>
      <c r="P14" s="339" t="s">
        <v>27</v>
      </c>
      <c r="Q14" s="335">
        <v>0</v>
      </c>
      <c r="R14" s="337">
        <f>-C10</f>
        <v>-7340824.0093394704</v>
      </c>
    </row>
    <row r="15" spans="1:18" s="384" customFormat="1" ht="15.75">
      <c r="A15" s="58"/>
      <c r="B15" s="20" t="s">
        <v>157</v>
      </c>
      <c r="C15" s="50">
        <f>SUM(D15:L15)</f>
        <v>0</v>
      </c>
      <c r="D15" s="242">
        <v>0</v>
      </c>
      <c r="E15" s="241"/>
      <c r="F15" s="161"/>
      <c r="G15" s="161"/>
      <c r="H15" s="161"/>
      <c r="I15" s="161"/>
      <c r="J15" s="161"/>
      <c r="K15" s="161"/>
      <c r="L15" s="161"/>
      <c r="M15" s="133"/>
      <c r="N15" s="50"/>
      <c r="O15" s="334" t="s">
        <v>79</v>
      </c>
      <c r="P15" s="339" t="s">
        <v>17</v>
      </c>
      <c r="Q15" s="335">
        <f>IF((-C8+C19)&gt;0,(-C8+C19),0)</f>
        <v>8961842.60933947</v>
      </c>
      <c r="R15" s="337">
        <f>IF((-C8+C19)&lt;0,(-C8+C19),0)</f>
        <v>0</v>
      </c>
    </row>
    <row r="16" spans="1:18" s="384" customFormat="1" ht="15.75">
      <c r="A16" s="58"/>
      <c r="B16" s="59" t="s">
        <v>49</v>
      </c>
      <c r="C16" s="50">
        <f>SUM(D16:L16)</f>
        <v>0</v>
      </c>
      <c r="D16" s="161"/>
      <c r="E16" s="161"/>
      <c r="F16" s="161"/>
      <c r="G16" s="161"/>
      <c r="H16" s="161"/>
      <c r="I16" s="161"/>
      <c r="J16" s="161"/>
      <c r="K16" s="161"/>
      <c r="L16" s="243">
        <v>0</v>
      </c>
      <c r="M16" s="134"/>
      <c r="N16" s="50"/>
      <c r="O16" s="340" t="s">
        <v>80</v>
      </c>
      <c r="P16" s="339" t="s">
        <v>20</v>
      </c>
      <c r="Q16" s="112">
        <f>IF((C13+C14)&lt;0,(-C13-C14),0)</f>
        <v>0</v>
      </c>
      <c r="R16" s="337">
        <f>IF((C13+C14)&gt;0,(-C13-C14),0)</f>
        <v>-1615352.97</v>
      </c>
    </row>
    <row r="17" spans="1:18" s="384" customFormat="1" ht="15.75">
      <c r="A17" s="58"/>
      <c r="B17" s="59" t="s">
        <v>144</v>
      </c>
      <c r="C17" s="50">
        <f>SUM(D17:L17)</f>
        <v>0</v>
      </c>
      <c r="D17" s="161"/>
      <c r="E17" s="161"/>
      <c r="F17" s="161"/>
      <c r="G17" s="161"/>
      <c r="H17" s="161"/>
      <c r="I17" s="161"/>
      <c r="J17" s="161"/>
      <c r="K17" s="161"/>
      <c r="L17" s="243">
        <v>0</v>
      </c>
      <c r="M17" s="134"/>
      <c r="N17" s="50"/>
      <c r="O17" s="342" t="s">
        <v>82</v>
      </c>
      <c r="P17" s="339" t="s">
        <v>75</v>
      </c>
      <c r="Q17" s="344">
        <v>0</v>
      </c>
      <c r="R17" s="337">
        <f>IF(C18&gt;0,-C18,0)</f>
        <v>-5665.63</v>
      </c>
    </row>
    <row r="18" spans="1:18" s="384" customFormat="1" ht="16.5" thickBot="1">
      <c r="A18" s="61"/>
      <c r="B18" s="59" t="s">
        <v>12</v>
      </c>
      <c r="C18" s="50">
        <f>SUM(D18:L18)</f>
        <v>5665.63</v>
      </c>
      <c r="D18" s="161"/>
      <c r="E18" s="161"/>
      <c r="F18" s="161">
        <v>5665.63</v>
      </c>
      <c r="G18" s="161"/>
      <c r="H18" s="161"/>
      <c r="I18" s="161"/>
      <c r="J18" s="161"/>
      <c r="K18" s="161"/>
      <c r="L18" s="245"/>
      <c r="M18" s="237">
        <v>3.2500000000000001E-2</v>
      </c>
      <c r="N18" s="50"/>
      <c r="O18" s="343" t="s">
        <v>83</v>
      </c>
      <c r="P18" s="341" t="s">
        <v>76</v>
      </c>
      <c r="Q18" s="116">
        <f>IF(-C18&gt;0,-C18,0)</f>
        <v>0</v>
      </c>
      <c r="R18" s="116">
        <f>IF(C18&gt;0,0,0)</f>
        <v>0</v>
      </c>
    </row>
    <row r="19" spans="1:18" s="384" customFormat="1" ht="16.5" thickBot="1">
      <c r="A19" s="103">
        <f>A13</f>
        <v>41243</v>
      </c>
      <c r="B19" s="50" t="s">
        <v>56</v>
      </c>
      <c r="C19" s="158">
        <f>SUM(C11:C18)</f>
        <v>2905266.8439077931</v>
      </c>
      <c r="D19" s="158">
        <f>SUM(D11:D18)</f>
        <v>-902403.19623620855</v>
      </c>
      <c r="E19" s="158">
        <f>SUM(E11:E18)</f>
        <v>3873024.4701439994</v>
      </c>
      <c r="F19" s="158">
        <f>SUM(F11:F18)</f>
        <v>-65354.430000000015</v>
      </c>
      <c r="G19" s="158">
        <f>SUM(G8:G18)</f>
        <v>0</v>
      </c>
      <c r="H19" s="158">
        <f>SUM(H8:H18)</f>
        <v>0</v>
      </c>
      <c r="I19" s="158">
        <f>SUM(I8:I18)</f>
        <v>0</v>
      </c>
      <c r="J19" s="158">
        <f>SUM(J8:J18)</f>
        <v>0</v>
      </c>
      <c r="K19" s="158">
        <f>SUM(K8:K18)</f>
        <v>0</v>
      </c>
      <c r="L19" s="158">
        <f>SUM(L11:L18)</f>
        <v>0</v>
      </c>
      <c r="M19" s="57"/>
      <c r="N19" s="385"/>
      <c r="O19" s="385"/>
      <c r="P19" s="385"/>
      <c r="Q19" s="385"/>
      <c r="R19" s="338">
        <f>ROUND(SUM(Q14:R18),2)</f>
        <v>0</v>
      </c>
    </row>
    <row r="20" spans="1:18" ht="16.5" thickTop="1" thickBot="1"/>
    <row r="21" spans="1:18" s="384" customFormat="1" ht="16.5" thickBot="1">
      <c r="A21" s="58">
        <v>41274</v>
      </c>
      <c r="B21" s="59" t="s">
        <v>84</v>
      </c>
      <c r="C21" s="50">
        <f>SUM(D21:L21)</f>
        <v>338391.8734309976</v>
      </c>
      <c r="D21" s="244">
        <v>1143938.5575779974</v>
      </c>
      <c r="E21" s="244">
        <v>-805546.68414699985</v>
      </c>
      <c r="F21" s="161">
        <v>0</v>
      </c>
      <c r="G21" s="161"/>
      <c r="H21" s="161"/>
      <c r="I21" s="161"/>
      <c r="J21" s="388"/>
      <c r="K21" s="161"/>
      <c r="L21" s="161">
        <v>0</v>
      </c>
      <c r="M21" s="133"/>
      <c r="N21" s="50"/>
      <c r="O21" s="336" t="s">
        <v>106</v>
      </c>
      <c r="P21" s="93"/>
      <c r="Q21" s="93"/>
      <c r="R21" s="94"/>
    </row>
    <row r="22" spans="1:18" s="384" customFormat="1" ht="15.75">
      <c r="A22" s="58"/>
      <c r="B22" s="59" t="s">
        <v>148</v>
      </c>
      <c r="C22" s="50">
        <f>SUM(D22:F22)</f>
        <v>0</v>
      </c>
      <c r="D22" s="241"/>
      <c r="E22" s="241">
        <v>0</v>
      </c>
      <c r="F22" s="161"/>
      <c r="G22" s="161"/>
      <c r="H22" s="161"/>
      <c r="I22" s="161"/>
      <c r="J22" s="161"/>
      <c r="K22" s="161"/>
      <c r="L22" s="161"/>
      <c r="M22" s="133"/>
      <c r="N22" s="50"/>
      <c r="O22" s="347" t="s">
        <v>211</v>
      </c>
      <c r="P22" s="339" t="s">
        <v>27</v>
      </c>
      <c r="Q22" s="335">
        <v>0</v>
      </c>
      <c r="R22" s="337">
        <v>0</v>
      </c>
    </row>
    <row r="23" spans="1:18" s="384" customFormat="1" ht="15.75">
      <c r="A23" s="58"/>
      <c r="B23" s="20" t="s">
        <v>157</v>
      </c>
      <c r="C23" s="50">
        <f>SUM(D23:L23)</f>
        <v>0</v>
      </c>
      <c r="D23" s="242">
        <v>0</v>
      </c>
      <c r="E23" s="241"/>
      <c r="F23" s="161"/>
      <c r="G23" s="161"/>
      <c r="H23" s="161"/>
      <c r="I23" s="161"/>
      <c r="J23" s="161"/>
      <c r="K23" s="161"/>
      <c r="L23" s="161"/>
      <c r="M23" s="133"/>
      <c r="N23" s="50"/>
      <c r="O23" s="334" t="s">
        <v>79</v>
      </c>
      <c r="P23" s="339" t="s">
        <v>17</v>
      </c>
      <c r="Q23" s="335">
        <f>IF((-C19+C27)&gt;0,(-C19+C27),0)</f>
        <v>346718.54343099752</v>
      </c>
      <c r="R23" s="337">
        <f>IF((-C16+C27)&lt;0,(-C16+C27),0)</f>
        <v>0</v>
      </c>
    </row>
    <row r="24" spans="1:18" s="384" customFormat="1" ht="15.75">
      <c r="A24" s="58"/>
      <c r="B24" s="59" t="s">
        <v>49</v>
      </c>
      <c r="C24" s="50">
        <f>SUM(D24:L24)</f>
        <v>0</v>
      </c>
      <c r="D24" s="161"/>
      <c r="E24" s="161"/>
      <c r="F24" s="161"/>
      <c r="G24" s="161"/>
      <c r="H24" s="161"/>
      <c r="I24" s="161"/>
      <c r="J24" s="161"/>
      <c r="K24" s="161"/>
      <c r="L24" s="243">
        <v>0</v>
      </c>
      <c r="M24" s="134"/>
      <c r="N24" s="50"/>
      <c r="O24" s="340" t="s">
        <v>80</v>
      </c>
      <c r="P24" s="339" t="s">
        <v>20</v>
      </c>
      <c r="Q24" s="112">
        <f>IF((C21+C22)&lt;0,(-C21-C22),0)</f>
        <v>0</v>
      </c>
      <c r="R24" s="337">
        <f>IF((C21+C22)&gt;0,(-C21-C22),0)</f>
        <v>-338391.8734309976</v>
      </c>
    </row>
    <row r="25" spans="1:18" s="384" customFormat="1" ht="15.75">
      <c r="A25" s="58"/>
      <c r="B25" s="59" t="s">
        <v>144</v>
      </c>
      <c r="C25" s="50">
        <f>SUM(D25:L25)</f>
        <v>0</v>
      </c>
      <c r="D25" s="161"/>
      <c r="E25" s="161"/>
      <c r="F25" s="161"/>
      <c r="G25" s="161"/>
      <c r="H25" s="161"/>
      <c r="I25" s="161"/>
      <c r="J25" s="161"/>
      <c r="K25" s="161"/>
      <c r="L25" s="243">
        <v>0</v>
      </c>
      <c r="M25" s="134"/>
      <c r="N25" s="50"/>
      <c r="O25" s="342" t="s">
        <v>82</v>
      </c>
      <c r="P25" s="339" t="s">
        <v>75</v>
      </c>
      <c r="Q25" s="344">
        <v>0</v>
      </c>
      <c r="R25" s="337">
        <f>IF(C26&gt;0,-C26,0)</f>
        <v>-8326.67</v>
      </c>
    </row>
    <row r="26" spans="1:18" s="384" customFormat="1" ht="16.5" thickBot="1">
      <c r="A26" s="61"/>
      <c r="B26" s="59" t="s">
        <v>12</v>
      </c>
      <c r="C26" s="50">
        <f>SUM(D26:L26)</f>
        <v>8326.67</v>
      </c>
      <c r="D26" s="161"/>
      <c r="E26" s="161"/>
      <c r="F26" s="161">
        <v>8326.67</v>
      </c>
      <c r="G26" s="161"/>
      <c r="H26" s="161"/>
      <c r="I26" s="161"/>
      <c r="J26" s="161"/>
      <c r="K26" s="161"/>
      <c r="L26" s="245"/>
      <c r="M26" s="237">
        <v>3.2500000000000001E-2</v>
      </c>
      <c r="N26" s="50"/>
      <c r="O26" s="343" t="s">
        <v>83</v>
      </c>
      <c r="P26" s="341" t="s">
        <v>76</v>
      </c>
      <c r="Q26" s="116">
        <f>IF(-C26&gt;0,-C26,0)</f>
        <v>0</v>
      </c>
      <c r="R26" s="116">
        <f>IF(C26&gt;0,0,0)</f>
        <v>0</v>
      </c>
    </row>
    <row r="27" spans="1:18" s="384" customFormat="1" ht="16.5" thickBot="1">
      <c r="A27" s="103">
        <f>A21</f>
        <v>41274</v>
      </c>
      <c r="B27" s="50" t="s">
        <v>56</v>
      </c>
      <c r="C27" s="158">
        <f>SUM(C19:C26)</f>
        <v>3251985.3873387906</v>
      </c>
      <c r="D27" s="158">
        <f>SUM(D19:D26)</f>
        <v>241535.3613417889</v>
      </c>
      <c r="E27" s="158">
        <f>SUM(E19:E26)</f>
        <v>3067477.7859969996</v>
      </c>
      <c r="F27" s="158">
        <f>SUM(F19:F26)</f>
        <v>-57027.760000000017</v>
      </c>
      <c r="G27" s="158">
        <f t="shared" ref="G27:K27" si="0">SUM(G16:G26)</f>
        <v>0</v>
      </c>
      <c r="H27" s="158">
        <f t="shared" si="0"/>
        <v>0</v>
      </c>
      <c r="I27" s="158">
        <f t="shared" si="0"/>
        <v>0</v>
      </c>
      <c r="J27" s="158">
        <f t="shared" si="0"/>
        <v>0</v>
      </c>
      <c r="K27" s="158">
        <f t="shared" si="0"/>
        <v>0</v>
      </c>
      <c r="L27" s="158">
        <f>SUM(L19:L26)</f>
        <v>0</v>
      </c>
      <c r="M27" s="57"/>
      <c r="N27" s="385"/>
      <c r="O27" s="385"/>
      <c r="P27" s="385"/>
      <c r="Q27" s="385"/>
      <c r="R27" s="338">
        <f>ROUND(SUM(Q22:R26),2)</f>
        <v>0</v>
      </c>
    </row>
    <row r="28" spans="1:18" s="384" customFormat="1" ht="16.5" thickTop="1" thickBot="1">
      <c r="A28" s="53"/>
      <c r="M28" s="52"/>
    </row>
    <row r="29" spans="1:18" s="384" customFormat="1" ht="16.5" thickBot="1">
      <c r="A29" s="58">
        <v>41305</v>
      </c>
      <c r="B29" s="59" t="s">
        <v>84</v>
      </c>
      <c r="C29" s="50">
        <f>SUM(D29:L29)</f>
        <v>-3227933.8735419996</v>
      </c>
      <c r="D29" s="244">
        <v>-1853906.027032</v>
      </c>
      <c r="E29" s="244">
        <v>-1374027.8465099994</v>
      </c>
      <c r="F29" s="161">
        <v>0</v>
      </c>
      <c r="G29" s="161"/>
      <c r="H29" s="161"/>
      <c r="I29" s="161"/>
      <c r="J29" s="388"/>
      <c r="K29" s="161"/>
      <c r="L29" s="161">
        <v>0</v>
      </c>
      <c r="M29" s="133"/>
      <c r="N29" s="50"/>
      <c r="O29" s="336" t="s">
        <v>106</v>
      </c>
      <c r="P29" s="93"/>
      <c r="Q29" s="93"/>
      <c r="R29" s="94"/>
    </row>
    <row r="30" spans="1:18" s="384" customFormat="1" ht="15.75">
      <c r="A30" s="58"/>
      <c r="B30" s="59" t="s">
        <v>148</v>
      </c>
      <c r="C30" s="50">
        <f>SUM(D30:F30)</f>
        <v>0</v>
      </c>
      <c r="D30" s="241"/>
      <c r="E30" s="241">
        <v>0</v>
      </c>
      <c r="F30" s="161"/>
      <c r="G30" s="161"/>
      <c r="H30" s="161"/>
      <c r="I30" s="161"/>
      <c r="J30" s="161"/>
      <c r="K30" s="161"/>
      <c r="L30" s="161"/>
      <c r="M30" s="133"/>
      <c r="N30" s="50"/>
      <c r="O30" s="347" t="s">
        <v>211</v>
      </c>
      <c r="P30" s="339" t="s">
        <v>27</v>
      </c>
      <c r="Q30" s="335">
        <v>0</v>
      </c>
      <c r="R30" s="337">
        <v>0</v>
      </c>
    </row>
    <row r="31" spans="1:18" s="384" customFormat="1" ht="15.75">
      <c r="A31" s="58"/>
      <c r="B31" s="20" t="s">
        <v>157</v>
      </c>
      <c r="C31" s="50">
        <f>SUM(D31:L31)</f>
        <v>0</v>
      </c>
      <c r="D31" s="242">
        <v>0</v>
      </c>
      <c r="E31" s="241"/>
      <c r="F31" s="161"/>
      <c r="G31" s="161"/>
      <c r="H31" s="161"/>
      <c r="I31" s="161"/>
      <c r="J31" s="161"/>
      <c r="K31" s="161"/>
      <c r="L31" s="161"/>
      <c r="M31" s="133"/>
      <c r="N31" s="50"/>
      <c r="O31" s="334" t="s">
        <v>79</v>
      </c>
      <c r="P31" s="339" t="s">
        <v>17</v>
      </c>
      <c r="Q31" s="335">
        <f>IF((-C27+C35)&gt;0,(-C27+C35),0)</f>
        <v>0</v>
      </c>
      <c r="R31" s="337">
        <f>IF((-C27+C35)&lt;0,(-C27+C35),0)</f>
        <v>-3223497.5735419998</v>
      </c>
    </row>
    <row r="32" spans="1:18" s="384" customFormat="1" ht="15.75">
      <c r="A32" s="58"/>
      <c r="B32" s="59" t="s">
        <v>49</v>
      </c>
      <c r="C32" s="50">
        <f>SUM(D32:L32)</f>
        <v>0</v>
      </c>
      <c r="D32" s="161"/>
      <c r="E32" s="161"/>
      <c r="F32" s="161"/>
      <c r="G32" s="161"/>
      <c r="H32" s="161"/>
      <c r="I32" s="161"/>
      <c r="J32" s="161"/>
      <c r="K32" s="161"/>
      <c r="L32" s="243">
        <v>0</v>
      </c>
      <c r="M32" s="134"/>
      <c r="N32" s="50"/>
      <c r="O32" s="340" t="s">
        <v>80</v>
      </c>
      <c r="P32" s="339" t="s">
        <v>20</v>
      </c>
      <c r="Q32" s="112">
        <f>IF((C29+C30)&lt;0,(-C29-C30),0)</f>
        <v>3227933.8735419996</v>
      </c>
      <c r="R32" s="337">
        <f>IF((C29+C30)&gt;0,(-C29-C30),0)</f>
        <v>0</v>
      </c>
    </row>
    <row r="33" spans="1:18" s="384" customFormat="1" ht="15.75">
      <c r="A33" s="58"/>
      <c r="B33" s="59" t="s">
        <v>144</v>
      </c>
      <c r="C33" s="50">
        <f>SUM(D33:L33)</f>
        <v>0</v>
      </c>
      <c r="D33" s="161"/>
      <c r="E33" s="161"/>
      <c r="F33" s="161"/>
      <c r="G33" s="161"/>
      <c r="H33" s="161"/>
      <c r="I33" s="161"/>
      <c r="J33" s="161"/>
      <c r="K33" s="161"/>
      <c r="L33" s="243">
        <v>0</v>
      </c>
      <c r="M33" s="134"/>
      <c r="N33" s="50"/>
      <c r="O33" s="342" t="s">
        <v>82</v>
      </c>
      <c r="P33" s="339" t="s">
        <v>75</v>
      </c>
      <c r="Q33" s="344">
        <v>0</v>
      </c>
      <c r="R33" s="337">
        <f>IF(C34&gt;0,-C34,0)</f>
        <v>-4436.3</v>
      </c>
    </row>
    <row r="34" spans="1:18" s="384" customFormat="1" ht="16.5" thickBot="1">
      <c r="A34" s="61"/>
      <c r="B34" s="59" t="s">
        <v>12</v>
      </c>
      <c r="C34" s="50">
        <f>SUM(D34:L34)</f>
        <v>4436.3</v>
      </c>
      <c r="D34" s="161"/>
      <c r="E34" s="161"/>
      <c r="F34" s="161">
        <v>4436.3</v>
      </c>
      <c r="G34" s="161"/>
      <c r="H34" s="161"/>
      <c r="I34" s="161"/>
      <c r="J34" s="161"/>
      <c r="K34" s="161"/>
      <c r="L34" s="245"/>
      <c r="M34" s="237">
        <v>3.2500000000000001E-2</v>
      </c>
      <c r="N34" s="50"/>
      <c r="O34" s="343" t="s">
        <v>83</v>
      </c>
      <c r="P34" s="341" t="s">
        <v>76</v>
      </c>
      <c r="Q34" s="116">
        <f>IF(-C34&gt;0,-C34,0)</f>
        <v>0</v>
      </c>
      <c r="R34" s="116">
        <f>IF(C34&gt;0,0,0)</f>
        <v>0</v>
      </c>
    </row>
    <row r="35" spans="1:18" s="384" customFormat="1" ht="16.5" thickBot="1">
      <c r="A35" s="103">
        <f>A29</f>
        <v>41305</v>
      </c>
      <c r="B35" s="50" t="s">
        <v>56</v>
      </c>
      <c r="C35" s="158">
        <f>SUM(C27:C34)</f>
        <v>28487.813796790968</v>
      </c>
      <c r="D35" s="158">
        <f>SUM(D27:D34)</f>
        <v>-1612370.6656902111</v>
      </c>
      <c r="E35" s="158">
        <f>SUM(E27:E34)</f>
        <v>1693449.9394870002</v>
      </c>
      <c r="F35" s="158">
        <f>SUM(F27:F34)</f>
        <v>-52591.460000000014</v>
      </c>
      <c r="G35" s="158">
        <f t="shared" ref="G35:K35" si="1">SUM(G24:G34)</f>
        <v>0</v>
      </c>
      <c r="H35" s="158">
        <f t="shared" si="1"/>
        <v>0</v>
      </c>
      <c r="I35" s="158">
        <f t="shared" si="1"/>
        <v>0</v>
      </c>
      <c r="J35" s="158">
        <f t="shared" si="1"/>
        <v>0</v>
      </c>
      <c r="K35" s="158">
        <f t="shared" si="1"/>
        <v>0</v>
      </c>
      <c r="L35" s="158">
        <f>SUM(L27:L34)</f>
        <v>0</v>
      </c>
      <c r="M35" s="57"/>
      <c r="N35" s="385"/>
      <c r="O35" s="385"/>
      <c r="P35" s="385"/>
      <c r="Q35" s="385"/>
      <c r="R35" s="338">
        <f>ROUND(SUM(Q30:R34),2)</f>
        <v>0</v>
      </c>
    </row>
    <row r="36" spans="1:18" s="384" customFormat="1" ht="16.5" thickTop="1" thickBot="1">
      <c r="A36" s="53"/>
      <c r="M36" s="52"/>
    </row>
    <row r="37" spans="1:18" s="384" customFormat="1" ht="16.5" thickBot="1">
      <c r="A37" s="58">
        <v>41333</v>
      </c>
      <c r="B37" s="59" t="s">
        <v>84</v>
      </c>
      <c r="C37" s="50">
        <f>SUM(D37:L37)</f>
        <v>227268.08091399889</v>
      </c>
      <c r="D37" s="244">
        <v>964027.88181999885</v>
      </c>
      <c r="E37" s="244">
        <v>-736759.80090599996</v>
      </c>
      <c r="F37" s="161">
        <v>0</v>
      </c>
      <c r="G37" s="161"/>
      <c r="H37" s="161"/>
      <c r="I37" s="161"/>
      <c r="J37" s="388"/>
      <c r="K37" s="161"/>
      <c r="L37" s="161">
        <v>0</v>
      </c>
      <c r="M37" s="133"/>
      <c r="N37" s="50"/>
      <c r="O37" s="336" t="s">
        <v>106</v>
      </c>
      <c r="P37" s="93"/>
      <c r="Q37" s="93"/>
      <c r="R37" s="94"/>
    </row>
    <row r="38" spans="1:18" s="384" customFormat="1" ht="15.75">
      <c r="A38" s="58"/>
      <c r="B38" s="59" t="s">
        <v>148</v>
      </c>
      <c r="C38" s="50">
        <f>SUM(D38:F38)</f>
        <v>0</v>
      </c>
      <c r="D38" s="241"/>
      <c r="E38" s="241">
        <v>0</v>
      </c>
      <c r="F38" s="161"/>
      <c r="G38" s="161"/>
      <c r="H38" s="161"/>
      <c r="I38" s="161"/>
      <c r="J38" s="161"/>
      <c r="K38" s="161"/>
      <c r="L38" s="161"/>
      <c r="M38" s="133"/>
      <c r="N38" s="50"/>
      <c r="O38" s="347" t="s">
        <v>211</v>
      </c>
      <c r="P38" s="339" t="s">
        <v>27</v>
      </c>
      <c r="Q38" s="335">
        <v>0</v>
      </c>
      <c r="R38" s="337">
        <v>0</v>
      </c>
    </row>
    <row r="39" spans="1:18" s="384" customFormat="1" ht="15.75">
      <c r="A39" s="58"/>
      <c r="B39" s="20" t="s">
        <v>157</v>
      </c>
      <c r="C39" s="50">
        <f>SUM(D39:L39)</f>
        <v>0</v>
      </c>
      <c r="D39" s="242">
        <v>0</v>
      </c>
      <c r="E39" s="241"/>
      <c r="F39" s="161"/>
      <c r="G39" s="161"/>
      <c r="H39" s="161"/>
      <c r="I39" s="161"/>
      <c r="J39" s="161"/>
      <c r="K39" s="161"/>
      <c r="L39" s="161"/>
      <c r="M39" s="133"/>
      <c r="N39" s="50"/>
      <c r="O39" s="334" t="s">
        <v>79</v>
      </c>
      <c r="P39" s="339" t="s">
        <v>17</v>
      </c>
      <c r="Q39" s="335">
        <f>IF((-C35+C43)&gt;0,(-C35+C43),0)</f>
        <v>227652.99091399889</v>
      </c>
      <c r="R39" s="337">
        <f>IF((-C35+C43)&lt;0,(-C35+C43),0)</f>
        <v>0</v>
      </c>
    </row>
    <row r="40" spans="1:18" s="384" customFormat="1" ht="15.75">
      <c r="A40" s="58"/>
      <c r="B40" s="59" t="s">
        <v>49</v>
      </c>
      <c r="C40" s="50">
        <f>SUM(D40:L40)</f>
        <v>0</v>
      </c>
      <c r="D40" s="161"/>
      <c r="E40" s="161"/>
      <c r="F40" s="161"/>
      <c r="G40" s="161"/>
      <c r="H40" s="161"/>
      <c r="I40" s="161"/>
      <c r="J40" s="161"/>
      <c r="K40" s="161"/>
      <c r="L40" s="243">
        <v>0</v>
      </c>
      <c r="M40" s="134"/>
      <c r="N40" s="50"/>
      <c r="O40" s="340" t="s">
        <v>80</v>
      </c>
      <c r="P40" s="339" t="s">
        <v>20</v>
      </c>
      <c r="Q40" s="112">
        <f>IF((C37+C38)&lt;0,(-C37-C38),0)</f>
        <v>0</v>
      </c>
      <c r="R40" s="337">
        <f>IF((C37+C38)&gt;0,(-C37-C38),0)</f>
        <v>-227268.08091399889</v>
      </c>
    </row>
    <row r="41" spans="1:18" s="384" customFormat="1" ht="15.75">
      <c r="A41" s="58"/>
      <c r="B41" s="59" t="s">
        <v>144</v>
      </c>
      <c r="C41" s="50">
        <f>SUM(D41:L41)</f>
        <v>0</v>
      </c>
      <c r="D41" s="161"/>
      <c r="E41" s="161"/>
      <c r="F41" s="161"/>
      <c r="G41" s="161"/>
      <c r="H41" s="161"/>
      <c r="I41" s="161"/>
      <c r="J41" s="161"/>
      <c r="K41" s="161"/>
      <c r="L41" s="243">
        <v>0</v>
      </c>
      <c r="M41" s="134"/>
      <c r="N41" s="50"/>
      <c r="O41" s="342" t="s">
        <v>82</v>
      </c>
      <c r="P41" s="339" t="s">
        <v>75</v>
      </c>
      <c r="Q41" s="344">
        <v>0</v>
      </c>
      <c r="R41" s="337">
        <f>IF(C42&gt;0,-C42,0)</f>
        <v>-384.91</v>
      </c>
    </row>
    <row r="42" spans="1:18" s="384" customFormat="1" ht="16.5" thickBot="1">
      <c r="A42" s="61"/>
      <c r="B42" s="59" t="s">
        <v>12</v>
      </c>
      <c r="C42" s="50">
        <f>SUM(D42:L42)</f>
        <v>384.91</v>
      </c>
      <c r="D42" s="161"/>
      <c r="E42" s="161"/>
      <c r="F42" s="161">
        <v>384.91</v>
      </c>
      <c r="G42" s="161"/>
      <c r="H42" s="161"/>
      <c r="I42" s="161"/>
      <c r="J42" s="161"/>
      <c r="K42" s="161"/>
      <c r="L42" s="245"/>
      <c r="M42" s="237">
        <v>3.2500000000000001E-2</v>
      </c>
      <c r="N42" s="50"/>
      <c r="O42" s="343" t="s">
        <v>83</v>
      </c>
      <c r="P42" s="341" t="s">
        <v>76</v>
      </c>
      <c r="Q42" s="116">
        <f>IF(-C42&gt;0,-C42,0)</f>
        <v>0</v>
      </c>
      <c r="R42" s="116">
        <f>IF(C42&gt;0,0,0)</f>
        <v>0</v>
      </c>
    </row>
    <row r="43" spans="1:18" s="384" customFormat="1" ht="16.5" thickBot="1">
      <c r="A43" s="103">
        <f>A37</f>
        <v>41333</v>
      </c>
      <c r="B43" s="50" t="s">
        <v>56</v>
      </c>
      <c r="C43" s="158">
        <f>SUM(C35:C42)</f>
        <v>256140.80471078985</v>
      </c>
      <c r="D43" s="158">
        <f>SUM(D35:D42)</f>
        <v>-648342.78387021227</v>
      </c>
      <c r="E43" s="158">
        <f>SUM(E35:E42)</f>
        <v>956690.13858100027</v>
      </c>
      <c r="F43" s="158">
        <f>SUM(F35:F42)</f>
        <v>-52206.55000000001</v>
      </c>
      <c r="G43" s="158">
        <f t="shared" ref="G43:K43" si="2">SUM(G32:G42)</f>
        <v>0</v>
      </c>
      <c r="H43" s="158">
        <f t="shared" si="2"/>
        <v>0</v>
      </c>
      <c r="I43" s="158">
        <f t="shared" si="2"/>
        <v>0</v>
      </c>
      <c r="J43" s="158">
        <f t="shared" si="2"/>
        <v>0</v>
      </c>
      <c r="K43" s="158">
        <f t="shared" si="2"/>
        <v>0</v>
      </c>
      <c r="L43" s="158">
        <f>SUM(L35:L42)</f>
        <v>0</v>
      </c>
      <c r="M43" s="57"/>
      <c r="N43" s="385"/>
      <c r="O43" s="385"/>
      <c r="P43" s="385"/>
      <c r="Q43" s="385"/>
      <c r="R43" s="338">
        <f>ROUND(SUM(Q38:R42),2)</f>
        <v>0</v>
      </c>
    </row>
    <row r="44" spans="1:18" s="384" customFormat="1" ht="16.5" thickTop="1" thickBot="1">
      <c r="A44" s="53"/>
      <c r="M44" s="52"/>
    </row>
    <row r="45" spans="1:18" s="384" customFormat="1" ht="16.5" thickBot="1">
      <c r="A45" s="58">
        <v>41364</v>
      </c>
      <c r="B45" s="59" t="s">
        <v>84</v>
      </c>
      <c r="C45" s="50">
        <f>SUM(D45:L45)</f>
        <v>-83754.106502999784</v>
      </c>
      <c r="D45" s="244">
        <v>311623.77906699944</v>
      </c>
      <c r="E45" s="244">
        <v>-395377.88556999923</v>
      </c>
      <c r="F45" s="161">
        <v>0</v>
      </c>
      <c r="G45" s="161"/>
      <c r="H45" s="161"/>
      <c r="I45" s="161"/>
      <c r="J45" s="388"/>
      <c r="K45" s="161"/>
      <c r="L45" s="161">
        <v>0</v>
      </c>
      <c r="M45" s="133"/>
      <c r="N45" s="50"/>
      <c r="O45" s="336" t="s">
        <v>106</v>
      </c>
      <c r="P45" s="93"/>
      <c r="Q45" s="93"/>
      <c r="R45" s="94"/>
    </row>
    <row r="46" spans="1:18" s="384" customFormat="1" ht="15.75">
      <c r="A46" s="58"/>
      <c r="B46" s="59" t="s">
        <v>148</v>
      </c>
      <c r="C46" s="50">
        <f>SUM(D46:F46)</f>
        <v>0</v>
      </c>
      <c r="D46" s="241"/>
      <c r="E46" s="241">
        <v>0</v>
      </c>
      <c r="F46" s="161"/>
      <c r="G46" s="161"/>
      <c r="H46" s="161"/>
      <c r="I46" s="161"/>
      <c r="J46" s="161"/>
      <c r="K46" s="161"/>
      <c r="L46" s="161"/>
      <c r="M46" s="133"/>
      <c r="N46" s="50"/>
      <c r="O46" s="347" t="s">
        <v>211</v>
      </c>
      <c r="P46" s="339" t="s">
        <v>27</v>
      </c>
      <c r="Q46" s="335">
        <v>0</v>
      </c>
      <c r="R46" s="337">
        <v>0</v>
      </c>
    </row>
    <row r="47" spans="1:18" s="384" customFormat="1" ht="15.75">
      <c r="A47" s="58"/>
      <c r="B47" s="20" t="s">
        <v>157</v>
      </c>
      <c r="C47" s="50">
        <f>SUM(D47:L47)</f>
        <v>0</v>
      </c>
      <c r="D47" s="242">
        <v>0</v>
      </c>
      <c r="E47" s="241"/>
      <c r="F47" s="161"/>
      <c r="G47" s="161"/>
      <c r="H47" s="161"/>
      <c r="I47" s="161"/>
      <c r="J47" s="161"/>
      <c r="K47" s="161"/>
      <c r="L47" s="161"/>
      <c r="M47" s="133"/>
      <c r="N47" s="50"/>
      <c r="O47" s="334" t="s">
        <v>79</v>
      </c>
      <c r="P47" s="339" t="s">
        <v>17</v>
      </c>
      <c r="Q47" s="335">
        <f>IF((-C43+C51)&gt;0,(-C43+C51),0)</f>
        <v>0</v>
      </c>
      <c r="R47" s="337">
        <f>IF((-C43+C51)&lt;0,(-C43+C51),0)</f>
        <v>-83173.806502999796</v>
      </c>
    </row>
    <row r="48" spans="1:18" s="384" customFormat="1" ht="15.75">
      <c r="A48" s="58"/>
      <c r="B48" s="59" t="s">
        <v>49</v>
      </c>
      <c r="C48" s="50">
        <f>SUM(D48:L48)</f>
        <v>0</v>
      </c>
      <c r="D48" s="161"/>
      <c r="E48" s="161"/>
      <c r="F48" s="161"/>
      <c r="G48" s="161"/>
      <c r="H48" s="161"/>
      <c r="I48" s="161"/>
      <c r="J48" s="161"/>
      <c r="K48" s="161"/>
      <c r="L48" s="243">
        <v>0</v>
      </c>
      <c r="M48" s="134"/>
      <c r="N48" s="50"/>
      <c r="O48" s="340" t="s">
        <v>80</v>
      </c>
      <c r="P48" s="339" t="s">
        <v>20</v>
      </c>
      <c r="Q48" s="112">
        <f>IF((C45+C46)&lt;0,(-C45-C46),0)</f>
        <v>83754.106502999784</v>
      </c>
      <c r="R48" s="337">
        <f>IF((C45+C46)&gt;0,(-C45-C46),0)</f>
        <v>0</v>
      </c>
    </row>
    <row r="49" spans="1:18" s="384" customFormat="1" ht="15.75">
      <c r="A49" s="58"/>
      <c r="B49" s="59" t="s">
        <v>144</v>
      </c>
      <c r="C49" s="50">
        <f>SUM(D49:L49)</f>
        <v>0</v>
      </c>
      <c r="D49" s="161"/>
      <c r="E49" s="161"/>
      <c r="F49" s="161"/>
      <c r="G49" s="161"/>
      <c r="H49" s="161"/>
      <c r="I49" s="161"/>
      <c r="J49" s="161"/>
      <c r="K49" s="161"/>
      <c r="L49" s="243">
        <v>0</v>
      </c>
      <c r="M49" s="134"/>
      <c r="N49" s="50"/>
      <c r="O49" s="342" t="s">
        <v>82</v>
      </c>
      <c r="P49" s="339" t="s">
        <v>75</v>
      </c>
      <c r="Q49" s="344">
        <v>0</v>
      </c>
      <c r="R49" s="337">
        <f>IF(C50&gt;0,-C50,0)</f>
        <v>-580.29999999999995</v>
      </c>
    </row>
    <row r="50" spans="1:18" s="384" customFormat="1" ht="16.5" thickBot="1">
      <c r="A50" s="61"/>
      <c r="B50" s="59" t="s">
        <v>12</v>
      </c>
      <c r="C50" s="50">
        <f>SUM(D50:L50)</f>
        <v>580.29999999999995</v>
      </c>
      <c r="D50" s="161"/>
      <c r="E50" s="161"/>
      <c r="F50" s="161">
        <v>580.29999999999995</v>
      </c>
      <c r="G50" s="161"/>
      <c r="H50" s="161"/>
      <c r="I50" s="161"/>
      <c r="J50" s="161"/>
      <c r="K50" s="161"/>
      <c r="L50" s="245"/>
      <c r="M50" s="237">
        <v>3.2500000000000001E-2</v>
      </c>
      <c r="N50" s="50"/>
      <c r="O50" s="343" t="s">
        <v>83</v>
      </c>
      <c r="P50" s="341" t="s">
        <v>76</v>
      </c>
      <c r="Q50" s="116">
        <f>IF(-C50&gt;0,-C50,0)</f>
        <v>0</v>
      </c>
      <c r="R50" s="116">
        <f>IF(C50&gt;0,0,0)</f>
        <v>0</v>
      </c>
    </row>
    <row r="51" spans="1:18" s="384" customFormat="1" ht="16.5" thickBot="1">
      <c r="A51" s="103">
        <f>A45</f>
        <v>41364</v>
      </c>
      <c r="B51" s="50" t="s">
        <v>56</v>
      </c>
      <c r="C51" s="158">
        <f>SUM(C43:C50)</f>
        <v>172966.99820779005</v>
      </c>
      <c r="D51" s="158">
        <f>SUM(D43:D50)</f>
        <v>-336719.00480321283</v>
      </c>
      <c r="E51" s="158">
        <f>SUM(E43:E50)</f>
        <v>561312.25301100104</v>
      </c>
      <c r="F51" s="158">
        <f>SUM(F43:F50)</f>
        <v>-51626.250000000007</v>
      </c>
      <c r="G51" s="158">
        <f t="shared" ref="G51:K51" si="3">SUM(G40:G50)</f>
        <v>0</v>
      </c>
      <c r="H51" s="158">
        <f t="shared" si="3"/>
        <v>0</v>
      </c>
      <c r="I51" s="158">
        <f t="shared" si="3"/>
        <v>0</v>
      </c>
      <c r="J51" s="158">
        <f t="shared" si="3"/>
        <v>0</v>
      </c>
      <c r="K51" s="158">
        <f t="shared" si="3"/>
        <v>0</v>
      </c>
      <c r="L51" s="158">
        <f>SUM(L43:L50)</f>
        <v>0</v>
      </c>
      <c r="M51" s="57"/>
      <c r="N51" s="385"/>
      <c r="O51" s="385"/>
      <c r="P51" s="385"/>
      <c r="Q51" s="385"/>
      <c r="R51" s="338">
        <f>ROUND(SUM(Q46:R50),2)</f>
        <v>0</v>
      </c>
    </row>
    <row r="52" spans="1:18" ht="16.5" thickTop="1" thickBot="1"/>
    <row r="53" spans="1:18" s="384" customFormat="1" ht="16.5" thickBot="1">
      <c r="A53" s="58">
        <v>41365</v>
      </c>
      <c r="B53" s="59" t="s">
        <v>84</v>
      </c>
      <c r="C53" s="50">
        <f>SUM(D53:L53)</f>
        <v>-160377.30866600084</v>
      </c>
      <c r="D53" s="244">
        <v>-294475.16016600048</v>
      </c>
      <c r="E53" s="244">
        <v>134097.85149999964</v>
      </c>
      <c r="F53" s="161">
        <v>0</v>
      </c>
      <c r="G53" s="161"/>
      <c r="H53" s="161"/>
      <c r="I53" s="161"/>
      <c r="J53" s="388"/>
      <c r="K53" s="161"/>
      <c r="L53" s="161">
        <v>0</v>
      </c>
      <c r="M53" s="133"/>
      <c r="N53" s="50"/>
      <c r="O53" s="336" t="s">
        <v>106</v>
      </c>
      <c r="P53" s="93"/>
      <c r="Q53" s="93"/>
      <c r="R53" s="94"/>
    </row>
    <row r="54" spans="1:18" s="384" customFormat="1" ht="15.75">
      <c r="A54" s="58"/>
      <c r="B54" s="59" t="s">
        <v>148</v>
      </c>
      <c r="C54" s="50">
        <f>SUM(D54:F54)</f>
        <v>0</v>
      </c>
      <c r="D54" s="241"/>
      <c r="E54" s="241">
        <v>0</v>
      </c>
      <c r="F54" s="161"/>
      <c r="G54" s="161"/>
      <c r="H54" s="161"/>
      <c r="I54" s="161"/>
      <c r="J54" s="161"/>
      <c r="K54" s="161"/>
      <c r="L54" s="161"/>
      <c r="M54" s="133"/>
      <c r="N54" s="50"/>
      <c r="O54" s="347" t="s">
        <v>211</v>
      </c>
      <c r="P54" s="339" t="s">
        <v>27</v>
      </c>
      <c r="Q54" s="335">
        <v>0</v>
      </c>
      <c r="R54" s="337">
        <v>0</v>
      </c>
    </row>
    <row r="55" spans="1:18" s="384" customFormat="1" ht="15.75">
      <c r="A55" s="58"/>
      <c r="B55" s="20" t="s">
        <v>157</v>
      </c>
      <c r="C55" s="50">
        <f>SUM(D55:L55)</f>
        <v>0</v>
      </c>
      <c r="D55" s="242">
        <v>0</v>
      </c>
      <c r="E55" s="241"/>
      <c r="F55" s="161"/>
      <c r="G55" s="161"/>
      <c r="H55" s="161"/>
      <c r="I55" s="161"/>
      <c r="J55" s="161"/>
      <c r="K55" s="161"/>
      <c r="L55" s="161"/>
      <c r="M55" s="133"/>
      <c r="N55" s="50"/>
      <c r="O55" s="334" t="s">
        <v>79</v>
      </c>
      <c r="P55" s="339" t="s">
        <v>17</v>
      </c>
      <c r="Q55" s="335">
        <f>IF((-C51+C59)&gt;0,(-C51+C59),0)</f>
        <v>0</v>
      </c>
      <c r="R55" s="337">
        <f>IF((-C51+C59)&lt;0,(-C51+C59),0)</f>
        <v>-160126.03866600085</v>
      </c>
    </row>
    <row r="56" spans="1:18" s="384" customFormat="1" ht="15.75">
      <c r="A56" s="58"/>
      <c r="B56" s="59" t="s">
        <v>49</v>
      </c>
      <c r="C56" s="50">
        <f>SUM(D56:L56)</f>
        <v>0</v>
      </c>
      <c r="D56" s="161"/>
      <c r="E56" s="161"/>
      <c r="F56" s="161"/>
      <c r="G56" s="161"/>
      <c r="H56" s="161"/>
      <c r="I56" s="161"/>
      <c r="J56" s="161"/>
      <c r="K56" s="161"/>
      <c r="L56" s="243">
        <v>0</v>
      </c>
      <c r="M56" s="134"/>
      <c r="N56" s="50"/>
      <c r="O56" s="340" t="s">
        <v>80</v>
      </c>
      <c r="P56" s="339" t="s">
        <v>20</v>
      </c>
      <c r="Q56" s="112">
        <f>IF((C53+C54)&lt;0,(-C53-C54),0)</f>
        <v>160377.30866600084</v>
      </c>
      <c r="R56" s="337">
        <f>IF((C53+C54)&gt;0,(-C53-C54),0)</f>
        <v>0</v>
      </c>
    </row>
    <row r="57" spans="1:18" s="384" customFormat="1" ht="15.75">
      <c r="A57" s="58"/>
      <c r="B57" s="59" t="s">
        <v>144</v>
      </c>
      <c r="C57" s="50">
        <f>SUM(D57:L57)</f>
        <v>0</v>
      </c>
      <c r="D57" s="161"/>
      <c r="E57" s="161"/>
      <c r="F57" s="161"/>
      <c r="G57" s="161"/>
      <c r="H57" s="161"/>
      <c r="I57" s="161"/>
      <c r="J57" s="161"/>
      <c r="K57" s="161"/>
      <c r="L57" s="243">
        <v>0</v>
      </c>
      <c r="M57" s="134"/>
      <c r="N57" s="50"/>
      <c r="O57" s="342" t="s">
        <v>82</v>
      </c>
      <c r="P57" s="339" t="s">
        <v>75</v>
      </c>
      <c r="Q57" s="344">
        <v>0</v>
      </c>
      <c r="R57" s="337">
        <f>IF(C58&gt;0,-C58,0)</f>
        <v>-251.27</v>
      </c>
    </row>
    <row r="58" spans="1:18" s="384" customFormat="1" ht="16.5" thickBot="1">
      <c r="A58" s="61"/>
      <c r="B58" s="59" t="s">
        <v>12</v>
      </c>
      <c r="C58" s="50">
        <f>SUM(D58:L58)</f>
        <v>251.27</v>
      </c>
      <c r="D58" s="161"/>
      <c r="E58" s="161"/>
      <c r="F58" s="161">
        <v>251.27</v>
      </c>
      <c r="G58" s="161"/>
      <c r="H58" s="161"/>
      <c r="I58" s="161"/>
      <c r="J58" s="161"/>
      <c r="K58" s="161"/>
      <c r="L58" s="245"/>
      <c r="M58" s="237">
        <v>3.2500000000000001E-2</v>
      </c>
      <c r="N58" s="50"/>
      <c r="O58" s="343" t="s">
        <v>83</v>
      </c>
      <c r="P58" s="341" t="s">
        <v>76</v>
      </c>
      <c r="Q58" s="116">
        <f>IF(-C58&gt;0,-C58,0)</f>
        <v>0</v>
      </c>
      <c r="R58" s="116">
        <f>IF(C58&gt;0,0,0)</f>
        <v>0</v>
      </c>
    </row>
    <row r="59" spans="1:18" s="384" customFormat="1" ht="16.5" thickBot="1">
      <c r="A59" s="103">
        <f>A53</f>
        <v>41365</v>
      </c>
      <c r="B59" s="50" t="s">
        <v>56</v>
      </c>
      <c r="C59" s="158">
        <f>SUM(C51:C58)</f>
        <v>12840.959541789209</v>
      </c>
      <c r="D59" s="158">
        <f>SUM(D51:D58)</f>
        <v>-631194.16496921331</v>
      </c>
      <c r="E59" s="158">
        <f>SUM(E51:E58)</f>
        <v>695410.10451100068</v>
      </c>
      <c r="F59" s="158">
        <f>SUM(F51:F58)</f>
        <v>-51374.98000000001</v>
      </c>
      <c r="G59" s="158">
        <f t="shared" ref="G59:K59" si="4">SUM(G48:G58)</f>
        <v>0</v>
      </c>
      <c r="H59" s="158">
        <f t="shared" si="4"/>
        <v>0</v>
      </c>
      <c r="I59" s="158">
        <f t="shared" si="4"/>
        <v>0</v>
      </c>
      <c r="J59" s="158">
        <f t="shared" si="4"/>
        <v>0</v>
      </c>
      <c r="K59" s="158">
        <f t="shared" si="4"/>
        <v>0</v>
      </c>
      <c r="L59" s="158">
        <f>SUM(L51:L58)</f>
        <v>0</v>
      </c>
      <c r="M59" s="57"/>
      <c r="N59" s="385"/>
      <c r="O59" s="385"/>
      <c r="P59" s="385"/>
      <c r="Q59" s="385"/>
      <c r="R59" s="338">
        <f>ROUND(SUM(Q54:R58),2)</f>
        <v>0</v>
      </c>
    </row>
    <row r="60" spans="1:18" s="384" customFormat="1" ht="16.5" thickTop="1" thickBot="1">
      <c r="A60" s="53"/>
      <c r="C60" s="385"/>
      <c r="M60" s="52"/>
    </row>
    <row r="61" spans="1:18" s="384" customFormat="1" ht="16.5" thickBot="1">
      <c r="A61" s="58">
        <v>41425</v>
      </c>
      <c r="B61" s="59" t="s">
        <v>84</v>
      </c>
      <c r="C61" s="50">
        <f>SUM(D61:L61)</f>
        <v>291085.24359799817</v>
      </c>
      <c r="D61" s="244">
        <v>-577860.59273000155</v>
      </c>
      <c r="E61" s="244">
        <v>868945.83632799971</v>
      </c>
      <c r="F61" s="161">
        <v>0</v>
      </c>
      <c r="G61" s="161"/>
      <c r="H61" s="161"/>
      <c r="I61" s="161"/>
      <c r="J61" s="388"/>
      <c r="K61" s="161"/>
      <c r="L61" s="161">
        <v>0</v>
      </c>
      <c r="M61" s="133"/>
      <c r="N61" s="50"/>
      <c r="O61" s="336" t="s">
        <v>106</v>
      </c>
      <c r="P61" s="93"/>
      <c r="Q61" s="93"/>
      <c r="R61" s="94"/>
    </row>
    <row r="62" spans="1:18" s="384" customFormat="1" ht="15.75">
      <c r="A62" s="58"/>
      <c r="B62" s="59" t="s">
        <v>148</v>
      </c>
      <c r="C62" s="50">
        <f>SUM(D62:F62)</f>
        <v>0</v>
      </c>
      <c r="D62" s="241"/>
      <c r="E62" s="241">
        <v>0</v>
      </c>
      <c r="F62" s="161"/>
      <c r="G62" s="161"/>
      <c r="H62" s="161"/>
      <c r="I62" s="161"/>
      <c r="J62" s="161"/>
      <c r="K62" s="161"/>
      <c r="L62" s="161"/>
      <c r="M62" s="133"/>
      <c r="N62" s="50"/>
      <c r="O62" s="347" t="s">
        <v>211</v>
      </c>
      <c r="P62" s="339" t="s">
        <v>27</v>
      </c>
      <c r="Q62" s="335">
        <v>0</v>
      </c>
      <c r="R62" s="337">
        <v>0</v>
      </c>
    </row>
    <row r="63" spans="1:18" s="384" customFormat="1" ht="15.75">
      <c r="A63" s="58"/>
      <c r="B63" s="20" t="s">
        <v>157</v>
      </c>
      <c r="C63" s="50">
        <f>SUM(D63:L63)</f>
        <v>0</v>
      </c>
      <c r="D63" s="242">
        <v>0</v>
      </c>
      <c r="E63" s="241"/>
      <c r="F63" s="161"/>
      <c r="G63" s="161"/>
      <c r="H63" s="161"/>
      <c r="I63" s="161"/>
      <c r="J63" s="161"/>
      <c r="K63" s="161"/>
      <c r="L63" s="161"/>
      <c r="M63" s="133"/>
      <c r="N63" s="50"/>
      <c r="O63" s="334" t="s">
        <v>79</v>
      </c>
      <c r="P63" s="339" t="s">
        <v>17</v>
      </c>
      <c r="Q63" s="335">
        <f>IF((-C59+C67)&gt;0,(-C59+C67),0)</f>
        <v>291514.20359799819</v>
      </c>
      <c r="R63" s="337">
        <f>IF((-C59+C67)&lt;0,(-C59+C67),0)</f>
        <v>0</v>
      </c>
    </row>
    <row r="64" spans="1:18" s="384" customFormat="1" ht="15.75">
      <c r="A64" s="58"/>
      <c r="B64" s="59" t="s">
        <v>49</v>
      </c>
      <c r="C64" s="50">
        <f>SUM(D64:L64)</f>
        <v>0</v>
      </c>
      <c r="D64" s="161"/>
      <c r="E64" s="161"/>
      <c r="F64" s="161"/>
      <c r="G64" s="161"/>
      <c r="H64" s="161"/>
      <c r="I64" s="161"/>
      <c r="J64" s="161"/>
      <c r="K64" s="161"/>
      <c r="L64" s="243">
        <v>0</v>
      </c>
      <c r="M64" s="134"/>
      <c r="N64" s="50"/>
      <c r="O64" s="340" t="s">
        <v>80</v>
      </c>
      <c r="P64" s="339" t="s">
        <v>20</v>
      </c>
      <c r="Q64" s="112">
        <f>IF((C61+C62)&lt;0,(-C61-C62),0)</f>
        <v>0</v>
      </c>
      <c r="R64" s="337">
        <f>IF((C61+C62)&gt;0,(-C61-C62),0)</f>
        <v>-291085.24359799817</v>
      </c>
    </row>
    <row r="65" spans="1:18" s="384" customFormat="1" ht="15.75">
      <c r="A65" s="58"/>
      <c r="B65" s="59" t="s">
        <v>144</v>
      </c>
      <c r="C65" s="50">
        <f>SUM(D65:L65)</f>
        <v>0</v>
      </c>
      <c r="D65" s="161"/>
      <c r="E65" s="161"/>
      <c r="F65" s="161"/>
      <c r="G65" s="161"/>
      <c r="H65" s="161"/>
      <c r="I65" s="161"/>
      <c r="J65" s="161"/>
      <c r="K65" s="161"/>
      <c r="L65" s="243">
        <v>0</v>
      </c>
      <c r="M65" s="134"/>
      <c r="N65" s="50"/>
      <c r="O65" s="342" t="s">
        <v>82</v>
      </c>
      <c r="P65" s="339" t="s">
        <v>75</v>
      </c>
      <c r="Q65" s="344">
        <v>0</v>
      </c>
      <c r="R65" s="337">
        <f>IF(C66&gt;0,-C66,0)</f>
        <v>-428.96</v>
      </c>
    </row>
    <row r="66" spans="1:18" s="384" customFormat="1" ht="16.5" thickBot="1">
      <c r="A66" s="61"/>
      <c r="B66" s="59" t="s">
        <v>12</v>
      </c>
      <c r="C66" s="50">
        <f>SUM(D66:L66)</f>
        <v>428.96</v>
      </c>
      <c r="D66" s="161"/>
      <c r="E66" s="161"/>
      <c r="F66" s="161">
        <v>428.96</v>
      </c>
      <c r="G66" s="161"/>
      <c r="H66" s="161"/>
      <c r="I66" s="161"/>
      <c r="J66" s="161"/>
      <c r="K66" s="161"/>
      <c r="L66" s="245"/>
      <c r="M66" s="237">
        <v>3.2500000000000001E-2</v>
      </c>
      <c r="N66" s="50"/>
      <c r="O66" s="343" t="s">
        <v>83</v>
      </c>
      <c r="P66" s="341" t="s">
        <v>76</v>
      </c>
      <c r="Q66" s="116">
        <f>IF(-C66&gt;0,-C66,0)</f>
        <v>0</v>
      </c>
      <c r="R66" s="116">
        <f>IF(C66&gt;0,0,0)</f>
        <v>0</v>
      </c>
    </row>
    <row r="67" spans="1:18" s="384" customFormat="1" ht="16.5" thickBot="1">
      <c r="A67" s="103">
        <f>A61</f>
        <v>41425</v>
      </c>
      <c r="B67" s="50" t="s">
        <v>56</v>
      </c>
      <c r="C67" s="158">
        <f>SUM(C59:C66)</f>
        <v>304355.16313978739</v>
      </c>
      <c r="D67" s="158">
        <f>SUM(D59:D66)</f>
        <v>-1209054.7576992149</v>
      </c>
      <c r="E67" s="158">
        <f>SUM(E59:E66)</f>
        <v>1564355.9408390005</v>
      </c>
      <c r="F67" s="158">
        <f>SUM(F59:F66)</f>
        <v>-50946.020000000011</v>
      </c>
      <c r="G67" s="158">
        <f t="shared" ref="G67:K67" si="5">SUM(G56:G66)</f>
        <v>0</v>
      </c>
      <c r="H67" s="158">
        <f t="shared" si="5"/>
        <v>0</v>
      </c>
      <c r="I67" s="158">
        <f t="shared" si="5"/>
        <v>0</v>
      </c>
      <c r="J67" s="158">
        <f t="shared" si="5"/>
        <v>0</v>
      </c>
      <c r="K67" s="158">
        <f t="shared" si="5"/>
        <v>0</v>
      </c>
      <c r="L67" s="158">
        <f>SUM(L59:L66)</f>
        <v>0</v>
      </c>
      <c r="M67" s="57"/>
      <c r="N67" s="385"/>
      <c r="O67" s="385"/>
      <c r="P67" s="385"/>
      <c r="Q67" s="385"/>
      <c r="R67" s="338">
        <f>ROUND(SUM(Q62:R66),2)</f>
        <v>0</v>
      </c>
    </row>
    <row r="68" spans="1:18" s="384" customFormat="1" ht="16.5" thickTop="1" thickBot="1">
      <c r="A68" s="53"/>
      <c r="C68" s="385"/>
      <c r="M68" s="52"/>
    </row>
    <row r="69" spans="1:18" s="384" customFormat="1" ht="16.5" thickBot="1">
      <c r="A69" s="58">
        <v>41426</v>
      </c>
      <c r="B69" s="59" t="s">
        <v>84</v>
      </c>
      <c r="C69" s="50">
        <f>SUM(D69:L69)</f>
        <v>839471.48552700132</v>
      </c>
      <c r="D69" s="244">
        <v>-173993.23901399877</v>
      </c>
      <c r="E69" s="244">
        <v>1013464.7245410001</v>
      </c>
      <c r="F69" s="161">
        <v>0</v>
      </c>
      <c r="G69" s="161"/>
      <c r="H69" s="161"/>
      <c r="I69" s="161"/>
      <c r="J69" s="388"/>
      <c r="K69" s="161"/>
      <c r="L69" s="161">
        <v>0</v>
      </c>
      <c r="M69" s="133"/>
      <c r="N69" s="50"/>
      <c r="O69" s="336" t="s">
        <v>106</v>
      </c>
      <c r="P69" s="93"/>
      <c r="Q69" s="93"/>
      <c r="R69" s="94"/>
    </row>
    <row r="70" spans="1:18" s="384" customFormat="1" ht="15.75">
      <c r="A70" s="58"/>
      <c r="B70" s="59" t="s">
        <v>148</v>
      </c>
      <c r="C70" s="50">
        <f>SUM(D70:F70)</f>
        <v>0</v>
      </c>
      <c r="D70" s="241"/>
      <c r="E70" s="241">
        <v>0</v>
      </c>
      <c r="F70" s="161"/>
      <c r="G70" s="161"/>
      <c r="H70" s="161"/>
      <c r="I70" s="161"/>
      <c r="J70" s="161"/>
      <c r="K70" s="161"/>
      <c r="L70" s="161"/>
      <c r="M70" s="133"/>
      <c r="N70" s="50"/>
      <c r="O70" s="347" t="s">
        <v>211</v>
      </c>
      <c r="P70" s="339" t="s">
        <v>27</v>
      </c>
      <c r="Q70" s="335">
        <v>0</v>
      </c>
      <c r="R70" s="337">
        <v>0</v>
      </c>
    </row>
    <row r="71" spans="1:18" s="384" customFormat="1" ht="15.75">
      <c r="A71" s="58"/>
      <c r="B71" s="20" t="s">
        <v>157</v>
      </c>
      <c r="C71" s="50">
        <f>SUM(D71:L71)</f>
        <v>0</v>
      </c>
      <c r="D71" s="242">
        <v>0</v>
      </c>
      <c r="E71" s="241"/>
      <c r="F71" s="161"/>
      <c r="G71" s="161"/>
      <c r="H71" s="161"/>
      <c r="I71" s="161"/>
      <c r="J71" s="161"/>
      <c r="K71" s="161"/>
      <c r="L71" s="161"/>
      <c r="M71" s="133"/>
      <c r="N71" s="50"/>
      <c r="O71" s="334" t="s">
        <v>79</v>
      </c>
      <c r="P71" s="339" t="s">
        <v>17</v>
      </c>
      <c r="Q71" s="335">
        <f>IF((-C67+C75)&gt;0,(-C67+C75),0)</f>
        <v>841432.56552700151</v>
      </c>
      <c r="R71" s="337">
        <f>IF((-C67+C75)&lt;0,(-C67+C75),0)</f>
        <v>0</v>
      </c>
    </row>
    <row r="72" spans="1:18" s="384" customFormat="1" ht="15.75">
      <c r="A72" s="58"/>
      <c r="B72" s="59" t="s">
        <v>49</v>
      </c>
      <c r="C72" s="50">
        <f>SUM(D72:L72)</f>
        <v>0</v>
      </c>
      <c r="D72" s="161"/>
      <c r="E72" s="161"/>
      <c r="F72" s="161"/>
      <c r="G72" s="161"/>
      <c r="H72" s="161"/>
      <c r="I72" s="161"/>
      <c r="J72" s="161"/>
      <c r="K72" s="161"/>
      <c r="L72" s="243">
        <v>0</v>
      </c>
      <c r="M72" s="134"/>
      <c r="N72" s="50"/>
      <c r="O72" s="340" t="s">
        <v>80</v>
      </c>
      <c r="P72" s="339" t="s">
        <v>20</v>
      </c>
      <c r="Q72" s="112">
        <f>IF((C69+C70)&lt;0,(-C69-C70),0)</f>
        <v>0</v>
      </c>
      <c r="R72" s="337">
        <f>IF((C69+C70)&gt;0,(-C69-C70),0)</f>
        <v>-839471.48552700132</v>
      </c>
    </row>
    <row r="73" spans="1:18" s="384" customFormat="1" ht="15.75">
      <c r="A73" s="58"/>
      <c r="B73" s="59" t="s">
        <v>144</v>
      </c>
      <c r="C73" s="50">
        <f>SUM(D73:L73)</f>
        <v>0</v>
      </c>
      <c r="D73" s="161"/>
      <c r="E73" s="161"/>
      <c r="F73" s="161"/>
      <c r="G73" s="161"/>
      <c r="H73" s="161"/>
      <c r="I73" s="161"/>
      <c r="J73" s="161"/>
      <c r="K73" s="161"/>
      <c r="L73" s="243">
        <v>0</v>
      </c>
      <c r="M73" s="134"/>
      <c r="N73" s="50"/>
      <c r="O73" s="342" t="s">
        <v>82</v>
      </c>
      <c r="P73" s="339" t="s">
        <v>75</v>
      </c>
      <c r="Q73" s="344">
        <v>0</v>
      </c>
      <c r="R73" s="337">
        <f>IF(C74&gt;0,-C74,0)</f>
        <v>-1961.08</v>
      </c>
    </row>
    <row r="74" spans="1:18" s="384" customFormat="1" ht="16.5" thickBot="1">
      <c r="A74" s="61"/>
      <c r="B74" s="59" t="s">
        <v>12</v>
      </c>
      <c r="C74" s="50">
        <f>SUM(D74:L74)</f>
        <v>1961.08</v>
      </c>
      <c r="D74" s="161"/>
      <c r="E74" s="161"/>
      <c r="F74" s="161">
        <v>1961.08</v>
      </c>
      <c r="G74" s="161"/>
      <c r="H74" s="161"/>
      <c r="I74" s="161"/>
      <c r="J74" s="161"/>
      <c r="K74" s="161"/>
      <c r="L74" s="245"/>
      <c r="M74" s="237">
        <v>3.2500000000000001E-2</v>
      </c>
      <c r="N74" s="50"/>
      <c r="O74" s="343" t="s">
        <v>83</v>
      </c>
      <c r="P74" s="341" t="s">
        <v>76</v>
      </c>
      <c r="Q74" s="116">
        <f>IF(-C74&gt;0,-C74,0)</f>
        <v>0</v>
      </c>
      <c r="R74" s="116">
        <f>IF(C74&gt;0,0,0)</f>
        <v>0</v>
      </c>
    </row>
    <row r="75" spans="1:18" s="384" customFormat="1" ht="16.5" thickBot="1">
      <c r="A75" s="103">
        <f>A69</f>
        <v>41426</v>
      </c>
      <c r="B75" s="50" t="s">
        <v>56</v>
      </c>
      <c r="C75" s="158">
        <f>SUM(C67:C74)</f>
        <v>1145787.7286667889</v>
      </c>
      <c r="D75" s="158">
        <f>SUM(D67:D74)</f>
        <v>-1383047.9967132136</v>
      </c>
      <c r="E75" s="158">
        <f>SUM(E67:E74)</f>
        <v>2577820.6653800006</v>
      </c>
      <c r="F75" s="158">
        <f>SUM(F67:F74)</f>
        <v>-48984.94000000001</v>
      </c>
      <c r="G75" s="158">
        <f t="shared" ref="G75:K75" si="6">SUM(G64:G74)</f>
        <v>0</v>
      </c>
      <c r="H75" s="158">
        <f t="shared" si="6"/>
        <v>0</v>
      </c>
      <c r="I75" s="158">
        <f t="shared" si="6"/>
        <v>0</v>
      </c>
      <c r="J75" s="158">
        <f t="shared" si="6"/>
        <v>0</v>
      </c>
      <c r="K75" s="158">
        <f t="shared" si="6"/>
        <v>0</v>
      </c>
      <c r="L75" s="158">
        <f>SUM(L67:L74)</f>
        <v>0</v>
      </c>
      <c r="M75" s="57"/>
      <c r="N75" s="385"/>
      <c r="O75" s="385"/>
      <c r="P75" s="385"/>
      <c r="Q75" s="385"/>
      <c r="R75" s="338">
        <f>ROUND(SUM(Q70:R74),2)</f>
        <v>0</v>
      </c>
    </row>
    <row r="76" spans="1:18" ht="16.5" thickTop="1" thickBot="1"/>
    <row r="77" spans="1:18" s="384" customFormat="1" ht="16.5" thickBot="1">
      <c r="A77" s="58">
        <v>41456</v>
      </c>
      <c r="B77" s="59" t="s">
        <v>84</v>
      </c>
      <c r="C77" s="50">
        <f>SUM(D77:L77)</f>
        <v>777094.91390700196</v>
      </c>
      <c r="D77" s="244">
        <v>-494523.11633399874</v>
      </c>
      <c r="E77" s="244">
        <v>1271618.0302410007</v>
      </c>
      <c r="F77" s="161">
        <v>0</v>
      </c>
      <c r="G77" s="161"/>
      <c r="H77" s="161"/>
      <c r="I77" s="161"/>
      <c r="J77" s="388"/>
      <c r="K77" s="161"/>
      <c r="L77" s="161">
        <v>0</v>
      </c>
      <c r="M77" s="133"/>
      <c r="N77" s="50"/>
      <c r="O77" s="336" t="s">
        <v>106</v>
      </c>
      <c r="P77" s="93"/>
      <c r="Q77" s="93"/>
      <c r="R77" s="94"/>
    </row>
    <row r="78" spans="1:18" s="384" customFormat="1" ht="15.75">
      <c r="A78" s="58"/>
      <c r="B78" s="59" t="s">
        <v>148</v>
      </c>
      <c r="C78" s="50">
        <f>SUM(D78:F78)</f>
        <v>0</v>
      </c>
      <c r="D78" s="241"/>
      <c r="E78" s="241">
        <v>0</v>
      </c>
      <c r="F78" s="161"/>
      <c r="G78" s="161"/>
      <c r="H78" s="161"/>
      <c r="I78" s="161"/>
      <c r="J78" s="161"/>
      <c r="K78" s="161"/>
      <c r="L78" s="161"/>
      <c r="M78" s="133"/>
      <c r="N78" s="50"/>
      <c r="O78" s="347" t="s">
        <v>211</v>
      </c>
      <c r="P78" s="339" t="s">
        <v>27</v>
      </c>
      <c r="Q78" s="335">
        <v>0</v>
      </c>
      <c r="R78" s="337">
        <v>0</v>
      </c>
    </row>
    <row r="79" spans="1:18" s="384" customFormat="1" ht="15.75">
      <c r="A79" s="58"/>
      <c r="B79" s="20" t="s">
        <v>157</v>
      </c>
      <c r="C79" s="50">
        <f>SUM(D79:L79)</f>
        <v>0</v>
      </c>
      <c r="D79" s="242">
        <v>0</v>
      </c>
      <c r="E79" s="241"/>
      <c r="F79" s="161"/>
      <c r="G79" s="161"/>
      <c r="H79" s="161"/>
      <c r="I79" s="161"/>
      <c r="J79" s="161"/>
      <c r="K79" s="161"/>
      <c r="L79" s="161"/>
      <c r="M79" s="133"/>
      <c r="N79" s="50"/>
      <c r="O79" s="334" t="s">
        <v>79</v>
      </c>
      <c r="P79" s="339" t="s">
        <v>17</v>
      </c>
      <c r="Q79" s="335">
        <f>IF((-C75+C83)&gt;0,(-C75+C83),0)</f>
        <v>781250.40390700195</v>
      </c>
      <c r="R79" s="337">
        <f>IF((-C75+C83)&lt;0,(-C75+C83),0)</f>
        <v>0</v>
      </c>
    </row>
    <row r="80" spans="1:18" s="384" customFormat="1" ht="15.75">
      <c r="A80" s="58"/>
      <c r="B80" s="59" t="s">
        <v>49</v>
      </c>
      <c r="C80" s="50">
        <f>SUM(D80:L80)</f>
        <v>0</v>
      </c>
      <c r="D80" s="161"/>
      <c r="E80" s="161"/>
      <c r="F80" s="161"/>
      <c r="G80" s="161"/>
      <c r="H80" s="161"/>
      <c r="I80" s="161"/>
      <c r="J80" s="161"/>
      <c r="K80" s="161"/>
      <c r="L80" s="243">
        <v>0</v>
      </c>
      <c r="M80" s="134"/>
      <c r="N80" s="50"/>
      <c r="O80" s="340" t="s">
        <v>80</v>
      </c>
      <c r="P80" s="339" t="s">
        <v>20</v>
      </c>
      <c r="Q80" s="112">
        <f>IF((C77+C78)&lt;0,(-C77-C78),0)</f>
        <v>0</v>
      </c>
      <c r="R80" s="337">
        <f>IF((C77+C78)&gt;0,(-C77-C78),0)</f>
        <v>-777094.91390700196</v>
      </c>
    </row>
    <row r="81" spans="1:18" s="384" customFormat="1" ht="15.75">
      <c r="A81" s="58"/>
      <c r="B81" s="59" t="s">
        <v>144</v>
      </c>
      <c r="C81" s="50">
        <f>SUM(D81:L81)</f>
        <v>0</v>
      </c>
      <c r="D81" s="161"/>
      <c r="E81" s="161"/>
      <c r="F81" s="161"/>
      <c r="G81" s="161"/>
      <c r="H81" s="161"/>
      <c r="I81" s="161"/>
      <c r="J81" s="161"/>
      <c r="K81" s="161"/>
      <c r="L81" s="243">
        <v>0</v>
      </c>
      <c r="M81" s="134"/>
      <c r="N81" s="50"/>
      <c r="O81" s="342" t="s">
        <v>82</v>
      </c>
      <c r="P81" s="339" t="s">
        <v>75</v>
      </c>
      <c r="Q81" s="344">
        <v>0</v>
      </c>
      <c r="R81" s="337">
        <f>IF(C82&gt;0,-C82,0)</f>
        <v>-4155.49</v>
      </c>
    </row>
    <row r="82" spans="1:18" s="384" customFormat="1" ht="16.5" thickBot="1">
      <c r="A82" s="61"/>
      <c r="B82" s="59" t="s">
        <v>12</v>
      </c>
      <c r="C82" s="50">
        <f>SUM(D82:L82)</f>
        <v>4155.49</v>
      </c>
      <c r="D82" s="161"/>
      <c r="E82" s="161"/>
      <c r="F82" s="161">
        <v>4155.49</v>
      </c>
      <c r="G82" s="161"/>
      <c r="H82" s="161"/>
      <c r="I82" s="161"/>
      <c r="J82" s="161"/>
      <c r="K82" s="161"/>
      <c r="L82" s="245"/>
      <c r="M82" s="237">
        <v>3.2500000000000001E-2</v>
      </c>
      <c r="N82" s="50"/>
      <c r="O82" s="343" t="s">
        <v>83</v>
      </c>
      <c r="P82" s="341" t="s">
        <v>76</v>
      </c>
      <c r="Q82" s="116">
        <f>IF(-C82&gt;0,-C82,0)</f>
        <v>0</v>
      </c>
      <c r="R82" s="116">
        <f>IF(C82&gt;0,0,0)</f>
        <v>0</v>
      </c>
    </row>
    <row r="83" spans="1:18" s="384" customFormat="1" ht="16.5" thickBot="1">
      <c r="A83" s="103">
        <f>A77</f>
        <v>41456</v>
      </c>
      <c r="B83" s="50" t="s">
        <v>56</v>
      </c>
      <c r="C83" s="158">
        <f>SUM(C75:C82)</f>
        <v>1927038.1325737908</v>
      </c>
      <c r="D83" s="158">
        <f>SUM(D75:D82)</f>
        <v>-1877571.1130472124</v>
      </c>
      <c r="E83" s="158">
        <f>SUM(E75:E82)</f>
        <v>3849438.6956210015</v>
      </c>
      <c r="F83" s="158">
        <f>SUM(F75:F82)</f>
        <v>-44829.450000000012</v>
      </c>
      <c r="G83" s="158">
        <f t="shared" ref="G83:K83" si="7">SUM(G72:G82)</f>
        <v>0</v>
      </c>
      <c r="H83" s="158">
        <f t="shared" si="7"/>
        <v>0</v>
      </c>
      <c r="I83" s="158">
        <f t="shared" si="7"/>
        <v>0</v>
      </c>
      <c r="J83" s="158">
        <f t="shared" si="7"/>
        <v>0</v>
      </c>
      <c r="K83" s="158">
        <f t="shared" si="7"/>
        <v>0</v>
      </c>
      <c r="L83" s="158">
        <f>SUM(L75:L82)</f>
        <v>0</v>
      </c>
      <c r="M83" s="57"/>
      <c r="N83" s="385"/>
      <c r="O83" s="385"/>
      <c r="P83" s="385"/>
      <c r="Q83" s="385"/>
      <c r="R83" s="338">
        <f>ROUND(SUM(Q78:R82),2)</f>
        <v>0</v>
      </c>
    </row>
    <row r="84" spans="1:18" ht="16.5" thickTop="1" thickBot="1"/>
    <row r="85" spans="1:18" s="384" customFormat="1" ht="16.5" thickBot="1">
      <c r="A85" s="58">
        <v>41487</v>
      </c>
      <c r="B85" s="59" t="s">
        <v>84</v>
      </c>
      <c r="C85" s="50">
        <f>SUM(D85:L85)</f>
        <v>564000.44398000068</v>
      </c>
      <c r="D85" s="244">
        <v>-646266.22842499963</v>
      </c>
      <c r="E85" s="244">
        <v>1210266.6724050003</v>
      </c>
      <c r="F85" s="161">
        <v>0</v>
      </c>
      <c r="G85" s="161"/>
      <c r="H85" s="161"/>
      <c r="I85" s="161"/>
      <c r="J85" s="388"/>
      <c r="K85" s="161"/>
      <c r="L85" s="161">
        <v>0</v>
      </c>
      <c r="M85" s="133"/>
      <c r="N85" s="50"/>
      <c r="O85" s="336" t="s">
        <v>106</v>
      </c>
      <c r="P85" s="93"/>
      <c r="Q85" s="93"/>
      <c r="R85" s="94"/>
    </row>
    <row r="86" spans="1:18" s="384" customFormat="1" ht="15.75">
      <c r="A86" s="58"/>
      <c r="B86" s="59" t="s">
        <v>148</v>
      </c>
      <c r="C86" s="50">
        <f>SUM(D86:F86)</f>
        <v>0</v>
      </c>
      <c r="D86" s="241"/>
      <c r="E86" s="241">
        <v>0</v>
      </c>
      <c r="F86" s="161"/>
      <c r="G86" s="161"/>
      <c r="H86" s="161"/>
      <c r="I86" s="161"/>
      <c r="J86" s="161"/>
      <c r="K86" s="161"/>
      <c r="L86" s="161"/>
      <c r="M86" s="133"/>
      <c r="N86" s="50"/>
      <c r="O86" s="347" t="s">
        <v>211</v>
      </c>
      <c r="P86" s="339" t="s">
        <v>27</v>
      </c>
      <c r="Q86" s="335">
        <v>0</v>
      </c>
      <c r="R86" s="337">
        <v>0</v>
      </c>
    </row>
    <row r="87" spans="1:18" s="384" customFormat="1" ht="15.75">
      <c r="A87" s="58"/>
      <c r="B87" s="20" t="s">
        <v>157</v>
      </c>
      <c r="C87" s="50">
        <f>SUM(D87:L87)</f>
        <v>0</v>
      </c>
      <c r="D87" s="242">
        <v>0</v>
      </c>
      <c r="E87" s="241"/>
      <c r="F87" s="161"/>
      <c r="G87" s="161"/>
      <c r="H87" s="161"/>
      <c r="I87" s="161"/>
      <c r="J87" s="161"/>
      <c r="K87" s="161"/>
      <c r="L87" s="161"/>
      <c r="M87" s="133"/>
      <c r="N87" s="50"/>
      <c r="O87" s="334" t="s">
        <v>79</v>
      </c>
      <c r="P87" s="339" t="s">
        <v>17</v>
      </c>
      <c r="Q87" s="335">
        <f>IF((-C83+C91)&gt;0,(-C83+C91),0)</f>
        <v>569983.25398000097</v>
      </c>
      <c r="R87" s="337">
        <f>IF((-C83+C91)&lt;0,(-C83+C91),0)</f>
        <v>0</v>
      </c>
    </row>
    <row r="88" spans="1:18" s="384" customFormat="1" ht="15.75">
      <c r="A88" s="58"/>
      <c r="B88" s="59" t="s">
        <v>49</v>
      </c>
      <c r="C88" s="50">
        <f>SUM(D88:L88)</f>
        <v>0</v>
      </c>
      <c r="D88" s="161"/>
      <c r="E88" s="161"/>
      <c r="F88" s="161"/>
      <c r="G88" s="161"/>
      <c r="H88" s="161"/>
      <c r="I88" s="161"/>
      <c r="J88" s="161"/>
      <c r="K88" s="161"/>
      <c r="L88" s="243">
        <v>0</v>
      </c>
      <c r="M88" s="134"/>
      <c r="N88" s="50"/>
      <c r="O88" s="340" t="s">
        <v>80</v>
      </c>
      <c r="P88" s="339" t="s">
        <v>20</v>
      </c>
      <c r="Q88" s="112">
        <f>IF((C85+C86)&lt;0,(-C85-C86),0)</f>
        <v>0</v>
      </c>
      <c r="R88" s="337">
        <f>IF((C85+C86)&gt;0,(-C85-C86),0)</f>
        <v>-564000.44398000068</v>
      </c>
    </row>
    <row r="89" spans="1:18" s="384" customFormat="1" ht="15.75">
      <c r="A89" s="58"/>
      <c r="B89" s="59" t="s">
        <v>144</v>
      </c>
      <c r="C89" s="50">
        <f>SUM(D89:L89)</f>
        <v>0</v>
      </c>
      <c r="D89" s="161"/>
      <c r="E89" s="161"/>
      <c r="F89" s="161"/>
      <c r="G89" s="161"/>
      <c r="H89" s="161"/>
      <c r="I89" s="161"/>
      <c r="J89" s="161"/>
      <c r="K89" s="161"/>
      <c r="L89" s="243">
        <v>0</v>
      </c>
      <c r="M89" s="134"/>
      <c r="N89" s="50"/>
      <c r="O89" s="342" t="s">
        <v>82</v>
      </c>
      <c r="P89" s="339" t="s">
        <v>75</v>
      </c>
      <c r="Q89" s="344">
        <v>0</v>
      </c>
      <c r="R89" s="337">
        <f>IF(C90&gt;0,-C90,0)</f>
        <v>-5982.81</v>
      </c>
    </row>
    <row r="90" spans="1:18" s="384" customFormat="1" ht="16.5" thickBot="1">
      <c r="A90" s="61"/>
      <c r="B90" s="59" t="s">
        <v>12</v>
      </c>
      <c r="C90" s="50">
        <f>SUM(D90:L90)</f>
        <v>5982.81</v>
      </c>
      <c r="D90" s="161"/>
      <c r="E90" s="161"/>
      <c r="F90" s="161">
        <v>5982.81</v>
      </c>
      <c r="G90" s="161"/>
      <c r="H90" s="161"/>
      <c r="I90" s="161"/>
      <c r="J90" s="161"/>
      <c r="K90" s="161"/>
      <c r="L90" s="245"/>
      <c r="M90" s="237">
        <v>3.2500000000000001E-2</v>
      </c>
      <c r="N90" s="50"/>
      <c r="O90" s="343" t="s">
        <v>83</v>
      </c>
      <c r="P90" s="341" t="s">
        <v>76</v>
      </c>
      <c r="Q90" s="116">
        <f>IF(-C90&gt;0,-C90,0)</f>
        <v>0</v>
      </c>
      <c r="R90" s="116">
        <f>IF(C90&gt;0,0,0)</f>
        <v>0</v>
      </c>
    </row>
    <row r="91" spans="1:18" s="384" customFormat="1" ht="16.5" thickBot="1">
      <c r="A91" s="103">
        <f>A85</f>
        <v>41487</v>
      </c>
      <c r="B91" s="50" t="s">
        <v>56</v>
      </c>
      <c r="C91" s="158">
        <f>SUM(C83:C90)</f>
        <v>2497021.3865537918</v>
      </c>
      <c r="D91" s="158">
        <f>SUM(D83:D90)</f>
        <v>-2523837.3414722122</v>
      </c>
      <c r="E91" s="158">
        <f>SUM(E83:E90)</f>
        <v>5059705.3680260014</v>
      </c>
      <c r="F91" s="158">
        <f>SUM(F83:F90)</f>
        <v>-38846.640000000014</v>
      </c>
      <c r="G91" s="158">
        <f t="shared" ref="G91:K91" si="8">SUM(G80:G90)</f>
        <v>0</v>
      </c>
      <c r="H91" s="158">
        <f t="shared" si="8"/>
        <v>0</v>
      </c>
      <c r="I91" s="158">
        <f t="shared" si="8"/>
        <v>0</v>
      </c>
      <c r="J91" s="158">
        <f t="shared" si="8"/>
        <v>0</v>
      </c>
      <c r="K91" s="158">
        <f t="shared" si="8"/>
        <v>0</v>
      </c>
      <c r="L91" s="158">
        <f>SUM(L83:L90)</f>
        <v>0</v>
      </c>
      <c r="M91" s="57"/>
      <c r="N91" s="385"/>
      <c r="O91" s="385"/>
      <c r="P91" s="385"/>
      <c r="Q91" s="385"/>
      <c r="R91" s="338">
        <f>ROUND(SUM(Q86:R90),2)</f>
        <v>0</v>
      </c>
    </row>
    <row r="92" spans="1:18" s="384" customFormat="1" ht="16.5" thickTop="1" thickBot="1">
      <c r="A92" s="53"/>
      <c r="M92" s="52"/>
    </row>
    <row r="93" spans="1:18" s="384" customFormat="1" ht="16.5" thickBot="1">
      <c r="A93" s="58">
        <v>41518</v>
      </c>
      <c r="B93" s="59" t="s">
        <v>84</v>
      </c>
      <c r="C93" s="50">
        <f>SUM(D93:L93)</f>
        <v>208713.47537599935</v>
      </c>
      <c r="D93" s="244">
        <v>-814688.68566800107</v>
      </c>
      <c r="E93" s="244">
        <v>1023402.1610440004</v>
      </c>
      <c r="F93" s="161">
        <v>0</v>
      </c>
      <c r="G93" s="161"/>
      <c r="H93" s="161"/>
      <c r="I93" s="161"/>
      <c r="J93" s="388"/>
      <c r="K93" s="161"/>
      <c r="L93" s="161">
        <v>0</v>
      </c>
      <c r="M93" s="133"/>
      <c r="N93" s="50"/>
      <c r="O93" s="336" t="s">
        <v>106</v>
      </c>
      <c r="P93" s="93"/>
      <c r="Q93" s="93"/>
      <c r="R93" s="94"/>
    </row>
    <row r="94" spans="1:18" s="384" customFormat="1" ht="15.75">
      <c r="A94" s="58"/>
      <c r="B94" s="59" t="s">
        <v>148</v>
      </c>
      <c r="C94" s="50">
        <f>SUM(D94:F94)</f>
        <v>0</v>
      </c>
      <c r="D94" s="241"/>
      <c r="E94" s="241">
        <v>0</v>
      </c>
      <c r="F94" s="161"/>
      <c r="G94" s="161"/>
      <c r="H94" s="161"/>
      <c r="I94" s="161"/>
      <c r="J94" s="161"/>
      <c r="K94" s="161"/>
      <c r="L94" s="161"/>
      <c r="M94" s="133"/>
      <c r="N94" s="50"/>
      <c r="O94" s="347" t="s">
        <v>211</v>
      </c>
      <c r="P94" s="339" t="s">
        <v>27</v>
      </c>
      <c r="Q94" s="335">
        <v>0</v>
      </c>
      <c r="R94" s="337">
        <v>0</v>
      </c>
    </row>
    <row r="95" spans="1:18" s="384" customFormat="1" ht="15.75">
      <c r="A95" s="58"/>
      <c r="B95" s="20" t="s">
        <v>157</v>
      </c>
      <c r="C95" s="50">
        <f>SUM(D95:L95)</f>
        <v>0</v>
      </c>
      <c r="D95" s="242">
        <v>0</v>
      </c>
      <c r="E95" s="241"/>
      <c r="F95" s="161"/>
      <c r="G95" s="161"/>
      <c r="H95" s="161"/>
      <c r="I95" s="161"/>
      <c r="J95" s="161"/>
      <c r="K95" s="161"/>
      <c r="L95" s="161"/>
      <c r="M95" s="133"/>
      <c r="N95" s="50"/>
      <c r="O95" s="334" t="s">
        <v>79</v>
      </c>
      <c r="P95" s="339" t="s">
        <v>17</v>
      </c>
      <c r="Q95" s="335">
        <f>IF((-C91+C99)&gt;0,(-C91+C99),0)</f>
        <v>215758.87537599914</v>
      </c>
      <c r="R95" s="337">
        <f>IF((-C91+C99)&lt;0,(-C91+C99),0)</f>
        <v>0</v>
      </c>
    </row>
    <row r="96" spans="1:18" s="384" customFormat="1" ht="15.75">
      <c r="A96" s="58"/>
      <c r="B96" s="59" t="s">
        <v>49</v>
      </c>
      <c r="C96" s="50">
        <f>SUM(D96:L96)</f>
        <v>0</v>
      </c>
      <c r="D96" s="161"/>
      <c r="E96" s="161"/>
      <c r="F96" s="161"/>
      <c r="G96" s="161"/>
      <c r="H96" s="161"/>
      <c r="I96" s="161"/>
      <c r="J96" s="161"/>
      <c r="K96" s="161"/>
      <c r="L96" s="243">
        <v>0</v>
      </c>
      <c r="M96" s="134"/>
      <c r="N96" s="50"/>
      <c r="O96" s="340" t="s">
        <v>80</v>
      </c>
      <c r="P96" s="339" t="s">
        <v>20</v>
      </c>
      <c r="Q96" s="112">
        <f>IF((C93+C94)&lt;0,(-C93-C94),0)</f>
        <v>0</v>
      </c>
      <c r="R96" s="337">
        <f>IF((C93+C94)&gt;0,(-C93-C94),0)</f>
        <v>-208713.47537599935</v>
      </c>
    </row>
    <row r="97" spans="1:18" s="384" customFormat="1" ht="15.75">
      <c r="A97" s="58"/>
      <c r="B97" s="59" t="s">
        <v>144</v>
      </c>
      <c r="C97" s="50">
        <f>SUM(D97:L97)</f>
        <v>0</v>
      </c>
      <c r="D97" s="161"/>
      <c r="E97" s="161"/>
      <c r="F97" s="161"/>
      <c r="G97" s="161"/>
      <c r="H97" s="161"/>
      <c r="I97" s="161"/>
      <c r="J97" s="161"/>
      <c r="K97" s="161"/>
      <c r="L97" s="243">
        <v>0</v>
      </c>
      <c r="M97" s="134"/>
      <c r="N97" s="50"/>
      <c r="O97" s="342" t="s">
        <v>82</v>
      </c>
      <c r="P97" s="339" t="s">
        <v>75</v>
      </c>
      <c r="Q97" s="344">
        <v>0</v>
      </c>
      <c r="R97" s="337">
        <f>IF(C98&gt;0,-C98,0)</f>
        <v>-7045.4</v>
      </c>
    </row>
    <row r="98" spans="1:18" s="384" customFormat="1" ht="16.5" thickBot="1">
      <c r="A98" s="61"/>
      <c r="B98" s="59" t="s">
        <v>12</v>
      </c>
      <c r="C98" s="50">
        <f>SUM(D98:L98)</f>
        <v>7045.4</v>
      </c>
      <c r="D98" s="161"/>
      <c r="E98" s="161"/>
      <c r="F98" s="161">
        <v>7045.4</v>
      </c>
      <c r="G98" s="161"/>
      <c r="H98" s="161"/>
      <c r="I98" s="161"/>
      <c r="J98" s="161"/>
      <c r="K98" s="161"/>
      <c r="L98" s="245"/>
      <c r="M98" s="237">
        <v>3.2500000000000001E-2</v>
      </c>
      <c r="N98" s="50"/>
      <c r="O98" s="343" t="s">
        <v>83</v>
      </c>
      <c r="P98" s="341" t="s">
        <v>76</v>
      </c>
      <c r="Q98" s="116">
        <f>IF(-C98&gt;0,-C98,0)</f>
        <v>0</v>
      </c>
      <c r="R98" s="116">
        <f>IF(C98&gt;0,0,0)</f>
        <v>0</v>
      </c>
    </row>
    <row r="99" spans="1:18" s="384" customFormat="1" ht="16.5" thickBot="1">
      <c r="A99" s="103">
        <f>A93</f>
        <v>41518</v>
      </c>
      <c r="B99" s="50" t="s">
        <v>56</v>
      </c>
      <c r="C99" s="158">
        <f>SUM(C91:C98)</f>
        <v>2712780.261929791</v>
      </c>
      <c r="D99" s="158">
        <f>SUM(D91:D98)</f>
        <v>-3338526.0271402132</v>
      </c>
      <c r="E99" s="158">
        <f>SUM(E91:E98)</f>
        <v>6083107.529070002</v>
      </c>
      <c r="F99" s="158">
        <f>SUM(F91:F98)</f>
        <v>-31801.240000000013</v>
      </c>
      <c r="G99" s="158">
        <f t="shared" ref="G99:K99" si="9">SUM(G88:G98)</f>
        <v>0</v>
      </c>
      <c r="H99" s="158">
        <f t="shared" si="9"/>
        <v>0</v>
      </c>
      <c r="I99" s="158">
        <f t="shared" si="9"/>
        <v>0</v>
      </c>
      <c r="J99" s="158">
        <f t="shared" si="9"/>
        <v>0</v>
      </c>
      <c r="K99" s="158">
        <f t="shared" si="9"/>
        <v>0</v>
      </c>
      <c r="L99" s="158">
        <f>SUM(L91:L98)</f>
        <v>0</v>
      </c>
      <c r="M99" s="57"/>
      <c r="N99" s="385"/>
      <c r="O99" s="385"/>
      <c r="P99" s="385"/>
      <c r="Q99" s="385"/>
      <c r="R99" s="338">
        <f>ROUND(SUM(Q94:R98),2)</f>
        <v>0</v>
      </c>
    </row>
    <row r="100" spans="1:18" ht="16.5" thickTop="1" thickBot="1"/>
    <row r="101" spans="1:18" s="384" customFormat="1" ht="16.5" thickBot="1">
      <c r="A101" s="58">
        <v>41578</v>
      </c>
      <c r="B101" s="59" t="s">
        <v>84</v>
      </c>
      <c r="C101" s="50">
        <f>SUM(D101:L101)</f>
        <v>-464484.39013699861</v>
      </c>
      <c r="D101" s="244">
        <v>-726195.13553999923</v>
      </c>
      <c r="E101" s="244">
        <v>261710.74540300062</v>
      </c>
      <c r="F101" s="161">
        <v>0</v>
      </c>
      <c r="G101" s="161"/>
      <c r="H101" s="161"/>
      <c r="I101" s="161"/>
      <c r="J101" s="388"/>
      <c r="K101" s="161"/>
      <c r="L101" s="161">
        <v>0</v>
      </c>
      <c r="M101" s="133"/>
      <c r="N101" s="50"/>
      <c r="O101" s="336" t="s">
        <v>106</v>
      </c>
      <c r="P101" s="93"/>
      <c r="Q101" s="93"/>
      <c r="R101" s="94"/>
    </row>
    <row r="102" spans="1:18" s="384" customFormat="1" ht="15.75">
      <c r="A102" s="58"/>
      <c r="B102" s="59" t="s">
        <v>148</v>
      </c>
      <c r="C102" s="50">
        <f>SUM(D102:F102)</f>
        <v>0</v>
      </c>
      <c r="D102" s="241"/>
      <c r="E102" s="241">
        <v>0</v>
      </c>
      <c r="F102" s="161"/>
      <c r="G102" s="161"/>
      <c r="H102" s="161"/>
      <c r="I102" s="161"/>
      <c r="J102" s="161"/>
      <c r="K102" s="161"/>
      <c r="L102" s="161"/>
      <c r="M102" s="133"/>
      <c r="N102" s="50"/>
      <c r="O102" s="347" t="s">
        <v>211</v>
      </c>
      <c r="P102" s="339" t="s">
        <v>27</v>
      </c>
      <c r="Q102" s="335">
        <v>0</v>
      </c>
      <c r="R102" s="337">
        <v>0</v>
      </c>
    </row>
    <row r="103" spans="1:18" s="384" customFormat="1" ht="15.75">
      <c r="A103" s="58"/>
      <c r="B103" s="20" t="s">
        <v>157</v>
      </c>
      <c r="C103" s="50">
        <f>SUM(D103:L103)</f>
        <v>0</v>
      </c>
      <c r="D103" s="242">
        <v>0</v>
      </c>
      <c r="E103" s="241"/>
      <c r="F103" s="161"/>
      <c r="G103" s="161"/>
      <c r="H103" s="161"/>
      <c r="I103" s="161"/>
      <c r="J103" s="161"/>
      <c r="K103" s="161"/>
      <c r="L103" s="161"/>
      <c r="M103" s="133"/>
      <c r="N103" s="50"/>
      <c r="O103" s="334" t="s">
        <v>79</v>
      </c>
      <c r="P103" s="339" t="s">
        <v>17</v>
      </c>
      <c r="Q103" s="335">
        <f>IF((-C99+C107)&gt;0,(-C99+C107),0)</f>
        <v>0</v>
      </c>
      <c r="R103" s="337">
        <f>IF((-C99+C107)&lt;0,(-C99+C107),0)</f>
        <v>-457766.2701369985</v>
      </c>
    </row>
    <row r="104" spans="1:18" s="384" customFormat="1" ht="15.75">
      <c r="A104" s="58"/>
      <c r="B104" s="59" t="s">
        <v>49</v>
      </c>
      <c r="C104" s="50">
        <f>SUM(D104:L104)</f>
        <v>0</v>
      </c>
      <c r="D104" s="161"/>
      <c r="E104" s="161"/>
      <c r="F104" s="161"/>
      <c r="G104" s="161"/>
      <c r="H104" s="161"/>
      <c r="I104" s="161"/>
      <c r="J104" s="161"/>
      <c r="K104" s="161"/>
      <c r="L104" s="243">
        <v>0</v>
      </c>
      <c r="M104" s="134"/>
      <c r="N104" s="50"/>
      <c r="O104" s="340" t="s">
        <v>80</v>
      </c>
      <c r="P104" s="339" t="s">
        <v>20</v>
      </c>
      <c r="Q104" s="112">
        <f>IF((C101+C102)&lt;0,(-C101-C102),0)</f>
        <v>464484.39013699861</v>
      </c>
      <c r="R104" s="337">
        <f>IF((C101+C102)&gt;0,(-C101-C102),0)</f>
        <v>0</v>
      </c>
    </row>
    <row r="105" spans="1:18" s="384" customFormat="1" ht="15.75">
      <c r="A105" s="58"/>
      <c r="B105" s="59" t="s">
        <v>144</v>
      </c>
      <c r="C105" s="50">
        <f>SUM(D105:L105)</f>
        <v>0</v>
      </c>
      <c r="D105" s="161"/>
      <c r="E105" s="161"/>
      <c r="F105" s="161"/>
      <c r="G105" s="161"/>
      <c r="H105" s="161"/>
      <c r="I105" s="161"/>
      <c r="J105" s="161"/>
      <c r="K105" s="161"/>
      <c r="L105" s="243">
        <v>0</v>
      </c>
      <c r="M105" s="134"/>
      <c r="N105" s="50"/>
      <c r="O105" s="342" t="s">
        <v>82</v>
      </c>
      <c r="P105" s="339" t="s">
        <v>75</v>
      </c>
      <c r="Q105" s="344">
        <v>0</v>
      </c>
      <c r="R105" s="337">
        <f>IF(C106&gt;0,-C106,0)</f>
        <v>-6718.12</v>
      </c>
    </row>
    <row r="106" spans="1:18" s="384" customFormat="1" ht="16.5" thickBot="1">
      <c r="A106" s="61"/>
      <c r="B106" s="59" t="s">
        <v>12</v>
      </c>
      <c r="C106" s="50">
        <f>SUM(D106:L106)</f>
        <v>6718.12</v>
      </c>
      <c r="D106" s="161"/>
      <c r="E106" s="161"/>
      <c r="F106" s="161">
        <v>6718.12</v>
      </c>
      <c r="G106" s="161"/>
      <c r="H106" s="161"/>
      <c r="I106" s="161"/>
      <c r="J106" s="161"/>
      <c r="K106" s="161"/>
      <c r="L106" s="245"/>
      <c r="M106" s="237">
        <v>3.2500000000000001E-2</v>
      </c>
      <c r="N106" s="50"/>
      <c r="O106" s="343" t="s">
        <v>83</v>
      </c>
      <c r="P106" s="341" t="s">
        <v>76</v>
      </c>
      <c r="Q106" s="116">
        <f>IF(-C106&gt;0,-C106,0)</f>
        <v>0</v>
      </c>
      <c r="R106" s="116">
        <f>IF(C106&gt;0,0,0)</f>
        <v>0</v>
      </c>
    </row>
    <row r="107" spans="1:18" s="384" customFormat="1" ht="16.5" thickBot="1">
      <c r="A107" s="103">
        <f>A101</f>
        <v>41578</v>
      </c>
      <c r="B107" s="50" t="s">
        <v>56</v>
      </c>
      <c r="C107" s="158">
        <f>SUM(C99:C106)</f>
        <v>2255013.9917927925</v>
      </c>
      <c r="D107" s="158">
        <f>SUM(D99:D106)</f>
        <v>-4064721.1626802124</v>
      </c>
      <c r="E107" s="158">
        <f>SUM(E99:E106)</f>
        <v>6344818.2744730022</v>
      </c>
      <c r="F107" s="158">
        <f>SUM(F99:F106)</f>
        <v>-25083.120000000014</v>
      </c>
      <c r="G107" s="158">
        <f t="shared" ref="G107:K107" si="10">SUM(G96:G106)</f>
        <v>0</v>
      </c>
      <c r="H107" s="158">
        <f t="shared" si="10"/>
        <v>0</v>
      </c>
      <c r="I107" s="158">
        <f t="shared" si="10"/>
        <v>0</v>
      </c>
      <c r="J107" s="158">
        <f t="shared" si="10"/>
        <v>0</v>
      </c>
      <c r="K107" s="158">
        <f t="shared" si="10"/>
        <v>0</v>
      </c>
      <c r="L107" s="158">
        <f>SUM(L99:L106)</f>
        <v>0</v>
      </c>
      <c r="M107" s="57"/>
      <c r="N107" s="385"/>
      <c r="O107" s="385"/>
      <c r="P107" s="385"/>
      <c r="Q107" s="385"/>
      <c r="R107" s="338">
        <f>ROUND(SUM(Q102:R106),2)</f>
        <v>0</v>
      </c>
    </row>
    <row r="108" spans="1:18" s="384" customFormat="1" ht="15.75" thickTop="1">
      <c r="A108" s="53"/>
      <c r="M108" s="52"/>
    </row>
    <row r="109" spans="1:18" s="384" customFormat="1" ht="15.75">
      <c r="A109" s="103">
        <v>41579</v>
      </c>
      <c r="B109" s="2" t="s">
        <v>230</v>
      </c>
      <c r="C109" s="50">
        <f>SUM(D109:L109)</f>
        <v>-1145801.7486667871</v>
      </c>
      <c r="D109" s="161">
        <f>-D75</f>
        <v>1383047.9967132136</v>
      </c>
      <c r="E109" s="161">
        <f>-E75</f>
        <v>-2577820.6653800006</v>
      </c>
      <c r="F109" s="161">
        <f>-F75-14.02</f>
        <v>48970.920000000013</v>
      </c>
      <c r="G109" s="161"/>
      <c r="H109" s="161"/>
      <c r="I109" s="161"/>
      <c r="J109" s="161"/>
      <c r="K109" s="161"/>
      <c r="L109" s="245"/>
      <c r="M109" s="52"/>
    </row>
    <row r="110" spans="1:18" s="384" customFormat="1" ht="16.5" thickBot="1">
      <c r="A110" s="103"/>
      <c r="B110" s="2" t="s">
        <v>233</v>
      </c>
      <c r="C110" s="158">
        <f>SUM(C107:C109)</f>
        <v>1109212.2431260054</v>
      </c>
      <c r="D110" s="158">
        <f>SUM(D107:D109)</f>
        <v>-2681673.1659669988</v>
      </c>
      <c r="E110" s="158">
        <f>SUM(E107:E109)</f>
        <v>3766997.6090930016</v>
      </c>
      <c r="F110" s="158">
        <f>SUM(F107:F109)</f>
        <v>23887.8</v>
      </c>
      <c r="G110" s="158"/>
      <c r="H110" s="158"/>
      <c r="I110" s="158"/>
      <c r="J110" s="158"/>
      <c r="K110" s="158"/>
      <c r="L110" s="158">
        <f>SUM(L107:L109)</f>
        <v>0</v>
      </c>
      <c r="M110" s="52"/>
    </row>
    <row r="111" spans="1:18" s="384" customFormat="1" ht="16.5" thickTop="1" thickBot="1">
      <c r="A111" s="53"/>
      <c r="M111" s="52"/>
    </row>
    <row r="112" spans="1:18" s="384" customFormat="1" ht="16.5" thickBot="1">
      <c r="A112" s="58">
        <f>EOMONTH(A101,1)</f>
        <v>41608</v>
      </c>
      <c r="B112" s="59" t="s">
        <v>84</v>
      </c>
      <c r="C112" s="50">
        <f>SUM(D112:L112)</f>
        <v>-1144165.7052559927</v>
      </c>
      <c r="D112" s="244">
        <v>-363626.86552299373</v>
      </c>
      <c r="E112" s="244">
        <v>-780538.83973299898</v>
      </c>
      <c r="F112" s="161">
        <v>0</v>
      </c>
      <c r="G112" s="161"/>
      <c r="H112" s="161"/>
      <c r="I112" s="161"/>
      <c r="J112" s="388"/>
      <c r="K112" s="161"/>
      <c r="L112" s="161">
        <v>0</v>
      </c>
      <c r="M112" s="133"/>
      <c r="N112" s="50"/>
      <c r="O112" s="336" t="s">
        <v>106</v>
      </c>
      <c r="P112" s="93"/>
      <c r="Q112" s="93"/>
      <c r="R112" s="94"/>
    </row>
    <row r="113" spans="1:18" s="384" customFormat="1" ht="15.75">
      <c r="A113" s="58"/>
      <c r="B113" s="59" t="s">
        <v>148</v>
      </c>
      <c r="C113" s="50">
        <f>SUM(D113:F113)</f>
        <v>0</v>
      </c>
      <c r="D113" s="241"/>
      <c r="E113" s="241">
        <v>0</v>
      </c>
      <c r="F113" s="161"/>
      <c r="G113" s="161"/>
      <c r="H113" s="161"/>
      <c r="I113" s="161"/>
      <c r="J113" s="161"/>
      <c r="K113" s="161"/>
      <c r="L113" s="161"/>
      <c r="M113" s="133"/>
      <c r="N113" s="50"/>
      <c r="O113" s="347" t="s">
        <v>232</v>
      </c>
      <c r="P113" s="339" t="s">
        <v>27</v>
      </c>
      <c r="Q113" s="335">
        <f>-C109</f>
        <v>1145801.7486667871</v>
      </c>
      <c r="R113" s="337">
        <v>0</v>
      </c>
    </row>
    <row r="114" spans="1:18" s="384" customFormat="1" ht="15.75">
      <c r="A114" s="58"/>
      <c r="B114" s="20" t="s">
        <v>157</v>
      </c>
      <c r="C114" s="50">
        <f>SUM(D114:L114)</f>
        <v>0</v>
      </c>
      <c r="D114" s="242">
        <v>0</v>
      </c>
      <c r="E114" s="241"/>
      <c r="F114" s="161"/>
      <c r="G114" s="161"/>
      <c r="H114" s="161"/>
      <c r="I114" s="161"/>
      <c r="J114" s="161"/>
      <c r="K114" s="161"/>
      <c r="L114" s="161"/>
      <c r="M114" s="133"/>
      <c r="N114" s="50"/>
      <c r="O114" s="334" t="s">
        <v>79</v>
      </c>
      <c r="P114" s="339" t="s">
        <v>17</v>
      </c>
      <c r="Q114" s="335">
        <f>IF((-C107+C118)&gt;0,(-C107+C118),0)</f>
        <v>0</v>
      </c>
      <c r="R114" s="337">
        <f>IF((-C107+C118)&lt;0,(-C107+C118),0)</f>
        <v>-2288512.7239227798</v>
      </c>
    </row>
    <row r="115" spans="1:18" s="384" customFormat="1" ht="15.75">
      <c r="A115" s="58"/>
      <c r="B115" s="59" t="s">
        <v>49</v>
      </c>
      <c r="C115" s="50">
        <f>SUM(D115:L115)</f>
        <v>0</v>
      </c>
      <c r="D115" s="161"/>
      <c r="E115" s="161"/>
      <c r="F115" s="161"/>
      <c r="G115" s="161"/>
      <c r="H115" s="161"/>
      <c r="I115" s="161"/>
      <c r="J115" s="161"/>
      <c r="K115" s="161"/>
      <c r="L115" s="243">
        <v>0</v>
      </c>
      <c r="M115" s="134"/>
      <c r="N115" s="50"/>
      <c r="O115" s="340" t="s">
        <v>80</v>
      </c>
      <c r="P115" s="339" t="s">
        <v>20</v>
      </c>
      <c r="Q115" s="112">
        <f>IF((C112+C113)&lt;0,(-C112-C113),0)</f>
        <v>1144165.7052559927</v>
      </c>
      <c r="R115" s="337">
        <f>IF((C112+C113)&gt;0,(-C112-C113),0)</f>
        <v>0</v>
      </c>
    </row>
    <row r="116" spans="1:18" s="384" customFormat="1" ht="15.75">
      <c r="A116" s="58"/>
      <c r="B116" s="59" t="s">
        <v>144</v>
      </c>
      <c r="C116" s="50">
        <f>SUM(D116:L116)</f>
        <v>0</v>
      </c>
      <c r="D116" s="161"/>
      <c r="E116" s="161"/>
      <c r="F116" s="161"/>
      <c r="G116" s="161"/>
      <c r="H116" s="161"/>
      <c r="I116" s="161"/>
      <c r="J116" s="161"/>
      <c r="K116" s="161"/>
      <c r="L116" s="243">
        <v>0</v>
      </c>
      <c r="M116" s="134"/>
      <c r="N116" s="50"/>
      <c r="O116" s="342" t="s">
        <v>82</v>
      </c>
      <c r="P116" s="339" t="s">
        <v>75</v>
      </c>
      <c r="Q116" s="344">
        <v>0</v>
      </c>
      <c r="R116" s="337">
        <f>IF(C117&gt;0,-C117,0)</f>
        <v>-1454.73</v>
      </c>
    </row>
    <row r="117" spans="1:18" s="384" customFormat="1" ht="16.5" thickBot="1">
      <c r="A117" s="61"/>
      <c r="B117" s="59" t="s">
        <v>12</v>
      </c>
      <c r="C117" s="50">
        <f>SUM(D117:L117)</f>
        <v>1454.73</v>
      </c>
      <c r="D117" s="161"/>
      <c r="E117" s="161"/>
      <c r="F117" s="161">
        <v>1454.73</v>
      </c>
      <c r="G117" s="161"/>
      <c r="H117" s="161"/>
      <c r="I117" s="161"/>
      <c r="J117" s="161"/>
      <c r="K117" s="161"/>
      <c r="L117" s="245"/>
      <c r="M117" s="237">
        <v>3.2500000000000001E-2</v>
      </c>
      <c r="N117" s="50"/>
      <c r="O117" s="343" t="s">
        <v>83</v>
      </c>
      <c r="P117" s="341" t="s">
        <v>76</v>
      </c>
      <c r="Q117" s="116">
        <f>IF(-C117&gt;0,-C117,0)</f>
        <v>0</v>
      </c>
      <c r="R117" s="116">
        <f>IF(C117&gt;0,0,0)</f>
        <v>0</v>
      </c>
    </row>
    <row r="118" spans="1:18" s="384" customFormat="1" ht="16.5" thickBot="1">
      <c r="A118" s="103">
        <f>A112</f>
        <v>41608</v>
      </c>
      <c r="B118" s="50" t="s">
        <v>56</v>
      </c>
      <c r="C118" s="158">
        <f>SUM(C110:C117)</f>
        <v>-33498.732129987307</v>
      </c>
      <c r="D118" s="158">
        <f>SUM(D110:D117)</f>
        <v>-3045300.0314899925</v>
      </c>
      <c r="E118" s="158">
        <f>SUM(E110:E117)</f>
        <v>2986458.7693600026</v>
      </c>
      <c r="F118" s="158">
        <f>SUM(F110:F117)</f>
        <v>25342.53</v>
      </c>
      <c r="G118" s="158">
        <f t="shared" ref="G118:K118" si="11">SUM(G104:G117)</f>
        <v>0</v>
      </c>
      <c r="H118" s="158">
        <f t="shared" si="11"/>
        <v>0</v>
      </c>
      <c r="I118" s="158">
        <f t="shared" si="11"/>
        <v>0</v>
      </c>
      <c r="J118" s="158">
        <f t="shared" si="11"/>
        <v>0</v>
      </c>
      <c r="K118" s="158">
        <f t="shared" si="11"/>
        <v>0</v>
      </c>
      <c r="L118" s="158">
        <f>SUM(L107:L117)</f>
        <v>0</v>
      </c>
      <c r="M118" s="57"/>
      <c r="N118" s="385"/>
      <c r="O118" s="385"/>
      <c r="P118" s="385"/>
      <c r="Q118" s="385"/>
      <c r="R118" s="338">
        <f>ROUND(SUM(Q113:R117),2)</f>
        <v>0</v>
      </c>
    </row>
    <row r="119" spans="1:18" s="384" customFormat="1" ht="16.5" thickTop="1" thickBot="1">
      <c r="A119" s="53"/>
      <c r="M119" s="52"/>
    </row>
    <row r="120" spans="1:18" s="384" customFormat="1" ht="16.5" thickBot="1">
      <c r="A120" s="58">
        <f>EOMONTH(A112,1)</f>
        <v>41639</v>
      </c>
      <c r="B120" s="59" t="s">
        <v>84</v>
      </c>
      <c r="C120" s="50">
        <f>SUM(D120:L120)</f>
        <v>-3404895.3975190017</v>
      </c>
      <c r="D120" s="244">
        <f>Jan!$H$55</f>
        <v>-491376.17008000147</v>
      </c>
      <c r="E120" s="244">
        <f>Jan!$I$55</f>
        <v>-2913519.2274390003</v>
      </c>
      <c r="F120" s="161">
        <v>0</v>
      </c>
      <c r="G120" s="161"/>
      <c r="H120" s="161"/>
      <c r="I120" s="161"/>
      <c r="J120" s="388"/>
      <c r="K120" s="161"/>
      <c r="L120" s="161">
        <v>0</v>
      </c>
      <c r="M120" s="133"/>
      <c r="N120" s="50"/>
      <c r="O120" s="336" t="s">
        <v>235</v>
      </c>
      <c r="P120" s="93"/>
      <c r="Q120" s="93"/>
      <c r="R120" s="94"/>
    </row>
    <row r="121" spans="1:18" s="384" customFormat="1" ht="15.75">
      <c r="A121" s="58"/>
      <c r="B121" s="59" t="s">
        <v>148</v>
      </c>
      <c r="C121" s="50">
        <f>SUM(D121:F121)</f>
        <v>0</v>
      </c>
      <c r="D121" s="241"/>
      <c r="E121" s="241">
        <v>0</v>
      </c>
      <c r="F121" s="161"/>
      <c r="G121" s="161"/>
      <c r="H121" s="161"/>
      <c r="I121" s="161"/>
      <c r="J121" s="161"/>
      <c r="K121" s="161"/>
      <c r="L121" s="161"/>
      <c r="M121" s="133"/>
      <c r="N121" s="50"/>
      <c r="O121" s="347" t="s">
        <v>232</v>
      </c>
      <c r="P121" s="339" t="s">
        <v>27</v>
      </c>
      <c r="Q121" s="335">
        <v>0</v>
      </c>
      <c r="R121" s="337">
        <v>0</v>
      </c>
    </row>
    <row r="122" spans="1:18" s="384" customFormat="1" ht="15.75">
      <c r="A122" s="58"/>
      <c r="B122" s="20" t="s">
        <v>157</v>
      </c>
      <c r="C122" s="50">
        <f>SUM(D122:L122)</f>
        <v>0</v>
      </c>
      <c r="D122" s="242">
        <v>0</v>
      </c>
      <c r="E122" s="241"/>
      <c r="F122" s="161"/>
      <c r="G122" s="161"/>
      <c r="H122" s="161"/>
      <c r="I122" s="161"/>
      <c r="J122" s="161"/>
      <c r="K122" s="161"/>
      <c r="L122" s="161"/>
      <c r="M122" s="133"/>
      <c r="N122" s="50"/>
      <c r="O122" s="334" t="s">
        <v>79</v>
      </c>
      <c r="P122" s="339" t="s">
        <v>17</v>
      </c>
      <c r="Q122" s="335">
        <f>IF((-C115+C126)&gt;0,(-C115+C126),0)</f>
        <v>0</v>
      </c>
      <c r="R122" s="337">
        <f>IF((-C118+C126)&lt;0,(-C118+C126),0)-C121</f>
        <v>-3409596.9175190018</v>
      </c>
    </row>
    <row r="123" spans="1:18" s="384" customFormat="1" ht="15.75">
      <c r="A123" s="58"/>
      <c r="B123" s="59" t="s">
        <v>49</v>
      </c>
      <c r="C123" s="50">
        <f>SUM(D123:L123)</f>
        <v>0</v>
      </c>
      <c r="D123" s="161"/>
      <c r="E123" s="161"/>
      <c r="F123" s="161"/>
      <c r="G123" s="161"/>
      <c r="H123" s="161"/>
      <c r="I123" s="161"/>
      <c r="J123" s="161"/>
      <c r="K123" s="161"/>
      <c r="L123" s="243">
        <v>0</v>
      </c>
      <c r="M123" s="134"/>
      <c r="N123" s="50"/>
      <c r="O123" s="340" t="s">
        <v>80</v>
      </c>
      <c r="P123" s="339" t="s">
        <v>20</v>
      </c>
      <c r="Q123" s="112">
        <f>IF((C120)&lt;0,(-C120),0)</f>
        <v>3404895.3975190017</v>
      </c>
      <c r="R123" s="337">
        <f>IF((C120+C121)&gt;0,(-C120-C121),0)</f>
        <v>0</v>
      </c>
    </row>
    <row r="124" spans="1:18" s="384" customFormat="1" ht="15.75">
      <c r="A124" s="58"/>
      <c r="B124" s="59" t="s">
        <v>144</v>
      </c>
      <c r="C124" s="50">
        <f>SUM(D124:L124)</f>
        <v>0</v>
      </c>
      <c r="D124" s="161"/>
      <c r="E124" s="161"/>
      <c r="F124" s="161"/>
      <c r="G124" s="161"/>
      <c r="H124" s="161"/>
      <c r="I124" s="161"/>
      <c r="J124" s="161"/>
      <c r="K124" s="161"/>
      <c r="L124" s="243">
        <v>0</v>
      </c>
      <c r="M124" s="134"/>
      <c r="N124" s="50"/>
      <c r="O124" s="342" t="s">
        <v>82</v>
      </c>
      <c r="P124" s="339" t="s">
        <v>75</v>
      </c>
      <c r="Q124" s="344">
        <v>0</v>
      </c>
      <c r="R124" s="337">
        <f>IF(C125&gt;0,-C125,0)</f>
        <v>0</v>
      </c>
    </row>
    <row r="125" spans="1:18" s="384" customFormat="1" ht="16.5" thickBot="1">
      <c r="A125" s="61"/>
      <c r="B125" s="59" t="s">
        <v>12</v>
      </c>
      <c r="C125" s="50">
        <f>SUM(D125:L125)</f>
        <v>-4701.5200000000004</v>
      </c>
      <c r="D125" s="161"/>
      <c r="E125" s="161"/>
      <c r="F125" s="161">
        <f>ROUND(((C118)+(C120)/2)*(M125/12),2)</f>
        <v>-4701.5200000000004</v>
      </c>
      <c r="G125" s="161"/>
      <c r="H125" s="161"/>
      <c r="I125" s="161"/>
      <c r="J125" s="161"/>
      <c r="K125" s="161"/>
      <c r="L125" s="245"/>
      <c r="M125" s="237">
        <v>3.2500000000000001E-2</v>
      </c>
      <c r="N125" s="50"/>
      <c r="O125" s="343" t="s">
        <v>83</v>
      </c>
      <c r="P125" s="341" t="s">
        <v>76</v>
      </c>
      <c r="Q125" s="116">
        <f>IF(-C125&gt;0,-C125,0)</f>
        <v>4701.5200000000004</v>
      </c>
      <c r="R125" s="116">
        <f>IF(C125&gt;0,0,0)</f>
        <v>0</v>
      </c>
    </row>
    <row r="126" spans="1:18" s="384" customFormat="1" ht="16.5" thickBot="1">
      <c r="A126" s="103">
        <f>A120</f>
        <v>41639</v>
      </c>
      <c r="B126" s="50" t="s">
        <v>56</v>
      </c>
      <c r="C126" s="158">
        <f>SUM(C120:C125,C118)</f>
        <v>-3443095.6496489891</v>
      </c>
      <c r="D126" s="158">
        <f>SUM(D120:D125,D118)</f>
        <v>-3536676.201569994</v>
      </c>
      <c r="E126" s="158">
        <f>SUM(E120:E125,E118)</f>
        <v>72939.541921002325</v>
      </c>
      <c r="F126" s="158">
        <f>SUM(F120:F125,F118)</f>
        <v>20641.009999999998</v>
      </c>
      <c r="G126" s="158">
        <f t="shared" ref="G126:K126" si="12">SUM(G112:G125)</f>
        <v>0</v>
      </c>
      <c r="H126" s="158">
        <f t="shared" si="12"/>
        <v>0</v>
      </c>
      <c r="I126" s="158">
        <f t="shared" si="12"/>
        <v>0</v>
      </c>
      <c r="J126" s="158">
        <f t="shared" si="12"/>
        <v>0</v>
      </c>
      <c r="K126" s="158">
        <f t="shared" si="12"/>
        <v>0</v>
      </c>
      <c r="L126" s="158">
        <f>SUM(L120:L125,L118)</f>
        <v>0</v>
      </c>
      <c r="M126" s="57"/>
      <c r="N126" s="385"/>
      <c r="O126" s="385"/>
      <c r="P126" s="385"/>
      <c r="Q126" s="66"/>
      <c r="R126" s="338">
        <f>ROUND(SUM(Q121:R125),2)</f>
        <v>0</v>
      </c>
    </row>
    <row r="127" spans="1:18" ht="17.25" thickTop="1" thickBot="1">
      <c r="A127" s="144"/>
      <c r="B127" s="9" t="s">
        <v>247</v>
      </c>
      <c r="C127" s="1">
        <f>SUM(D127:L127)</f>
        <v>-1156793.8500000001</v>
      </c>
      <c r="D127" s="384"/>
      <c r="E127" s="384">
        <v>-1111877.48</v>
      </c>
      <c r="F127" s="384">
        <v>-44916.37</v>
      </c>
      <c r="G127" s="161"/>
      <c r="H127" s="161"/>
      <c r="I127" s="161"/>
      <c r="J127" s="388"/>
      <c r="K127" s="161"/>
      <c r="L127" s="161"/>
    </row>
    <row r="128" spans="1:18" ht="16.5" thickBot="1">
      <c r="B128" s="9" t="s">
        <v>241</v>
      </c>
      <c r="C128" s="474">
        <f>SUM(C126:C127)</f>
        <v>-4599889.4996489892</v>
      </c>
      <c r="D128" s="474">
        <f>SUM(D126:D127)</f>
        <v>-3536676.201569994</v>
      </c>
      <c r="E128" s="474">
        <f>SUM(E126:E127)</f>
        <v>-1038937.9380789977</v>
      </c>
      <c r="F128" s="474">
        <f>SUM(F126:F127)</f>
        <v>-24275.360000000004</v>
      </c>
      <c r="G128" s="474"/>
      <c r="H128" s="474"/>
      <c r="I128" s="474"/>
      <c r="J128" s="474"/>
      <c r="K128" s="474"/>
      <c r="L128" s="474">
        <f>SUM(L126:L127)</f>
        <v>0</v>
      </c>
      <c r="O128" s="336" t="s">
        <v>236</v>
      </c>
      <c r="P128" s="93"/>
      <c r="Q128" s="93"/>
      <c r="R128" s="94"/>
    </row>
    <row r="129" spans="2:18" ht="15.75">
      <c r="B129" s="9" t="s">
        <v>242</v>
      </c>
      <c r="C129" s="1" t="e">
        <f>_xll.Get_Balance("201312","YTD","USD","Total","A","","001","191010","GD","WA","DL")</f>
        <v>#VALUE!</v>
      </c>
      <c r="D129" s="384"/>
      <c r="E129" s="384"/>
      <c r="F129" s="384"/>
      <c r="G129" s="384"/>
      <c r="H129" s="384"/>
      <c r="I129" s="384"/>
      <c r="J129" s="384"/>
      <c r="K129" s="384"/>
      <c r="L129" s="384"/>
      <c r="O129" s="347" t="s">
        <v>232</v>
      </c>
      <c r="P129" s="339" t="s">
        <v>27</v>
      </c>
      <c r="Q129" s="335">
        <v>0</v>
      </c>
      <c r="R129" s="337">
        <v>0</v>
      </c>
    </row>
    <row r="130" spans="2:18" ht="16.5" thickBot="1">
      <c r="B130" s="9" t="s">
        <v>243</v>
      </c>
      <c r="C130" s="158" t="e">
        <f>C128-C129</f>
        <v>#VALUE!</v>
      </c>
      <c r="D130" s="384"/>
      <c r="E130" s="384"/>
      <c r="F130" s="384"/>
      <c r="G130" s="384"/>
      <c r="H130" s="384"/>
      <c r="I130" s="384"/>
      <c r="J130" s="384"/>
      <c r="K130" s="384"/>
      <c r="L130" s="384"/>
      <c r="O130" s="334" t="s">
        <v>79</v>
      </c>
      <c r="P130" s="339" t="s">
        <v>17</v>
      </c>
      <c r="Q130" s="335">
        <f>IF((-C123+C134)&gt;0,(-C123+C134),0)</f>
        <v>0</v>
      </c>
      <c r="R130" s="337">
        <v>-4133742.32</v>
      </c>
    </row>
    <row r="131" spans="2:18" ht="15.75" thickTop="1">
      <c r="D131" s="384"/>
      <c r="E131" s="384"/>
      <c r="F131" s="384"/>
      <c r="G131" s="384"/>
      <c r="H131" s="384"/>
      <c r="I131" s="384"/>
      <c r="J131" s="384"/>
      <c r="K131" s="384"/>
      <c r="L131" s="384"/>
      <c r="O131" s="340" t="s">
        <v>80</v>
      </c>
      <c r="P131" s="339" t="s">
        <v>20</v>
      </c>
      <c r="Q131" s="112">
        <v>4128061.51</v>
      </c>
      <c r="R131" s="337" t="e">
        <f>IF((C128+C129)&gt;0,(-C128-C129),0)</f>
        <v>#VALUE!</v>
      </c>
    </row>
    <row r="132" spans="2:18">
      <c r="D132" s="384"/>
      <c r="E132" s="384"/>
      <c r="F132" s="384"/>
      <c r="G132" s="384"/>
      <c r="H132" s="384"/>
      <c r="I132" s="384"/>
      <c r="J132" s="384"/>
      <c r="K132" s="384"/>
      <c r="L132" s="384"/>
      <c r="O132" s="342" t="s">
        <v>82</v>
      </c>
      <c r="P132" s="339" t="s">
        <v>75</v>
      </c>
      <c r="Q132" s="344">
        <v>0</v>
      </c>
      <c r="R132" s="337">
        <f>IF(C133&gt;0,-C133,0)</f>
        <v>0</v>
      </c>
    </row>
    <row r="133" spans="2:18" ht="15.75" thickBot="1">
      <c r="O133" s="343" t="s">
        <v>83</v>
      </c>
      <c r="P133" s="341" t="s">
        <v>76</v>
      </c>
      <c r="Q133" s="116">
        <v>5680.81</v>
      </c>
      <c r="R133" s="116">
        <f>IF(C133&gt;0,0,0)</f>
        <v>0</v>
      </c>
    </row>
    <row r="134" spans="2:18">
      <c r="B134" s="384"/>
      <c r="C134" s="384"/>
      <c r="D134" s="384"/>
      <c r="E134" s="384"/>
      <c r="F134" s="384"/>
      <c r="G134" s="384"/>
      <c r="H134" s="384"/>
      <c r="I134" s="384"/>
      <c r="J134" s="384"/>
      <c r="K134" s="384"/>
      <c r="L134" s="384"/>
      <c r="O134" s="385"/>
      <c r="P134" s="385"/>
      <c r="Q134" s="66"/>
      <c r="R134" s="338" t="e">
        <f>ROUND(SUM(Q129:R133),2)</f>
        <v>#VALUE!</v>
      </c>
    </row>
    <row r="135" spans="2:18" ht="15.75" thickBot="1">
      <c r="B135" s="384"/>
      <c r="C135" s="384"/>
      <c r="D135" s="384"/>
      <c r="E135" s="384"/>
      <c r="F135" s="384"/>
      <c r="G135" s="384"/>
      <c r="H135" s="384"/>
      <c r="I135" s="384"/>
      <c r="J135" s="384"/>
      <c r="K135" s="384"/>
      <c r="L135" s="384"/>
    </row>
    <row r="136" spans="2:18" ht="15.75" thickBot="1">
      <c r="O136" s="336" t="s">
        <v>237</v>
      </c>
      <c r="P136" s="93"/>
      <c r="Q136" s="93"/>
      <c r="R136" s="94"/>
    </row>
    <row r="137" spans="2:18">
      <c r="O137" s="347" t="s">
        <v>232</v>
      </c>
      <c r="P137" s="339" t="s">
        <v>27</v>
      </c>
      <c r="Q137" s="335">
        <v>0</v>
      </c>
      <c r="R137" s="337">
        <v>0</v>
      </c>
    </row>
    <row r="138" spans="2:18">
      <c r="O138" s="334" t="s">
        <v>79</v>
      </c>
      <c r="P138" s="339" t="s">
        <v>17</v>
      </c>
      <c r="Q138" s="335">
        <f>R122-R130</f>
        <v>724145.40248099808</v>
      </c>
      <c r="R138" s="337">
        <v>0</v>
      </c>
    </row>
    <row r="139" spans="2:18">
      <c r="O139" s="340" t="s">
        <v>80</v>
      </c>
      <c r="P139" s="339" t="s">
        <v>20</v>
      </c>
      <c r="Q139" s="112">
        <v>0</v>
      </c>
      <c r="R139" s="337">
        <f>Q123-Q131</f>
        <v>-723166.11248099804</v>
      </c>
    </row>
    <row r="140" spans="2:18">
      <c r="O140" s="342" t="s">
        <v>82</v>
      </c>
      <c r="P140" s="339" t="s">
        <v>75</v>
      </c>
      <c r="Q140" s="344">
        <v>0</v>
      </c>
      <c r="R140" s="337">
        <f>IF(C141&gt;0,-C141,0)</f>
        <v>0</v>
      </c>
    </row>
    <row r="141" spans="2:18" ht="15.75" thickBot="1">
      <c r="O141" s="343" t="s">
        <v>83</v>
      </c>
      <c r="P141" s="341" t="s">
        <v>76</v>
      </c>
      <c r="Q141" s="116">
        <f>IF(-C141&gt;0,-C141,0)</f>
        <v>0</v>
      </c>
      <c r="R141" s="116">
        <f>Q125-Q133</f>
        <v>-979.29</v>
      </c>
    </row>
    <row r="142" spans="2:18">
      <c r="O142" s="385"/>
      <c r="P142" s="385"/>
      <c r="Q142" s="66"/>
      <c r="R142" s="338">
        <f>ROUND(SUM(Q137:R141),2)</f>
        <v>0</v>
      </c>
    </row>
    <row r="1002" spans="3:3">
      <c r="C1002" s="1">
        <v>-2130</v>
      </c>
    </row>
    <row r="1010" spans="3:3">
      <c r="C1010" s="1">
        <f>7004298-2130</f>
        <v>7002168</v>
      </c>
    </row>
  </sheetData>
  <phoneticPr fontId="0" type="noConversion"/>
  <conditionalFormatting sqref="R19 R27 R43 R35 R51 R59 R67 R75 R83 R91 R99 R107 R118 R126">
    <cfRule type="cellIs" dxfId="115" priority="183" stopIfTrue="1" operator="equal">
      <formula>0</formula>
    </cfRule>
    <cfRule type="cellIs" dxfId="114" priority="184" stopIfTrue="1" operator="notEqual">
      <formula>0</formula>
    </cfRule>
  </conditionalFormatting>
  <conditionalFormatting sqref="R134">
    <cfRule type="cellIs" dxfId="113" priority="3" stopIfTrue="1" operator="equal">
      <formula>0</formula>
    </cfRule>
    <cfRule type="cellIs" dxfId="112" priority="4" stopIfTrue="1" operator="notEqual">
      <formula>0</formula>
    </cfRule>
  </conditionalFormatting>
  <conditionalFormatting sqref="R142">
    <cfRule type="cellIs" dxfId="111" priority="1" stopIfTrue="1" operator="equal">
      <formula>0</formula>
    </cfRule>
    <cfRule type="cellIs" dxfId="110" priority="2" stopIfTrue="1" operator="notEqual">
      <formula>0</formula>
    </cfRule>
  </conditionalFormatting>
  <printOptions gridLinesSet="0"/>
  <pageMargins left="0.18" right="0.18" top="0.5" bottom="0.55000000000000004" header="0.5" footer="0.5"/>
  <pageSetup scale="23" orientation="landscape" horizontalDpi="300" verticalDpi="300" r:id="rId1"/>
  <headerFooter alignWithMargins="0">
    <oddFooter>&amp;L&amp;F&amp;C&amp;A&amp;R&amp;D &amp;T</oddFooter>
  </headerFooter>
  <customProperties>
    <customPr name="xxe4aPI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4">
    <tabColor rgb="FFFFFF00"/>
    <pageSetUpPr fitToPage="1"/>
  </sheetPr>
  <dimension ref="A1:U1066"/>
  <sheetViews>
    <sheetView showGridLines="0" view="pageBreakPreview" zoomScaleNormal="100" zoomScaleSheetLayoutView="100" workbookViewId="0">
      <pane ySplit="7" topLeftCell="A126" activePane="bottomLeft" state="frozen"/>
      <selection activeCell="G51" sqref="G51:J55"/>
      <selection pane="bottomLeft" activeCell="A51" sqref="A51"/>
    </sheetView>
  </sheetViews>
  <sheetFormatPr defaultColWidth="9.7109375" defaultRowHeight="15"/>
  <cols>
    <col min="1" max="1" width="11.42578125" style="53" customWidth="1"/>
    <col min="2" max="2" width="40.140625" style="1" bestFit="1" customWidth="1"/>
    <col min="3" max="3" width="18.42578125" style="1" customWidth="1"/>
    <col min="4" max="4" width="19.140625" style="1" bestFit="1" customWidth="1"/>
    <col min="5" max="5" width="19.42578125" style="1" bestFit="1" customWidth="1"/>
    <col min="6" max="7" width="13.140625" style="1" customWidth="1"/>
    <col min="8" max="8" width="16.7109375" style="1" bestFit="1" customWidth="1"/>
    <col min="9" max="9" width="14.42578125" style="1" hidden="1" customWidth="1"/>
    <col min="10" max="10" width="13.28515625" style="1" hidden="1" customWidth="1"/>
    <col min="11" max="11" width="15.140625" style="1" hidden="1" customWidth="1"/>
    <col min="12" max="12" width="18.140625" style="1" hidden="1" customWidth="1"/>
    <col min="13" max="13" width="15.7109375" style="1" bestFit="1" customWidth="1"/>
    <col min="14" max="14" width="12.5703125" style="1" customWidth="1"/>
    <col min="15" max="15" width="11.28515625" style="1" customWidth="1"/>
    <col min="16" max="16" width="2.28515625" style="1" customWidth="1"/>
    <col min="17" max="17" width="26.85546875" style="1" customWidth="1"/>
    <col min="18" max="18" width="16.42578125" style="1" customWidth="1"/>
    <col min="19" max="19" width="17" style="1" customWidth="1"/>
    <col min="20" max="20" width="22.5703125" style="1" customWidth="1"/>
    <col min="21" max="16384" width="9.7109375" style="1"/>
  </cols>
  <sheetData>
    <row r="1" spans="1:21" ht="15.75">
      <c r="A1" s="51" t="s">
        <v>13</v>
      </c>
      <c r="M1" s="41"/>
    </row>
    <row r="2" spans="1:21" ht="15.75">
      <c r="A2" s="51" t="s">
        <v>46</v>
      </c>
    </row>
    <row r="3" spans="1:21" ht="15.75">
      <c r="A3" s="51" t="s">
        <v>47</v>
      </c>
    </row>
    <row r="4" spans="1:21" ht="15.75">
      <c r="A4" s="51" t="s">
        <v>104</v>
      </c>
    </row>
    <row r="5" spans="1:21">
      <c r="Q5" s="265"/>
      <c r="R5" s="5"/>
      <c r="S5" s="5"/>
      <c r="T5" s="5"/>
    </row>
    <row r="6" spans="1:21" s="55" customFormat="1" ht="15.75" customHeight="1">
      <c r="A6" s="54"/>
      <c r="C6" s="55" t="s">
        <v>21</v>
      </c>
      <c r="D6" s="55" t="s">
        <v>2</v>
      </c>
      <c r="E6" s="55" t="s">
        <v>3</v>
      </c>
      <c r="F6" s="55" t="s">
        <v>48</v>
      </c>
      <c r="G6" s="55" t="s">
        <v>144</v>
      </c>
      <c r="H6" s="55" t="s">
        <v>4</v>
      </c>
      <c r="I6" s="55" t="s">
        <v>5</v>
      </c>
      <c r="J6" s="55" t="s">
        <v>50</v>
      </c>
      <c r="K6" s="55" t="s">
        <v>51</v>
      </c>
      <c r="L6" s="55" t="s">
        <v>6</v>
      </c>
      <c r="M6" s="55" t="s">
        <v>52</v>
      </c>
      <c r="N6" s="55" t="s">
        <v>14</v>
      </c>
      <c r="O6" s="55" t="s">
        <v>85</v>
      </c>
    </row>
    <row r="7" spans="1:21" s="55" customFormat="1" ht="15.75" customHeight="1">
      <c r="A7" s="54"/>
      <c r="C7" s="55" t="s">
        <v>16</v>
      </c>
      <c r="D7" s="55" t="s">
        <v>7</v>
      </c>
      <c r="E7" s="55" t="s">
        <v>7</v>
      </c>
      <c r="F7" s="55" t="s">
        <v>7</v>
      </c>
      <c r="G7" s="55" t="s">
        <v>34</v>
      </c>
      <c r="I7" s="55" t="s">
        <v>8</v>
      </c>
      <c r="J7" s="55" t="s">
        <v>53</v>
      </c>
      <c r="K7" s="55" t="s">
        <v>54</v>
      </c>
      <c r="L7" s="55" t="s">
        <v>55</v>
      </c>
      <c r="M7" s="55" t="s">
        <v>7</v>
      </c>
      <c r="N7" s="55" t="s">
        <v>9</v>
      </c>
    </row>
    <row r="8" spans="1:21" s="331" customFormat="1" ht="16.5" thickBot="1">
      <c r="A8" s="104">
        <v>41153</v>
      </c>
      <c r="B8" s="50" t="s">
        <v>56</v>
      </c>
      <c r="C8" s="158">
        <v>-3561203.4705467741</v>
      </c>
      <c r="D8" s="158">
        <v>-3313366.0104997735</v>
      </c>
      <c r="E8" s="158">
        <v>-222352.0300469994</v>
      </c>
      <c r="F8" s="158">
        <v>0</v>
      </c>
      <c r="G8" s="158">
        <v>0</v>
      </c>
      <c r="H8" s="158">
        <v>-25485.43</v>
      </c>
      <c r="I8" s="158">
        <v>0</v>
      </c>
      <c r="J8" s="158">
        <v>0</v>
      </c>
      <c r="K8" s="158">
        <v>0</v>
      </c>
      <c r="L8" s="158">
        <v>0</v>
      </c>
      <c r="M8" s="158">
        <v>0</v>
      </c>
      <c r="N8" s="158">
        <v>0</v>
      </c>
      <c r="O8" s="50"/>
      <c r="P8" s="50"/>
      <c r="Q8" s="384"/>
      <c r="R8" s="384"/>
      <c r="S8" s="384"/>
      <c r="T8" s="384"/>
      <c r="U8" s="384"/>
    </row>
    <row r="9" spans="1:21" ht="15.75" thickTop="1">
      <c r="S9" s="384"/>
      <c r="T9" s="384"/>
      <c r="U9" s="384"/>
    </row>
    <row r="10" spans="1:21" s="202" customFormat="1" ht="15.75">
      <c r="A10" s="256"/>
      <c r="B10" s="161" t="s">
        <v>205</v>
      </c>
      <c r="C10" s="221">
        <v>1550000</v>
      </c>
      <c r="D10" s="221">
        <f>887740.8-((887740.8/1550000)*H10)</f>
        <v>883736.20005990437</v>
      </c>
      <c r="E10" s="221">
        <f>662259.2-((662259.2/1550000)*H10)</f>
        <v>659271.7478600872</v>
      </c>
      <c r="F10" s="221"/>
      <c r="G10" s="221"/>
      <c r="H10" s="221">
        <f>16564.81*(C10/(C10+C11))</f>
        <v>6992.0520800084523</v>
      </c>
      <c r="I10" s="221"/>
      <c r="J10" s="221"/>
      <c r="K10" s="221"/>
      <c r="L10" s="221"/>
      <c r="M10" s="221"/>
      <c r="N10" s="221"/>
      <c r="T10" s="257"/>
    </row>
    <row r="11" spans="1:21" s="202" customFormat="1" ht="15.75">
      <c r="A11" s="256"/>
      <c r="B11" s="161" t="s">
        <v>206</v>
      </c>
      <c r="C11" s="221">
        <v>2122091.5699999998</v>
      </c>
      <c r="D11" s="221">
        <f>1215398.23-((1215398.23/2122091.57)*H11)</f>
        <v>1209915.5669534774</v>
      </c>
      <c r="E11" s="221">
        <f>906693.34-((906693.34/2122091.57)*H11)</f>
        <v>902603.24512653111</v>
      </c>
      <c r="F11" s="221"/>
      <c r="G11" s="221"/>
      <c r="H11" s="388">
        <f>16564.81*(C11/(C10+C11))</f>
        <v>9572.757919991549</v>
      </c>
      <c r="I11" s="221"/>
      <c r="J11" s="221"/>
      <c r="K11" s="221"/>
      <c r="L11" s="221"/>
      <c r="M11" s="221"/>
      <c r="N11" s="221"/>
      <c r="T11" s="257"/>
    </row>
    <row r="12" spans="1:21" s="202" customFormat="1" ht="16.5" thickBot="1">
      <c r="A12" s="256"/>
      <c r="B12" s="161" t="s">
        <v>204</v>
      </c>
      <c r="C12" s="390">
        <f t="shared" ref="C12:H12" si="0">SUM(C8:C11)</f>
        <v>110888.09945322573</v>
      </c>
      <c r="D12" s="258">
        <f t="shared" si="0"/>
        <v>-1219714.2434863918</v>
      </c>
      <c r="E12" s="390">
        <f t="shared" si="0"/>
        <v>1339522.9629396189</v>
      </c>
      <c r="F12" s="390">
        <f t="shared" si="0"/>
        <v>0</v>
      </c>
      <c r="G12" s="390">
        <f t="shared" si="0"/>
        <v>0</v>
      </c>
      <c r="H12" s="390">
        <f t="shared" si="0"/>
        <v>-8920.619999999999</v>
      </c>
      <c r="I12" s="258">
        <v>0</v>
      </c>
      <c r="J12" s="258">
        <v>0</v>
      </c>
      <c r="K12" s="258">
        <v>0</v>
      </c>
      <c r="L12" s="258">
        <v>0</v>
      </c>
      <c r="M12" s="390">
        <f>SUM(M8:M11)</f>
        <v>0</v>
      </c>
      <c r="N12" s="390">
        <f>SUM(N8:N11)</f>
        <v>0</v>
      </c>
      <c r="T12" s="257"/>
    </row>
    <row r="13" spans="1:21" s="331" customFormat="1" ht="15.75" thickTop="1">
      <c r="A13" s="53"/>
      <c r="T13" s="384"/>
    </row>
    <row r="14" spans="1:21" s="331" customFormat="1" ht="15.75" thickBot="1">
      <c r="A14" s="53"/>
      <c r="T14" s="384"/>
    </row>
    <row r="15" spans="1:21" s="331" customFormat="1" ht="16.5" thickBot="1">
      <c r="A15" s="58"/>
      <c r="Q15" s="336" t="s">
        <v>107</v>
      </c>
      <c r="R15" s="332"/>
      <c r="S15" s="332"/>
      <c r="T15" s="228"/>
    </row>
    <row r="16" spans="1:21" s="331" customFormat="1" ht="15.75">
      <c r="A16" s="58">
        <v>41213</v>
      </c>
      <c r="B16" s="59" t="s">
        <v>84</v>
      </c>
      <c r="C16" s="50">
        <f>SUM(D16:N16)</f>
        <v>114978.85263290035</v>
      </c>
      <c r="D16" s="241">
        <v>-28954.004801100353</v>
      </c>
      <c r="E16" s="241">
        <v>143932.8574340007</v>
      </c>
      <c r="F16" s="242">
        <v>0</v>
      </c>
      <c r="G16" s="242">
        <v>0</v>
      </c>
      <c r="H16" s="50">
        <v>0</v>
      </c>
      <c r="I16" s="50"/>
      <c r="J16" s="50"/>
      <c r="K16" s="50"/>
      <c r="L16" s="50"/>
      <c r="M16" s="50"/>
      <c r="N16" s="50">
        <v>0</v>
      </c>
      <c r="O16" s="106"/>
      <c r="P16" s="50"/>
      <c r="Q16" s="345" t="s">
        <v>81</v>
      </c>
      <c r="R16" s="346" t="s">
        <v>58</v>
      </c>
      <c r="S16" s="112">
        <f>C10+C11+C16+C19+C17</f>
        <v>3781223.9826329001</v>
      </c>
      <c r="T16" s="117">
        <f>IF((-C12+C20)&lt;0,(-C8+C20),0)</f>
        <v>0</v>
      </c>
    </row>
    <row r="17" spans="1:20" s="331" customFormat="1" ht="15.75">
      <c r="A17" s="62"/>
      <c r="B17" s="59" t="s">
        <v>148</v>
      </c>
      <c r="C17" s="50">
        <f>SUM(D17:N17)</f>
        <v>-5986.75</v>
      </c>
      <c r="D17" s="242">
        <v>-5986.75</v>
      </c>
      <c r="E17" s="242">
        <v>0</v>
      </c>
      <c r="F17" s="242"/>
      <c r="G17" s="243"/>
      <c r="H17" s="60"/>
      <c r="I17" s="50"/>
      <c r="J17" s="87"/>
      <c r="K17" s="87"/>
      <c r="L17" s="50"/>
      <c r="M17" s="50"/>
      <c r="N17" s="50"/>
      <c r="O17" s="106"/>
      <c r="P17" s="50"/>
      <c r="Q17" s="347" t="s">
        <v>11</v>
      </c>
      <c r="R17" s="348" t="s">
        <v>62</v>
      </c>
      <c r="S17" s="112">
        <v>0</v>
      </c>
      <c r="T17" s="227">
        <f>-C11</f>
        <v>-2122091.5699999998</v>
      </c>
    </row>
    <row r="18" spans="1:20" s="331" customFormat="1" ht="15.75">
      <c r="A18" s="62"/>
      <c r="B18" s="59" t="s">
        <v>144</v>
      </c>
      <c r="C18" s="50">
        <f>SUM(D18:N18)</f>
        <v>0</v>
      </c>
      <c r="D18" s="161">
        <v>0</v>
      </c>
      <c r="E18" s="161"/>
      <c r="F18" s="161"/>
      <c r="G18" s="242">
        <v>0</v>
      </c>
      <c r="H18" s="105"/>
      <c r="I18" s="50"/>
      <c r="J18" s="87"/>
      <c r="K18" s="50"/>
      <c r="L18" s="50"/>
      <c r="M18" s="50"/>
      <c r="N18" s="50"/>
      <c r="O18" s="106"/>
      <c r="P18" s="50"/>
      <c r="Q18" s="347" t="s">
        <v>11</v>
      </c>
      <c r="R18" s="348" t="s">
        <v>207</v>
      </c>
      <c r="S18" s="112">
        <v>0</v>
      </c>
      <c r="T18" s="227">
        <f>-C10</f>
        <v>-1550000</v>
      </c>
    </row>
    <row r="19" spans="1:20" s="331" customFormat="1" ht="15.75">
      <c r="A19" s="62"/>
      <c r="B19" s="59" t="s">
        <v>57</v>
      </c>
      <c r="C19" s="64">
        <f>SUM(D19:N19)</f>
        <v>140.31</v>
      </c>
      <c r="D19" s="64"/>
      <c r="E19" s="64"/>
      <c r="F19" s="64"/>
      <c r="G19" s="64"/>
      <c r="H19" s="64">
        <v>140.31</v>
      </c>
      <c r="I19" s="64"/>
      <c r="J19" s="64"/>
      <c r="K19" s="64"/>
      <c r="L19" s="64"/>
      <c r="M19" s="64"/>
      <c r="N19" s="64"/>
      <c r="O19" s="99">
        <v>0.01</v>
      </c>
      <c r="P19" s="50"/>
      <c r="Q19" s="340" t="s">
        <v>80</v>
      </c>
      <c r="R19" s="339" t="s">
        <v>59</v>
      </c>
      <c r="S19" s="88">
        <f>IF((-C16-C17-C18)&gt;0,(-C16-C17-C18),0)</f>
        <v>0</v>
      </c>
      <c r="T19" s="89">
        <f>IF((-C16-C17-C18)&lt;0,(-C16-C17-C18),0)</f>
        <v>-108992.10263290035</v>
      </c>
    </row>
    <row r="20" spans="1:20" s="331" customFormat="1" ht="16.5" thickBot="1">
      <c r="A20" s="104">
        <f>A16</f>
        <v>41213</v>
      </c>
      <c r="B20" s="50" t="s">
        <v>56</v>
      </c>
      <c r="C20" s="158">
        <f>SUM(C12:C19)</f>
        <v>220020.51208612608</v>
      </c>
      <c r="D20" s="158">
        <f>SUM(D12:D19)</f>
        <v>-1254654.9982874922</v>
      </c>
      <c r="E20" s="158">
        <f>SUM(E12:E19)</f>
        <v>1483455.8203736194</v>
      </c>
      <c r="F20" s="158">
        <f t="shared" ref="F20:G20" si="1">SUM(F12:F19)</f>
        <v>0</v>
      </c>
      <c r="G20" s="158">
        <f t="shared" si="1"/>
        <v>0</v>
      </c>
      <c r="H20" s="158">
        <f>SUM(H12:H19)</f>
        <v>-8780.31</v>
      </c>
      <c r="I20" s="158">
        <f>SUM(I8:I19)</f>
        <v>0</v>
      </c>
      <c r="J20" s="158">
        <f>SUM(J8:J19)</f>
        <v>0</v>
      </c>
      <c r="K20" s="158">
        <f>SUM(K8:K19)</f>
        <v>0</v>
      </c>
      <c r="L20" s="158">
        <f>SUM(L8:L19)</f>
        <v>0</v>
      </c>
      <c r="M20" s="158">
        <f>SUM(M12:M19)</f>
        <v>0</v>
      </c>
      <c r="N20" s="158">
        <f>SUM(N12:N19)</f>
        <v>0</v>
      </c>
      <c r="O20" s="50"/>
      <c r="P20" s="50"/>
      <c r="Q20" s="342" t="s">
        <v>154</v>
      </c>
      <c r="R20" s="339" t="s">
        <v>77</v>
      </c>
      <c r="S20" s="88">
        <f>IF(C19&lt;0,C19,0)</f>
        <v>0</v>
      </c>
      <c r="T20" s="89">
        <f>IF(-C19&lt;0,-C19,0)</f>
        <v>-140.31</v>
      </c>
    </row>
    <row r="21" spans="1:20" s="331" customFormat="1" ht="16.5" thickTop="1" thickBot="1">
      <c r="A21" s="53"/>
      <c r="Q21" s="343" t="s">
        <v>83</v>
      </c>
      <c r="R21" s="341" t="s">
        <v>78</v>
      </c>
      <c r="S21" s="118">
        <f>IF(-C19&gt;0,-C19,0)</f>
        <v>0</v>
      </c>
      <c r="T21" s="111"/>
    </row>
    <row r="22" spans="1:20">
      <c r="Q22" s="331"/>
      <c r="R22" s="331"/>
      <c r="S22" s="331"/>
      <c r="T22" s="338">
        <f>ROUND(SUM(S16:T21),2)</f>
        <v>0</v>
      </c>
    </row>
    <row r="23" spans="1:20" ht="15.75" thickBot="1"/>
    <row r="24" spans="1:20" s="384" customFormat="1" ht="16.5" thickBot="1">
      <c r="A24" s="58"/>
      <c r="Q24" s="336" t="s">
        <v>216</v>
      </c>
      <c r="R24" s="332"/>
      <c r="S24" s="332"/>
      <c r="T24" s="228"/>
    </row>
    <row r="25" spans="1:20" s="384" customFormat="1" ht="15.75">
      <c r="A25" s="58">
        <v>41243</v>
      </c>
      <c r="B25" s="59" t="s">
        <v>84</v>
      </c>
      <c r="C25" s="50">
        <f>SUM(D25:N25)</f>
        <v>873005.70846981579</v>
      </c>
      <c r="D25" s="241">
        <v>893965.62064781552</v>
      </c>
      <c r="E25" s="241">
        <v>-20959.912177999737</v>
      </c>
      <c r="F25" s="242">
        <v>0</v>
      </c>
      <c r="G25" s="242">
        <v>0</v>
      </c>
      <c r="H25" s="50">
        <v>0</v>
      </c>
      <c r="I25" s="50"/>
      <c r="J25" s="50"/>
      <c r="K25" s="50"/>
      <c r="L25" s="50"/>
      <c r="M25" s="50"/>
      <c r="N25" s="50">
        <v>0</v>
      </c>
      <c r="O25" s="106"/>
      <c r="P25" s="50"/>
      <c r="Q25" s="345" t="s">
        <v>81</v>
      </c>
      <c r="R25" s="346" t="s">
        <v>58</v>
      </c>
      <c r="S25" s="112">
        <v>873552.80846981588</v>
      </c>
      <c r="T25" s="117">
        <v>0</v>
      </c>
    </row>
    <row r="26" spans="1:20" s="384" customFormat="1" ht="15.75">
      <c r="A26" s="62"/>
      <c r="B26" s="59" t="s">
        <v>148</v>
      </c>
      <c r="C26" s="50">
        <v>0</v>
      </c>
      <c r="D26" s="242">
        <v>0</v>
      </c>
      <c r="E26" s="242">
        <v>0</v>
      </c>
      <c r="F26" s="242"/>
      <c r="G26" s="243"/>
      <c r="H26" s="60"/>
      <c r="I26" s="50"/>
      <c r="J26" s="87"/>
      <c r="K26" s="87"/>
      <c r="L26" s="50"/>
      <c r="M26" s="50"/>
      <c r="N26" s="50"/>
      <c r="O26" s="106"/>
      <c r="P26" s="50"/>
      <c r="Q26" s="347" t="s">
        <v>11</v>
      </c>
      <c r="R26" s="348" t="s">
        <v>62</v>
      </c>
      <c r="S26" s="112">
        <v>0</v>
      </c>
      <c r="T26" s="227">
        <v>0</v>
      </c>
    </row>
    <row r="27" spans="1:20" s="384" customFormat="1" ht="15.75">
      <c r="A27" s="62"/>
      <c r="B27" s="59" t="s">
        <v>144</v>
      </c>
      <c r="C27" s="50">
        <f>SUM(D27:N27)</f>
        <v>0</v>
      </c>
      <c r="D27" s="161">
        <v>0</v>
      </c>
      <c r="E27" s="161"/>
      <c r="F27" s="161"/>
      <c r="G27" s="242">
        <v>0</v>
      </c>
      <c r="H27" s="105"/>
      <c r="I27" s="50"/>
      <c r="J27" s="87"/>
      <c r="K27" s="50"/>
      <c r="L27" s="50"/>
      <c r="M27" s="50"/>
      <c r="N27" s="50"/>
      <c r="O27" s="106"/>
      <c r="P27" s="50"/>
      <c r="Q27" s="347" t="s">
        <v>11</v>
      </c>
      <c r="R27" s="348" t="s">
        <v>207</v>
      </c>
      <c r="S27" s="112">
        <v>0</v>
      </c>
      <c r="T27" s="227">
        <v>0</v>
      </c>
    </row>
    <row r="28" spans="1:20" s="384" customFormat="1" ht="15.75">
      <c r="A28" s="62"/>
      <c r="B28" s="59" t="s">
        <v>57</v>
      </c>
      <c r="C28" s="64">
        <f>SUM(D28:N28)</f>
        <v>547.1</v>
      </c>
      <c r="D28" s="64"/>
      <c r="E28" s="64"/>
      <c r="F28" s="64"/>
      <c r="G28" s="64"/>
      <c r="H28" s="64">
        <v>547.1</v>
      </c>
      <c r="I28" s="64"/>
      <c r="J28" s="64"/>
      <c r="K28" s="64"/>
      <c r="L28" s="64"/>
      <c r="M28" s="64"/>
      <c r="N28" s="64"/>
      <c r="O28" s="99">
        <v>0.01</v>
      </c>
      <c r="P28" s="50"/>
      <c r="Q28" s="340" t="s">
        <v>80</v>
      </c>
      <c r="R28" s="339" t="s">
        <v>59</v>
      </c>
      <c r="S28" s="88">
        <v>0</v>
      </c>
      <c r="T28" s="89">
        <v>-873005.70846981579</v>
      </c>
    </row>
    <row r="29" spans="1:20" s="384" customFormat="1" ht="16.5" thickBot="1">
      <c r="A29" s="104">
        <f>A25</f>
        <v>41243</v>
      </c>
      <c r="B29" s="50" t="s">
        <v>56</v>
      </c>
      <c r="C29" s="158">
        <f t="shared" ref="C29:H29" si="2">SUM(C20:C28)</f>
        <v>1093573.3205559419</v>
      </c>
      <c r="D29" s="158">
        <f t="shared" si="2"/>
        <v>-360689.37763967668</v>
      </c>
      <c r="E29" s="158">
        <f t="shared" si="2"/>
        <v>1462495.9081956197</v>
      </c>
      <c r="F29" s="158">
        <f t="shared" si="2"/>
        <v>0</v>
      </c>
      <c r="G29" s="158">
        <f t="shared" si="2"/>
        <v>0</v>
      </c>
      <c r="H29" s="158">
        <f t="shared" si="2"/>
        <v>-8233.2099999999991</v>
      </c>
      <c r="I29" s="158">
        <f t="shared" ref="I29:L29" si="3">SUM(I13:I28)</f>
        <v>0</v>
      </c>
      <c r="J29" s="158">
        <f t="shared" si="3"/>
        <v>0</v>
      </c>
      <c r="K29" s="158">
        <f t="shared" si="3"/>
        <v>0</v>
      </c>
      <c r="L29" s="158">
        <f t="shared" si="3"/>
        <v>0</v>
      </c>
      <c r="M29" s="158">
        <f>SUM(M20:M28)</f>
        <v>0</v>
      </c>
      <c r="N29" s="158">
        <f>SUM(N20:N28)</f>
        <v>0</v>
      </c>
      <c r="O29" s="50"/>
      <c r="P29" s="50"/>
      <c r="Q29" s="342" t="s">
        <v>154</v>
      </c>
      <c r="R29" s="339" t="s">
        <v>77</v>
      </c>
      <c r="S29" s="88">
        <v>0</v>
      </c>
      <c r="T29" s="89">
        <v>-547.1</v>
      </c>
    </row>
    <row r="30" spans="1:20" s="384" customFormat="1" ht="16.5" thickTop="1" thickBot="1">
      <c r="A30" s="53"/>
      <c r="Q30" s="343" t="s">
        <v>83</v>
      </c>
      <c r="R30" s="341" t="s">
        <v>78</v>
      </c>
      <c r="S30" s="118">
        <v>0</v>
      </c>
      <c r="T30" s="111"/>
    </row>
    <row r="31" spans="1:20" s="384" customFormat="1">
      <c r="A31" s="53"/>
      <c r="T31" s="338">
        <f>ROUND(SUM(S25:T30),2)</f>
        <v>0</v>
      </c>
    </row>
    <row r="32" spans="1:20" ht="16.5" thickBot="1">
      <c r="A32" s="642" t="s">
        <v>213</v>
      </c>
      <c r="B32" s="642"/>
      <c r="C32" s="642"/>
      <c r="D32" s="642"/>
      <c r="E32" s="642"/>
      <c r="F32" s="642"/>
      <c r="G32" s="642"/>
      <c r="H32" s="642"/>
      <c r="I32" s="642"/>
      <c r="J32" s="642"/>
      <c r="K32" s="642"/>
      <c r="L32" s="642"/>
      <c r="M32" s="642"/>
      <c r="N32" s="642"/>
      <c r="O32" s="642"/>
      <c r="P32" s="202"/>
      <c r="Q32" s="202"/>
      <c r="R32" s="202"/>
      <c r="S32" s="202"/>
      <c r="T32" s="202"/>
    </row>
    <row r="33" spans="1:20" ht="15.75" thickBot="1">
      <c r="A33" s="256"/>
      <c r="B33" s="202"/>
      <c r="C33" s="202"/>
      <c r="D33" s="202"/>
      <c r="E33" s="202"/>
      <c r="F33" s="202"/>
      <c r="G33" s="202"/>
      <c r="H33" s="202"/>
      <c r="I33" s="202"/>
      <c r="J33" s="202"/>
      <c r="K33" s="202"/>
      <c r="L33" s="202"/>
      <c r="M33" s="202"/>
      <c r="N33" s="202"/>
      <c r="O33" s="202"/>
      <c r="P33" s="202"/>
      <c r="Q33" s="418" t="s">
        <v>217</v>
      </c>
      <c r="R33" s="402"/>
      <c r="S33" s="402"/>
      <c r="T33" s="419"/>
    </row>
    <row r="34" spans="1:20" ht="15.75">
      <c r="A34" s="420">
        <v>41243</v>
      </c>
      <c r="B34" s="421" t="s">
        <v>84</v>
      </c>
      <c r="C34" s="161">
        <f>SUM(D34:N34)</f>
        <v>700985.36846981547</v>
      </c>
      <c r="D34" s="241">
        <v>760588.19064781535</v>
      </c>
      <c r="E34" s="241">
        <v>-59602.822177999886</v>
      </c>
      <c r="F34" s="242">
        <v>0</v>
      </c>
      <c r="G34" s="242">
        <v>0</v>
      </c>
      <c r="H34" s="161">
        <v>0</v>
      </c>
      <c r="I34" s="161"/>
      <c r="J34" s="161"/>
      <c r="K34" s="161"/>
      <c r="L34" s="161"/>
      <c r="M34" s="161"/>
      <c r="N34" s="161">
        <v>0</v>
      </c>
      <c r="O34" s="422"/>
      <c r="P34" s="202"/>
      <c r="Q34" s="423" t="s">
        <v>81</v>
      </c>
      <c r="R34" s="424" t="s">
        <v>58</v>
      </c>
      <c r="S34" s="425">
        <v>0</v>
      </c>
      <c r="T34" s="426">
        <f>C34+C37-S25</f>
        <v>-172092.01000000036</v>
      </c>
    </row>
    <row r="35" spans="1:20" ht="15.75">
      <c r="A35" s="427"/>
      <c r="B35" s="421" t="s">
        <v>148</v>
      </c>
      <c r="C35" s="161">
        <v>0</v>
      </c>
      <c r="D35" s="242">
        <v>0</v>
      </c>
      <c r="E35" s="242">
        <v>0</v>
      </c>
      <c r="F35" s="242"/>
      <c r="G35" s="243"/>
      <c r="H35" s="242"/>
      <c r="I35" s="161"/>
      <c r="J35" s="243"/>
      <c r="K35" s="243"/>
      <c r="L35" s="161"/>
      <c r="M35" s="161"/>
      <c r="N35" s="161"/>
      <c r="O35" s="422"/>
      <c r="P35" s="202"/>
      <c r="Q35" s="428" t="s">
        <v>11</v>
      </c>
      <c r="R35" s="429" t="s">
        <v>62</v>
      </c>
      <c r="S35" s="425">
        <v>0</v>
      </c>
      <c r="T35" s="430">
        <v>0</v>
      </c>
    </row>
    <row r="36" spans="1:20" ht="15.75">
      <c r="A36" s="427"/>
      <c r="B36" s="421" t="s">
        <v>144</v>
      </c>
      <c r="C36" s="161">
        <f>SUM(D36:N36)</f>
        <v>0</v>
      </c>
      <c r="D36" s="161">
        <v>0</v>
      </c>
      <c r="E36" s="161"/>
      <c r="F36" s="161"/>
      <c r="G36" s="242">
        <v>0</v>
      </c>
      <c r="H36" s="431"/>
      <c r="I36" s="161"/>
      <c r="J36" s="243"/>
      <c r="K36" s="161"/>
      <c r="L36" s="161"/>
      <c r="M36" s="161"/>
      <c r="N36" s="161"/>
      <c r="O36" s="422"/>
      <c r="P36" s="202"/>
      <c r="Q36" s="428" t="s">
        <v>11</v>
      </c>
      <c r="R36" s="429" t="s">
        <v>207</v>
      </c>
      <c r="S36" s="425">
        <v>0</v>
      </c>
      <c r="T36" s="430">
        <v>0</v>
      </c>
    </row>
    <row r="37" spans="1:20" ht="15.75">
      <c r="A37" s="427"/>
      <c r="B37" s="421" t="s">
        <v>57</v>
      </c>
      <c r="C37" s="203">
        <f>SUM(D37:N37)</f>
        <v>475.43</v>
      </c>
      <c r="D37" s="203"/>
      <c r="E37" s="203"/>
      <c r="F37" s="203"/>
      <c r="G37" s="203"/>
      <c r="H37" s="203">
        <v>475.43</v>
      </c>
      <c r="I37" s="203"/>
      <c r="J37" s="203"/>
      <c r="K37" s="203"/>
      <c r="L37" s="203"/>
      <c r="M37" s="203"/>
      <c r="N37" s="203"/>
      <c r="O37" s="432">
        <v>0.01</v>
      </c>
      <c r="P37" s="202"/>
      <c r="Q37" s="433" t="s">
        <v>80</v>
      </c>
      <c r="R37" s="434" t="s">
        <v>59</v>
      </c>
      <c r="S37" s="435">
        <f>-T28-C34</f>
        <v>172020.34000000032</v>
      </c>
      <c r="T37" s="436">
        <v>0</v>
      </c>
    </row>
    <row r="38" spans="1:20" ht="16.5" thickBot="1">
      <c r="A38" s="437">
        <f>A34</f>
        <v>41243</v>
      </c>
      <c r="B38" s="161" t="s">
        <v>56</v>
      </c>
      <c r="C38" s="390">
        <f t="shared" ref="C38:H38" si="4">SUM(C34:C37,C20)</f>
        <v>921481.31055594166</v>
      </c>
      <c r="D38" s="390">
        <f t="shared" si="4"/>
        <v>-494066.80763967684</v>
      </c>
      <c r="E38" s="390">
        <f t="shared" si="4"/>
        <v>1423852.9981956196</v>
      </c>
      <c r="F38" s="390">
        <f t="shared" si="4"/>
        <v>0</v>
      </c>
      <c r="G38" s="390">
        <f t="shared" si="4"/>
        <v>0</v>
      </c>
      <c r="H38" s="390">
        <f t="shared" si="4"/>
        <v>-8304.8799999999992</v>
      </c>
      <c r="I38" s="390">
        <f t="shared" ref="I38:L38" si="5">SUM(I29:I37)</f>
        <v>0</v>
      </c>
      <c r="J38" s="390">
        <f t="shared" si="5"/>
        <v>0</v>
      </c>
      <c r="K38" s="390">
        <f t="shared" si="5"/>
        <v>0</v>
      </c>
      <c r="L38" s="390">
        <f t="shared" si="5"/>
        <v>0</v>
      </c>
      <c r="M38" s="390">
        <f>SUM(M32:M37)</f>
        <v>0</v>
      </c>
      <c r="N38" s="390">
        <f>SUM(N32:N37)</f>
        <v>0</v>
      </c>
      <c r="O38" s="161"/>
      <c r="P38" s="202"/>
      <c r="Q38" s="438" t="s">
        <v>154</v>
      </c>
      <c r="R38" s="434" t="s">
        <v>77</v>
      </c>
      <c r="S38" s="435">
        <f>C28-C37</f>
        <v>71.670000000000016</v>
      </c>
      <c r="T38" s="436">
        <v>0</v>
      </c>
    </row>
    <row r="39" spans="1:20" ht="16.5" thickTop="1" thickBot="1">
      <c r="A39" s="256"/>
      <c r="B39" s="202"/>
      <c r="C39" s="202"/>
      <c r="D39" s="202"/>
      <c r="E39" s="202"/>
      <c r="F39" s="202"/>
      <c r="G39" s="202"/>
      <c r="H39" s="202"/>
      <c r="I39" s="202"/>
      <c r="J39" s="202"/>
      <c r="K39" s="202"/>
      <c r="L39" s="202"/>
      <c r="M39" s="202"/>
      <c r="N39" s="202"/>
      <c r="O39" s="202"/>
      <c r="P39" s="202"/>
      <c r="Q39" s="439" t="s">
        <v>83</v>
      </c>
      <c r="R39" s="440" t="s">
        <v>78</v>
      </c>
      <c r="S39" s="441">
        <v>0</v>
      </c>
      <c r="T39" s="442">
        <v>0</v>
      </c>
    </row>
    <row r="40" spans="1:20">
      <c r="A40" s="256"/>
      <c r="B40" s="202"/>
      <c r="C40" s="202"/>
      <c r="D40" s="202"/>
      <c r="E40" s="202"/>
      <c r="F40" s="202"/>
      <c r="G40" s="202"/>
      <c r="H40" s="202"/>
      <c r="I40" s="202"/>
      <c r="J40" s="202"/>
      <c r="K40" s="202"/>
      <c r="L40" s="202"/>
      <c r="M40" s="202"/>
      <c r="N40" s="202"/>
      <c r="O40" s="202"/>
      <c r="P40" s="202"/>
      <c r="Q40" s="202"/>
      <c r="R40" s="202"/>
      <c r="S40" s="202"/>
      <c r="T40" s="338">
        <f>ROUND(SUM(S34:T39),2)</f>
        <v>0</v>
      </c>
    </row>
    <row r="41" spans="1:20" s="384" customFormat="1" ht="15.75" thickBot="1">
      <c r="A41" s="53"/>
    </row>
    <row r="42" spans="1:20" s="384" customFormat="1" ht="16.5" thickBot="1">
      <c r="A42" s="58"/>
      <c r="Q42" s="336" t="s">
        <v>107</v>
      </c>
      <c r="R42" s="332"/>
      <c r="S42" s="332"/>
      <c r="T42" s="228"/>
    </row>
    <row r="43" spans="1:20" s="384" customFormat="1" ht="15.75">
      <c r="A43" s="58">
        <v>41274</v>
      </c>
      <c r="B43" s="59" t="s">
        <v>84</v>
      </c>
      <c r="C43" s="50">
        <f>SUM(D43:N43)</f>
        <v>134368.12753900047</v>
      </c>
      <c r="D43" s="241">
        <v>505847.59770200029</v>
      </c>
      <c r="E43" s="241">
        <v>-371479.47016299982</v>
      </c>
      <c r="F43" s="242">
        <v>0</v>
      </c>
      <c r="G43" s="242">
        <v>0</v>
      </c>
      <c r="H43" s="50">
        <v>0</v>
      </c>
      <c r="I43" s="50"/>
      <c r="J43" s="50"/>
      <c r="K43" s="50"/>
      <c r="L43" s="50"/>
      <c r="M43" s="50"/>
      <c r="N43" s="50">
        <v>0</v>
      </c>
      <c r="O43" s="106"/>
      <c r="P43" s="50"/>
      <c r="Q43" s="345" t="s">
        <v>81</v>
      </c>
      <c r="R43" s="346" t="s">
        <v>58</v>
      </c>
      <c r="S43" s="112">
        <f>IF((-C38+C47)&gt;0,(-C38+C47),0)</f>
        <v>135192.01753900037</v>
      </c>
      <c r="T43" s="117">
        <f>IF((-C38+C47)&lt;0,(-C38+C47),0)</f>
        <v>0</v>
      </c>
    </row>
    <row r="44" spans="1:20" s="384" customFormat="1" ht="15.75">
      <c r="A44" s="62"/>
      <c r="B44" s="59" t="s">
        <v>148</v>
      </c>
      <c r="C44" s="50">
        <v>0</v>
      </c>
      <c r="D44" s="242">
        <v>0</v>
      </c>
      <c r="E44" s="242">
        <v>0</v>
      </c>
      <c r="F44" s="242"/>
      <c r="G44" s="243"/>
      <c r="H44" s="60"/>
      <c r="I44" s="50"/>
      <c r="J44" s="87"/>
      <c r="K44" s="87"/>
      <c r="L44" s="50"/>
      <c r="M44" s="50"/>
      <c r="N44" s="50"/>
      <c r="O44" s="106"/>
      <c r="P44" s="50"/>
      <c r="Q44" s="347" t="s">
        <v>11</v>
      </c>
      <c r="R44" s="348" t="s">
        <v>62</v>
      </c>
      <c r="S44" s="112">
        <v>0</v>
      </c>
      <c r="T44" s="227">
        <v>0</v>
      </c>
    </row>
    <row r="45" spans="1:20" s="384" customFormat="1" ht="15.75">
      <c r="A45" s="62"/>
      <c r="B45" s="59" t="s">
        <v>144</v>
      </c>
      <c r="C45" s="50">
        <f>SUM(D45:N45)</f>
        <v>0</v>
      </c>
      <c r="D45" s="161">
        <v>0</v>
      </c>
      <c r="E45" s="161"/>
      <c r="F45" s="161"/>
      <c r="G45" s="242">
        <v>0</v>
      </c>
      <c r="H45" s="105"/>
      <c r="I45" s="50"/>
      <c r="J45" s="87"/>
      <c r="K45" s="50"/>
      <c r="L45" s="50"/>
      <c r="M45" s="50"/>
      <c r="N45" s="50"/>
      <c r="O45" s="106"/>
      <c r="P45" s="50"/>
      <c r="Q45" s="347" t="s">
        <v>11</v>
      </c>
      <c r="R45" s="348" t="s">
        <v>207</v>
      </c>
      <c r="S45" s="112">
        <v>0</v>
      </c>
      <c r="T45" s="227">
        <v>0</v>
      </c>
    </row>
    <row r="46" spans="1:20" s="384" customFormat="1" ht="15.75">
      <c r="A46" s="62"/>
      <c r="B46" s="59" t="s">
        <v>57</v>
      </c>
      <c r="C46" s="64">
        <f>SUM(D46:N46)</f>
        <v>823.89</v>
      </c>
      <c r="D46" s="64"/>
      <c r="E46" s="64"/>
      <c r="F46" s="64"/>
      <c r="G46" s="64"/>
      <c r="H46" s="64">
        <f>ROUND(((C38)+(C43)/2)*(O46/12),2)</f>
        <v>823.89</v>
      </c>
      <c r="I46" s="64"/>
      <c r="J46" s="64"/>
      <c r="K46" s="64"/>
      <c r="L46" s="64"/>
      <c r="M46" s="64"/>
      <c r="N46" s="64"/>
      <c r="O46" s="99">
        <v>0.01</v>
      </c>
      <c r="P46" s="50"/>
      <c r="Q46" s="340" t="s">
        <v>80</v>
      </c>
      <c r="R46" s="339" t="s">
        <v>59</v>
      </c>
      <c r="S46" s="88">
        <f>IF((-C43-C44-C45)&gt;0,(-C43-C44-C45),0)</f>
        <v>0</v>
      </c>
      <c r="T46" s="89">
        <f>IF((-C43-C44-C45)&lt;0,(-C43-C44-C45),0)</f>
        <v>-134368.12753900047</v>
      </c>
    </row>
    <row r="47" spans="1:20" s="384" customFormat="1" ht="16.5" thickBot="1">
      <c r="A47" s="104">
        <f>A43</f>
        <v>41274</v>
      </c>
      <c r="B47" s="50" t="s">
        <v>56</v>
      </c>
      <c r="C47" s="158">
        <f>SUM(C38:C46)</f>
        <v>1056673.328094942</v>
      </c>
      <c r="D47" s="158">
        <f>SUM(D38:D46)</f>
        <v>11780.790062323445</v>
      </c>
      <c r="E47" s="158">
        <f>SUM(E38:E46)</f>
        <v>1052373.5280326197</v>
      </c>
      <c r="F47" s="158">
        <f t="shared" ref="F47:G47" si="6">SUM(F38:F46)</f>
        <v>0</v>
      </c>
      <c r="G47" s="158">
        <f t="shared" si="6"/>
        <v>0</v>
      </c>
      <c r="H47" s="158">
        <f>SUM(H38:H46)</f>
        <v>-7480.9899999999989</v>
      </c>
      <c r="I47" s="158">
        <f>SUM(I32:I46)</f>
        <v>0</v>
      </c>
      <c r="J47" s="158">
        <f>SUM(J32:J46)</f>
        <v>0</v>
      </c>
      <c r="K47" s="158">
        <f>SUM(K32:K46)</f>
        <v>0</v>
      </c>
      <c r="L47" s="158">
        <f>SUM(L32:L46)</f>
        <v>0</v>
      </c>
      <c r="M47" s="158">
        <f>SUM(M38:M46)</f>
        <v>0</v>
      </c>
      <c r="N47" s="158">
        <f>SUM(N38:N46)</f>
        <v>0</v>
      </c>
      <c r="O47" s="50"/>
      <c r="P47" s="50"/>
      <c r="Q47" s="342" t="s">
        <v>154</v>
      </c>
      <c r="R47" s="339" t="s">
        <v>77</v>
      </c>
      <c r="S47" s="88">
        <f>IF(C46&lt;0,C46,0)</f>
        <v>0</v>
      </c>
      <c r="T47" s="89">
        <f>IF(-C46&lt;0,-C46,0)</f>
        <v>-823.89</v>
      </c>
    </row>
    <row r="48" spans="1:20" s="384" customFormat="1" ht="16.5" thickTop="1" thickBot="1">
      <c r="A48" s="53"/>
      <c r="Q48" s="343" t="s">
        <v>83</v>
      </c>
      <c r="R48" s="341" t="s">
        <v>78</v>
      </c>
      <c r="S48" s="118">
        <f>IF(-C46&gt;0,-C46,0)</f>
        <v>0</v>
      </c>
      <c r="T48" s="111"/>
    </row>
    <row r="49" spans="1:20" s="384" customFormat="1">
      <c r="A49" s="53"/>
      <c r="T49" s="338">
        <f>ROUND(SUM(S43:T48),2)</f>
        <v>0</v>
      </c>
    </row>
    <row r="50" spans="1:20" ht="15.75" thickBot="1"/>
    <row r="51" spans="1:20" s="384" customFormat="1" ht="16.5" thickBot="1">
      <c r="A51" s="58"/>
      <c r="Q51" s="336" t="s">
        <v>107</v>
      </c>
      <c r="R51" s="332"/>
      <c r="S51" s="332"/>
      <c r="T51" s="228"/>
    </row>
    <row r="52" spans="1:20" s="384" customFormat="1" ht="15.75">
      <c r="A52" s="58">
        <v>41275</v>
      </c>
      <c r="B52" s="59" t="s">
        <v>84</v>
      </c>
      <c r="C52" s="50">
        <f>SUM(D52:N52)</f>
        <v>-1358486.1640380016</v>
      </c>
      <c r="D52" s="241">
        <v>-794093.61202800181</v>
      </c>
      <c r="E52" s="241">
        <v>-564392.55200999975</v>
      </c>
      <c r="F52" s="242">
        <v>0</v>
      </c>
      <c r="G52" s="242">
        <v>0</v>
      </c>
      <c r="H52" s="50">
        <v>0</v>
      </c>
      <c r="I52" s="50"/>
      <c r="J52" s="50"/>
      <c r="K52" s="50"/>
      <c r="L52" s="50"/>
      <c r="M52" s="50"/>
      <c r="N52" s="50">
        <v>0</v>
      </c>
      <c r="O52" s="106"/>
      <c r="P52" s="50"/>
      <c r="Q52" s="345" t="s">
        <v>81</v>
      </c>
      <c r="R52" s="346" t="s">
        <v>58</v>
      </c>
      <c r="S52" s="112">
        <f>IF((-C47+C56)&gt;0,(-C47+C56),0)</f>
        <v>0</v>
      </c>
      <c r="T52" s="117">
        <f>IF((-C47+C56)&lt;0,(-C47+C56),0)</f>
        <v>-1358171.6340380015</v>
      </c>
    </row>
    <row r="53" spans="1:20" s="384" customFormat="1" ht="15.75">
      <c r="A53" s="62"/>
      <c r="B53" s="59" t="s">
        <v>148</v>
      </c>
      <c r="C53" s="50">
        <v>0</v>
      </c>
      <c r="D53" s="242">
        <v>0</v>
      </c>
      <c r="E53" s="242">
        <v>0</v>
      </c>
      <c r="F53" s="242"/>
      <c r="G53" s="243"/>
      <c r="H53" s="60"/>
      <c r="I53" s="50"/>
      <c r="J53" s="87"/>
      <c r="K53" s="87"/>
      <c r="L53" s="50"/>
      <c r="M53" s="50"/>
      <c r="N53" s="50"/>
      <c r="O53" s="106"/>
      <c r="P53" s="50"/>
      <c r="Q53" s="347" t="s">
        <v>11</v>
      </c>
      <c r="R53" s="348" t="s">
        <v>62</v>
      </c>
      <c r="S53" s="112">
        <v>0</v>
      </c>
      <c r="T53" s="227">
        <v>0</v>
      </c>
    </row>
    <row r="54" spans="1:20" s="384" customFormat="1" ht="15.75">
      <c r="A54" s="62"/>
      <c r="B54" s="59" t="s">
        <v>144</v>
      </c>
      <c r="C54" s="50">
        <f>SUM(D54:N54)</f>
        <v>0</v>
      </c>
      <c r="D54" s="161">
        <v>0</v>
      </c>
      <c r="E54" s="161"/>
      <c r="F54" s="161"/>
      <c r="G54" s="242">
        <v>0</v>
      </c>
      <c r="H54" s="105"/>
      <c r="I54" s="50"/>
      <c r="J54" s="87"/>
      <c r="K54" s="50"/>
      <c r="L54" s="50"/>
      <c r="M54" s="50"/>
      <c r="N54" s="50"/>
      <c r="O54" s="106"/>
      <c r="P54" s="50"/>
      <c r="Q54" s="347" t="s">
        <v>11</v>
      </c>
      <c r="R54" s="348" t="s">
        <v>207</v>
      </c>
      <c r="S54" s="112">
        <v>0</v>
      </c>
      <c r="T54" s="227">
        <v>0</v>
      </c>
    </row>
    <row r="55" spans="1:20" s="384" customFormat="1" ht="15.75">
      <c r="A55" s="62"/>
      <c r="B55" s="59" t="s">
        <v>57</v>
      </c>
      <c r="C55" s="64">
        <f>SUM(D55:N55)</f>
        <v>314.52999999999997</v>
      </c>
      <c r="D55" s="64"/>
      <c r="E55" s="64"/>
      <c r="F55" s="64"/>
      <c r="G55" s="64"/>
      <c r="H55" s="64">
        <f>ROUND(((C47)+(C52)/2)*(O55/12),2)</f>
        <v>314.52999999999997</v>
      </c>
      <c r="I55" s="64"/>
      <c r="J55" s="64"/>
      <c r="K55" s="64"/>
      <c r="L55" s="64"/>
      <c r="M55" s="64"/>
      <c r="N55" s="64"/>
      <c r="O55" s="99">
        <v>0.01</v>
      </c>
      <c r="P55" s="50"/>
      <c r="Q55" s="340" t="s">
        <v>80</v>
      </c>
      <c r="R55" s="339" t="s">
        <v>59</v>
      </c>
      <c r="S55" s="88">
        <f>IF((-C52-C53-C54)&gt;0,(-C52-C53-C54),0)</f>
        <v>1358486.1640380016</v>
      </c>
      <c r="T55" s="89">
        <f>IF((-C52-C53-C54)&lt;0,(-C52-C53-C54),0)</f>
        <v>0</v>
      </c>
    </row>
    <row r="56" spans="1:20" s="384" customFormat="1" ht="16.5" thickBot="1">
      <c r="A56" s="104">
        <f>A52</f>
        <v>41275</v>
      </c>
      <c r="B56" s="50" t="s">
        <v>56</v>
      </c>
      <c r="C56" s="158">
        <f t="shared" ref="C56:H56" si="7">SUM(C47:C55)</f>
        <v>-301498.3059430595</v>
      </c>
      <c r="D56" s="158">
        <f t="shared" si="7"/>
        <v>-782312.82196567836</v>
      </c>
      <c r="E56" s="158">
        <f t="shared" si="7"/>
        <v>487980.97602261999</v>
      </c>
      <c r="F56" s="158">
        <f t="shared" si="7"/>
        <v>0</v>
      </c>
      <c r="G56" s="158">
        <f t="shared" si="7"/>
        <v>0</v>
      </c>
      <c r="H56" s="158">
        <f t="shared" si="7"/>
        <v>-7166.4599999999991</v>
      </c>
      <c r="I56" s="158">
        <f>SUM(I41:I55)</f>
        <v>0</v>
      </c>
      <c r="J56" s="158">
        <f>SUM(J41:J55)</f>
        <v>0</v>
      </c>
      <c r="K56" s="158">
        <f>SUM(K41:K55)</f>
        <v>0</v>
      </c>
      <c r="L56" s="158">
        <f>SUM(L41:L55)</f>
        <v>0</v>
      </c>
      <c r="M56" s="158">
        <f>SUM(M47:M55)</f>
        <v>0</v>
      </c>
      <c r="N56" s="158">
        <f>SUM(N47:N55)</f>
        <v>0</v>
      </c>
      <c r="O56" s="50"/>
      <c r="P56" s="50"/>
      <c r="Q56" s="342" t="s">
        <v>154</v>
      </c>
      <c r="R56" s="339" t="s">
        <v>77</v>
      </c>
      <c r="S56" s="88">
        <f>IF(C55&lt;0,C55,0)</f>
        <v>0</v>
      </c>
      <c r="T56" s="89">
        <f>IF(-C55&lt;0,-C55,0)</f>
        <v>-314.52999999999997</v>
      </c>
    </row>
    <row r="57" spans="1:20" s="384" customFormat="1" ht="16.5" thickTop="1" thickBot="1">
      <c r="A57" s="53"/>
      <c r="Q57" s="343" t="s">
        <v>83</v>
      </c>
      <c r="R57" s="341" t="s">
        <v>78</v>
      </c>
      <c r="S57" s="118">
        <f>IF(-C55&gt;0,-C55,0)</f>
        <v>0</v>
      </c>
      <c r="T57" s="111"/>
    </row>
    <row r="58" spans="1:20" s="384" customFormat="1">
      <c r="A58" s="53"/>
      <c r="T58" s="338">
        <f>ROUND(SUM(S52:T57),2)</f>
        <v>0</v>
      </c>
    </row>
    <row r="59" spans="1:20" s="384" customFormat="1" ht="15.75" thickBot="1">
      <c r="A59" s="53"/>
    </row>
    <row r="60" spans="1:20" s="384" customFormat="1" ht="16.5" thickBot="1">
      <c r="A60" s="58"/>
      <c r="Q60" s="336" t="s">
        <v>107</v>
      </c>
      <c r="R60" s="332"/>
      <c r="S60" s="332"/>
      <c r="T60" s="228"/>
    </row>
    <row r="61" spans="1:20" s="384" customFormat="1" ht="15.75">
      <c r="A61" s="58">
        <v>41333</v>
      </c>
      <c r="B61" s="59" t="s">
        <v>84</v>
      </c>
      <c r="C61" s="50">
        <f>SUM(D61:N61)</f>
        <v>187567.52458600083</v>
      </c>
      <c r="D61" s="241">
        <v>369349.48148000054</v>
      </c>
      <c r="E61" s="241">
        <v>-181781.95689399971</v>
      </c>
      <c r="F61" s="242">
        <v>0</v>
      </c>
      <c r="G61" s="242">
        <v>0</v>
      </c>
      <c r="H61" s="50">
        <v>0</v>
      </c>
      <c r="I61" s="50"/>
      <c r="J61" s="50"/>
      <c r="K61" s="50"/>
      <c r="L61" s="50"/>
      <c r="M61" s="50"/>
      <c r="N61" s="50">
        <v>0</v>
      </c>
      <c r="O61" s="106"/>
      <c r="P61" s="50"/>
      <c r="Q61" s="345" t="s">
        <v>81</v>
      </c>
      <c r="R61" s="346" t="s">
        <v>58</v>
      </c>
      <c r="S61" s="112">
        <f>IF((-C56+C65)&gt;0,(-C56+C65),0)</f>
        <v>187394.42458600082</v>
      </c>
      <c r="T61" s="117">
        <f>IF((-C56+C65)&lt;0,(-C56+C65),0)</f>
        <v>0</v>
      </c>
    </row>
    <row r="62" spans="1:20" s="384" customFormat="1" ht="15.75">
      <c r="A62" s="62"/>
      <c r="B62" s="59" t="s">
        <v>148</v>
      </c>
      <c r="C62" s="50">
        <v>0</v>
      </c>
      <c r="D62" s="242">
        <v>0</v>
      </c>
      <c r="E62" s="242">
        <v>0</v>
      </c>
      <c r="F62" s="242"/>
      <c r="G62" s="243"/>
      <c r="H62" s="60"/>
      <c r="I62" s="50"/>
      <c r="J62" s="87"/>
      <c r="K62" s="87"/>
      <c r="L62" s="50"/>
      <c r="M62" s="50"/>
      <c r="N62" s="50"/>
      <c r="O62" s="106"/>
      <c r="P62" s="50"/>
      <c r="Q62" s="347" t="s">
        <v>11</v>
      </c>
      <c r="R62" s="348" t="s">
        <v>62</v>
      </c>
      <c r="S62" s="112">
        <v>0</v>
      </c>
      <c r="T62" s="227">
        <v>0</v>
      </c>
    </row>
    <row r="63" spans="1:20" s="384" customFormat="1" ht="15.75">
      <c r="A63" s="62"/>
      <c r="B63" s="59" t="s">
        <v>144</v>
      </c>
      <c r="C63" s="50">
        <f>SUM(D63:N63)</f>
        <v>0</v>
      </c>
      <c r="D63" s="161">
        <v>0</v>
      </c>
      <c r="E63" s="161"/>
      <c r="F63" s="161"/>
      <c r="G63" s="242">
        <v>0</v>
      </c>
      <c r="H63" s="105"/>
      <c r="I63" s="50"/>
      <c r="J63" s="87"/>
      <c r="K63" s="50"/>
      <c r="L63" s="50"/>
      <c r="M63" s="50"/>
      <c r="N63" s="50"/>
      <c r="O63" s="106"/>
      <c r="P63" s="50"/>
      <c r="Q63" s="347" t="s">
        <v>11</v>
      </c>
      <c r="R63" s="348" t="s">
        <v>207</v>
      </c>
      <c r="S63" s="112">
        <v>0</v>
      </c>
      <c r="T63" s="227">
        <v>0</v>
      </c>
    </row>
    <row r="64" spans="1:20" s="384" customFormat="1" ht="15.75">
      <c r="A64" s="62"/>
      <c r="B64" s="59" t="s">
        <v>57</v>
      </c>
      <c r="C64" s="64">
        <f>SUM(D64:N64)</f>
        <v>-173.1</v>
      </c>
      <c r="D64" s="64"/>
      <c r="E64" s="64"/>
      <c r="F64" s="64"/>
      <c r="G64" s="64"/>
      <c r="H64" s="64">
        <f>ROUND(((C56)+(C61)/2)*(O64/12),2)</f>
        <v>-173.1</v>
      </c>
      <c r="I64" s="64"/>
      <c r="J64" s="64"/>
      <c r="K64" s="64"/>
      <c r="L64" s="64"/>
      <c r="M64" s="64"/>
      <c r="N64" s="64"/>
      <c r="O64" s="99">
        <v>0.01</v>
      </c>
      <c r="P64" s="50"/>
      <c r="Q64" s="340" t="s">
        <v>80</v>
      </c>
      <c r="R64" s="339" t="s">
        <v>59</v>
      </c>
      <c r="S64" s="88">
        <f>IF((-C61-C62-C63)&gt;0,(-C61-C62-C63),0)</f>
        <v>0</v>
      </c>
      <c r="T64" s="89">
        <f>IF((-C61-C62-C63)&lt;0,(-C61-C62-C63),0)</f>
        <v>-187567.52458600083</v>
      </c>
    </row>
    <row r="65" spans="1:20" s="384" customFormat="1" ht="16.5" thickBot="1">
      <c r="A65" s="104">
        <f>A61</f>
        <v>41333</v>
      </c>
      <c r="B65" s="50" t="s">
        <v>56</v>
      </c>
      <c r="C65" s="158">
        <f>SUM(C56:C64)</f>
        <v>-114103.88135705868</v>
      </c>
      <c r="D65" s="158">
        <f>SUM(D56:D64)</f>
        <v>-412963.34048567782</v>
      </c>
      <c r="E65" s="158">
        <f>SUM(E56:E64)</f>
        <v>306199.01912862028</v>
      </c>
      <c r="F65" s="158">
        <f t="shared" ref="F65" si="8">SUM(F56:F64)</f>
        <v>0</v>
      </c>
      <c r="G65" s="158">
        <f t="shared" ref="G65" si="9">SUM(G56:G64)</f>
        <v>0</v>
      </c>
      <c r="H65" s="158">
        <f>SUM(H56:H64)</f>
        <v>-7339.5599999999995</v>
      </c>
      <c r="I65" s="158">
        <f>SUM(I50:I64)</f>
        <v>0</v>
      </c>
      <c r="J65" s="158">
        <f>SUM(J50:J64)</f>
        <v>0</v>
      </c>
      <c r="K65" s="158">
        <f>SUM(K50:K64)</f>
        <v>0</v>
      </c>
      <c r="L65" s="158">
        <f>SUM(L50:L64)</f>
        <v>0</v>
      </c>
      <c r="M65" s="158">
        <f>SUM(M56:M64)</f>
        <v>0</v>
      </c>
      <c r="N65" s="158">
        <f>SUM(N56:N64)</f>
        <v>0</v>
      </c>
      <c r="O65" s="50"/>
      <c r="P65" s="50"/>
      <c r="Q65" s="342" t="s">
        <v>154</v>
      </c>
      <c r="R65" s="339" t="s">
        <v>77</v>
      </c>
      <c r="S65" s="88">
        <f>IF(-C64&lt;0,C64,0)</f>
        <v>0</v>
      </c>
      <c r="T65" s="89">
        <f>IF(-C64&lt;0,-C64,0)</f>
        <v>0</v>
      </c>
    </row>
    <row r="66" spans="1:20" s="384" customFormat="1" ht="16.5" thickTop="1" thickBot="1">
      <c r="A66" s="53"/>
      <c r="Q66" s="343" t="s">
        <v>83</v>
      </c>
      <c r="R66" s="341" t="s">
        <v>78</v>
      </c>
      <c r="S66" s="118">
        <f>IF(-C64&gt;0,-C64,0)</f>
        <v>173.1</v>
      </c>
      <c r="T66" s="111">
        <f>IF(-C64&lt;0,-C64,0)</f>
        <v>0</v>
      </c>
    </row>
    <row r="67" spans="1:20" s="384" customFormat="1">
      <c r="A67" s="53"/>
      <c r="T67" s="338">
        <f>ROUND(SUM(S61:T66),2)</f>
        <v>0</v>
      </c>
    </row>
    <row r="68" spans="1:20" s="384" customFormat="1" ht="15.75" thickBot="1">
      <c r="A68" s="53"/>
    </row>
    <row r="69" spans="1:20" s="384" customFormat="1" ht="16.5" thickBot="1">
      <c r="A69" s="58"/>
      <c r="Q69" s="336" t="s">
        <v>107</v>
      </c>
      <c r="R69" s="332"/>
      <c r="S69" s="332"/>
      <c r="T69" s="228"/>
    </row>
    <row r="70" spans="1:20" s="384" customFormat="1" ht="15.75">
      <c r="A70" s="58">
        <v>41364</v>
      </c>
      <c r="B70" s="59" t="s">
        <v>84</v>
      </c>
      <c r="C70" s="50">
        <f>SUM(D70:N70)</f>
        <v>-70192.864177000942</v>
      </c>
      <c r="D70" s="241">
        <v>140554.57549299859</v>
      </c>
      <c r="E70" s="241">
        <v>-210747.43966999953</v>
      </c>
      <c r="F70" s="242">
        <v>0</v>
      </c>
      <c r="G70" s="242">
        <v>0</v>
      </c>
      <c r="H70" s="50">
        <v>0</v>
      </c>
      <c r="I70" s="50"/>
      <c r="J70" s="50"/>
      <c r="K70" s="50"/>
      <c r="L70" s="50"/>
      <c r="M70" s="50"/>
      <c r="N70" s="50">
        <v>0</v>
      </c>
      <c r="O70" s="106"/>
      <c r="P70" s="50"/>
      <c r="Q70" s="345" t="s">
        <v>81</v>
      </c>
      <c r="R70" s="346" t="s">
        <v>58</v>
      </c>
      <c r="S70" s="112">
        <f>IF((-C65+C74)&gt;0,(-C65+C74),0)</f>
        <v>0</v>
      </c>
      <c r="T70" s="117">
        <f>IF((-C65+C74)&lt;0,(-C65+C74),0)</f>
        <v>-70317.194177000929</v>
      </c>
    </row>
    <row r="71" spans="1:20" s="384" customFormat="1" ht="15.75">
      <c r="A71" s="62"/>
      <c r="B71" s="59" t="s">
        <v>148</v>
      </c>
      <c r="C71" s="50">
        <v>0</v>
      </c>
      <c r="D71" s="242">
        <v>0</v>
      </c>
      <c r="E71" s="242">
        <v>0</v>
      </c>
      <c r="F71" s="242"/>
      <c r="G71" s="243"/>
      <c r="H71" s="60"/>
      <c r="I71" s="50"/>
      <c r="J71" s="87"/>
      <c r="K71" s="87"/>
      <c r="L71" s="50"/>
      <c r="M71" s="50"/>
      <c r="N71" s="50"/>
      <c r="O71" s="106"/>
      <c r="P71" s="50"/>
      <c r="Q71" s="347" t="s">
        <v>11</v>
      </c>
      <c r="R71" s="348" t="s">
        <v>62</v>
      </c>
      <c r="S71" s="112">
        <v>0</v>
      </c>
      <c r="T71" s="227">
        <v>0</v>
      </c>
    </row>
    <row r="72" spans="1:20" s="384" customFormat="1" ht="15.75">
      <c r="A72" s="62"/>
      <c r="B72" s="59" t="s">
        <v>144</v>
      </c>
      <c r="C72" s="50">
        <f>SUM(D72:N72)</f>
        <v>0</v>
      </c>
      <c r="D72" s="161">
        <v>0</v>
      </c>
      <c r="E72" s="161"/>
      <c r="F72" s="161"/>
      <c r="G72" s="242">
        <v>0</v>
      </c>
      <c r="H72" s="105"/>
      <c r="I72" s="50"/>
      <c r="J72" s="87"/>
      <c r="K72" s="50"/>
      <c r="L72" s="50"/>
      <c r="M72" s="50"/>
      <c r="N72" s="50"/>
      <c r="O72" s="106"/>
      <c r="P72" s="50"/>
      <c r="Q72" s="347" t="s">
        <v>11</v>
      </c>
      <c r="R72" s="348" t="s">
        <v>207</v>
      </c>
      <c r="S72" s="112">
        <v>0</v>
      </c>
      <c r="T72" s="227">
        <v>0</v>
      </c>
    </row>
    <row r="73" spans="1:20" s="384" customFormat="1" ht="15.75">
      <c r="A73" s="62"/>
      <c r="B73" s="59" t="s">
        <v>57</v>
      </c>
      <c r="C73" s="64">
        <f>SUM(D73:N73)</f>
        <v>-124.33</v>
      </c>
      <c r="D73" s="64"/>
      <c r="E73" s="64"/>
      <c r="F73" s="64"/>
      <c r="G73" s="64"/>
      <c r="H73" s="64">
        <v>-124.33</v>
      </c>
      <c r="I73" s="64"/>
      <c r="J73" s="64"/>
      <c r="K73" s="64"/>
      <c r="L73" s="64"/>
      <c r="M73" s="64"/>
      <c r="N73" s="64"/>
      <c r="O73" s="99">
        <v>0.01</v>
      </c>
      <c r="P73" s="50"/>
      <c r="Q73" s="340" t="s">
        <v>80</v>
      </c>
      <c r="R73" s="339" t="s">
        <v>59</v>
      </c>
      <c r="S73" s="88">
        <f>IF((-C70-C71-C72)&gt;0,(-C70-C71-C72),0)</f>
        <v>70192.864177000942</v>
      </c>
      <c r="T73" s="89">
        <f>IF((-C70-C71-C72)&lt;0,(-C70-C71-C72),0)</f>
        <v>0</v>
      </c>
    </row>
    <row r="74" spans="1:20" s="384" customFormat="1" ht="16.5" thickBot="1">
      <c r="A74" s="104">
        <f>A70</f>
        <v>41364</v>
      </c>
      <c r="B74" s="50" t="s">
        <v>56</v>
      </c>
      <c r="C74" s="158">
        <f>SUM(C65:C73)</f>
        <v>-184421.07553405961</v>
      </c>
      <c r="D74" s="158">
        <f>SUM(D65:D73)</f>
        <v>-272408.76499267924</v>
      </c>
      <c r="E74" s="158">
        <f>SUM(E65:E73)</f>
        <v>95451.579458620748</v>
      </c>
      <c r="F74" s="158">
        <f t="shared" ref="F74:G74" si="10">SUM(F65:F73)</f>
        <v>0</v>
      </c>
      <c r="G74" s="158">
        <f t="shared" si="10"/>
        <v>0</v>
      </c>
      <c r="H74" s="158">
        <f>SUM(H65:H73)</f>
        <v>-7463.8899999999994</v>
      </c>
      <c r="I74" s="158">
        <f>SUM(I59:I73)</f>
        <v>0</v>
      </c>
      <c r="J74" s="158">
        <f>SUM(J59:J73)</f>
        <v>0</v>
      </c>
      <c r="K74" s="158">
        <f>SUM(K59:K73)</f>
        <v>0</v>
      </c>
      <c r="L74" s="158">
        <f>SUM(L59:L73)</f>
        <v>0</v>
      </c>
      <c r="M74" s="158">
        <f>SUM(M65:M73)</f>
        <v>0</v>
      </c>
      <c r="N74" s="158">
        <f>SUM(N65:N73)</f>
        <v>0</v>
      </c>
      <c r="O74" s="50"/>
      <c r="P74" s="50"/>
      <c r="Q74" s="342" t="s">
        <v>154</v>
      </c>
      <c r="R74" s="339" t="s">
        <v>77</v>
      </c>
      <c r="S74" s="88">
        <f>IF(-C73&lt;0,C73,0)</f>
        <v>0</v>
      </c>
      <c r="T74" s="89">
        <f>IF(-C73&lt;0,-C73,0)</f>
        <v>0</v>
      </c>
    </row>
    <row r="75" spans="1:20" s="384" customFormat="1" ht="16.5" thickTop="1" thickBot="1">
      <c r="A75" s="53"/>
      <c r="Q75" s="343" t="s">
        <v>83</v>
      </c>
      <c r="R75" s="341" t="s">
        <v>78</v>
      </c>
      <c r="S75" s="118">
        <f>IF(-C73&gt;0,-C73,0)</f>
        <v>124.33</v>
      </c>
      <c r="T75" s="111">
        <f>IF(-C73&lt;0,-C73,0)</f>
        <v>0</v>
      </c>
    </row>
    <row r="76" spans="1:20" s="384" customFormat="1">
      <c r="A76" s="53"/>
      <c r="T76" s="338">
        <f>ROUND(SUM(S70:T75),2)</f>
        <v>0</v>
      </c>
    </row>
    <row r="77" spans="1:20" s="384" customFormat="1" ht="15.75" thickBot="1">
      <c r="A77" s="53"/>
    </row>
    <row r="78" spans="1:20" s="384" customFormat="1" ht="16.5" thickBot="1">
      <c r="A78" s="58"/>
      <c r="Q78" s="336" t="s">
        <v>107</v>
      </c>
      <c r="R78" s="332"/>
      <c r="S78" s="332"/>
      <c r="T78" s="228"/>
    </row>
    <row r="79" spans="1:20" s="384" customFormat="1" ht="15.75">
      <c r="A79" s="58">
        <v>41394</v>
      </c>
      <c r="B79" s="59" t="s">
        <v>84</v>
      </c>
      <c r="C79" s="50">
        <f>SUM(D79:N79)</f>
        <v>-119237.76640399999</v>
      </c>
      <c r="D79" s="241">
        <v>-143506.72479399992</v>
      </c>
      <c r="E79" s="241">
        <v>24268.958389999927</v>
      </c>
      <c r="F79" s="242">
        <v>0</v>
      </c>
      <c r="G79" s="242">
        <v>0</v>
      </c>
      <c r="H79" s="50">
        <v>0</v>
      </c>
      <c r="I79" s="50"/>
      <c r="J79" s="50"/>
      <c r="K79" s="50"/>
      <c r="L79" s="50"/>
      <c r="M79" s="50"/>
      <c r="N79" s="50">
        <v>0</v>
      </c>
      <c r="O79" s="106"/>
      <c r="P79" s="50"/>
      <c r="Q79" s="345" t="s">
        <v>81</v>
      </c>
      <c r="R79" s="346" t="s">
        <v>58</v>
      </c>
      <c r="S79" s="112">
        <f>IF((-C74+C83)&gt;0,(-C74+C83),0)</f>
        <v>0</v>
      </c>
      <c r="T79" s="117">
        <f>IF((-C74+C83)&lt;0,(-C74+C83),0)</f>
        <v>-119441.13640399999</v>
      </c>
    </row>
    <row r="80" spans="1:20" s="384" customFormat="1" ht="15.75">
      <c r="A80" s="62"/>
      <c r="B80" s="59" t="s">
        <v>148</v>
      </c>
      <c r="C80" s="50">
        <v>0</v>
      </c>
      <c r="D80" s="242">
        <v>0</v>
      </c>
      <c r="E80" s="242">
        <v>0</v>
      </c>
      <c r="F80" s="242"/>
      <c r="G80" s="243"/>
      <c r="H80" s="60"/>
      <c r="I80" s="50"/>
      <c r="J80" s="87"/>
      <c r="K80" s="87"/>
      <c r="L80" s="50"/>
      <c r="M80" s="50"/>
      <c r="N80" s="50"/>
      <c r="O80" s="106"/>
      <c r="P80" s="50"/>
      <c r="Q80" s="347" t="s">
        <v>11</v>
      </c>
      <c r="R80" s="348" t="s">
        <v>62</v>
      </c>
      <c r="S80" s="112">
        <v>0</v>
      </c>
      <c r="T80" s="227">
        <v>0</v>
      </c>
    </row>
    <row r="81" spans="1:20" s="384" customFormat="1" ht="15.75">
      <c r="A81" s="62"/>
      <c r="B81" s="59" t="s">
        <v>144</v>
      </c>
      <c r="C81" s="50">
        <f>SUM(D81:N81)</f>
        <v>0</v>
      </c>
      <c r="D81" s="161">
        <v>0</v>
      </c>
      <c r="E81" s="161"/>
      <c r="F81" s="161"/>
      <c r="G81" s="242">
        <v>0</v>
      </c>
      <c r="H81" s="105"/>
      <c r="I81" s="50"/>
      <c r="J81" s="87"/>
      <c r="K81" s="50"/>
      <c r="L81" s="50"/>
      <c r="M81" s="50"/>
      <c r="N81" s="50"/>
      <c r="O81" s="106"/>
      <c r="P81" s="50"/>
      <c r="Q81" s="347" t="s">
        <v>11</v>
      </c>
      <c r="R81" s="348" t="s">
        <v>207</v>
      </c>
      <c r="S81" s="112">
        <v>0</v>
      </c>
      <c r="T81" s="227">
        <v>0</v>
      </c>
    </row>
    <row r="82" spans="1:20" s="384" customFormat="1" ht="15.75">
      <c r="A82" s="62"/>
      <c r="B82" s="59" t="s">
        <v>57</v>
      </c>
      <c r="C82" s="64">
        <f>SUM(D82:N82)</f>
        <v>-203.37</v>
      </c>
      <c r="D82" s="64"/>
      <c r="E82" s="64"/>
      <c r="F82" s="64"/>
      <c r="G82" s="64"/>
      <c r="H82" s="64">
        <v>-203.37</v>
      </c>
      <c r="I82" s="64"/>
      <c r="J82" s="64"/>
      <c r="K82" s="64"/>
      <c r="L82" s="64"/>
      <c r="M82" s="64"/>
      <c r="N82" s="64"/>
      <c r="O82" s="99">
        <v>0.01</v>
      </c>
      <c r="P82" s="50"/>
      <c r="Q82" s="340" t="s">
        <v>80</v>
      </c>
      <c r="R82" s="339" t="s">
        <v>59</v>
      </c>
      <c r="S82" s="88">
        <f>IF((-C79-C80-C81)&gt;0,(-C79-C80-C81),0)</f>
        <v>119237.76640399999</v>
      </c>
      <c r="T82" s="89">
        <f>IF((-C79-C80-C81)&lt;0,(-C79-C80-C81),0)</f>
        <v>0</v>
      </c>
    </row>
    <row r="83" spans="1:20" s="384" customFormat="1" ht="16.5" thickBot="1">
      <c r="A83" s="104">
        <f>A79</f>
        <v>41394</v>
      </c>
      <c r="B83" s="50" t="s">
        <v>56</v>
      </c>
      <c r="C83" s="158">
        <f>SUM(C74:C82)</f>
        <v>-303862.2119380596</v>
      </c>
      <c r="D83" s="158">
        <f>SUM(D74:D82)</f>
        <v>-415915.48978667916</v>
      </c>
      <c r="E83" s="158">
        <f>SUM(E74:E82)</f>
        <v>119720.53784862068</v>
      </c>
      <c r="F83" s="158">
        <f t="shared" ref="F83:G83" si="11">SUM(F74:F82)</f>
        <v>0</v>
      </c>
      <c r="G83" s="158">
        <f t="shared" si="11"/>
        <v>0</v>
      </c>
      <c r="H83" s="158">
        <f>SUM(H74:H82)</f>
        <v>-7667.2599999999993</v>
      </c>
      <c r="I83" s="158">
        <f>SUM(I68:I82)</f>
        <v>0</v>
      </c>
      <c r="J83" s="158">
        <f>SUM(J68:J82)</f>
        <v>0</v>
      </c>
      <c r="K83" s="158">
        <f>SUM(K68:K82)</f>
        <v>0</v>
      </c>
      <c r="L83" s="158">
        <f>SUM(L68:L82)</f>
        <v>0</v>
      </c>
      <c r="M83" s="158">
        <f>SUM(M74:M82)</f>
        <v>0</v>
      </c>
      <c r="N83" s="158">
        <f>SUM(N74:N82)</f>
        <v>0</v>
      </c>
      <c r="O83" s="50"/>
      <c r="P83" s="50"/>
      <c r="Q83" s="342" t="s">
        <v>154</v>
      </c>
      <c r="R83" s="339" t="s">
        <v>77</v>
      </c>
      <c r="S83" s="88">
        <f>IF(-C82&lt;0,C82,0)</f>
        <v>0</v>
      </c>
      <c r="T83" s="89">
        <f>IF(-C82&lt;0,-C82,0)</f>
        <v>0</v>
      </c>
    </row>
    <row r="84" spans="1:20" s="384" customFormat="1" ht="16.5" thickTop="1" thickBot="1">
      <c r="A84" s="53"/>
      <c r="C84" s="385"/>
      <c r="Q84" s="343" t="s">
        <v>83</v>
      </c>
      <c r="R84" s="341" t="s">
        <v>78</v>
      </c>
      <c r="S84" s="118">
        <f>IF(-C82&gt;0,-C82,0)</f>
        <v>203.37</v>
      </c>
      <c r="T84" s="111">
        <f>IF(-C82&lt;0,-C82,0)</f>
        <v>0</v>
      </c>
    </row>
    <row r="85" spans="1:20" s="384" customFormat="1">
      <c r="A85" s="53"/>
      <c r="T85" s="338">
        <f>ROUND(SUM(S79:T84),2)</f>
        <v>0</v>
      </c>
    </row>
    <row r="86" spans="1:20" s="384" customFormat="1" ht="15.75" thickBot="1">
      <c r="A86" s="53"/>
    </row>
    <row r="87" spans="1:20" s="384" customFormat="1" ht="16.5" thickBot="1">
      <c r="A87" s="58"/>
      <c r="Q87" s="336" t="s">
        <v>107</v>
      </c>
      <c r="R87" s="332"/>
      <c r="S87" s="332"/>
      <c r="T87" s="228"/>
    </row>
    <row r="88" spans="1:20" s="384" customFormat="1" ht="15.75">
      <c r="A88" s="58">
        <v>41425</v>
      </c>
      <c r="B88" s="59" t="s">
        <v>84</v>
      </c>
      <c r="C88" s="50">
        <f>SUM(D88:N88)</f>
        <v>96129.565981999214</v>
      </c>
      <c r="D88" s="241">
        <v>-261363.31669000082</v>
      </c>
      <c r="E88" s="241">
        <v>357492.88267200004</v>
      </c>
      <c r="F88" s="242">
        <v>0</v>
      </c>
      <c r="G88" s="242">
        <v>0</v>
      </c>
      <c r="H88" s="50">
        <v>0</v>
      </c>
      <c r="I88" s="50"/>
      <c r="J88" s="50"/>
      <c r="K88" s="50"/>
      <c r="L88" s="50"/>
      <c r="M88" s="50"/>
      <c r="N88" s="50">
        <v>0</v>
      </c>
      <c r="O88" s="106"/>
      <c r="P88" s="50"/>
      <c r="Q88" s="345" t="s">
        <v>81</v>
      </c>
      <c r="R88" s="346" t="s">
        <v>58</v>
      </c>
      <c r="S88" s="112">
        <f>IF((-C83+C92)&gt;0,(-C83+C92),0)</f>
        <v>95916.405981999211</v>
      </c>
      <c r="T88" s="117">
        <f>IF((-C83+C92)&lt;0,(-C83+C92),0)</f>
        <v>0</v>
      </c>
    </row>
    <row r="89" spans="1:20" s="384" customFormat="1" ht="15.75">
      <c r="A89" s="62"/>
      <c r="B89" s="59" t="s">
        <v>148</v>
      </c>
      <c r="C89" s="50">
        <v>0</v>
      </c>
      <c r="D89" s="242">
        <v>0</v>
      </c>
      <c r="E89" s="242">
        <v>0</v>
      </c>
      <c r="F89" s="242"/>
      <c r="G89" s="243"/>
      <c r="H89" s="60"/>
      <c r="I89" s="50"/>
      <c r="J89" s="87"/>
      <c r="K89" s="87"/>
      <c r="L89" s="50"/>
      <c r="M89" s="50"/>
      <c r="N89" s="50"/>
      <c r="O89" s="106"/>
      <c r="P89" s="50"/>
      <c r="Q89" s="347" t="s">
        <v>11</v>
      </c>
      <c r="R89" s="348" t="s">
        <v>62</v>
      </c>
      <c r="S89" s="112">
        <v>0</v>
      </c>
      <c r="T89" s="227">
        <v>0</v>
      </c>
    </row>
    <row r="90" spans="1:20" s="384" customFormat="1" ht="15.75">
      <c r="A90" s="62"/>
      <c r="B90" s="59" t="s">
        <v>144</v>
      </c>
      <c r="C90" s="50">
        <f>SUM(D90:N90)</f>
        <v>0</v>
      </c>
      <c r="D90" s="161">
        <v>0</v>
      </c>
      <c r="E90" s="161"/>
      <c r="F90" s="161"/>
      <c r="G90" s="242">
        <v>0</v>
      </c>
      <c r="H90" s="105"/>
      <c r="I90" s="50"/>
      <c r="J90" s="87"/>
      <c r="K90" s="50"/>
      <c r="L90" s="50"/>
      <c r="M90" s="50"/>
      <c r="N90" s="50"/>
      <c r="O90" s="106"/>
      <c r="P90" s="50"/>
      <c r="Q90" s="347" t="s">
        <v>11</v>
      </c>
      <c r="R90" s="348" t="s">
        <v>207</v>
      </c>
      <c r="S90" s="112">
        <v>0</v>
      </c>
      <c r="T90" s="227">
        <v>0</v>
      </c>
    </row>
    <row r="91" spans="1:20" s="384" customFormat="1" ht="15.75">
      <c r="A91" s="62"/>
      <c r="B91" s="59" t="s">
        <v>57</v>
      </c>
      <c r="C91" s="64">
        <f>SUM(D91:N91)</f>
        <v>-213.16</v>
      </c>
      <c r="D91" s="64"/>
      <c r="E91" s="64"/>
      <c r="F91" s="64"/>
      <c r="G91" s="64"/>
      <c r="H91" s="64">
        <v>-213.16</v>
      </c>
      <c r="I91" s="64"/>
      <c r="J91" s="64"/>
      <c r="K91" s="64"/>
      <c r="L91" s="64"/>
      <c r="M91" s="64"/>
      <c r="N91" s="64"/>
      <c r="O91" s="99">
        <v>0.01</v>
      </c>
      <c r="P91" s="50"/>
      <c r="Q91" s="340" t="s">
        <v>80</v>
      </c>
      <c r="R91" s="339" t="s">
        <v>59</v>
      </c>
      <c r="S91" s="88">
        <f>IF((-C88-C89-C90)&gt;0,(-C88-C89-C90),0)</f>
        <v>0</v>
      </c>
      <c r="T91" s="89">
        <f>IF((-C88-C89-C90)&lt;0,(-C88-C89-C90),0)</f>
        <v>-96129.565981999214</v>
      </c>
    </row>
    <row r="92" spans="1:20" s="384" customFormat="1" ht="16.5" thickBot="1">
      <c r="A92" s="104">
        <f>A88</f>
        <v>41425</v>
      </c>
      <c r="B92" s="50" t="s">
        <v>56</v>
      </c>
      <c r="C92" s="158">
        <f t="shared" ref="C92:H92" si="12">SUM(C83:C91)</f>
        <v>-207945.80595606039</v>
      </c>
      <c r="D92" s="158">
        <f t="shared" si="12"/>
        <v>-677278.80647667998</v>
      </c>
      <c r="E92" s="158">
        <f t="shared" si="12"/>
        <v>477213.42052062071</v>
      </c>
      <c r="F92" s="158">
        <f t="shared" si="12"/>
        <v>0</v>
      </c>
      <c r="G92" s="158">
        <f t="shared" si="12"/>
        <v>0</v>
      </c>
      <c r="H92" s="158">
        <f t="shared" si="12"/>
        <v>-7880.4199999999992</v>
      </c>
      <c r="I92" s="158">
        <f>SUM(I77:I91)</f>
        <v>0</v>
      </c>
      <c r="J92" s="158">
        <f>SUM(J77:J91)</f>
        <v>0</v>
      </c>
      <c r="K92" s="158">
        <f>SUM(K77:K91)</f>
        <v>0</v>
      </c>
      <c r="L92" s="158">
        <f>SUM(L77:L91)</f>
        <v>0</v>
      </c>
      <c r="M92" s="158">
        <f>SUM(M83:M91)</f>
        <v>0</v>
      </c>
      <c r="N92" s="158">
        <f>SUM(N83:N91)</f>
        <v>0</v>
      </c>
      <c r="O92" s="50"/>
      <c r="P92" s="50"/>
      <c r="Q92" s="342" t="s">
        <v>154</v>
      </c>
      <c r="R92" s="339" t="s">
        <v>77</v>
      </c>
      <c r="S92" s="88">
        <f>IF(-C91&lt;0,C91,0)</f>
        <v>0</v>
      </c>
      <c r="T92" s="89">
        <f>IF(-C91&lt;0,-C91,0)</f>
        <v>0</v>
      </c>
    </row>
    <row r="93" spans="1:20" s="384" customFormat="1" ht="16.5" thickTop="1" thickBot="1">
      <c r="A93" s="53"/>
      <c r="Q93" s="343" t="s">
        <v>83</v>
      </c>
      <c r="R93" s="341" t="s">
        <v>78</v>
      </c>
      <c r="S93" s="118">
        <f>IF(-C91&gt;0,-C91,0)</f>
        <v>213.16</v>
      </c>
      <c r="T93" s="111">
        <f>IF(-C91&lt;0,-C91,0)</f>
        <v>0</v>
      </c>
    </row>
    <row r="94" spans="1:20" s="384" customFormat="1">
      <c r="A94" s="53"/>
      <c r="T94" s="338">
        <f>ROUND(SUM(S88:T93),2)</f>
        <v>0</v>
      </c>
    </row>
    <row r="95" spans="1:20" s="384" customFormat="1" ht="15.75" thickBot="1">
      <c r="A95" s="53"/>
    </row>
    <row r="96" spans="1:20" s="384" customFormat="1" ht="16.5" thickBot="1">
      <c r="A96" s="58"/>
      <c r="Q96" s="336" t="s">
        <v>107</v>
      </c>
      <c r="R96" s="332"/>
      <c r="S96" s="332"/>
      <c r="T96" s="228"/>
    </row>
    <row r="97" spans="1:20" s="384" customFormat="1" ht="15.75">
      <c r="A97" s="58">
        <v>41426</v>
      </c>
      <c r="B97" s="59" t="s">
        <v>84</v>
      </c>
      <c r="C97" s="50">
        <f>SUM(D97:N97)</f>
        <v>316646.56350300065</v>
      </c>
      <c r="D97" s="241">
        <v>-87258.97678599949</v>
      </c>
      <c r="E97" s="241">
        <v>403905.54028900014</v>
      </c>
      <c r="F97" s="242">
        <v>0</v>
      </c>
      <c r="G97" s="242">
        <v>0</v>
      </c>
      <c r="H97" s="50">
        <v>0</v>
      </c>
      <c r="I97" s="50"/>
      <c r="J97" s="50"/>
      <c r="K97" s="50"/>
      <c r="L97" s="50"/>
      <c r="M97" s="50"/>
      <c r="N97" s="50">
        <v>0</v>
      </c>
      <c r="O97" s="106"/>
      <c r="P97" s="50"/>
      <c r="Q97" s="345" t="s">
        <v>81</v>
      </c>
      <c r="R97" s="346" t="s">
        <v>58</v>
      </c>
      <c r="S97" s="112">
        <f>IF((-C92+C101)&gt;0,(-C92+C101),0)</f>
        <v>316605.21350300068</v>
      </c>
      <c r="T97" s="117">
        <f>IF((-C92+C101)&lt;0,(-C92+C101),0)</f>
        <v>0</v>
      </c>
    </row>
    <row r="98" spans="1:20" s="384" customFormat="1" ht="15.75">
      <c r="A98" s="62"/>
      <c r="B98" s="59" t="s">
        <v>148</v>
      </c>
      <c r="C98" s="50">
        <v>0</v>
      </c>
      <c r="D98" s="242">
        <v>0</v>
      </c>
      <c r="E98" s="242">
        <v>0</v>
      </c>
      <c r="F98" s="242"/>
      <c r="G98" s="243"/>
      <c r="H98" s="60"/>
      <c r="I98" s="50"/>
      <c r="J98" s="87"/>
      <c r="K98" s="87"/>
      <c r="L98" s="50"/>
      <c r="M98" s="50"/>
      <c r="N98" s="50"/>
      <c r="O98" s="106"/>
      <c r="P98" s="50"/>
      <c r="Q98" s="347" t="s">
        <v>11</v>
      </c>
      <c r="R98" s="348" t="s">
        <v>62</v>
      </c>
      <c r="S98" s="112">
        <v>0</v>
      </c>
      <c r="T98" s="227">
        <v>0</v>
      </c>
    </row>
    <row r="99" spans="1:20" s="384" customFormat="1" ht="15.75">
      <c r="A99" s="62"/>
      <c r="B99" s="59" t="s">
        <v>144</v>
      </c>
      <c r="C99" s="50">
        <f>SUM(D99:N99)</f>
        <v>0</v>
      </c>
      <c r="D99" s="161">
        <v>0</v>
      </c>
      <c r="E99" s="161"/>
      <c r="F99" s="161"/>
      <c r="G99" s="242">
        <v>0</v>
      </c>
      <c r="H99" s="105"/>
      <c r="I99" s="50"/>
      <c r="J99" s="87"/>
      <c r="K99" s="50"/>
      <c r="L99" s="50"/>
      <c r="M99" s="50"/>
      <c r="N99" s="50"/>
      <c r="O99" s="106"/>
      <c r="P99" s="50"/>
      <c r="Q99" s="347" t="s">
        <v>11</v>
      </c>
      <c r="R99" s="348" t="s">
        <v>207</v>
      </c>
      <c r="S99" s="112">
        <v>0</v>
      </c>
      <c r="T99" s="227">
        <v>0</v>
      </c>
    </row>
    <row r="100" spans="1:20" s="384" customFormat="1" ht="15.75">
      <c r="A100" s="62"/>
      <c r="B100" s="59" t="s">
        <v>57</v>
      </c>
      <c r="C100" s="64">
        <f>SUM(D100:N100)</f>
        <v>-41.35</v>
      </c>
      <c r="D100" s="64"/>
      <c r="E100" s="64"/>
      <c r="F100" s="64"/>
      <c r="G100" s="64"/>
      <c r="H100" s="64">
        <f>ROUND(((C92)+(C97)/2)*(O100/12),2)</f>
        <v>-41.35</v>
      </c>
      <c r="I100" s="64"/>
      <c r="J100" s="64"/>
      <c r="K100" s="64"/>
      <c r="L100" s="64"/>
      <c r="M100" s="64"/>
      <c r="N100" s="64"/>
      <c r="O100" s="99">
        <v>0.01</v>
      </c>
      <c r="P100" s="50"/>
      <c r="Q100" s="340" t="s">
        <v>80</v>
      </c>
      <c r="R100" s="339" t="s">
        <v>59</v>
      </c>
      <c r="S100" s="88">
        <f>IF((-C97-C98-C99)&gt;0,(-C97-C98-C99),0)</f>
        <v>0</v>
      </c>
      <c r="T100" s="89">
        <f>IF((-C97-C98-C99)&lt;0,(-C97-C98-C99),0)</f>
        <v>-316646.56350300065</v>
      </c>
    </row>
    <row r="101" spans="1:20" s="384" customFormat="1" ht="16.5" thickBot="1">
      <c r="A101" s="104">
        <f>A97</f>
        <v>41426</v>
      </c>
      <c r="B101" s="50" t="s">
        <v>56</v>
      </c>
      <c r="C101" s="158">
        <f>SUM(C92:C100)</f>
        <v>108659.40754694026</v>
      </c>
      <c r="D101" s="158">
        <f>SUM(D92:D100)</f>
        <v>-764537.78326267947</v>
      </c>
      <c r="E101" s="158">
        <f>SUM(E92:E100)</f>
        <v>881118.9608096208</v>
      </c>
      <c r="F101" s="158">
        <f t="shared" ref="F101" si="13">SUM(F92:F100)</f>
        <v>0</v>
      </c>
      <c r="G101" s="158">
        <f t="shared" ref="G101" si="14">SUM(G92:G100)</f>
        <v>0</v>
      </c>
      <c r="H101" s="158">
        <f t="shared" ref="H101" si="15">SUM(H92:H100)</f>
        <v>-7921.7699999999995</v>
      </c>
      <c r="I101" s="158">
        <f>SUM(I86:I100)</f>
        <v>0</v>
      </c>
      <c r="J101" s="158">
        <f>SUM(J86:J100)</f>
        <v>0</v>
      </c>
      <c r="K101" s="158">
        <f>SUM(K86:K100)</f>
        <v>0</v>
      </c>
      <c r="L101" s="158">
        <f>SUM(L86:L100)</f>
        <v>0</v>
      </c>
      <c r="M101" s="158">
        <f>SUM(M92:M100)</f>
        <v>0</v>
      </c>
      <c r="N101" s="158">
        <f>SUM(N92:N100)</f>
        <v>0</v>
      </c>
      <c r="O101" s="50"/>
      <c r="P101" s="50"/>
      <c r="Q101" s="342" t="s">
        <v>154</v>
      </c>
      <c r="R101" s="339" t="s">
        <v>77</v>
      </c>
      <c r="S101" s="88">
        <f>IF(-C100&lt;0,C100,0)</f>
        <v>0</v>
      </c>
      <c r="T101" s="89">
        <f>IF(-C100&lt;0,-C100,0)</f>
        <v>0</v>
      </c>
    </row>
    <row r="102" spans="1:20" s="384" customFormat="1" ht="16.5" thickTop="1" thickBot="1">
      <c r="A102" s="53"/>
      <c r="Q102" s="343" t="s">
        <v>83</v>
      </c>
      <c r="R102" s="341" t="s">
        <v>78</v>
      </c>
      <c r="S102" s="118">
        <f>IF(-C100&gt;0,-C100,0)</f>
        <v>41.35</v>
      </c>
      <c r="T102" s="111">
        <f>IF(-C100&lt;0,-C100,0)</f>
        <v>0</v>
      </c>
    </row>
    <row r="103" spans="1:20" s="384" customFormat="1">
      <c r="A103" s="53"/>
      <c r="T103" s="338">
        <f>ROUND(SUM(S97:T102),2)</f>
        <v>0</v>
      </c>
    </row>
    <row r="104" spans="1:20" ht="15.75" thickBot="1"/>
    <row r="105" spans="1:20" s="384" customFormat="1" ht="16.5" thickBot="1">
      <c r="A105" s="58"/>
      <c r="Q105" s="336" t="s">
        <v>107</v>
      </c>
      <c r="R105" s="332"/>
      <c r="S105" s="332"/>
      <c r="T105" s="228"/>
    </row>
    <row r="106" spans="1:20" s="384" customFormat="1" ht="15.75">
      <c r="A106" s="58">
        <v>41456</v>
      </c>
      <c r="B106" s="59" t="s">
        <v>84</v>
      </c>
      <c r="C106" s="50">
        <f>SUM(D106:N106)</f>
        <v>269453.32351300115</v>
      </c>
      <c r="D106" s="241">
        <v>-247183.18822599918</v>
      </c>
      <c r="E106" s="241">
        <v>516636.51173900033</v>
      </c>
      <c r="F106" s="242">
        <v>0</v>
      </c>
      <c r="G106" s="242">
        <v>0</v>
      </c>
      <c r="H106" s="50">
        <v>0</v>
      </c>
      <c r="I106" s="50"/>
      <c r="J106" s="50"/>
      <c r="K106" s="50"/>
      <c r="L106" s="50"/>
      <c r="M106" s="50"/>
      <c r="N106" s="50">
        <v>0</v>
      </c>
      <c r="O106" s="106"/>
      <c r="P106" s="50"/>
      <c r="Q106" s="345" t="s">
        <v>81</v>
      </c>
      <c r="R106" s="346" t="s">
        <v>58</v>
      </c>
      <c r="S106" s="112">
        <f>IF((-C101+C110)&gt;0,(-C101+C110),0)</f>
        <v>269656.14351300115</v>
      </c>
      <c r="T106" s="117">
        <f>IF((-C101+C110)&lt;0,(-C101+C110),0)</f>
        <v>0</v>
      </c>
    </row>
    <row r="107" spans="1:20" s="384" customFormat="1" ht="15.75">
      <c r="A107" s="62"/>
      <c r="B107" s="59" t="s">
        <v>148</v>
      </c>
      <c r="C107" s="50">
        <v>0</v>
      </c>
      <c r="D107" s="242">
        <v>0</v>
      </c>
      <c r="E107" s="242">
        <v>0</v>
      </c>
      <c r="F107" s="242"/>
      <c r="G107" s="243"/>
      <c r="H107" s="60"/>
      <c r="I107" s="50"/>
      <c r="J107" s="87"/>
      <c r="K107" s="87"/>
      <c r="L107" s="50"/>
      <c r="M107" s="50"/>
      <c r="N107" s="50"/>
      <c r="O107" s="106"/>
      <c r="P107" s="50"/>
      <c r="Q107" s="347" t="s">
        <v>11</v>
      </c>
      <c r="R107" s="348" t="s">
        <v>62</v>
      </c>
      <c r="S107" s="112">
        <v>0</v>
      </c>
      <c r="T107" s="227">
        <v>0</v>
      </c>
    </row>
    <row r="108" spans="1:20" s="384" customFormat="1" ht="15.75">
      <c r="A108" s="62"/>
      <c r="B108" s="59" t="s">
        <v>144</v>
      </c>
      <c r="C108" s="50">
        <f>SUM(D108:N108)</f>
        <v>0</v>
      </c>
      <c r="D108" s="161">
        <v>0</v>
      </c>
      <c r="E108" s="161"/>
      <c r="F108" s="161"/>
      <c r="G108" s="242">
        <v>0</v>
      </c>
      <c r="H108" s="105"/>
      <c r="I108" s="50"/>
      <c r="J108" s="87"/>
      <c r="K108" s="50"/>
      <c r="L108" s="50"/>
      <c r="M108" s="50"/>
      <c r="N108" s="50"/>
      <c r="O108" s="106"/>
      <c r="P108" s="50"/>
      <c r="Q108" s="347" t="s">
        <v>11</v>
      </c>
      <c r="R108" s="348" t="s">
        <v>207</v>
      </c>
      <c r="S108" s="112">
        <v>0</v>
      </c>
      <c r="T108" s="227">
        <v>0</v>
      </c>
    </row>
    <row r="109" spans="1:20" s="384" customFormat="1" ht="15.75">
      <c r="A109" s="62"/>
      <c r="B109" s="59" t="s">
        <v>57</v>
      </c>
      <c r="C109" s="64">
        <f>SUM(D109:N109)</f>
        <v>202.82</v>
      </c>
      <c r="D109" s="64"/>
      <c r="E109" s="64"/>
      <c r="F109" s="64"/>
      <c r="G109" s="64"/>
      <c r="H109" s="64">
        <v>202.82</v>
      </c>
      <c r="I109" s="64"/>
      <c r="J109" s="64"/>
      <c r="K109" s="64"/>
      <c r="L109" s="64"/>
      <c r="M109" s="64"/>
      <c r="N109" s="64"/>
      <c r="O109" s="99">
        <v>0.01</v>
      </c>
      <c r="P109" s="50"/>
      <c r="Q109" s="340" t="s">
        <v>80</v>
      </c>
      <c r="R109" s="339" t="s">
        <v>59</v>
      </c>
      <c r="S109" s="88">
        <f>IF((-C106-C107-C108)&gt;0,(-C106-C107-C108),0)</f>
        <v>0</v>
      </c>
      <c r="T109" s="89">
        <f>IF((-C106-C107-C108)&lt;0,(-C106-C107-C108),0)</f>
        <v>-269453.32351300115</v>
      </c>
    </row>
    <row r="110" spans="1:20" s="384" customFormat="1" ht="16.5" thickBot="1">
      <c r="A110" s="104">
        <f>A106</f>
        <v>41456</v>
      </c>
      <c r="B110" s="50" t="s">
        <v>56</v>
      </c>
      <c r="C110" s="158">
        <f>SUM(C101:C109)</f>
        <v>378315.55105994141</v>
      </c>
      <c r="D110" s="158">
        <f>SUM(D101:D109)</f>
        <v>-1011720.9714886786</v>
      </c>
      <c r="E110" s="158">
        <f>SUM(E101:E109)</f>
        <v>1397755.4725486212</v>
      </c>
      <c r="F110" s="158">
        <f t="shared" ref="F110:H110" si="16">SUM(F101:F109)</f>
        <v>0</v>
      </c>
      <c r="G110" s="158">
        <f t="shared" si="16"/>
        <v>0</v>
      </c>
      <c r="H110" s="158">
        <f t="shared" si="16"/>
        <v>-7718.95</v>
      </c>
      <c r="I110" s="158">
        <f>SUM(I95:I109)</f>
        <v>0</v>
      </c>
      <c r="J110" s="158">
        <f>SUM(J95:J109)</f>
        <v>0</v>
      </c>
      <c r="K110" s="158">
        <f>SUM(K95:K109)</f>
        <v>0</v>
      </c>
      <c r="L110" s="158">
        <f>SUM(L95:L109)</f>
        <v>0</v>
      </c>
      <c r="M110" s="158">
        <f>SUM(M101:M109)</f>
        <v>0</v>
      </c>
      <c r="N110" s="158">
        <f>SUM(N101:N109)</f>
        <v>0</v>
      </c>
      <c r="O110" s="50"/>
      <c r="P110" s="50"/>
      <c r="Q110" s="342" t="s">
        <v>154</v>
      </c>
      <c r="R110" s="339" t="s">
        <v>77</v>
      </c>
      <c r="S110" s="88">
        <v>0</v>
      </c>
      <c r="T110" s="89">
        <f>IF(-C109&lt;0,-C109,0)</f>
        <v>-202.82</v>
      </c>
    </row>
    <row r="111" spans="1:20" s="384" customFormat="1" ht="16.5" thickTop="1" thickBot="1">
      <c r="A111" s="53"/>
      <c r="Q111" s="343" t="s">
        <v>83</v>
      </c>
      <c r="R111" s="341" t="s">
        <v>78</v>
      </c>
      <c r="S111" s="118">
        <f>IF(-C109&gt;0,-C109,0)</f>
        <v>0</v>
      </c>
      <c r="T111" s="111">
        <v>0</v>
      </c>
    </row>
    <row r="112" spans="1:20" s="384" customFormat="1">
      <c r="A112" s="53"/>
      <c r="T112" s="338">
        <f>ROUND(SUM(S106:T111),2)</f>
        <v>0</v>
      </c>
    </row>
    <row r="113" spans="1:20" ht="15.75" thickBot="1"/>
    <row r="114" spans="1:20" s="384" customFormat="1" ht="16.5" thickBot="1">
      <c r="A114" s="58"/>
      <c r="Q114" s="336" t="s">
        <v>107</v>
      </c>
      <c r="R114" s="332"/>
      <c r="S114" s="332"/>
      <c r="T114" s="228"/>
    </row>
    <row r="115" spans="1:20" s="384" customFormat="1" ht="15.75">
      <c r="A115" s="58">
        <v>41487</v>
      </c>
      <c r="B115" s="59" t="s">
        <v>84</v>
      </c>
      <c r="C115" s="50">
        <f>SUM(D115:N115)</f>
        <v>112699.18364000041</v>
      </c>
      <c r="D115" s="241">
        <v>-357404.51535499981</v>
      </c>
      <c r="E115" s="241">
        <v>470103.69899500022</v>
      </c>
      <c r="F115" s="242">
        <v>0</v>
      </c>
      <c r="G115" s="242">
        <v>0</v>
      </c>
      <c r="H115" s="50">
        <v>0</v>
      </c>
      <c r="I115" s="50"/>
      <c r="J115" s="50"/>
      <c r="K115" s="50"/>
      <c r="L115" s="50"/>
      <c r="M115" s="50"/>
      <c r="N115" s="50">
        <v>0</v>
      </c>
      <c r="O115" s="106"/>
      <c r="P115" s="50"/>
      <c r="Q115" s="345" t="s">
        <v>81</v>
      </c>
      <c r="R115" s="346" t="s">
        <v>58</v>
      </c>
      <c r="S115" s="112">
        <f>IF((-C110+C119)&gt;0,(-C110+C119),0)</f>
        <v>113061.40364000038</v>
      </c>
      <c r="T115" s="117">
        <f>IF((-C110+C119)&lt;0,(-C110+C119),0)</f>
        <v>0</v>
      </c>
    </row>
    <row r="116" spans="1:20" s="384" customFormat="1" ht="15.75">
      <c r="A116" s="62"/>
      <c r="B116" s="59" t="s">
        <v>148</v>
      </c>
      <c r="C116" s="50">
        <v>0</v>
      </c>
      <c r="D116" s="242">
        <v>0</v>
      </c>
      <c r="E116" s="242">
        <v>0</v>
      </c>
      <c r="F116" s="242"/>
      <c r="G116" s="243"/>
      <c r="H116" s="60"/>
      <c r="I116" s="50"/>
      <c r="J116" s="87"/>
      <c r="K116" s="87"/>
      <c r="L116" s="50"/>
      <c r="M116" s="50"/>
      <c r="N116" s="50"/>
      <c r="O116" s="106"/>
      <c r="P116" s="50"/>
      <c r="Q116" s="347" t="s">
        <v>11</v>
      </c>
      <c r="R116" s="348" t="s">
        <v>62</v>
      </c>
      <c r="S116" s="112">
        <v>0</v>
      </c>
      <c r="T116" s="227">
        <v>0</v>
      </c>
    </row>
    <row r="117" spans="1:20" s="384" customFormat="1" ht="15.75">
      <c r="A117" s="62"/>
      <c r="B117" s="59" t="s">
        <v>144</v>
      </c>
      <c r="C117" s="50">
        <f>SUM(D117:N117)</f>
        <v>0</v>
      </c>
      <c r="D117" s="161">
        <v>0</v>
      </c>
      <c r="E117" s="161"/>
      <c r="F117" s="161"/>
      <c r="G117" s="242">
        <v>0</v>
      </c>
      <c r="H117" s="105"/>
      <c r="I117" s="50"/>
      <c r="J117" s="87"/>
      <c r="K117" s="50"/>
      <c r="L117" s="50"/>
      <c r="M117" s="50"/>
      <c r="N117" s="50"/>
      <c r="O117" s="106"/>
      <c r="P117" s="50"/>
      <c r="Q117" s="347" t="s">
        <v>11</v>
      </c>
      <c r="R117" s="348" t="s">
        <v>207</v>
      </c>
      <c r="S117" s="112">
        <v>0</v>
      </c>
      <c r="T117" s="227">
        <v>0</v>
      </c>
    </row>
    <row r="118" spans="1:20" s="384" customFormat="1" ht="15.75">
      <c r="A118" s="62"/>
      <c r="B118" s="59" t="s">
        <v>57</v>
      </c>
      <c r="C118" s="64">
        <f>SUM(D118:N118)</f>
        <v>362.22</v>
      </c>
      <c r="D118" s="64"/>
      <c r="E118" s="64"/>
      <c r="F118" s="64"/>
      <c r="G118" s="64"/>
      <c r="H118" s="64">
        <v>362.22</v>
      </c>
      <c r="I118" s="64"/>
      <c r="J118" s="64"/>
      <c r="K118" s="64"/>
      <c r="L118" s="64"/>
      <c r="M118" s="64"/>
      <c r="N118" s="64"/>
      <c r="O118" s="99">
        <v>0.01</v>
      </c>
      <c r="P118" s="50"/>
      <c r="Q118" s="340" t="s">
        <v>80</v>
      </c>
      <c r="R118" s="339" t="s">
        <v>59</v>
      </c>
      <c r="S118" s="88">
        <f>IF((-C115-C116-C117)&gt;0,(-C115-C116-C117),0)</f>
        <v>0</v>
      </c>
      <c r="T118" s="89">
        <f>IF((-C115-C116-C117)&lt;0,(-C115-C116-C117),0)</f>
        <v>-112699.18364000041</v>
      </c>
    </row>
    <row r="119" spans="1:20" s="384" customFormat="1" ht="16.5" thickBot="1">
      <c r="A119" s="104">
        <f>A115</f>
        <v>41487</v>
      </c>
      <c r="B119" s="50" t="s">
        <v>56</v>
      </c>
      <c r="C119" s="158">
        <f>SUM(C110:C118)</f>
        <v>491376.95469994179</v>
      </c>
      <c r="D119" s="158">
        <f>SUM(D110:D118)</f>
        <v>-1369125.4868436784</v>
      </c>
      <c r="E119" s="158">
        <f>SUM(E110:E118)</f>
        <v>1867859.1715436215</v>
      </c>
      <c r="F119" s="158">
        <f t="shared" ref="F119:H119" si="17">SUM(F110:F118)</f>
        <v>0</v>
      </c>
      <c r="G119" s="158">
        <f t="shared" si="17"/>
        <v>0</v>
      </c>
      <c r="H119" s="158">
        <f t="shared" si="17"/>
        <v>-7356.73</v>
      </c>
      <c r="I119" s="158">
        <f>SUM(I104:I118)</f>
        <v>0</v>
      </c>
      <c r="J119" s="158">
        <f>SUM(J104:J118)</f>
        <v>0</v>
      </c>
      <c r="K119" s="158">
        <f>SUM(K104:K118)</f>
        <v>0</v>
      </c>
      <c r="L119" s="158">
        <f>SUM(L104:L118)</f>
        <v>0</v>
      </c>
      <c r="M119" s="158">
        <f>SUM(M110:M118)</f>
        <v>0</v>
      </c>
      <c r="N119" s="158">
        <f>SUM(N110:N118)</f>
        <v>0</v>
      </c>
      <c r="O119" s="50"/>
      <c r="P119" s="50"/>
      <c r="Q119" s="342" t="s">
        <v>154</v>
      </c>
      <c r="R119" s="339" t="s">
        <v>77</v>
      </c>
      <c r="S119" s="88">
        <v>0</v>
      </c>
      <c r="T119" s="89">
        <f>IF(-C118&lt;0,-C118,0)</f>
        <v>-362.22</v>
      </c>
    </row>
    <row r="120" spans="1:20" s="384" customFormat="1" ht="16.5" thickTop="1" thickBot="1">
      <c r="A120" s="53"/>
      <c r="Q120" s="343" t="s">
        <v>83</v>
      </c>
      <c r="R120" s="341" t="s">
        <v>78</v>
      </c>
      <c r="S120" s="118">
        <f>IF(-C118&gt;0,-C118,0)</f>
        <v>0</v>
      </c>
      <c r="T120" s="111">
        <v>0</v>
      </c>
    </row>
    <row r="121" spans="1:20" s="384" customFormat="1">
      <c r="A121" s="53"/>
      <c r="T121" s="338">
        <f>ROUND(SUM(S115:T120),2)</f>
        <v>0</v>
      </c>
    </row>
    <row r="122" spans="1:20" ht="15.75" thickBot="1"/>
    <row r="123" spans="1:20" s="384" customFormat="1" ht="16.5" thickBot="1">
      <c r="A123" s="58"/>
      <c r="Q123" s="336" t="s">
        <v>107</v>
      </c>
      <c r="R123" s="332"/>
      <c r="S123" s="332"/>
      <c r="T123" s="228"/>
    </row>
    <row r="124" spans="1:20" s="384" customFormat="1" ht="15.75">
      <c r="A124" s="58">
        <v>41518</v>
      </c>
      <c r="B124" s="59" t="s">
        <v>84</v>
      </c>
      <c r="C124" s="50">
        <f>SUM(D124:N124)</f>
        <v>-78276.439306000422</v>
      </c>
      <c r="D124" s="241">
        <v>-455176.44495200075</v>
      </c>
      <c r="E124" s="241">
        <v>376900.00564600033</v>
      </c>
      <c r="F124" s="242">
        <v>0</v>
      </c>
      <c r="G124" s="242">
        <v>0</v>
      </c>
      <c r="H124" s="50">
        <v>0</v>
      </c>
      <c r="I124" s="50"/>
      <c r="J124" s="50"/>
      <c r="K124" s="50"/>
      <c r="L124" s="50"/>
      <c r="M124" s="50"/>
      <c r="N124" s="50">
        <v>0</v>
      </c>
      <c r="O124" s="106"/>
      <c r="P124" s="50"/>
      <c r="Q124" s="345" t="s">
        <v>81</v>
      </c>
      <c r="R124" s="346" t="s">
        <v>58</v>
      </c>
      <c r="S124" s="112">
        <f>IF((-C119+C128)&gt;0,(-C119+C128),0)</f>
        <v>0</v>
      </c>
      <c r="T124" s="117">
        <f>IF((-C119+C128)&lt;0,(-C119+C128),0)</f>
        <v>-77899.569306000427</v>
      </c>
    </row>
    <row r="125" spans="1:20" s="384" customFormat="1" ht="15.75">
      <c r="A125" s="62"/>
      <c r="B125" s="59" t="s">
        <v>148</v>
      </c>
      <c r="C125" s="50">
        <v>0</v>
      </c>
      <c r="D125" s="242">
        <v>0</v>
      </c>
      <c r="E125" s="242">
        <v>0</v>
      </c>
      <c r="F125" s="242"/>
      <c r="G125" s="243"/>
      <c r="H125" s="60"/>
      <c r="I125" s="50"/>
      <c r="J125" s="87"/>
      <c r="K125" s="87"/>
      <c r="L125" s="50"/>
      <c r="M125" s="50"/>
      <c r="N125" s="50"/>
      <c r="O125" s="106"/>
      <c r="P125" s="50"/>
      <c r="Q125" s="347" t="s">
        <v>11</v>
      </c>
      <c r="R125" s="348" t="s">
        <v>62</v>
      </c>
      <c r="S125" s="112">
        <v>0</v>
      </c>
      <c r="T125" s="227">
        <v>0</v>
      </c>
    </row>
    <row r="126" spans="1:20" s="384" customFormat="1" ht="15.75">
      <c r="A126" s="62"/>
      <c r="B126" s="59" t="s">
        <v>144</v>
      </c>
      <c r="C126" s="50">
        <f>SUM(D126:N126)</f>
        <v>0</v>
      </c>
      <c r="D126" s="161">
        <v>0</v>
      </c>
      <c r="E126" s="161"/>
      <c r="F126" s="161"/>
      <c r="G126" s="242">
        <v>0</v>
      </c>
      <c r="H126" s="105"/>
      <c r="I126" s="50"/>
      <c r="J126" s="87"/>
      <c r="K126" s="50"/>
      <c r="L126" s="50"/>
      <c r="M126" s="50"/>
      <c r="N126" s="50"/>
      <c r="O126" s="106"/>
      <c r="P126" s="50"/>
      <c r="Q126" s="347" t="s">
        <v>11</v>
      </c>
      <c r="R126" s="348" t="s">
        <v>207</v>
      </c>
      <c r="S126" s="112">
        <v>0</v>
      </c>
      <c r="T126" s="227">
        <v>0</v>
      </c>
    </row>
    <row r="127" spans="1:20" s="384" customFormat="1" ht="15.75">
      <c r="A127" s="62"/>
      <c r="B127" s="59" t="s">
        <v>57</v>
      </c>
      <c r="C127" s="64">
        <f>SUM(D127:N127)</f>
        <v>376.87</v>
      </c>
      <c r="D127" s="64"/>
      <c r="E127" s="64"/>
      <c r="F127" s="64"/>
      <c r="G127" s="64"/>
      <c r="H127" s="64">
        <f>ROUND(((C119)+(C124)/2)*(O127/12),2)</f>
        <v>376.87</v>
      </c>
      <c r="I127" s="64"/>
      <c r="J127" s="64"/>
      <c r="K127" s="64"/>
      <c r="L127" s="64"/>
      <c r="M127" s="64"/>
      <c r="N127" s="64"/>
      <c r="O127" s="99">
        <v>0.01</v>
      </c>
      <c r="P127" s="50"/>
      <c r="Q127" s="340" t="s">
        <v>80</v>
      </c>
      <c r="R127" s="339" t="s">
        <v>59</v>
      </c>
      <c r="S127" s="88">
        <f>IF((-C124-C125-C126)&gt;0,(-C124-C125-C126),0)</f>
        <v>78276.439306000422</v>
      </c>
      <c r="T127" s="89">
        <f>IF((-C124-C125-C126)&lt;0,(-C124-C125-C126),0)</f>
        <v>0</v>
      </c>
    </row>
    <row r="128" spans="1:20" s="384" customFormat="1" ht="16.5" thickBot="1">
      <c r="A128" s="104">
        <f>A124</f>
        <v>41518</v>
      </c>
      <c r="B128" s="50" t="s">
        <v>56</v>
      </c>
      <c r="C128" s="158">
        <f>SUM(C119:C127)</f>
        <v>413477.38539394137</v>
      </c>
      <c r="D128" s="158">
        <f>SUM(D119:D127)</f>
        <v>-1824301.931795679</v>
      </c>
      <c r="E128" s="158">
        <f>SUM(E119:E127)</f>
        <v>2244759.1771896216</v>
      </c>
      <c r="F128" s="158">
        <f t="shared" ref="F128:H128" si="18">SUM(F119:F127)</f>
        <v>0</v>
      </c>
      <c r="G128" s="158">
        <f t="shared" si="18"/>
        <v>0</v>
      </c>
      <c r="H128" s="158">
        <f t="shared" si="18"/>
        <v>-6979.86</v>
      </c>
      <c r="I128" s="158">
        <f>SUM(I113:I127)</f>
        <v>0</v>
      </c>
      <c r="J128" s="158">
        <f>SUM(J113:J127)</f>
        <v>0</v>
      </c>
      <c r="K128" s="158">
        <f>SUM(K113:K127)</f>
        <v>0</v>
      </c>
      <c r="L128" s="158">
        <f>SUM(L113:L127)</f>
        <v>0</v>
      </c>
      <c r="M128" s="158">
        <f>SUM(M119:M127)</f>
        <v>0</v>
      </c>
      <c r="N128" s="158">
        <f>SUM(N119:N127)</f>
        <v>0</v>
      </c>
      <c r="O128" s="50"/>
      <c r="P128" s="50"/>
      <c r="Q128" s="342" t="s">
        <v>154</v>
      </c>
      <c r="R128" s="339" t="s">
        <v>77</v>
      </c>
      <c r="S128" s="88">
        <v>0</v>
      </c>
      <c r="T128" s="89">
        <f>IF(-C127&lt;0,-C127,0)</f>
        <v>-376.87</v>
      </c>
    </row>
    <row r="129" spans="1:20" s="384" customFormat="1" ht="16.5" thickTop="1" thickBot="1">
      <c r="A129" s="53"/>
      <c r="Q129" s="343" t="s">
        <v>83</v>
      </c>
      <c r="R129" s="341" t="s">
        <v>78</v>
      </c>
      <c r="S129" s="118">
        <f>IF(-C127&gt;0,-C127,0)</f>
        <v>0</v>
      </c>
      <c r="T129" s="111">
        <v>0</v>
      </c>
    </row>
    <row r="130" spans="1:20" s="384" customFormat="1">
      <c r="A130" s="53"/>
      <c r="T130" s="338">
        <f>ROUND(SUM(S124:T129),2)</f>
        <v>0</v>
      </c>
    </row>
    <row r="131" spans="1:20" ht="15.75">
      <c r="B131" s="2" t="s">
        <v>11</v>
      </c>
      <c r="C131" s="50">
        <f>SUM(D131:H131)</f>
        <v>-108659.43754694135</v>
      </c>
      <c r="D131" s="242">
        <f>-D101</f>
        <v>764537.78326267947</v>
      </c>
      <c r="E131" s="242">
        <f>-E101-0.03</f>
        <v>-881118.99080962082</v>
      </c>
      <c r="F131" s="242"/>
      <c r="G131" s="243"/>
      <c r="H131" s="60">
        <f>-H101</f>
        <v>7921.7699999999995</v>
      </c>
      <c r="I131" s="50"/>
      <c r="J131" s="87"/>
      <c r="K131" s="87"/>
      <c r="L131" s="50"/>
      <c r="M131" s="50"/>
      <c r="N131" s="50"/>
    </row>
    <row r="132" spans="1:20" s="384" customFormat="1" ht="16.5" thickBot="1">
      <c r="A132" s="53"/>
      <c r="B132" s="2" t="s">
        <v>227</v>
      </c>
      <c r="C132" s="158">
        <f t="shared" ref="C132:H132" si="19">SUM(C128:C131)</f>
        <v>304817.94784700003</v>
      </c>
      <c r="D132" s="158">
        <f t="shared" si="19"/>
        <v>-1059764.1485329997</v>
      </c>
      <c r="E132" s="158">
        <f t="shared" si="19"/>
        <v>1363640.1863800008</v>
      </c>
      <c r="F132" s="158">
        <f t="shared" si="19"/>
        <v>0</v>
      </c>
      <c r="G132" s="158">
        <f t="shared" si="19"/>
        <v>0</v>
      </c>
      <c r="H132" s="158">
        <f t="shared" si="19"/>
        <v>941.90999999999985</v>
      </c>
      <c r="I132" s="158">
        <f>SUM(I117:I131)</f>
        <v>0</v>
      </c>
      <c r="J132" s="158">
        <f>SUM(J117:J131)</f>
        <v>0</v>
      </c>
      <c r="K132" s="158">
        <f>SUM(K117:K131)</f>
        <v>0</v>
      </c>
      <c r="L132" s="158">
        <f>SUM(L117:L131)</f>
        <v>0</v>
      </c>
      <c r="M132" s="158">
        <f>SUM(M123:M131)</f>
        <v>0</v>
      </c>
      <c r="N132" s="158">
        <f>SUM(N123:N131)</f>
        <v>0</v>
      </c>
    </row>
    <row r="133" spans="1:20" s="384" customFormat="1" ht="15.75" thickTop="1">
      <c r="A133" s="53"/>
    </row>
    <row r="134" spans="1:20" s="384" customFormat="1">
      <c r="A134" s="53"/>
    </row>
    <row r="135" spans="1:20" s="384" customFormat="1" ht="15.75" thickBot="1">
      <c r="A135" s="53"/>
    </row>
    <row r="136" spans="1:20" s="384" customFormat="1" ht="16.5" thickBot="1">
      <c r="A136" s="58"/>
      <c r="Q136" s="336" t="s">
        <v>107</v>
      </c>
      <c r="R136" s="332"/>
      <c r="S136" s="332"/>
      <c r="T136" s="228"/>
    </row>
    <row r="137" spans="1:20" s="384" customFormat="1" ht="15.75">
      <c r="A137" s="58">
        <v>41578</v>
      </c>
      <c r="B137" s="59" t="s">
        <v>84</v>
      </c>
      <c r="C137" s="50">
        <f>SUM(D137:N137)</f>
        <v>-484520.52738299966</v>
      </c>
      <c r="D137" s="241">
        <v>-566000.77746000001</v>
      </c>
      <c r="E137" s="241">
        <v>81480.250077000353</v>
      </c>
      <c r="F137" s="242">
        <v>0</v>
      </c>
      <c r="G137" s="242">
        <v>0</v>
      </c>
      <c r="H137" s="50">
        <v>0</v>
      </c>
      <c r="I137" s="50"/>
      <c r="J137" s="50"/>
      <c r="K137" s="50"/>
      <c r="L137" s="50"/>
      <c r="M137" s="50"/>
      <c r="N137" s="50">
        <v>0</v>
      </c>
      <c r="O137" s="106"/>
      <c r="P137" s="50"/>
      <c r="Q137" s="345" t="s">
        <v>81</v>
      </c>
      <c r="R137" s="346" t="s">
        <v>58</v>
      </c>
      <c r="S137" s="112">
        <f>IF((-C128+C141)&gt;0,(-C128+C141),0)</f>
        <v>0</v>
      </c>
      <c r="T137" s="117">
        <f>IF((-C128+C141)&lt;0,(-C128+C141),0)</f>
        <v>-593127.83492994099</v>
      </c>
    </row>
    <row r="138" spans="1:20" s="384" customFormat="1" ht="15.75">
      <c r="A138" s="62"/>
      <c r="B138" s="59" t="s">
        <v>148</v>
      </c>
      <c r="C138" s="50">
        <f>SUM(D138:H138)</f>
        <v>0</v>
      </c>
      <c r="D138" s="242">
        <v>0</v>
      </c>
      <c r="E138" s="242">
        <v>0</v>
      </c>
      <c r="F138" s="242"/>
      <c r="G138" s="243"/>
      <c r="H138" s="60">
        <v>0</v>
      </c>
      <c r="I138" s="50"/>
      <c r="J138" s="87"/>
      <c r="K138" s="87"/>
      <c r="L138" s="50"/>
      <c r="M138" s="50"/>
      <c r="N138" s="50"/>
      <c r="O138" s="106"/>
      <c r="P138" s="50"/>
      <c r="Q138" s="347" t="s">
        <v>11</v>
      </c>
      <c r="R138" s="348" t="s">
        <v>62</v>
      </c>
      <c r="S138" s="112">
        <f>-C131</f>
        <v>108659.43754694135</v>
      </c>
      <c r="T138" s="227">
        <v>0</v>
      </c>
    </row>
    <row r="139" spans="1:20" s="384" customFormat="1" ht="15.75">
      <c r="A139" s="62"/>
      <c r="B139" s="59" t="s">
        <v>144</v>
      </c>
      <c r="C139" s="50">
        <f>SUM(D139:N139)</f>
        <v>0</v>
      </c>
      <c r="D139" s="161"/>
      <c r="E139" s="161"/>
      <c r="F139" s="161"/>
      <c r="G139" s="242">
        <v>0</v>
      </c>
      <c r="H139" s="105"/>
      <c r="I139" s="50"/>
      <c r="J139" s="87"/>
      <c r="K139" s="50"/>
      <c r="L139" s="50"/>
      <c r="M139" s="50"/>
      <c r="N139" s="50"/>
      <c r="O139" s="106"/>
      <c r="P139" s="50"/>
      <c r="Q139" s="347" t="s">
        <v>11</v>
      </c>
      <c r="R139" s="348" t="s">
        <v>207</v>
      </c>
      <c r="S139" s="112">
        <v>0</v>
      </c>
      <c r="T139" s="227">
        <v>0</v>
      </c>
    </row>
    <row r="140" spans="1:20" s="384" customFormat="1" ht="15.75">
      <c r="A140" s="62"/>
      <c r="B140" s="59" t="s">
        <v>57</v>
      </c>
      <c r="C140" s="64">
        <f>SUM(D140:N140)</f>
        <v>52.13</v>
      </c>
      <c r="D140" s="64"/>
      <c r="E140" s="64"/>
      <c r="F140" s="64"/>
      <c r="G140" s="64"/>
      <c r="H140" s="64">
        <v>52.13</v>
      </c>
      <c r="I140" s="64"/>
      <c r="J140" s="64"/>
      <c r="K140" s="64"/>
      <c r="L140" s="64"/>
      <c r="M140" s="64"/>
      <c r="N140" s="64"/>
      <c r="O140" s="99">
        <v>0.01</v>
      </c>
      <c r="P140" s="50"/>
      <c r="Q140" s="340" t="s">
        <v>80</v>
      </c>
      <c r="R140" s="339" t="s">
        <v>59</v>
      </c>
      <c r="S140" s="88">
        <f>IF((-C137-C138-C139)&gt;0,(-C137-C138-C139),0)</f>
        <v>484520.52738299966</v>
      </c>
      <c r="T140" s="89">
        <f>IF((-C137-C138-C139)&lt;0,(-C137-C138-C139),0)</f>
        <v>0</v>
      </c>
    </row>
    <row r="141" spans="1:20" s="384" customFormat="1" ht="16.5" thickBot="1">
      <c r="A141" s="104">
        <f>A137</f>
        <v>41578</v>
      </c>
      <c r="B141" s="50" t="s">
        <v>56</v>
      </c>
      <c r="C141" s="158">
        <f t="shared" ref="C141:H141" si="20">SUM(C132:C140)</f>
        <v>-179650.44953599962</v>
      </c>
      <c r="D141" s="158">
        <f t="shared" si="20"/>
        <v>-1625764.9259929997</v>
      </c>
      <c r="E141" s="158">
        <f t="shared" si="20"/>
        <v>1445120.4364570011</v>
      </c>
      <c r="F141" s="158">
        <f t="shared" si="20"/>
        <v>0</v>
      </c>
      <c r="G141" s="158">
        <f t="shared" si="20"/>
        <v>0</v>
      </c>
      <c r="H141" s="158">
        <f t="shared" si="20"/>
        <v>994.03999999999985</v>
      </c>
      <c r="I141" s="158">
        <f>SUM(I122:I140)</f>
        <v>0</v>
      </c>
      <c r="J141" s="158">
        <f>SUM(J122:J140)</f>
        <v>0</v>
      </c>
      <c r="K141" s="158">
        <f>SUM(K122:K140)</f>
        <v>0</v>
      </c>
      <c r="L141" s="158">
        <f>SUM(L122:L140)</f>
        <v>0</v>
      </c>
      <c r="M141" s="158">
        <f>SUM(M128:M140)</f>
        <v>0</v>
      </c>
      <c r="N141" s="158">
        <f>SUM(N128:N140)</f>
        <v>0</v>
      </c>
      <c r="O141" s="50"/>
      <c r="P141" s="50"/>
      <c r="Q141" s="342" t="s">
        <v>154</v>
      </c>
      <c r="R141" s="339" t="s">
        <v>77</v>
      </c>
      <c r="S141" s="88">
        <v>0</v>
      </c>
      <c r="T141" s="89">
        <f>IF(-C140&lt;0,-C140,0)</f>
        <v>-52.13</v>
      </c>
    </row>
    <row r="142" spans="1:20" s="384" customFormat="1" ht="16.5" thickTop="1" thickBot="1">
      <c r="A142" s="53"/>
      <c r="Q142" s="343" t="s">
        <v>83</v>
      </c>
      <c r="R142" s="341" t="s">
        <v>78</v>
      </c>
      <c r="S142" s="118">
        <f>IF(-C140&gt;0,-C140,0)</f>
        <v>0</v>
      </c>
      <c r="T142" s="111">
        <v>0</v>
      </c>
    </row>
    <row r="143" spans="1:20" s="384" customFormat="1">
      <c r="A143" s="53"/>
      <c r="T143" s="338">
        <f>ROUND(SUM(S137:T142),2)</f>
        <v>0</v>
      </c>
    </row>
    <row r="144" spans="1:20" s="384" customFormat="1" ht="15.75" thickBot="1">
      <c r="A144" s="53"/>
    </row>
    <row r="145" spans="1:20" s="384" customFormat="1" ht="16.5" thickBot="1">
      <c r="A145" s="58"/>
      <c r="Q145" s="336" t="s">
        <v>107</v>
      </c>
      <c r="R145" s="332"/>
      <c r="S145" s="332"/>
      <c r="T145" s="228"/>
    </row>
    <row r="146" spans="1:20" s="384" customFormat="1" ht="15.75">
      <c r="A146" s="58">
        <f>EOMONTH(A141,1)</f>
        <v>41608</v>
      </c>
      <c r="B146" s="59" t="s">
        <v>84</v>
      </c>
      <c r="C146" s="50">
        <f>SUM(D146:N146)</f>
        <v>-593071.07474399754</v>
      </c>
      <c r="D146" s="241">
        <v>-244467.20447699772</v>
      </c>
      <c r="E146" s="241">
        <v>-348603.87026699982</v>
      </c>
      <c r="F146" s="242">
        <v>0</v>
      </c>
      <c r="G146" s="242">
        <v>0</v>
      </c>
      <c r="H146" s="50">
        <v>0</v>
      </c>
      <c r="I146" s="50"/>
      <c r="J146" s="50"/>
      <c r="K146" s="50"/>
      <c r="L146" s="50"/>
      <c r="M146" s="50"/>
      <c r="N146" s="50">
        <v>0</v>
      </c>
      <c r="O146" s="106"/>
      <c r="P146" s="50"/>
      <c r="Q146" s="345" t="s">
        <v>81</v>
      </c>
      <c r="R146" s="346" t="s">
        <v>58</v>
      </c>
      <c r="S146" s="112">
        <f>IF((-C141+C150)&gt;0,(-C141+C150),0)</f>
        <v>0</v>
      </c>
      <c r="T146" s="117">
        <f>IF((-C141+C150)&lt;0,(-C141+C150),0)</f>
        <v>-591098.89221899747</v>
      </c>
    </row>
    <row r="147" spans="1:20" s="384" customFormat="1" ht="15.75">
      <c r="A147" s="62"/>
      <c r="B147" s="59" t="s">
        <v>148</v>
      </c>
      <c r="C147" s="50">
        <f>SUM(D147:H147)</f>
        <v>2369.0025250000003</v>
      </c>
      <c r="D147" s="242">
        <v>2367.0300000000002</v>
      </c>
      <c r="E147" s="242">
        <v>0</v>
      </c>
      <c r="F147" s="242"/>
      <c r="G147" s="243"/>
      <c r="H147" s="60">
        <v>1.9725250000000001</v>
      </c>
      <c r="I147" s="50"/>
      <c r="J147" s="87"/>
      <c r="K147" s="87"/>
      <c r="L147" s="50"/>
      <c r="M147" s="50"/>
      <c r="N147" s="50"/>
      <c r="O147" s="106"/>
      <c r="P147" s="50"/>
      <c r="Q147" s="347" t="s">
        <v>11</v>
      </c>
      <c r="R147" s="348" t="s">
        <v>62</v>
      </c>
      <c r="S147" s="112">
        <v>0</v>
      </c>
      <c r="T147" s="227">
        <v>0</v>
      </c>
    </row>
    <row r="148" spans="1:20" s="384" customFormat="1" ht="15.75">
      <c r="A148" s="62"/>
      <c r="B148" s="59" t="s">
        <v>144</v>
      </c>
      <c r="C148" s="50">
        <f>SUM(D148:N148)</f>
        <v>0</v>
      </c>
      <c r="D148" s="161"/>
      <c r="E148" s="161"/>
      <c r="F148" s="161"/>
      <c r="G148" s="242">
        <v>0</v>
      </c>
      <c r="H148" s="105"/>
      <c r="I148" s="50"/>
      <c r="J148" s="87"/>
      <c r="K148" s="50"/>
      <c r="L148" s="50"/>
      <c r="M148" s="50"/>
      <c r="N148" s="50"/>
      <c r="O148" s="106"/>
      <c r="P148" s="50"/>
      <c r="Q148" s="347" t="s">
        <v>11</v>
      </c>
      <c r="R148" s="348" t="s">
        <v>207</v>
      </c>
      <c r="S148" s="112">
        <v>0</v>
      </c>
      <c r="T148" s="227">
        <v>0</v>
      </c>
    </row>
    <row r="149" spans="1:20" s="384" customFormat="1" ht="15.75">
      <c r="A149" s="62"/>
      <c r="B149" s="59" t="s">
        <v>57</v>
      </c>
      <c r="C149" s="64">
        <f>SUM(D149:N149)</f>
        <v>-396.82</v>
      </c>
      <c r="D149" s="64"/>
      <c r="E149" s="64"/>
      <c r="F149" s="64"/>
      <c r="G149" s="64"/>
      <c r="H149" s="64">
        <v>-396.82</v>
      </c>
      <c r="I149" s="64"/>
      <c r="J149" s="64"/>
      <c r="K149" s="64"/>
      <c r="L149" s="64"/>
      <c r="M149" s="64"/>
      <c r="N149" s="64"/>
      <c r="O149" s="99">
        <v>0.01</v>
      </c>
      <c r="P149" s="50"/>
      <c r="Q149" s="340" t="s">
        <v>80</v>
      </c>
      <c r="R149" s="339" t="s">
        <v>59</v>
      </c>
      <c r="S149" s="88">
        <f>IF((-C146-C147-C148)&gt;0,(-C146-C147-C148),0)</f>
        <v>590702.07221899752</v>
      </c>
      <c r="T149" s="89">
        <f>IF((-C146-C147-C148)&lt;0,(-C146-C147-C148),0)</f>
        <v>0</v>
      </c>
    </row>
    <row r="150" spans="1:20" s="384" customFormat="1" ht="16.5" thickBot="1">
      <c r="A150" s="104">
        <f>A146</f>
        <v>41608</v>
      </c>
      <c r="B150" s="50" t="s">
        <v>56</v>
      </c>
      <c r="C150" s="158">
        <f t="shared" ref="C150:H150" si="21">SUM(C141:C149)</f>
        <v>-770749.34175499715</v>
      </c>
      <c r="D150" s="158">
        <f t="shared" si="21"/>
        <v>-1867865.1004699974</v>
      </c>
      <c r="E150" s="158">
        <f t="shared" si="21"/>
        <v>1096516.5661900013</v>
      </c>
      <c r="F150" s="158">
        <f t="shared" si="21"/>
        <v>0</v>
      </c>
      <c r="G150" s="158">
        <f t="shared" si="21"/>
        <v>0</v>
      </c>
      <c r="H150" s="158">
        <f t="shared" si="21"/>
        <v>599.19252499999993</v>
      </c>
      <c r="I150" s="158">
        <f>SUM(I131:I149)</f>
        <v>0</v>
      </c>
      <c r="J150" s="158">
        <f>SUM(J131:J149)</f>
        <v>0</v>
      </c>
      <c r="K150" s="158">
        <f>SUM(K131:K149)</f>
        <v>0</v>
      </c>
      <c r="L150" s="158">
        <f>SUM(L131:L149)</f>
        <v>0</v>
      </c>
      <c r="M150" s="158">
        <f>SUM(M137:M149)</f>
        <v>0</v>
      </c>
      <c r="N150" s="158">
        <f>SUM(N137:N149)</f>
        <v>0</v>
      </c>
      <c r="O150" s="50"/>
      <c r="P150" s="50"/>
      <c r="Q150" s="342" t="s">
        <v>154</v>
      </c>
      <c r="R150" s="339" t="s">
        <v>77</v>
      </c>
      <c r="S150" s="88">
        <v>0</v>
      </c>
      <c r="T150" s="89">
        <f>IF(-C149&lt;0,-C149,0)</f>
        <v>0</v>
      </c>
    </row>
    <row r="151" spans="1:20" s="384" customFormat="1" ht="16.5" thickTop="1" thickBot="1">
      <c r="A151" s="53"/>
      <c r="Q151" s="343" t="s">
        <v>83</v>
      </c>
      <c r="R151" s="341" t="s">
        <v>78</v>
      </c>
      <c r="S151" s="118">
        <f>IF(-C149&gt;0,-C149,0)</f>
        <v>396.82</v>
      </c>
      <c r="T151" s="111">
        <v>0</v>
      </c>
    </row>
    <row r="152" spans="1:20" s="384" customFormat="1">
      <c r="A152" s="53"/>
      <c r="T152" s="338">
        <f>ROUND(SUM(S146:T151),2)</f>
        <v>0</v>
      </c>
    </row>
    <row r="153" spans="1:20" s="384" customFormat="1" ht="15.75" thickBot="1">
      <c r="A153" s="53"/>
    </row>
    <row r="154" spans="1:20" s="384" customFormat="1" ht="16.5" thickBot="1">
      <c r="A154" s="58"/>
      <c r="Q154" s="336" t="s">
        <v>238</v>
      </c>
      <c r="R154" s="332"/>
      <c r="S154" s="332"/>
      <c r="T154" s="228"/>
    </row>
    <row r="155" spans="1:20" s="384" customFormat="1" ht="15.75">
      <c r="A155" s="58">
        <f>EOMONTH(A150,1)</f>
        <v>41639</v>
      </c>
      <c r="B155" s="59" t="s">
        <v>84</v>
      </c>
      <c r="C155" s="50">
        <f>SUM(D155:N155)</f>
        <v>-1342040.3691409999</v>
      </c>
      <c r="D155" s="241">
        <f>Jan!$J$55</f>
        <v>-217727.43546999991</v>
      </c>
      <c r="E155" s="241">
        <f>Jan!$K$55</f>
        <v>-1124312.9336709999</v>
      </c>
      <c r="F155" s="242">
        <v>0</v>
      </c>
      <c r="G155" s="242">
        <v>0</v>
      </c>
      <c r="H155" s="50">
        <v>0</v>
      </c>
      <c r="I155" s="50"/>
      <c r="J155" s="50"/>
      <c r="K155" s="50"/>
      <c r="L155" s="50"/>
      <c r="M155" s="50"/>
      <c r="N155" s="50">
        <v>0</v>
      </c>
      <c r="O155" s="106"/>
      <c r="P155" s="50"/>
      <c r="Q155" s="345" t="s">
        <v>81</v>
      </c>
      <c r="R155" s="346" t="s">
        <v>58</v>
      </c>
      <c r="S155" s="112">
        <f>IF((-C150+C159)&gt;0,(-C150+C159),0)</f>
        <v>0</v>
      </c>
      <c r="T155" s="117">
        <f>IF((-C150+C159)&lt;0,(-C150+C159),0)</f>
        <v>-1343241.8391410001</v>
      </c>
    </row>
    <row r="156" spans="1:20" s="384" customFormat="1" ht="15.75">
      <c r="A156" s="62"/>
      <c r="B156" s="59" t="s">
        <v>234</v>
      </c>
      <c r="C156" s="50">
        <f>SUM(D156:H156)</f>
        <v>0</v>
      </c>
      <c r="D156" s="242">
        <v>0</v>
      </c>
      <c r="E156" s="242">
        <v>0</v>
      </c>
      <c r="F156" s="242"/>
      <c r="G156" s="243"/>
      <c r="H156" s="105">
        <v>0</v>
      </c>
      <c r="I156" s="50"/>
      <c r="J156" s="87"/>
      <c r="K156" s="87"/>
      <c r="L156" s="50"/>
      <c r="M156" s="50"/>
      <c r="N156" s="50"/>
      <c r="O156" s="106"/>
      <c r="P156" s="50"/>
      <c r="Q156" s="347" t="s">
        <v>11</v>
      </c>
      <c r="R156" s="348" t="s">
        <v>62</v>
      </c>
      <c r="S156" s="112">
        <v>0</v>
      </c>
      <c r="T156" s="227">
        <v>0</v>
      </c>
    </row>
    <row r="157" spans="1:20" s="384" customFormat="1" ht="15.75">
      <c r="A157" s="62"/>
      <c r="B157" s="59" t="s">
        <v>144</v>
      </c>
      <c r="C157" s="50">
        <f>SUM(D157:N157)</f>
        <v>0</v>
      </c>
      <c r="D157" s="161"/>
      <c r="E157" s="161"/>
      <c r="F157" s="161"/>
      <c r="G157" s="242">
        <v>0</v>
      </c>
      <c r="H157" s="105">
        <v>0</v>
      </c>
      <c r="I157" s="50"/>
      <c r="J157" s="87"/>
      <c r="K157" s="50"/>
      <c r="L157" s="50"/>
      <c r="M157" s="50"/>
      <c r="N157" s="50"/>
      <c r="O157" s="106"/>
      <c r="P157" s="50"/>
      <c r="Q157" s="347" t="s">
        <v>11</v>
      </c>
      <c r="R157" s="348" t="s">
        <v>207</v>
      </c>
      <c r="S157" s="112">
        <v>0</v>
      </c>
      <c r="T157" s="227">
        <v>0</v>
      </c>
    </row>
    <row r="158" spans="1:20" s="384" customFormat="1" ht="15.75">
      <c r="A158" s="62"/>
      <c r="B158" s="59" t="s">
        <v>57</v>
      </c>
      <c r="C158" s="64">
        <f>SUM(D158:N158)</f>
        <v>-1201.47</v>
      </c>
      <c r="D158" s="64"/>
      <c r="E158" s="64"/>
      <c r="F158" s="64"/>
      <c r="G158" s="64"/>
      <c r="H158" s="64">
        <f>ROUND(((C150)+(C155)/2)*(O158/12),2)</f>
        <v>-1201.47</v>
      </c>
      <c r="I158" s="64"/>
      <c r="J158" s="64"/>
      <c r="K158" s="64"/>
      <c r="L158" s="64"/>
      <c r="M158" s="64"/>
      <c r="N158" s="64"/>
      <c r="O158" s="99">
        <v>0.01</v>
      </c>
      <c r="P158" s="50"/>
      <c r="Q158" s="340" t="s">
        <v>80</v>
      </c>
      <c r="R158" s="339" t="s">
        <v>59</v>
      </c>
      <c r="S158" s="88">
        <f>IF((-C155-C157)&gt;0,(-C155-C157),0)</f>
        <v>1342040.3691409999</v>
      </c>
      <c r="T158" s="89">
        <f>IF((-C155-C156-C157)&lt;0,(-C155-C156-C157),0)</f>
        <v>0</v>
      </c>
    </row>
    <row r="159" spans="1:20" s="384" customFormat="1" ht="16.5" thickBot="1">
      <c r="A159" s="104">
        <f>A155</f>
        <v>41639</v>
      </c>
      <c r="B159" s="50" t="s">
        <v>56</v>
      </c>
      <c r="C159" s="158">
        <f>SUM(C150:C158)</f>
        <v>-2113991.1808959972</v>
      </c>
      <c r="D159" s="158">
        <f t="shared" ref="D159" si="22">SUM(D150:D158)</f>
        <v>-2085592.5359399973</v>
      </c>
      <c r="E159" s="158">
        <f t="shared" ref="E159" si="23">SUM(E150:E158)</f>
        <v>-27796.367480998626</v>
      </c>
      <c r="F159" s="158">
        <f t="shared" ref="F159" si="24">SUM(F150:F158)</f>
        <v>0</v>
      </c>
      <c r="G159" s="158">
        <f t="shared" ref="G159" si="25">SUM(G150:G158)</f>
        <v>0</v>
      </c>
      <c r="H159" s="158">
        <f t="shared" ref="H159" si="26">SUM(H150:H158)</f>
        <v>-602.27747500000009</v>
      </c>
      <c r="I159" s="158">
        <f>SUM(I140:I158)</f>
        <v>0</v>
      </c>
      <c r="J159" s="158">
        <f>SUM(J140:J158)</f>
        <v>0</v>
      </c>
      <c r="K159" s="158">
        <f>SUM(K140:K158)</f>
        <v>0</v>
      </c>
      <c r="L159" s="158">
        <f>SUM(L140:L158)</f>
        <v>0</v>
      </c>
      <c r="M159" s="158">
        <f>SUM(M146:M158)</f>
        <v>0</v>
      </c>
      <c r="N159" s="158">
        <f>SUM(N146:N158)</f>
        <v>0</v>
      </c>
      <c r="O159" s="50"/>
      <c r="P159" s="50"/>
      <c r="Q159" s="342" t="s">
        <v>154</v>
      </c>
      <c r="R159" s="339" t="s">
        <v>77</v>
      </c>
      <c r="S159" s="88">
        <v>0</v>
      </c>
      <c r="T159" s="89">
        <f>IF(-C158&lt;0,-C158,0)</f>
        <v>0</v>
      </c>
    </row>
    <row r="160" spans="1:20" s="384" customFormat="1" ht="17.25" thickTop="1" thickBot="1">
      <c r="A160" s="53"/>
      <c r="B160" s="9" t="s">
        <v>247</v>
      </c>
      <c r="C160" s="384">
        <f>SUM(D160:H160)</f>
        <v>-487553.62</v>
      </c>
      <c r="D160" s="241"/>
      <c r="E160" s="241">
        <v>-481637.67</v>
      </c>
      <c r="F160" s="242"/>
      <c r="G160" s="242"/>
      <c r="H160" s="50">
        <v>-5915.95</v>
      </c>
      <c r="Q160" s="343" t="s">
        <v>83</v>
      </c>
      <c r="R160" s="341" t="s">
        <v>78</v>
      </c>
      <c r="S160" s="118">
        <f>IF(-C158&gt;0,-C158,0)</f>
        <v>1201.47</v>
      </c>
      <c r="T160" s="111">
        <v>0</v>
      </c>
    </row>
    <row r="161" spans="1:20" s="384" customFormat="1" ht="15.75">
      <c r="A161" s="53"/>
      <c r="B161" s="9" t="s">
        <v>241</v>
      </c>
      <c r="C161" s="474">
        <f>SUM(C159:C160)</f>
        <v>-2601544.8008959973</v>
      </c>
      <c r="D161" s="474">
        <f>D160+D159</f>
        <v>-2085592.5359399973</v>
      </c>
      <c r="E161" s="474">
        <f>E160+E159</f>
        <v>-509434.03748099861</v>
      </c>
      <c r="F161" s="474">
        <f>F160+F159</f>
        <v>0</v>
      </c>
      <c r="G161" s="474">
        <f>G160+G159</f>
        <v>0</v>
      </c>
      <c r="H161" s="474">
        <f>H160+H159</f>
        <v>-6518.2274749999997</v>
      </c>
      <c r="I161" s="474"/>
      <c r="J161" s="474"/>
      <c r="K161" s="474"/>
      <c r="L161" s="474"/>
      <c r="M161" s="474">
        <f>M160+M159</f>
        <v>0</v>
      </c>
      <c r="N161" s="474">
        <f>N160+N159</f>
        <v>0</v>
      </c>
      <c r="S161" s="66"/>
      <c r="T161" s="338">
        <f>ROUND(SUM(S155:T160),2)</f>
        <v>0</v>
      </c>
    </row>
    <row r="162" spans="1:20" ht="16.5" thickBot="1">
      <c r="B162" s="9" t="s">
        <v>242</v>
      </c>
      <c r="C162" s="384" t="e">
        <f>_xll.Get_Balance("201312","YTD","USD","Total","A","","001","191010","GD","ID","DL")</f>
        <v>#VALUE!</v>
      </c>
      <c r="D162" s="384"/>
      <c r="E162" s="384"/>
      <c r="F162" s="384"/>
      <c r="G162" s="384"/>
      <c r="H162" s="384"/>
      <c r="M162" s="384"/>
      <c r="N162" s="384"/>
    </row>
    <row r="163" spans="1:20" ht="16.5" thickBot="1">
      <c r="B163" s="9" t="s">
        <v>243</v>
      </c>
      <c r="C163" s="158" t="e">
        <f>C161-C162</f>
        <v>#VALUE!</v>
      </c>
      <c r="D163" s="384"/>
      <c r="E163" s="384"/>
      <c r="F163" s="384"/>
      <c r="G163" s="384"/>
      <c r="H163" s="384"/>
      <c r="I163" s="384"/>
      <c r="J163" s="384"/>
      <c r="K163" s="384"/>
      <c r="L163" s="384"/>
      <c r="M163" s="384"/>
      <c r="N163" s="384"/>
      <c r="Q163" s="336" t="s">
        <v>239</v>
      </c>
      <c r="R163" s="332"/>
      <c r="S163" s="332"/>
      <c r="T163" s="228"/>
    </row>
    <row r="164" spans="1:20" ht="15.75" thickTop="1">
      <c r="D164" s="384"/>
      <c r="E164" s="384"/>
      <c r="F164" s="384"/>
      <c r="G164" s="384"/>
      <c r="H164" s="384"/>
      <c r="I164" s="384"/>
      <c r="J164" s="384"/>
      <c r="K164" s="384"/>
      <c r="L164" s="384"/>
      <c r="M164" s="384"/>
      <c r="N164" s="384"/>
      <c r="Q164" s="345" t="s">
        <v>81</v>
      </c>
      <c r="R164" s="346" t="s">
        <v>58</v>
      </c>
      <c r="S164" s="112">
        <v>0</v>
      </c>
      <c r="T164" s="117">
        <v>-1943728.32</v>
      </c>
    </row>
    <row r="165" spans="1:20">
      <c r="Q165" s="347" t="s">
        <v>11</v>
      </c>
      <c r="R165" s="348" t="s">
        <v>62</v>
      </c>
      <c r="S165" s="112">
        <v>0</v>
      </c>
      <c r="T165" s="227">
        <v>0</v>
      </c>
    </row>
    <row r="166" spans="1:20">
      <c r="Q166" s="347" t="s">
        <v>11</v>
      </c>
      <c r="R166" s="348" t="s">
        <v>207</v>
      </c>
      <c r="S166" s="112">
        <v>0</v>
      </c>
      <c r="T166" s="227">
        <v>0</v>
      </c>
    </row>
    <row r="167" spans="1:20">
      <c r="Q167" s="340" t="s">
        <v>80</v>
      </c>
      <c r="R167" s="339" t="s">
        <v>59</v>
      </c>
      <c r="S167" s="88">
        <v>1942276.75</v>
      </c>
      <c r="T167" s="89">
        <f>IF((-C164-C165-C166)&lt;0,(-C164-C165-C166),0)</f>
        <v>0</v>
      </c>
    </row>
    <row r="168" spans="1:20">
      <c r="Q168" s="342" t="s">
        <v>154</v>
      </c>
      <c r="R168" s="339" t="s">
        <v>77</v>
      </c>
      <c r="S168" s="88">
        <v>0</v>
      </c>
      <c r="T168" s="89">
        <f>IF(-C167&lt;0,-C167,0)</f>
        <v>0</v>
      </c>
    </row>
    <row r="169" spans="1:20" ht="15.75" thickBot="1">
      <c r="Q169" s="343" t="s">
        <v>83</v>
      </c>
      <c r="R169" s="341" t="s">
        <v>78</v>
      </c>
      <c r="S169" s="118">
        <v>1451.57</v>
      </c>
      <c r="T169" s="111">
        <v>0</v>
      </c>
    </row>
    <row r="170" spans="1:20">
      <c r="Q170" s="384"/>
      <c r="R170" s="384"/>
      <c r="S170" s="66"/>
      <c r="T170" s="338">
        <f>ROUND(SUM(S164:T169),2)</f>
        <v>0</v>
      </c>
    </row>
    <row r="171" spans="1:20" ht="15.75" thickBot="1"/>
    <row r="172" spans="1:20" ht="15.75" thickBot="1">
      <c r="Q172" s="336" t="s">
        <v>240</v>
      </c>
      <c r="R172" s="332"/>
      <c r="S172" s="332"/>
      <c r="T172" s="228"/>
    </row>
    <row r="173" spans="1:20">
      <c r="Q173" s="345" t="s">
        <v>81</v>
      </c>
      <c r="R173" s="346" t="s">
        <v>58</v>
      </c>
      <c r="S173" s="112">
        <f>T155-T164</f>
        <v>600486.480859</v>
      </c>
      <c r="T173" s="117">
        <f>IF((-C168+C177)&lt;0,(-C168+C177),0)</f>
        <v>0</v>
      </c>
    </row>
    <row r="174" spans="1:20">
      <c r="Q174" s="347" t="s">
        <v>11</v>
      </c>
      <c r="R174" s="348" t="s">
        <v>62</v>
      </c>
      <c r="S174" s="112">
        <v>0</v>
      </c>
      <c r="T174" s="227">
        <v>0</v>
      </c>
    </row>
    <row r="175" spans="1:20">
      <c r="Q175" s="347" t="s">
        <v>11</v>
      </c>
      <c r="R175" s="348" t="s">
        <v>207</v>
      </c>
      <c r="S175" s="112">
        <v>0</v>
      </c>
      <c r="T175" s="227">
        <v>0</v>
      </c>
    </row>
    <row r="176" spans="1:20">
      <c r="Q176" s="340" t="s">
        <v>80</v>
      </c>
      <c r="R176" s="339" t="s">
        <v>59</v>
      </c>
      <c r="S176" s="88">
        <f>IF((-C173-C175)&gt;0,(-C173-C175),0)</f>
        <v>0</v>
      </c>
      <c r="T176" s="89">
        <f>S158-S167</f>
        <v>-600236.38085900014</v>
      </c>
    </row>
    <row r="177" spans="17:20">
      <c r="Q177" s="342" t="s">
        <v>154</v>
      </c>
      <c r="R177" s="339" t="s">
        <v>77</v>
      </c>
      <c r="S177" s="88">
        <v>0</v>
      </c>
      <c r="T177" s="89">
        <f>IF(-C176&lt;0,-C176,0)</f>
        <v>0</v>
      </c>
    </row>
    <row r="178" spans="17:20" ht="15.75" thickBot="1">
      <c r="Q178" s="343" t="s">
        <v>83</v>
      </c>
      <c r="R178" s="341" t="s">
        <v>78</v>
      </c>
      <c r="S178" s="118">
        <f>IF(-C176&gt;0,-C176,0)</f>
        <v>0</v>
      </c>
      <c r="T178" s="111">
        <f>S160-S169</f>
        <v>-250.09999999999991</v>
      </c>
    </row>
    <row r="179" spans="17:20">
      <c r="Q179" s="384"/>
      <c r="R179" s="384"/>
      <c r="S179" s="66"/>
      <c r="T179" s="338">
        <f>ROUND(SUM(S173:T178),2)</f>
        <v>0</v>
      </c>
    </row>
    <row r="1058" spans="3:3">
      <c r="C1058" s="1">
        <v>-2130</v>
      </c>
    </row>
    <row r="1066" spans="3:3">
      <c r="C1066" s="1">
        <f>7004298-2130</f>
        <v>7002168</v>
      </c>
    </row>
  </sheetData>
  <mergeCells count="1">
    <mergeCell ref="A32:O32"/>
  </mergeCells>
  <phoneticPr fontId="0" type="noConversion"/>
  <conditionalFormatting sqref="T31 T22 T49 T40 T58">
    <cfRule type="cellIs" dxfId="109" priority="258" stopIfTrue="1" operator="equal">
      <formula>0</formula>
    </cfRule>
    <cfRule type="cellIs" dxfId="108" priority="259" stopIfTrue="1" operator="notEqual">
      <formula>0</formula>
    </cfRule>
  </conditionalFormatting>
  <conditionalFormatting sqref="T31 T22 T49 T40 T58">
    <cfRule type="cellIs" dxfId="107" priority="236" stopIfTrue="1" operator="equal">
      <formula>0</formula>
    </cfRule>
  </conditionalFormatting>
  <printOptions gridLinesSet="0"/>
  <pageMargins left="0.18" right="0" top="0.5" bottom="0.5" header="0.5" footer="0.25"/>
  <pageSetup scale="18" orientation="landscape" horizontalDpi="300" verticalDpi="300" r:id="rId1"/>
  <headerFooter alignWithMargins="0">
    <oddFooter>&amp;L&amp;F&amp;C&amp;A&amp;R&amp;D  &amp;T</oddFooter>
  </headerFooter>
  <customProperties>
    <customPr name="xxe4aPID" r:id="rId2"/>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41">
    <pageSetUpPr fitToPage="1"/>
  </sheetPr>
  <dimension ref="A1:T1153"/>
  <sheetViews>
    <sheetView showGridLines="0" view="pageBreakPreview" zoomScaleNormal="100" zoomScaleSheetLayoutView="100" workbookViewId="0">
      <pane ySplit="7" topLeftCell="A86" activePane="bottomLeft" state="frozen"/>
      <selection activeCell="G51" sqref="G51:J55"/>
      <selection pane="bottomLeft" activeCell="G51" sqref="G51:J55"/>
    </sheetView>
  </sheetViews>
  <sheetFormatPr defaultColWidth="9.7109375" defaultRowHeight="15"/>
  <cols>
    <col min="1" max="1" width="11.42578125" style="53" customWidth="1"/>
    <col min="2" max="2" width="27.140625" style="331" customWidth="1"/>
    <col min="3" max="3" width="18.42578125" style="331" customWidth="1"/>
    <col min="4" max="4" width="19.140625" style="331" bestFit="1" customWidth="1"/>
    <col min="5" max="5" width="19.42578125" style="331" bestFit="1" customWidth="1"/>
    <col min="6" max="7" width="13.140625" style="331" customWidth="1"/>
    <col min="8" max="8" width="16.7109375" style="331" bestFit="1" customWidth="1"/>
    <col min="9" max="9" width="14.42578125" style="331" hidden="1" customWidth="1"/>
    <col min="10" max="10" width="13.28515625" style="331" hidden="1" customWidth="1"/>
    <col min="11" max="11" width="15.140625" style="331" hidden="1" customWidth="1"/>
    <col min="12" max="12" width="18.140625" style="331" hidden="1" customWidth="1"/>
    <col min="13" max="14" width="12.5703125" style="331" customWidth="1"/>
    <col min="15" max="15" width="11.28515625" style="331" customWidth="1"/>
    <col min="16" max="16" width="2.28515625" style="331" customWidth="1"/>
    <col min="17" max="17" width="26.85546875" style="331" customWidth="1"/>
    <col min="18" max="18" width="16.42578125" style="331" customWidth="1"/>
    <col min="19" max="19" width="17" style="331" customWidth="1"/>
    <col min="20" max="20" width="19.7109375" style="331" customWidth="1"/>
    <col min="21" max="16384" width="9.7109375" style="331"/>
  </cols>
  <sheetData>
    <row r="1" spans="1:20" ht="15.75">
      <c r="A1" s="51" t="s">
        <v>13</v>
      </c>
      <c r="M1" s="41"/>
    </row>
    <row r="2" spans="1:20" ht="15.75">
      <c r="A2" s="51" t="s">
        <v>46</v>
      </c>
    </row>
    <row r="3" spans="1:20" ht="15.75">
      <c r="A3" s="51" t="s">
        <v>201</v>
      </c>
    </row>
    <row r="4" spans="1:20" ht="15.75">
      <c r="A4" s="51" t="s">
        <v>202</v>
      </c>
    </row>
    <row r="5" spans="1:20">
      <c r="Q5" s="265"/>
      <c r="R5" s="5"/>
      <c r="S5" s="5"/>
      <c r="T5" s="5"/>
    </row>
    <row r="6" spans="1:20" s="55" customFormat="1" ht="15.75" customHeight="1">
      <c r="A6" s="54"/>
      <c r="C6" s="55" t="s">
        <v>21</v>
      </c>
      <c r="D6" s="55" t="s">
        <v>2</v>
      </c>
      <c r="E6" s="55" t="s">
        <v>3</v>
      </c>
      <c r="F6" s="55" t="s">
        <v>48</v>
      </c>
      <c r="G6" s="55" t="s">
        <v>144</v>
      </c>
      <c r="H6" s="55" t="s">
        <v>4</v>
      </c>
      <c r="I6" s="55" t="s">
        <v>5</v>
      </c>
      <c r="J6" s="55" t="s">
        <v>50</v>
      </c>
      <c r="K6" s="55" t="s">
        <v>51</v>
      </c>
      <c r="L6" s="55" t="s">
        <v>6</v>
      </c>
      <c r="M6" s="55" t="s">
        <v>52</v>
      </c>
      <c r="N6" s="55" t="s">
        <v>14</v>
      </c>
      <c r="O6" s="55" t="s">
        <v>85</v>
      </c>
    </row>
    <row r="7" spans="1:20" s="55" customFormat="1" ht="15.75" customHeight="1">
      <c r="A7" s="54"/>
      <c r="C7" s="55" t="s">
        <v>203</v>
      </c>
      <c r="D7" s="55" t="s">
        <v>7</v>
      </c>
      <c r="E7" s="55" t="s">
        <v>7</v>
      </c>
      <c r="F7" s="55" t="s">
        <v>7</v>
      </c>
      <c r="G7" s="55" t="s">
        <v>34</v>
      </c>
      <c r="I7" s="55" t="s">
        <v>8</v>
      </c>
      <c r="J7" s="55" t="s">
        <v>53</v>
      </c>
      <c r="K7" s="55" t="s">
        <v>54</v>
      </c>
      <c r="L7" s="55" t="s">
        <v>55</v>
      </c>
      <c r="M7" s="55" t="s">
        <v>7</v>
      </c>
      <c r="N7" s="55" t="s">
        <v>9</v>
      </c>
    </row>
    <row r="8" spans="1:20" s="382" customFormat="1" ht="15.75" hidden="1" customHeight="1">
      <c r="A8" s="380"/>
      <c r="B8" s="247" t="s">
        <v>11</v>
      </c>
      <c r="C8" s="381"/>
      <c r="D8" s="381"/>
      <c r="E8" s="381"/>
      <c r="F8" s="381"/>
      <c r="G8" s="381"/>
      <c r="H8" s="381"/>
      <c r="I8" s="381"/>
      <c r="J8" s="381"/>
      <c r="K8" s="381"/>
      <c r="L8" s="381"/>
      <c r="M8" s="381"/>
      <c r="N8" s="381"/>
      <c r="T8" s="374"/>
    </row>
    <row r="9" spans="1:20" s="382" customFormat="1" ht="16.5" hidden="1" customHeight="1" thickBot="1">
      <c r="A9" s="380"/>
      <c r="B9" s="247" t="s">
        <v>204</v>
      </c>
      <c r="C9" s="383">
        <v>-1550000</v>
      </c>
      <c r="D9" s="383">
        <f>-'ID Def 191010'!D10</f>
        <v>-883736.20005990437</v>
      </c>
      <c r="E9" s="383">
        <f>-'ID Def 191010'!E10</f>
        <v>-659271.7478600872</v>
      </c>
      <c r="F9" s="383">
        <v>0</v>
      </c>
      <c r="G9" s="383">
        <v>0</v>
      </c>
      <c r="H9" s="383">
        <f>-'ID Def 191010'!H10</f>
        <v>-6992.0520800084523</v>
      </c>
      <c r="I9" s="383">
        <v>0</v>
      </c>
      <c r="J9" s="383">
        <v>0</v>
      </c>
      <c r="K9" s="383">
        <v>0</v>
      </c>
      <c r="L9" s="383">
        <v>0</v>
      </c>
      <c r="M9" s="383">
        <v>0</v>
      </c>
      <c r="N9" s="383">
        <v>0</v>
      </c>
      <c r="T9" s="374"/>
    </row>
    <row r="10" spans="1:20" s="55" customFormat="1" ht="15.75" hidden="1" customHeight="1" thickTop="1" thickBot="1">
      <c r="A10" s="54"/>
    </row>
    <row r="11" spans="1:20" ht="15.75" hidden="1" customHeight="1" thickBot="1">
      <c r="Q11" s="336" t="s">
        <v>107</v>
      </c>
      <c r="R11" s="332"/>
      <c r="S11" s="332"/>
      <c r="T11" s="228"/>
    </row>
    <row r="12" spans="1:20" ht="15.75" hidden="1" customHeight="1">
      <c r="A12" s="58">
        <v>41183</v>
      </c>
      <c r="B12" s="59" t="s">
        <v>84</v>
      </c>
      <c r="C12" s="11">
        <v>0</v>
      </c>
      <c r="D12" s="248">
        <v>0</v>
      </c>
      <c r="E12" s="248">
        <v>0</v>
      </c>
      <c r="F12" s="249">
        <v>0</v>
      </c>
      <c r="G12" s="249">
        <v>0</v>
      </c>
      <c r="H12" s="50">
        <v>0</v>
      </c>
      <c r="I12" s="50"/>
      <c r="J12" s="50"/>
      <c r="K12" s="50"/>
      <c r="L12" s="50"/>
      <c r="M12" s="50"/>
      <c r="N12" s="50">
        <v>0</v>
      </c>
      <c r="O12" s="106"/>
      <c r="P12" s="50"/>
      <c r="Q12" s="392" t="s">
        <v>209</v>
      </c>
      <c r="R12" s="393" t="s">
        <v>207</v>
      </c>
      <c r="S12" s="335">
        <f>IF(SUM(C12:C15)&gt;0,C12+C13+C15+C14,0)</f>
        <v>0</v>
      </c>
      <c r="T12" s="337">
        <f>IF(SUM(C12:C15)&lt;0,C12+C13+C15+C14,0)</f>
        <v>-1291.67</v>
      </c>
    </row>
    <row r="13" spans="1:20" ht="15.75" hidden="1" customHeight="1">
      <c r="A13" s="62"/>
      <c r="B13" s="59" t="s">
        <v>148</v>
      </c>
      <c r="C13" s="11">
        <v>0</v>
      </c>
      <c r="D13" s="249"/>
      <c r="E13" s="249">
        <v>0</v>
      </c>
      <c r="F13" s="249"/>
      <c r="G13" s="250"/>
      <c r="H13" s="60"/>
      <c r="I13" s="50"/>
      <c r="J13" s="87"/>
      <c r="K13" s="87"/>
      <c r="L13" s="50"/>
      <c r="M13" s="50"/>
      <c r="N13" s="50"/>
      <c r="O13" s="106"/>
      <c r="P13" s="50"/>
      <c r="Q13" s="347" t="s">
        <v>11</v>
      </c>
      <c r="R13" s="348" t="s">
        <v>62</v>
      </c>
      <c r="S13" s="335">
        <v>0</v>
      </c>
      <c r="T13" s="337">
        <v>0</v>
      </c>
    </row>
    <row r="14" spans="1:20" ht="15.75" hidden="1" customHeight="1">
      <c r="A14" s="62"/>
      <c r="B14" s="59" t="s">
        <v>144</v>
      </c>
      <c r="C14" s="11">
        <v>0</v>
      </c>
      <c r="D14" s="247">
        <v>0</v>
      </c>
      <c r="E14" s="247"/>
      <c r="F14" s="247"/>
      <c r="G14" s="249">
        <v>0</v>
      </c>
      <c r="H14" s="105"/>
      <c r="I14" s="50"/>
      <c r="J14" s="87"/>
      <c r="K14" s="50"/>
      <c r="L14" s="50"/>
      <c r="M14" s="50"/>
      <c r="N14" s="50"/>
      <c r="O14" s="106"/>
      <c r="P14" s="50"/>
      <c r="Q14" s="340" t="s">
        <v>80</v>
      </c>
      <c r="R14" s="339" t="s">
        <v>59</v>
      </c>
      <c r="S14" s="112">
        <f>IF(SUM(C12)&lt;0,-C12,0)</f>
        <v>0</v>
      </c>
      <c r="T14" s="337">
        <f>IF(SUM(C12)&gt;0,-C12,0)</f>
        <v>0</v>
      </c>
    </row>
    <row r="15" spans="1:20" ht="15.75" hidden="1" customHeight="1">
      <c r="A15" s="62"/>
      <c r="B15" s="59" t="s">
        <v>57</v>
      </c>
      <c r="C15" s="64">
        <v>-1291.67</v>
      </c>
      <c r="D15" s="64"/>
      <c r="E15" s="64"/>
      <c r="F15" s="64"/>
      <c r="G15" s="64"/>
      <c r="H15" s="64">
        <v>-1291.67</v>
      </c>
      <c r="I15" s="64"/>
      <c r="J15" s="64"/>
      <c r="K15" s="64"/>
      <c r="L15" s="64"/>
      <c r="M15" s="64"/>
      <c r="N15" s="64"/>
      <c r="O15" s="99">
        <v>0.01</v>
      </c>
      <c r="P15" s="50"/>
      <c r="Q15" s="342" t="s">
        <v>154</v>
      </c>
      <c r="R15" s="339" t="s">
        <v>77</v>
      </c>
      <c r="S15" s="344">
        <v>0</v>
      </c>
      <c r="T15" s="337">
        <f>IF(SUM(C15)&gt;0,-C15,0)</f>
        <v>0</v>
      </c>
    </row>
    <row r="16" spans="1:20" ht="16.5" hidden="1" customHeight="1" thickBot="1">
      <c r="A16" s="104">
        <f>A12</f>
        <v>41183</v>
      </c>
      <c r="B16" s="50" t="s">
        <v>56</v>
      </c>
      <c r="C16" s="158">
        <f>SUM(C9:C15)</f>
        <v>-1551291.67</v>
      </c>
      <c r="D16" s="158">
        <f t="shared" ref="D16:N16" si="0">SUM(D9:D15)</f>
        <v>-883736.20005990437</v>
      </c>
      <c r="E16" s="158">
        <f t="shared" si="0"/>
        <v>-659271.7478600872</v>
      </c>
      <c r="F16" s="158">
        <f t="shared" si="0"/>
        <v>0</v>
      </c>
      <c r="G16" s="158">
        <f t="shared" si="0"/>
        <v>0</v>
      </c>
      <c r="H16" s="158">
        <f t="shared" si="0"/>
        <v>-8283.7220800084524</v>
      </c>
      <c r="I16" s="158">
        <f t="shared" si="0"/>
        <v>0</v>
      </c>
      <c r="J16" s="158">
        <f t="shared" si="0"/>
        <v>0</v>
      </c>
      <c r="K16" s="158">
        <f t="shared" si="0"/>
        <v>0</v>
      </c>
      <c r="L16" s="158">
        <f t="shared" si="0"/>
        <v>0</v>
      </c>
      <c r="M16" s="158">
        <f t="shared" si="0"/>
        <v>0</v>
      </c>
      <c r="N16" s="158">
        <f t="shared" si="0"/>
        <v>0</v>
      </c>
      <c r="O16" s="50"/>
      <c r="P16" s="50"/>
      <c r="Q16" s="343" t="s">
        <v>83</v>
      </c>
      <c r="R16" s="341" t="s">
        <v>78</v>
      </c>
      <c r="S16" s="116">
        <f>IF(SUM(C15)&lt;0,-C15,0)</f>
        <v>1291.67</v>
      </c>
      <c r="T16" s="391">
        <v>0</v>
      </c>
    </row>
    <row r="17" spans="1:20" ht="16.5" hidden="1" customHeight="1" thickTop="1" thickBot="1">
      <c r="T17" s="338">
        <v>0</v>
      </c>
    </row>
    <row r="18" spans="1:20" s="384" customFormat="1" ht="15.75" hidden="1" customHeight="1" thickBot="1">
      <c r="A18" s="53"/>
      <c r="Q18" s="336" t="s">
        <v>107</v>
      </c>
      <c r="R18" s="332"/>
      <c r="S18" s="332"/>
      <c r="T18" s="228"/>
    </row>
    <row r="19" spans="1:20" s="384" customFormat="1" ht="15.75" hidden="1" customHeight="1">
      <c r="A19" s="58">
        <v>41214</v>
      </c>
      <c r="B19" s="59" t="s">
        <v>84</v>
      </c>
      <c r="C19" s="11">
        <f>SUM(D19:N19)</f>
        <v>0</v>
      </c>
      <c r="D19" s="248">
        <v>0</v>
      </c>
      <c r="E19" s="248">
        <v>0</v>
      </c>
      <c r="F19" s="249">
        <v>0</v>
      </c>
      <c r="G19" s="249">
        <v>0</v>
      </c>
      <c r="H19" s="50">
        <v>0</v>
      </c>
      <c r="I19" s="50"/>
      <c r="J19" s="50"/>
      <c r="K19" s="50"/>
      <c r="L19" s="50"/>
      <c r="M19" s="50"/>
      <c r="N19" s="50">
        <v>0</v>
      </c>
      <c r="O19" s="106"/>
      <c r="P19" s="50"/>
      <c r="Q19" s="392" t="s">
        <v>209</v>
      </c>
      <c r="R19" s="393" t="s">
        <v>207</v>
      </c>
      <c r="S19" s="335">
        <f>IF(SUM(C19:C22)&gt;0,C19+C20+C22+C21,0)</f>
        <v>0</v>
      </c>
      <c r="T19" s="337">
        <f>IF(SUM(C19:C22)&lt;0,C19+C20+C22+C21,0)</f>
        <v>-1292.74</v>
      </c>
    </row>
    <row r="20" spans="1:20" s="384" customFormat="1" ht="15.75" hidden="1" customHeight="1">
      <c r="A20" s="62"/>
      <c r="B20" s="59" t="s">
        <v>148</v>
      </c>
      <c r="C20" s="11">
        <f>SUM(D20:N20)</f>
        <v>0</v>
      </c>
      <c r="D20" s="249"/>
      <c r="E20" s="249">
        <v>0</v>
      </c>
      <c r="F20" s="249"/>
      <c r="G20" s="250"/>
      <c r="H20" s="60"/>
      <c r="I20" s="50"/>
      <c r="J20" s="87"/>
      <c r="K20" s="87"/>
      <c r="L20" s="50"/>
      <c r="M20" s="50"/>
      <c r="N20" s="50"/>
      <c r="O20" s="106"/>
      <c r="P20" s="50"/>
      <c r="Q20" s="347" t="s">
        <v>11</v>
      </c>
      <c r="R20" s="348" t="s">
        <v>62</v>
      </c>
      <c r="S20" s="335">
        <v>0</v>
      </c>
      <c r="T20" s="337">
        <v>0</v>
      </c>
    </row>
    <row r="21" spans="1:20" s="384" customFormat="1" ht="15.75" hidden="1" customHeight="1">
      <c r="A21" s="62"/>
      <c r="B21" s="59" t="s">
        <v>144</v>
      </c>
      <c r="C21" s="11">
        <f>SUM(D21:N21)</f>
        <v>0</v>
      </c>
      <c r="D21" s="247">
        <v>0</v>
      </c>
      <c r="E21" s="247"/>
      <c r="F21" s="247"/>
      <c r="G21" s="249">
        <v>0</v>
      </c>
      <c r="H21" s="105"/>
      <c r="I21" s="50"/>
      <c r="J21" s="87"/>
      <c r="K21" s="50"/>
      <c r="L21" s="50"/>
      <c r="M21" s="50"/>
      <c r="N21" s="50"/>
      <c r="O21" s="106"/>
      <c r="P21" s="50"/>
      <c r="Q21" s="340" t="s">
        <v>80</v>
      </c>
      <c r="R21" s="339" t="s">
        <v>59</v>
      </c>
      <c r="S21" s="112">
        <f>IF(SUM(C19)&lt;0,-C19,0)</f>
        <v>0</v>
      </c>
      <c r="T21" s="337">
        <f>IF(SUM(C19)&gt;0,-C19,0)</f>
        <v>0</v>
      </c>
    </row>
    <row r="22" spans="1:20" s="384" customFormat="1" ht="15.75" hidden="1" customHeight="1">
      <c r="A22" s="62"/>
      <c r="B22" s="59" t="s">
        <v>57</v>
      </c>
      <c r="C22" s="64">
        <f>SUM(D22:N22)</f>
        <v>-1292.74</v>
      </c>
      <c r="D22" s="64"/>
      <c r="E22" s="64"/>
      <c r="F22" s="64"/>
      <c r="G22" s="64"/>
      <c r="H22" s="64">
        <f>ROUND(((C16)+(C19)/2)*(O22/12),2)</f>
        <v>-1292.74</v>
      </c>
      <c r="I22" s="64"/>
      <c r="J22" s="64"/>
      <c r="K22" s="64"/>
      <c r="L22" s="64"/>
      <c r="M22" s="64"/>
      <c r="N22" s="64"/>
      <c r="O22" s="99">
        <v>0.01</v>
      </c>
      <c r="P22" s="50"/>
      <c r="Q22" s="342" t="s">
        <v>154</v>
      </c>
      <c r="R22" s="339" t="s">
        <v>77</v>
      </c>
      <c r="S22" s="344">
        <v>0</v>
      </c>
      <c r="T22" s="337">
        <f>IF(SUM(C22)&gt;0,-C22,0)</f>
        <v>0</v>
      </c>
    </row>
    <row r="23" spans="1:20" s="384" customFormat="1" ht="16.5" hidden="1" customHeight="1" thickBot="1">
      <c r="A23" s="104">
        <f>A19</f>
        <v>41214</v>
      </c>
      <c r="B23" s="50" t="s">
        <v>56</v>
      </c>
      <c r="C23" s="158">
        <f>SUM(C16:C22)</f>
        <v>-1552584.41</v>
      </c>
      <c r="D23" s="158">
        <f>SUM(D16:D22)</f>
        <v>-883736.20005990437</v>
      </c>
      <c r="E23" s="158">
        <f t="shared" ref="E23:N23" si="1">SUM(E16:E22)</f>
        <v>-659271.7478600872</v>
      </c>
      <c r="F23" s="158">
        <f t="shared" si="1"/>
        <v>0</v>
      </c>
      <c r="G23" s="158">
        <f t="shared" si="1"/>
        <v>0</v>
      </c>
      <c r="H23" s="158">
        <f>SUM(H16:H22)</f>
        <v>-9576.4620800084522</v>
      </c>
      <c r="I23" s="158">
        <f t="shared" si="1"/>
        <v>0</v>
      </c>
      <c r="J23" s="158">
        <f t="shared" si="1"/>
        <v>0</v>
      </c>
      <c r="K23" s="158">
        <f t="shared" si="1"/>
        <v>0</v>
      </c>
      <c r="L23" s="158">
        <f t="shared" si="1"/>
        <v>0</v>
      </c>
      <c r="M23" s="158">
        <f t="shared" si="1"/>
        <v>0</v>
      </c>
      <c r="N23" s="158">
        <f t="shared" si="1"/>
        <v>0</v>
      </c>
      <c r="O23" s="50"/>
      <c r="P23" s="50"/>
      <c r="Q23" s="343" t="s">
        <v>83</v>
      </c>
      <c r="R23" s="341" t="s">
        <v>78</v>
      </c>
      <c r="S23" s="116">
        <f>IF(SUM(C22)&lt;0,-C22,0)</f>
        <v>1292.74</v>
      </c>
      <c r="T23" s="391">
        <v>0</v>
      </c>
    </row>
    <row r="24" spans="1:20" s="384" customFormat="1" ht="16.5" hidden="1" customHeight="1" thickTop="1" thickBot="1">
      <c r="A24" s="53"/>
      <c r="T24" s="338">
        <v>0</v>
      </c>
    </row>
    <row r="25" spans="1:20" s="384" customFormat="1" ht="15.75" hidden="1" customHeight="1" thickBot="1">
      <c r="A25" s="53"/>
      <c r="Q25" s="336" t="s">
        <v>107</v>
      </c>
      <c r="R25" s="332"/>
      <c r="S25" s="332"/>
      <c r="T25" s="228"/>
    </row>
    <row r="26" spans="1:20" s="384" customFormat="1" ht="15.75" hidden="1" customHeight="1">
      <c r="A26" s="58">
        <v>41244</v>
      </c>
      <c r="B26" s="59" t="s">
        <v>84</v>
      </c>
      <c r="C26" s="11">
        <f>SUM(D26:N26)</f>
        <v>0</v>
      </c>
      <c r="D26" s="248">
        <v>0</v>
      </c>
      <c r="E26" s="248">
        <v>0</v>
      </c>
      <c r="F26" s="249">
        <v>0</v>
      </c>
      <c r="G26" s="249">
        <v>0</v>
      </c>
      <c r="H26" s="50">
        <v>0</v>
      </c>
      <c r="I26" s="50"/>
      <c r="J26" s="50"/>
      <c r="K26" s="50"/>
      <c r="L26" s="50"/>
      <c r="M26" s="50"/>
      <c r="N26" s="50">
        <v>0</v>
      </c>
      <c r="O26" s="106"/>
      <c r="P26" s="50"/>
      <c r="Q26" s="392" t="s">
        <v>209</v>
      </c>
      <c r="R26" s="393" t="s">
        <v>207</v>
      </c>
      <c r="S26" s="335">
        <f>IF(SUM(C26:C29)&gt;0,C26+C27+C29+C28,0)</f>
        <v>0</v>
      </c>
      <c r="T26" s="337">
        <f>IF(SUM(C26:C29)&lt;0,C26+C27+C29+C28,0)</f>
        <v>-1293.82</v>
      </c>
    </row>
    <row r="27" spans="1:20" s="384" customFormat="1" ht="15.75" hidden="1" customHeight="1">
      <c r="A27" s="62"/>
      <c r="B27" s="59" t="s">
        <v>148</v>
      </c>
      <c r="C27" s="11">
        <f>SUM(D27:N27)</f>
        <v>0</v>
      </c>
      <c r="D27" s="249"/>
      <c r="E27" s="249">
        <v>0</v>
      </c>
      <c r="F27" s="249"/>
      <c r="G27" s="250"/>
      <c r="H27" s="60"/>
      <c r="I27" s="50"/>
      <c r="J27" s="87"/>
      <c r="K27" s="87"/>
      <c r="L27" s="50"/>
      <c r="M27" s="50"/>
      <c r="N27" s="50"/>
      <c r="O27" s="106"/>
      <c r="P27" s="50"/>
      <c r="Q27" s="347" t="s">
        <v>11</v>
      </c>
      <c r="R27" s="348" t="s">
        <v>62</v>
      </c>
      <c r="S27" s="335">
        <v>0</v>
      </c>
      <c r="T27" s="337">
        <v>0</v>
      </c>
    </row>
    <row r="28" spans="1:20" s="384" customFormat="1" ht="15.75" hidden="1" customHeight="1">
      <c r="A28" s="62"/>
      <c r="B28" s="59" t="s">
        <v>144</v>
      </c>
      <c r="C28" s="11">
        <f>SUM(D28:N28)</f>
        <v>0</v>
      </c>
      <c r="D28" s="247">
        <v>0</v>
      </c>
      <c r="E28" s="247"/>
      <c r="F28" s="247"/>
      <c r="G28" s="249">
        <v>0</v>
      </c>
      <c r="H28" s="105"/>
      <c r="I28" s="50"/>
      <c r="J28" s="87"/>
      <c r="K28" s="50"/>
      <c r="L28" s="50"/>
      <c r="M28" s="50"/>
      <c r="N28" s="50"/>
      <c r="O28" s="106"/>
      <c r="P28" s="50"/>
      <c r="Q28" s="340" t="s">
        <v>80</v>
      </c>
      <c r="R28" s="339" t="s">
        <v>59</v>
      </c>
      <c r="S28" s="112">
        <f>IF(SUM(C26)&lt;0,-C26,0)</f>
        <v>0</v>
      </c>
      <c r="T28" s="337">
        <f>IF(SUM(C26)&gt;0,-C26,0)</f>
        <v>0</v>
      </c>
    </row>
    <row r="29" spans="1:20" s="384" customFormat="1" ht="15.75" hidden="1" customHeight="1">
      <c r="A29" s="62"/>
      <c r="B29" s="59" t="s">
        <v>57</v>
      </c>
      <c r="C29" s="64">
        <f>SUM(D29:N29)</f>
        <v>-1293.82</v>
      </c>
      <c r="D29" s="64"/>
      <c r="E29" s="64"/>
      <c r="F29" s="64"/>
      <c r="G29" s="64"/>
      <c r="H29" s="64">
        <f>ROUND(((C23)+(C26)/2)*(O29/12),2)</f>
        <v>-1293.82</v>
      </c>
      <c r="I29" s="64"/>
      <c r="J29" s="64"/>
      <c r="K29" s="64"/>
      <c r="L29" s="64"/>
      <c r="M29" s="64"/>
      <c r="N29" s="64"/>
      <c r="O29" s="99">
        <v>0.01</v>
      </c>
      <c r="P29" s="50"/>
      <c r="Q29" s="342" t="s">
        <v>154</v>
      </c>
      <c r="R29" s="339" t="s">
        <v>77</v>
      </c>
      <c r="S29" s="344">
        <v>0</v>
      </c>
      <c r="T29" s="337">
        <f>IF(SUM(C29)&gt;0,-C29,0)</f>
        <v>0</v>
      </c>
    </row>
    <row r="30" spans="1:20" s="384" customFormat="1" ht="16.5" hidden="1" thickBot="1">
      <c r="A30" s="104">
        <f>A26</f>
        <v>41244</v>
      </c>
      <c r="B30" s="50" t="s">
        <v>56</v>
      </c>
      <c r="C30" s="158">
        <f>SUM(C23:C29)</f>
        <v>-1553878.23</v>
      </c>
      <c r="D30" s="158">
        <f>SUM(D23:D29)</f>
        <v>-883736.20005990437</v>
      </c>
      <c r="E30" s="158">
        <f t="shared" ref="E30:G30" si="2">SUM(E23:E29)</f>
        <v>-659271.7478600872</v>
      </c>
      <c r="F30" s="158">
        <f t="shared" si="2"/>
        <v>0</v>
      </c>
      <c r="G30" s="158">
        <f t="shared" si="2"/>
        <v>0</v>
      </c>
      <c r="H30" s="158">
        <f>SUM(H23:H29)</f>
        <v>-10870.282080008452</v>
      </c>
      <c r="I30" s="158">
        <f t="shared" ref="I30:N30" si="3">SUM(I23:I29)</f>
        <v>0</v>
      </c>
      <c r="J30" s="158">
        <f t="shared" si="3"/>
        <v>0</v>
      </c>
      <c r="K30" s="158">
        <f t="shared" si="3"/>
        <v>0</v>
      </c>
      <c r="L30" s="158">
        <f t="shared" si="3"/>
        <v>0</v>
      </c>
      <c r="M30" s="158">
        <f t="shared" si="3"/>
        <v>0</v>
      </c>
      <c r="N30" s="158">
        <f t="shared" si="3"/>
        <v>0</v>
      </c>
      <c r="O30" s="50"/>
      <c r="P30" s="50"/>
      <c r="Q30" s="343" t="s">
        <v>83</v>
      </c>
      <c r="R30" s="341" t="s">
        <v>78</v>
      </c>
      <c r="S30" s="116">
        <f>IF(SUM(C29)&lt;0,-C29,0)</f>
        <v>1293.82</v>
      </c>
      <c r="T30" s="391">
        <v>0</v>
      </c>
    </row>
    <row r="31" spans="1:20" s="384" customFormat="1" ht="16.5" hidden="1" thickTop="1" thickBot="1">
      <c r="A31" s="53"/>
      <c r="T31" s="338">
        <v>0</v>
      </c>
    </row>
    <row r="32" spans="1:20" s="356" customFormat="1" ht="15.75" hidden="1" thickBot="1">
      <c r="A32" s="53"/>
      <c r="B32" s="384"/>
      <c r="C32" s="384"/>
      <c r="D32" s="384"/>
      <c r="E32" s="384"/>
      <c r="F32" s="384"/>
      <c r="G32" s="384"/>
      <c r="H32" s="384"/>
      <c r="I32" s="384"/>
      <c r="J32" s="384"/>
      <c r="K32" s="384"/>
      <c r="L32" s="384"/>
      <c r="M32" s="384"/>
      <c r="N32" s="384"/>
      <c r="O32" s="384"/>
      <c r="P32" s="384"/>
      <c r="Q32" s="336" t="s">
        <v>107</v>
      </c>
      <c r="R32" s="332"/>
      <c r="S32" s="332"/>
      <c r="T32" s="228"/>
    </row>
    <row r="33" spans="1:20" s="356" customFormat="1" ht="15.75" hidden="1">
      <c r="A33" s="58">
        <v>41305</v>
      </c>
      <c r="B33" s="59" t="s">
        <v>84</v>
      </c>
      <c r="C33" s="11">
        <f>SUM(D33:N33)</f>
        <v>0</v>
      </c>
      <c r="D33" s="248">
        <v>0</v>
      </c>
      <c r="E33" s="248">
        <v>0</v>
      </c>
      <c r="F33" s="249">
        <v>0</v>
      </c>
      <c r="G33" s="249">
        <v>0</v>
      </c>
      <c r="H33" s="50">
        <v>0</v>
      </c>
      <c r="I33" s="50"/>
      <c r="J33" s="50"/>
      <c r="K33" s="50"/>
      <c r="L33" s="50"/>
      <c r="M33" s="50"/>
      <c r="N33" s="50">
        <v>0</v>
      </c>
      <c r="O33" s="106"/>
      <c r="P33" s="50"/>
      <c r="Q33" s="392" t="s">
        <v>209</v>
      </c>
      <c r="R33" s="393" t="s">
        <v>207</v>
      </c>
      <c r="S33" s="335">
        <f>IF(SUM(C33:C36)&gt;0,C33+C34+C36+C35,0)</f>
        <v>0</v>
      </c>
      <c r="T33" s="337">
        <f>IF(SUM(C33:C36)&lt;0,C33+C34+C36+C35,0)</f>
        <v>-1294.9000000000001</v>
      </c>
    </row>
    <row r="34" spans="1:20" s="356" customFormat="1" ht="15.75" hidden="1">
      <c r="A34" s="62"/>
      <c r="B34" s="59" t="s">
        <v>148</v>
      </c>
      <c r="C34" s="11">
        <f>SUM(D34:N34)</f>
        <v>0</v>
      </c>
      <c r="D34" s="249"/>
      <c r="E34" s="249">
        <v>0</v>
      </c>
      <c r="F34" s="249"/>
      <c r="G34" s="250"/>
      <c r="H34" s="60"/>
      <c r="I34" s="50"/>
      <c r="J34" s="87"/>
      <c r="K34" s="87"/>
      <c r="L34" s="50"/>
      <c r="M34" s="50"/>
      <c r="N34" s="50"/>
      <c r="O34" s="106"/>
      <c r="P34" s="50"/>
      <c r="Q34" s="347" t="s">
        <v>11</v>
      </c>
      <c r="R34" s="348" t="s">
        <v>62</v>
      </c>
      <c r="S34" s="335">
        <v>0</v>
      </c>
      <c r="T34" s="337">
        <v>0</v>
      </c>
    </row>
    <row r="35" spans="1:20" s="356" customFormat="1" ht="15.75" hidden="1">
      <c r="A35" s="62"/>
      <c r="B35" s="59" t="s">
        <v>144</v>
      </c>
      <c r="C35" s="11">
        <f>SUM(D35:N35)</f>
        <v>0</v>
      </c>
      <c r="D35" s="247">
        <v>0</v>
      </c>
      <c r="E35" s="247"/>
      <c r="F35" s="247"/>
      <c r="G35" s="249">
        <v>0</v>
      </c>
      <c r="H35" s="105"/>
      <c r="I35" s="50"/>
      <c r="J35" s="87"/>
      <c r="K35" s="50"/>
      <c r="L35" s="50"/>
      <c r="M35" s="50"/>
      <c r="N35" s="50"/>
      <c r="O35" s="106"/>
      <c r="P35" s="50"/>
      <c r="Q35" s="340" t="s">
        <v>80</v>
      </c>
      <c r="R35" s="339" t="s">
        <v>59</v>
      </c>
      <c r="S35" s="112">
        <f>IF(SUM(C33)&lt;0,-C33,0)</f>
        <v>0</v>
      </c>
      <c r="T35" s="337">
        <f>IF(SUM(C33)&gt;0,-C33,0)</f>
        <v>0</v>
      </c>
    </row>
    <row r="36" spans="1:20" s="356" customFormat="1" ht="15.75" hidden="1">
      <c r="A36" s="62"/>
      <c r="B36" s="59" t="s">
        <v>57</v>
      </c>
      <c r="C36" s="64">
        <f>SUM(D36:N36)</f>
        <v>-1294.9000000000001</v>
      </c>
      <c r="D36" s="64"/>
      <c r="E36" s="64"/>
      <c r="F36" s="64"/>
      <c r="G36" s="64"/>
      <c r="H36" s="64">
        <f>ROUND(((C30)+(C33)/2)*(O36/12),2)</f>
        <v>-1294.9000000000001</v>
      </c>
      <c r="I36" s="64"/>
      <c r="J36" s="64"/>
      <c r="K36" s="64"/>
      <c r="L36" s="64"/>
      <c r="M36" s="64"/>
      <c r="N36" s="64"/>
      <c r="O36" s="99">
        <v>0.01</v>
      </c>
      <c r="P36" s="50"/>
      <c r="Q36" s="342" t="s">
        <v>154</v>
      </c>
      <c r="R36" s="339" t="s">
        <v>77</v>
      </c>
      <c r="S36" s="344">
        <v>0</v>
      </c>
      <c r="T36" s="337">
        <f>IF(SUM(C36)&gt;0,-C36,0)</f>
        <v>0</v>
      </c>
    </row>
    <row r="37" spans="1:20" s="356" customFormat="1" ht="16.5" hidden="1" thickBot="1">
      <c r="A37" s="104">
        <f>A33</f>
        <v>41305</v>
      </c>
      <c r="B37" s="50" t="s">
        <v>56</v>
      </c>
      <c r="C37" s="158">
        <f>SUM(C30:C36)</f>
        <v>-1555173.13</v>
      </c>
      <c r="D37" s="158">
        <f>SUM(D30:D36)</f>
        <v>-883736.20005990437</v>
      </c>
      <c r="E37" s="158">
        <f t="shared" ref="E37:G37" si="4">SUM(E30:E36)</f>
        <v>-659271.7478600872</v>
      </c>
      <c r="F37" s="158">
        <f t="shared" si="4"/>
        <v>0</v>
      </c>
      <c r="G37" s="158">
        <f t="shared" si="4"/>
        <v>0</v>
      </c>
      <c r="H37" s="158">
        <f>SUM(H30:H36)</f>
        <v>-12165.182080008452</v>
      </c>
      <c r="I37" s="158">
        <f t="shared" ref="I37:N37" si="5">SUM(I30:I36)</f>
        <v>0</v>
      </c>
      <c r="J37" s="158">
        <f t="shared" si="5"/>
        <v>0</v>
      </c>
      <c r="K37" s="158">
        <f t="shared" si="5"/>
        <v>0</v>
      </c>
      <c r="L37" s="158">
        <f t="shared" si="5"/>
        <v>0</v>
      </c>
      <c r="M37" s="158">
        <f t="shared" si="5"/>
        <v>0</v>
      </c>
      <c r="N37" s="158">
        <f t="shared" si="5"/>
        <v>0</v>
      </c>
      <c r="O37" s="50"/>
      <c r="P37" s="50"/>
      <c r="Q37" s="343" t="s">
        <v>83</v>
      </c>
      <c r="R37" s="341" t="s">
        <v>78</v>
      </c>
      <c r="S37" s="116">
        <f>IF(SUM(C36)&lt;0,-C36,0)</f>
        <v>1294.9000000000001</v>
      </c>
      <c r="T37" s="391">
        <v>0</v>
      </c>
    </row>
    <row r="38" spans="1:20" s="356" customFormat="1" ht="15.75" hidden="1" thickTop="1">
      <c r="A38" s="53"/>
      <c r="B38" s="384"/>
      <c r="C38" s="384"/>
      <c r="D38" s="384"/>
      <c r="E38" s="384"/>
      <c r="F38" s="384"/>
      <c r="G38" s="384"/>
      <c r="H38" s="384"/>
      <c r="I38" s="384"/>
      <c r="J38" s="384"/>
      <c r="K38" s="384"/>
      <c r="L38" s="384"/>
      <c r="M38" s="384"/>
      <c r="N38" s="384"/>
      <c r="O38" s="384"/>
      <c r="P38" s="384"/>
      <c r="Q38" s="384"/>
      <c r="R38" s="384"/>
      <c r="S38" s="384"/>
      <c r="T38" s="338">
        <v>0</v>
      </c>
    </row>
    <row r="39" spans="1:20" s="356" customFormat="1" ht="15.75" hidden="1" thickBot="1">
      <c r="A39" s="53"/>
      <c r="B39" s="384"/>
      <c r="C39" s="384"/>
      <c r="D39" s="384"/>
      <c r="E39" s="384"/>
      <c r="F39" s="384"/>
      <c r="G39" s="384"/>
      <c r="H39" s="384"/>
      <c r="I39" s="384"/>
      <c r="J39" s="384"/>
      <c r="K39" s="384"/>
      <c r="L39" s="384"/>
      <c r="M39" s="384"/>
      <c r="N39" s="384"/>
      <c r="O39" s="384"/>
      <c r="P39" s="384"/>
      <c r="Q39" s="384"/>
      <c r="R39" s="384"/>
      <c r="S39" s="384"/>
      <c r="T39" s="384"/>
    </row>
    <row r="40" spans="1:20" s="356" customFormat="1" ht="15.75" hidden="1" thickBot="1">
      <c r="A40" s="53"/>
      <c r="B40" s="384"/>
      <c r="C40" s="384"/>
      <c r="D40" s="384"/>
      <c r="E40" s="384"/>
      <c r="F40" s="384"/>
      <c r="G40" s="384"/>
      <c r="H40" s="384"/>
      <c r="I40" s="384"/>
      <c r="J40" s="384"/>
      <c r="K40" s="384"/>
      <c r="L40" s="384"/>
      <c r="M40" s="384"/>
      <c r="N40" s="384"/>
      <c r="O40" s="384"/>
      <c r="P40" s="384"/>
      <c r="Q40" s="336" t="s">
        <v>107</v>
      </c>
      <c r="R40" s="332"/>
      <c r="S40" s="332"/>
      <c r="T40" s="228"/>
    </row>
    <row r="41" spans="1:20" s="356" customFormat="1" ht="15.75" hidden="1">
      <c r="A41" s="58">
        <v>41333</v>
      </c>
      <c r="B41" s="59" t="s">
        <v>84</v>
      </c>
      <c r="C41" s="11">
        <f>SUM(D41:N41)</f>
        <v>0</v>
      </c>
      <c r="D41" s="248">
        <v>0</v>
      </c>
      <c r="E41" s="248">
        <v>0</v>
      </c>
      <c r="F41" s="249">
        <v>0</v>
      </c>
      <c r="G41" s="249">
        <v>0</v>
      </c>
      <c r="H41" s="50">
        <v>0</v>
      </c>
      <c r="I41" s="50"/>
      <c r="J41" s="50"/>
      <c r="K41" s="50"/>
      <c r="L41" s="50"/>
      <c r="M41" s="50"/>
      <c r="N41" s="50">
        <v>0</v>
      </c>
      <c r="O41" s="106"/>
      <c r="P41" s="50"/>
      <c r="Q41" s="392" t="s">
        <v>209</v>
      </c>
      <c r="R41" s="393" t="s">
        <v>207</v>
      </c>
      <c r="S41" s="335">
        <f>IF(SUM(C41:C44)&gt;0,C41+C42+C44+C43,0)</f>
        <v>0</v>
      </c>
      <c r="T41" s="337">
        <f>IF(SUM(C41:C44)&lt;0,C41+C42+C44+C43,0)</f>
        <v>-1295.98</v>
      </c>
    </row>
    <row r="42" spans="1:20" s="356" customFormat="1" ht="15.75" hidden="1">
      <c r="A42" s="62"/>
      <c r="B42" s="59" t="s">
        <v>148</v>
      </c>
      <c r="C42" s="11">
        <f>SUM(D42:N42)</f>
        <v>0</v>
      </c>
      <c r="D42" s="249"/>
      <c r="E42" s="249">
        <v>0</v>
      </c>
      <c r="F42" s="249"/>
      <c r="G42" s="250"/>
      <c r="H42" s="60"/>
      <c r="I42" s="50"/>
      <c r="J42" s="87"/>
      <c r="K42" s="87"/>
      <c r="L42" s="50"/>
      <c r="M42" s="50"/>
      <c r="N42" s="50"/>
      <c r="O42" s="106"/>
      <c r="P42" s="50"/>
      <c r="Q42" s="347" t="s">
        <v>11</v>
      </c>
      <c r="R42" s="348" t="s">
        <v>62</v>
      </c>
      <c r="S42" s="335">
        <v>0</v>
      </c>
      <c r="T42" s="337">
        <v>0</v>
      </c>
    </row>
    <row r="43" spans="1:20" s="356" customFormat="1" ht="15.75" hidden="1">
      <c r="A43" s="62"/>
      <c r="B43" s="59" t="s">
        <v>144</v>
      </c>
      <c r="C43" s="11">
        <f>SUM(D43:N43)</f>
        <v>0</v>
      </c>
      <c r="D43" s="247">
        <v>0</v>
      </c>
      <c r="E43" s="247"/>
      <c r="F43" s="247"/>
      <c r="G43" s="249">
        <v>0</v>
      </c>
      <c r="H43" s="105"/>
      <c r="I43" s="50"/>
      <c r="J43" s="87"/>
      <c r="K43" s="50"/>
      <c r="L43" s="50"/>
      <c r="M43" s="50"/>
      <c r="N43" s="50"/>
      <c r="O43" s="106"/>
      <c r="P43" s="50"/>
      <c r="Q43" s="340" t="s">
        <v>80</v>
      </c>
      <c r="R43" s="339" t="s">
        <v>59</v>
      </c>
      <c r="S43" s="112">
        <f>IF(SUM(C41)&lt;0,-C41,0)</f>
        <v>0</v>
      </c>
      <c r="T43" s="337">
        <f>IF(SUM(C41)&gt;0,-C41,0)</f>
        <v>0</v>
      </c>
    </row>
    <row r="44" spans="1:20" s="356" customFormat="1" ht="15.75" hidden="1">
      <c r="A44" s="62"/>
      <c r="B44" s="59" t="s">
        <v>57</v>
      </c>
      <c r="C44" s="64">
        <f>SUM(D44:N44)</f>
        <v>-1295.98</v>
      </c>
      <c r="D44" s="64"/>
      <c r="E44" s="64"/>
      <c r="F44" s="64"/>
      <c r="G44" s="64"/>
      <c r="H44" s="64">
        <v>-1295.98</v>
      </c>
      <c r="I44" s="64"/>
      <c r="J44" s="64"/>
      <c r="K44" s="64"/>
      <c r="L44" s="64"/>
      <c r="M44" s="64"/>
      <c r="N44" s="64"/>
      <c r="O44" s="99">
        <v>0.01</v>
      </c>
      <c r="P44" s="50"/>
      <c r="Q44" s="342" t="s">
        <v>154</v>
      </c>
      <c r="R44" s="339" t="s">
        <v>77</v>
      </c>
      <c r="S44" s="344">
        <v>0</v>
      </c>
      <c r="T44" s="337">
        <f>IF(SUM(C44)&gt;0,-C44,0)</f>
        <v>0</v>
      </c>
    </row>
    <row r="45" spans="1:20" s="356" customFormat="1" ht="16.5" hidden="1" thickBot="1">
      <c r="A45" s="104">
        <f>A41</f>
        <v>41333</v>
      </c>
      <c r="B45" s="50" t="s">
        <v>56</v>
      </c>
      <c r="C45" s="158">
        <f>SUM(C37:C44)</f>
        <v>-1556469.1099999999</v>
      </c>
      <c r="D45" s="158">
        <f>SUM(D37:D44)</f>
        <v>-883736.20005990437</v>
      </c>
      <c r="E45" s="158">
        <f>SUM(E37:E44)</f>
        <v>-659271.7478600872</v>
      </c>
      <c r="F45" s="158">
        <f t="shared" ref="F45:G45" si="6">SUM(F37:F44)</f>
        <v>0</v>
      </c>
      <c r="G45" s="158">
        <f t="shared" si="6"/>
        <v>0</v>
      </c>
      <c r="H45" s="158">
        <f>SUM(H37:H44)</f>
        <v>-13461.162080008451</v>
      </c>
      <c r="I45" s="158">
        <f t="shared" ref="I45:N45" si="7">SUM(I37:I44)</f>
        <v>0</v>
      </c>
      <c r="J45" s="158">
        <f t="shared" si="7"/>
        <v>0</v>
      </c>
      <c r="K45" s="158">
        <f t="shared" si="7"/>
        <v>0</v>
      </c>
      <c r="L45" s="158">
        <f t="shared" si="7"/>
        <v>0</v>
      </c>
      <c r="M45" s="158">
        <f t="shared" si="7"/>
        <v>0</v>
      </c>
      <c r="N45" s="158">
        <f t="shared" si="7"/>
        <v>0</v>
      </c>
      <c r="O45" s="50"/>
      <c r="P45" s="50"/>
      <c r="Q45" s="343" t="s">
        <v>83</v>
      </c>
      <c r="R45" s="341" t="s">
        <v>78</v>
      </c>
      <c r="S45" s="116">
        <f>IF(SUM(C44)&lt;0,-C44,0)</f>
        <v>1295.98</v>
      </c>
      <c r="T45" s="391">
        <v>0</v>
      </c>
    </row>
    <row r="46" spans="1:20" s="356" customFormat="1" ht="15.75" hidden="1" thickTop="1">
      <c r="A46" s="53"/>
      <c r="B46" s="384"/>
      <c r="C46" s="384"/>
      <c r="D46" s="384"/>
      <c r="E46" s="384"/>
      <c r="F46" s="384"/>
      <c r="G46" s="384"/>
      <c r="H46" s="384"/>
      <c r="I46" s="384"/>
      <c r="J46" s="384"/>
      <c r="K46" s="384"/>
      <c r="L46" s="384"/>
      <c r="M46" s="384"/>
      <c r="N46" s="384"/>
      <c r="O46" s="384"/>
      <c r="P46" s="384"/>
      <c r="Q46" s="384"/>
      <c r="R46" s="384"/>
      <c r="S46" s="384"/>
      <c r="T46" s="338">
        <v>0</v>
      </c>
    </row>
    <row r="47" spans="1:20" s="356" customFormat="1" ht="15.75" hidden="1" thickBot="1">
      <c r="A47" s="53"/>
      <c r="B47" s="384"/>
      <c r="C47" s="384"/>
      <c r="D47" s="384"/>
      <c r="E47" s="384"/>
      <c r="F47" s="384"/>
      <c r="G47" s="384"/>
      <c r="H47" s="384"/>
      <c r="I47" s="384"/>
      <c r="J47" s="384"/>
      <c r="K47" s="384"/>
      <c r="L47" s="384"/>
      <c r="M47" s="384"/>
      <c r="N47" s="384"/>
      <c r="O47" s="384"/>
      <c r="P47" s="384"/>
      <c r="Q47" s="384"/>
      <c r="R47" s="384"/>
      <c r="S47" s="384"/>
      <c r="T47" s="384"/>
    </row>
    <row r="48" spans="1:20" s="356" customFormat="1" ht="15.75" hidden="1" thickBot="1">
      <c r="A48" s="53"/>
      <c r="B48" s="384"/>
      <c r="C48" s="384"/>
      <c r="D48" s="384"/>
      <c r="E48" s="384"/>
      <c r="F48" s="384"/>
      <c r="G48" s="384"/>
      <c r="H48" s="384"/>
      <c r="I48" s="384"/>
      <c r="J48" s="384"/>
      <c r="K48" s="384"/>
      <c r="L48" s="384"/>
      <c r="M48" s="384"/>
      <c r="N48" s="384"/>
      <c r="O48" s="384"/>
      <c r="P48" s="384"/>
      <c r="Q48" s="336" t="s">
        <v>107</v>
      </c>
      <c r="R48" s="332"/>
      <c r="S48" s="332"/>
      <c r="T48" s="228"/>
    </row>
    <row r="49" spans="1:20" s="356" customFormat="1" ht="15.75" hidden="1">
      <c r="A49" s="58">
        <v>41364</v>
      </c>
      <c r="B49" s="59" t="s">
        <v>84</v>
      </c>
      <c r="C49" s="11">
        <f>SUM(D49:N49)</f>
        <v>0</v>
      </c>
      <c r="D49" s="248">
        <v>0</v>
      </c>
      <c r="E49" s="248">
        <v>0</v>
      </c>
      <c r="F49" s="249">
        <v>0</v>
      </c>
      <c r="G49" s="249">
        <v>0</v>
      </c>
      <c r="H49" s="50">
        <v>0</v>
      </c>
      <c r="I49" s="50"/>
      <c r="J49" s="50"/>
      <c r="K49" s="50"/>
      <c r="L49" s="50"/>
      <c r="M49" s="50"/>
      <c r="N49" s="50">
        <v>0</v>
      </c>
      <c r="O49" s="106"/>
      <c r="P49" s="50"/>
      <c r="Q49" s="392" t="s">
        <v>209</v>
      </c>
      <c r="R49" s="393" t="s">
        <v>207</v>
      </c>
      <c r="S49" s="335">
        <f>IF(SUM(C49:C52)&gt;0,C49+C50+C52+C51,0)</f>
        <v>0</v>
      </c>
      <c r="T49" s="337">
        <f>IF(SUM(C49:C52)&lt;0,C49+C50+C52+C51,0)</f>
        <v>-1297.06</v>
      </c>
    </row>
    <row r="50" spans="1:20" s="356" customFormat="1" ht="15.75" hidden="1">
      <c r="A50" s="62"/>
      <c r="B50" s="59" t="s">
        <v>148</v>
      </c>
      <c r="C50" s="11">
        <f>SUM(D50:N50)</f>
        <v>0</v>
      </c>
      <c r="D50" s="249"/>
      <c r="E50" s="249">
        <v>0</v>
      </c>
      <c r="F50" s="249"/>
      <c r="G50" s="250"/>
      <c r="H50" s="60"/>
      <c r="I50" s="50"/>
      <c r="J50" s="87"/>
      <c r="K50" s="87"/>
      <c r="L50" s="50"/>
      <c r="M50" s="50"/>
      <c r="N50" s="50"/>
      <c r="O50" s="106"/>
      <c r="P50" s="50"/>
      <c r="Q50" s="347" t="s">
        <v>11</v>
      </c>
      <c r="R50" s="348" t="s">
        <v>62</v>
      </c>
      <c r="S50" s="335">
        <v>0</v>
      </c>
      <c r="T50" s="337">
        <v>0</v>
      </c>
    </row>
    <row r="51" spans="1:20" s="356" customFormat="1" ht="15.75" hidden="1">
      <c r="A51" s="62"/>
      <c r="B51" s="59" t="s">
        <v>144</v>
      </c>
      <c r="C51" s="11">
        <f>SUM(D51:N51)</f>
        <v>0</v>
      </c>
      <c r="D51" s="247">
        <v>0</v>
      </c>
      <c r="E51" s="247"/>
      <c r="F51" s="247"/>
      <c r="G51" s="249">
        <v>0</v>
      </c>
      <c r="H51" s="105"/>
      <c r="I51" s="50"/>
      <c r="J51" s="87"/>
      <c r="K51" s="50"/>
      <c r="L51" s="50"/>
      <c r="M51" s="50"/>
      <c r="N51" s="50"/>
      <c r="O51" s="106"/>
      <c r="P51" s="50"/>
      <c r="Q51" s="340" t="s">
        <v>80</v>
      </c>
      <c r="R51" s="339" t="s">
        <v>59</v>
      </c>
      <c r="S51" s="112">
        <f>IF(SUM(C49)&lt;0,-C49,0)</f>
        <v>0</v>
      </c>
      <c r="T51" s="337">
        <f>IF(SUM(C49)&gt;0,-C49,0)</f>
        <v>0</v>
      </c>
    </row>
    <row r="52" spans="1:20" s="356" customFormat="1" ht="15.75" hidden="1">
      <c r="A52" s="62"/>
      <c r="B52" s="59" t="s">
        <v>57</v>
      </c>
      <c r="C52" s="64">
        <f>SUM(D52:N52)</f>
        <v>-1297.06</v>
      </c>
      <c r="D52" s="64"/>
      <c r="E52" s="64"/>
      <c r="F52" s="64"/>
      <c r="G52" s="64"/>
      <c r="H52" s="64">
        <v>-1297.06</v>
      </c>
      <c r="I52" s="64"/>
      <c r="J52" s="64"/>
      <c r="K52" s="64"/>
      <c r="L52" s="64"/>
      <c r="M52" s="64"/>
      <c r="N52" s="64"/>
      <c r="O52" s="99">
        <v>0.01</v>
      </c>
      <c r="P52" s="50"/>
      <c r="Q52" s="342" t="s">
        <v>154</v>
      </c>
      <c r="R52" s="339" t="s">
        <v>77</v>
      </c>
      <c r="S52" s="344">
        <v>0</v>
      </c>
      <c r="T52" s="337">
        <f>IF(SUM(C52)&gt;0,-C52,0)</f>
        <v>0</v>
      </c>
    </row>
    <row r="53" spans="1:20" s="356" customFormat="1" ht="16.5" hidden="1" thickBot="1">
      <c r="A53" s="104">
        <f>A49</f>
        <v>41364</v>
      </c>
      <c r="B53" s="50" t="s">
        <v>56</v>
      </c>
      <c r="C53" s="158">
        <f>SUM(C45:C52)</f>
        <v>-1557766.17</v>
      </c>
      <c r="D53" s="158">
        <f>SUM(D45:D52)</f>
        <v>-883736.20005990437</v>
      </c>
      <c r="E53" s="158">
        <f>SUM(E45:E52)</f>
        <v>-659271.7478600872</v>
      </c>
      <c r="F53" s="158">
        <f t="shared" ref="F53:G53" si="8">SUM(F45:F52)</f>
        <v>0</v>
      </c>
      <c r="G53" s="158">
        <f t="shared" si="8"/>
        <v>0</v>
      </c>
      <c r="H53" s="158">
        <f>SUM(H45:H52)</f>
        <v>-14758.222080008451</v>
      </c>
      <c r="I53" s="158">
        <f t="shared" ref="I53:N53" si="9">SUM(I45:I52)</f>
        <v>0</v>
      </c>
      <c r="J53" s="158">
        <f t="shared" si="9"/>
        <v>0</v>
      </c>
      <c r="K53" s="158">
        <f t="shared" si="9"/>
        <v>0</v>
      </c>
      <c r="L53" s="158">
        <f t="shared" si="9"/>
        <v>0</v>
      </c>
      <c r="M53" s="158">
        <f t="shared" si="9"/>
        <v>0</v>
      </c>
      <c r="N53" s="158">
        <f t="shared" si="9"/>
        <v>0</v>
      </c>
      <c r="O53" s="50"/>
      <c r="P53" s="50"/>
      <c r="Q53" s="343" t="s">
        <v>83</v>
      </c>
      <c r="R53" s="341" t="s">
        <v>78</v>
      </c>
      <c r="S53" s="116">
        <f>IF(SUM(C52)&lt;0,-C52,0)</f>
        <v>1297.06</v>
      </c>
      <c r="T53" s="391">
        <v>0</v>
      </c>
    </row>
    <row r="54" spans="1:20" s="356" customFormat="1" ht="15.75" hidden="1" thickTop="1">
      <c r="A54" s="53"/>
      <c r="B54" s="384"/>
      <c r="C54" s="384"/>
      <c r="D54" s="384"/>
      <c r="E54" s="384"/>
      <c r="F54" s="384"/>
      <c r="G54" s="384"/>
      <c r="H54" s="384"/>
      <c r="I54" s="384"/>
      <c r="J54" s="384"/>
      <c r="K54" s="384"/>
      <c r="L54" s="384"/>
      <c r="M54" s="384"/>
      <c r="N54" s="384"/>
      <c r="O54" s="384"/>
      <c r="P54" s="384"/>
      <c r="Q54" s="384"/>
      <c r="R54" s="384"/>
      <c r="S54" s="384"/>
      <c r="T54" s="338">
        <v>0</v>
      </c>
    </row>
    <row r="55" spans="1:20" s="356" customFormat="1" ht="15.75" hidden="1" thickBot="1">
      <c r="A55" s="53"/>
      <c r="B55" s="384"/>
      <c r="C55" s="384"/>
      <c r="D55" s="384"/>
      <c r="E55" s="384"/>
      <c r="F55" s="384"/>
      <c r="G55" s="384"/>
      <c r="H55" s="384"/>
      <c r="I55" s="384"/>
      <c r="J55" s="384"/>
      <c r="K55" s="384"/>
      <c r="L55" s="384"/>
      <c r="M55" s="384"/>
      <c r="N55" s="384"/>
      <c r="O55" s="384"/>
      <c r="P55" s="384"/>
      <c r="Q55" s="384"/>
      <c r="R55" s="384"/>
      <c r="S55" s="384"/>
      <c r="T55" s="384"/>
    </row>
    <row r="56" spans="1:20" s="356" customFormat="1" ht="15.75" hidden="1" thickBot="1">
      <c r="A56" s="53"/>
      <c r="B56" s="384"/>
      <c r="C56" s="384"/>
      <c r="D56" s="384"/>
      <c r="E56" s="384"/>
      <c r="F56" s="384"/>
      <c r="G56" s="384"/>
      <c r="H56" s="384"/>
      <c r="I56" s="384"/>
      <c r="J56" s="384"/>
      <c r="K56" s="384"/>
      <c r="L56" s="384"/>
      <c r="M56" s="384"/>
      <c r="N56" s="384"/>
      <c r="O56" s="384"/>
      <c r="P56" s="384"/>
      <c r="Q56" s="336" t="s">
        <v>107</v>
      </c>
      <c r="R56" s="332"/>
      <c r="S56" s="332"/>
      <c r="T56" s="228"/>
    </row>
    <row r="57" spans="1:20" s="356" customFormat="1" ht="15.75" hidden="1">
      <c r="A57" s="58">
        <v>41394</v>
      </c>
      <c r="B57" s="59" t="s">
        <v>84</v>
      </c>
      <c r="C57" s="11">
        <f>SUM(D57:N57)</f>
        <v>0</v>
      </c>
      <c r="D57" s="248">
        <v>0</v>
      </c>
      <c r="E57" s="248">
        <v>0</v>
      </c>
      <c r="F57" s="249">
        <v>0</v>
      </c>
      <c r="G57" s="249">
        <v>0</v>
      </c>
      <c r="H57" s="50">
        <v>0</v>
      </c>
      <c r="I57" s="50"/>
      <c r="J57" s="50"/>
      <c r="K57" s="50"/>
      <c r="L57" s="50"/>
      <c r="M57" s="50"/>
      <c r="N57" s="50">
        <v>0</v>
      </c>
      <c r="O57" s="106"/>
      <c r="P57" s="50"/>
      <c r="Q57" s="392" t="s">
        <v>209</v>
      </c>
      <c r="R57" s="393" t="s">
        <v>207</v>
      </c>
      <c r="S57" s="335">
        <f>IF(SUM(C57:C60)&gt;0,C57+C58+C60+C59,0)</f>
        <v>0</v>
      </c>
      <c r="T57" s="337">
        <f>IF(SUM(C57:C60)&lt;0,C57+C58+C60+C59,0)</f>
        <v>-1298.1400000000001</v>
      </c>
    </row>
    <row r="58" spans="1:20" s="356" customFormat="1" ht="15.75" hidden="1">
      <c r="A58" s="62"/>
      <c r="B58" s="59" t="s">
        <v>148</v>
      </c>
      <c r="C58" s="11">
        <f>SUM(D58:N58)</f>
        <v>0</v>
      </c>
      <c r="D58" s="249"/>
      <c r="E58" s="249">
        <v>0</v>
      </c>
      <c r="F58" s="249"/>
      <c r="G58" s="250"/>
      <c r="H58" s="60"/>
      <c r="I58" s="50"/>
      <c r="J58" s="87"/>
      <c r="K58" s="87"/>
      <c r="L58" s="50"/>
      <c r="M58" s="50"/>
      <c r="N58" s="50"/>
      <c r="O58" s="106"/>
      <c r="P58" s="50"/>
      <c r="Q58" s="347" t="s">
        <v>11</v>
      </c>
      <c r="R58" s="348" t="s">
        <v>62</v>
      </c>
      <c r="S58" s="335">
        <v>0</v>
      </c>
      <c r="T58" s="337">
        <v>0</v>
      </c>
    </row>
    <row r="59" spans="1:20" s="356" customFormat="1" ht="15.75" hidden="1">
      <c r="A59" s="62"/>
      <c r="B59" s="59" t="s">
        <v>144</v>
      </c>
      <c r="C59" s="11">
        <f>SUM(D59:N59)</f>
        <v>0</v>
      </c>
      <c r="D59" s="247">
        <v>0</v>
      </c>
      <c r="E59" s="247"/>
      <c r="F59" s="247"/>
      <c r="G59" s="249">
        <v>0</v>
      </c>
      <c r="H59" s="105"/>
      <c r="I59" s="50"/>
      <c r="J59" s="87"/>
      <c r="K59" s="50"/>
      <c r="L59" s="50"/>
      <c r="M59" s="50"/>
      <c r="N59" s="50"/>
      <c r="O59" s="106"/>
      <c r="P59" s="50"/>
      <c r="Q59" s="340" t="s">
        <v>80</v>
      </c>
      <c r="R59" s="339" t="s">
        <v>59</v>
      </c>
      <c r="S59" s="112">
        <f>IF(SUM(C57)&lt;0,-C57,0)</f>
        <v>0</v>
      </c>
      <c r="T59" s="337">
        <f>IF(SUM(C57)&gt;0,-C57,0)</f>
        <v>0</v>
      </c>
    </row>
    <row r="60" spans="1:20" s="356" customFormat="1" ht="15.75" hidden="1">
      <c r="A60" s="62"/>
      <c r="B60" s="59" t="s">
        <v>57</v>
      </c>
      <c r="C60" s="64">
        <f>SUM(D60:N60)</f>
        <v>-1298.1400000000001</v>
      </c>
      <c r="D60" s="64"/>
      <c r="E60" s="64"/>
      <c r="F60" s="64"/>
      <c r="G60" s="64"/>
      <c r="H60" s="64">
        <v>-1298.1400000000001</v>
      </c>
      <c r="I60" s="64"/>
      <c r="J60" s="64"/>
      <c r="K60" s="64"/>
      <c r="L60" s="64"/>
      <c r="M60" s="64"/>
      <c r="N60" s="64"/>
      <c r="O60" s="99">
        <v>0.01</v>
      </c>
      <c r="P60" s="50"/>
      <c r="Q60" s="342" t="s">
        <v>154</v>
      </c>
      <c r="R60" s="339" t="s">
        <v>77</v>
      </c>
      <c r="S60" s="344">
        <v>0</v>
      </c>
      <c r="T60" s="337">
        <f>IF(SUM(C60)&gt;0,-C60,0)</f>
        <v>0</v>
      </c>
    </row>
    <row r="61" spans="1:20" s="356" customFormat="1" ht="16.5" hidden="1" thickBot="1">
      <c r="A61" s="104">
        <f>A57</f>
        <v>41394</v>
      </c>
      <c r="B61" s="50" t="s">
        <v>56</v>
      </c>
      <c r="C61" s="158">
        <f>SUM(C53:C60)</f>
        <v>-1559064.3099999998</v>
      </c>
      <c r="D61" s="158">
        <f>SUM(D53:D60)</f>
        <v>-883736.20005990437</v>
      </c>
      <c r="E61" s="158">
        <f>SUM(E53:E60)</f>
        <v>-659271.7478600872</v>
      </c>
      <c r="F61" s="158">
        <f t="shared" ref="F61:G61" si="10">SUM(F53:F60)</f>
        <v>0</v>
      </c>
      <c r="G61" s="158">
        <f t="shared" si="10"/>
        <v>0</v>
      </c>
      <c r="H61" s="158">
        <f>SUM(H53:H60)</f>
        <v>-16056.36208000845</v>
      </c>
      <c r="I61" s="158">
        <f t="shared" ref="I61:N61" si="11">SUM(I53:I60)</f>
        <v>0</v>
      </c>
      <c r="J61" s="158">
        <f t="shared" si="11"/>
        <v>0</v>
      </c>
      <c r="K61" s="158">
        <f t="shared" si="11"/>
        <v>0</v>
      </c>
      <c r="L61" s="158">
        <f t="shared" si="11"/>
        <v>0</v>
      </c>
      <c r="M61" s="158">
        <f t="shared" si="11"/>
        <v>0</v>
      </c>
      <c r="N61" s="158">
        <f t="shared" si="11"/>
        <v>0</v>
      </c>
      <c r="O61" s="50"/>
      <c r="P61" s="50"/>
      <c r="Q61" s="343" t="s">
        <v>83</v>
      </c>
      <c r="R61" s="341" t="s">
        <v>78</v>
      </c>
      <c r="S61" s="116">
        <f>IF(SUM(C60)&lt;0,-C60,0)</f>
        <v>1298.1400000000001</v>
      </c>
      <c r="T61" s="391">
        <v>0</v>
      </c>
    </row>
    <row r="62" spans="1:20" s="356" customFormat="1" ht="15.75" hidden="1" thickTop="1">
      <c r="A62" s="53"/>
      <c r="B62" s="384"/>
      <c r="C62" s="385"/>
      <c r="D62" s="384"/>
      <c r="E62" s="384"/>
      <c r="F62" s="384"/>
      <c r="G62" s="384"/>
      <c r="H62" s="384"/>
      <c r="I62" s="384"/>
      <c r="J62" s="384"/>
      <c r="K62" s="384"/>
      <c r="L62" s="384"/>
      <c r="M62" s="384"/>
      <c r="N62" s="384"/>
      <c r="O62" s="384"/>
      <c r="P62" s="384"/>
      <c r="Q62" s="384"/>
      <c r="R62" s="384"/>
      <c r="S62" s="384"/>
      <c r="T62" s="338">
        <v>0</v>
      </c>
    </row>
    <row r="63" spans="1:20" s="356" customFormat="1" ht="15.75" hidden="1" thickBot="1">
      <c r="A63" s="53"/>
      <c r="B63" s="384"/>
      <c r="C63" s="384"/>
      <c r="D63" s="384"/>
      <c r="E63" s="384"/>
      <c r="F63" s="384"/>
      <c r="G63" s="384"/>
      <c r="H63" s="384"/>
      <c r="I63" s="384"/>
      <c r="J63" s="384"/>
      <c r="K63" s="384"/>
      <c r="L63" s="384"/>
      <c r="M63" s="384"/>
      <c r="N63" s="384"/>
      <c r="O63" s="384"/>
      <c r="P63" s="384"/>
      <c r="Q63" s="384"/>
      <c r="R63" s="384"/>
      <c r="S63" s="384"/>
      <c r="T63" s="384"/>
    </row>
    <row r="64" spans="1:20" s="356" customFormat="1" ht="15.75" hidden="1" thickBot="1">
      <c r="A64" s="53"/>
      <c r="B64" s="384"/>
      <c r="C64" s="384"/>
      <c r="D64" s="384"/>
      <c r="E64" s="384"/>
      <c r="F64" s="384"/>
      <c r="G64" s="384"/>
      <c r="H64" s="384"/>
      <c r="I64" s="384"/>
      <c r="J64" s="384"/>
      <c r="K64" s="384"/>
      <c r="L64" s="384"/>
      <c r="M64" s="384"/>
      <c r="N64" s="384"/>
      <c r="O64" s="384"/>
      <c r="P64" s="384"/>
      <c r="Q64" s="336" t="s">
        <v>107</v>
      </c>
      <c r="R64" s="332"/>
      <c r="S64" s="332"/>
      <c r="T64" s="228"/>
    </row>
    <row r="65" spans="1:20" s="356" customFormat="1" ht="15.75" hidden="1">
      <c r="A65" s="58">
        <v>41425</v>
      </c>
      <c r="B65" s="59" t="s">
        <v>84</v>
      </c>
      <c r="C65" s="11">
        <f>SUM(D65:N65)</f>
        <v>0</v>
      </c>
      <c r="D65" s="248">
        <v>0</v>
      </c>
      <c r="E65" s="248">
        <v>0</v>
      </c>
      <c r="F65" s="249">
        <v>0</v>
      </c>
      <c r="G65" s="249">
        <v>0</v>
      </c>
      <c r="H65" s="50">
        <v>0</v>
      </c>
      <c r="I65" s="50"/>
      <c r="J65" s="50"/>
      <c r="K65" s="50"/>
      <c r="L65" s="50"/>
      <c r="M65" s="50"/>
      <c r="N65" s="50">
        <v>0</v>
      </c>
      <c r="O65" s="106"/>
      <c r="P65" s="50"/>
      <c r="Q65" s="392" t="s">
        <v>209</v>
      </c>
      <c r="R65" s="393" t="s">
        <v>207</v>
      </c>
      <c r="S65" s="335">
        <f>IF(SUM(C65:C68)&gt;0,C65+C66+C68+C67,0)</f>
        <v>0</v>
      </c>
      <c r="T65" s="337">
        <f>IF(SUM(C65:C68)&lt;0,C65+C66+C68+C67,0)</f>
        <v>-1299.22</v>
      </c>
    </row>
    <row r="66" spans="1:20" s="356" customFormat="1" ht="15.75" hidden="1">
      <c r="A66" s="62"/>
      <c r="B66" s="59" t="s">
        <v>148</v>
      </c>
      <c r="C66" s="11">
        <f>SUM(D66:N66)</f>
        <v>0</v>
      </c>
      <c r="D66" s="249"/>
      <c r="E66" s="249">
        <v>0</v>
      </c>
      <c r="F66" s="249"/>
      <c r="G66" s="250"/>
      <c r="H66" s="60"/>
      <c r="I66" s="50"/>
      <c r="J66" s="87"/>
      <c r="K66" s="87"/>
      <c r="L66" s="50"/>
      <c r="M66" s="50"/>
      <c r="N66" s="50"/>
      <c r="O66" s="106"/>
      <c r="P66" s="50"/>
      <c r="Q66" s="347" t="s">
        <v>11</v>
      </c>
      <c r="R66" s="348" t="s">
        <v>62</v>
      </c>
      <c r="S66" s="335">
        <v>0</v>
      </c>
      <c r="T66" s="337">
        <v>0</v>
      </c>
    </row>
    <row r="67" spans="1:20" s="356" customFormat="1" ht="15.75" hidden="1">
      <c r="A67" s="62"/>
      <c r="B67" s="59" t="s">
        <v>144</v>
      </c>
      <c r="C67" s="11">
        <f>SUM(D67:N67)</f>
        <v>0</v>
      </c>
      <c r="D67" s="247">
        <v>0</v>
      </c>
      <c r="E67" s="247"/>
      <c r="F67" s="247"/>
      <c r="G67" s="249">
        <v>0</v>
      </c>
      <c r="H67" s="105"/>
      <c r="I67" s="50"/>
      <c r="J67" s="87"/>
      <c r="K67" s="50"/>
      <c r="L67" s="50"/>
      <c r="M67" s="50"/>
      <c r="N67" s="50"/>
      <c r="O67" s="106"/>
      <c r="P67" s="50"/>
      <c r="Q67" s="340" t="s">
        <v>80</v>
      </c>
      <c r="R67" s="339" t="s">
        <v>59</v>
      </c>
      <c r="S67" s="112">
        <f>IF(SUM(C65)&lt;0,-C65,0)</f>
        <v>0</v>
      </c>
      <c r="T67" s="337">
        <f>IF(SUM(C65)&gt;0,-C65,0)</f>
        <v>0</v>
      </c>
    </row>
    <row r="68" spans="1:20" s="356" customFormat="1" ht="15.75" hidden="1">
      <c r="A68" s="62"/>
      <c r="B68" s="59" t="s">
        <v>57</v>
      </c>
      <c r="C68" s="64">
        <f>SUM(D68:N68)</f>
        <v>-1299.22</v>
      </c>
      <c r="D68" s="64"/>
      <c r="E68" s="64"/>
      <c r="F68" s="64"/>
      <c r="G68" s="64"/>
      <c r="H68" s="64">
        <v>-1299.22</v>
      </c>
      <c r="I68" s="64"/>
      <c r="J68" s="64"/>
      <c r="K68" s="64"/>
      <c r="L68" s="64"/>
      <c r="M68" s="64"/>
      <c r="N68" s="64"/>
      <c r="O68" s="99">
        <v>0.01</v>
      </c>
      <c r="P68" s="50"/>
      <c r="Q68" s="342" t="s">
        <v>154</v>
      </c>
      <c r="R68" s="339" t="s">
        <v>77</v>
      </c>
      <c r="S68" s="344">
        <v>0</v>
      </c>
      <c r="T68" s="337">
        <f>IF(SUM(C68)&gt;0,-C68,0)</f>
        <v>0</v>
      </c>
    </row>
    <row r="69" spans="1:20" s="356" customFormat="1" ht="16.5" hidden="1" thickBot="1">
      <c r="A69" s="104">
        <f>A65</f>
        <v>41425</v>
      </c>
      <c r="B69" s="50" t="s">
        <v>56</v>
      </c>
      <c r="C69" s="158">
        <f>SUM(C61:C68)</f>
        <v>-1560363.5299999998</v>
      </c>
      <c r="D69" s="158">
        <f>SUM(D61:D68)</f>
        <v>-883736.20005990437</v>
      </c>
      <c r="E69" s="158">
        <f>SUM(E61:E68)</f>
        <v>-659271.7478600872</v>
      </c>
      <c r="F69" s="158">
        <f t="shared" ref="F69:G69" si="12">SUM(F61:F68)</f>
        <v>0</v>
      </c>
      <c r="G69" s="158">
        <f t="shared" si="12"/>
        <v>0</v>
      </c>
      <c r="H69" s="158">
        <f>SUM(H61:H68)</f>
        <v>-17355.582080008451</v>
      </c>
      <c r="I69" s="158">
        <f t="shared" ref="I69:N69" si="13">SUM(I61:I68)</f>
        <v>0</v>
      </c>
      <c r="J69" s="158">
        <f t="shared" si="13"/>
        <v>0</v>
      </c>
      <c r="K69" s="158">
        <f t="shared" si="13"/>
        <v>0</v>
      </c>
      <c r="L69" s="158">
        <f t="shared" si="13"/>
        <v>0</v>
      </c>
      <c r="M69" s="158">
        <f t="shared" si="13"/>
        <v>0</v>
      </c>
      <c r="N69" s="158">
        <f t="shared" si="13"/>
        <v>0</v>
      </c>
      <c r="O69" s="50"/>
      <c r="P69" s="50"/>
      <c r="Q69" s="343" t="s">
        <v>83</v>
      </c>
      <c r="R69" s="341" t="s">
        <v>78</v>
      </c>
      <c r="S69" s="116">
        <f>IF(SUM(C68)&lt;0,-C68,0)</f>
        <v>1299.22</v>
      </c>
      <c r="T69" s="391">
        <v>0</v>
      </c>
    </row>
    <row r="70" spans="1:20" s="356" customFormat="1" ht="15.75" hidden="1" thickTop="1">
      <c r="A70" s="53"/>
      <c r="B70" s="384"/>
      <c r="C70" s="384"/>
      <c r="D70" s="384"/>
      <c r="E70" s="384"/>
      <c r="F70" s="384"/>
      <c r="G70" s="384"/>
      <c r="H70" s="384"/>
      <c r="I70" s="384"/>
      <c r="J70" s="384"/>
      <c r="K70" s="384"/>
      <c r="L70" s="384"/>
      <c r="M70" s="384"/>
      <c r="N70" s="384"/>
      <c r="O70" s="384"/>
      <c r="P70" s="384"/>
      <c r="Q70" s="384"/>
      <c r="R70" s="384"/>
      <c r="S70" s="384"/>
      <c r="T70" s="338">
        <v>0</v>
      </c>
    </row>
    <row r="71" spans="1:20" s="356" customFormat="1" ht="15.75" hidden="1" thickBot="1">
      <c r="A71" s="53"/>
      <c r="B71" s="384"/>
      <c r="C71" s="384"/>
      <c r="D71" s="384"/>
      <c r="E71" s="384"/>
      <c r="F71" s="384"/>
      <c r="G71" s="384"/>
      <c r="H71" s="384"/>
      <c r="I71" s="384"/>
      <c r="J71" s="384"/>
      <c r="K71" s="384"/>
      <c r="L71" s="384"/>
      <c r="M71" s="384"/>
      <c r="N71" s="384"/>
      <c r="O71" s="384"/>
      <c r="P71" s="384"/>
      <c r="Q71" s="384"/>
      <c r="R71" s="384"/>
      <c r="S71" s="384"/>
      <c r="T71" s="384"/>
    </row>
    <row r="72" spans="1:20" s="356" customFormat="1" ht="15.75" hidden="1" thickBot="1">
      <c r="A72" s="53"/>
      <c r="B72" s="384"/>
      <c r="C72" s="384"/>
      <c r="D72" s="384"/>
      <c r="E72" s="384"/>
      <c r="F72" s="384"/>
      <c r="G72" s="384"/>
      <c r="H72" s="384"/>
      <c r="I72" s="384"/>
      <c r="J72" s="384"/>
      <c r="K72" s="384"/>
      <c r="L72" s="384"/>
      <c r="M72" s="384"/>
      <c r="N72" s="384"/>
      <c r="O72" s="384"/>
      <c r="P72" s="384"/>
      <c r="Q72" s="336" t="s">
        <v>107</v>
      </c>
      <c r="R72" s="332"/>
      <c r="S72" s="332"/>
      <c r="T72" s="228"/>
    </row>
    <row r="73" spans="1:20" s="356" customFormat="1" ht="15.75" hidden="1">
      <c r="A73" s="58">
        <v>41426</v>
      </c>
      <c r="B73" s="59" t="s">
        <v>84</v>
      </c>
      <c r="C73" s="11">
        <f>SUM(D73:N73)</f>
        <v>0</v>
      </c>
      <c r="D73" s="248">
        <v>0</v>
      </c>
      <c r="E73" s="248">
        <v>0</v>
      </c>
      <c r="F73" s="249">
        <v>0</v>
      </c>
      <c r="G73" s="249">
        <v>0</v>
      </c>
      <c r="H73" s="50">
        <v>0</v>
      </c>
      <c r="I73" s="50"/>
      <c r="J73" s="50"/>
      <c r="K73" s="50"/>
      <c r="L73" s="50"/>
      <c r="M73" s="50"/>
      <c r="N73" s="50">
        <v>0</v>
      </c>
      <c r="O73" s="106"/>
      <c r="P73" s="50"/>
      <c r="Q73" s="392" t="s">
        <v>209</v>
      </c>
      <c r="R73" s="393" t="s">
        <v>207</v>
      </c>
      <c r="S73" s="335">
        <f>IF(SUM(C73:C76)&gt;0,C73+C74+C76+C75,0)</f>
        <v>0</v>
      </c>
      <c r="T73" s="337">
        <f>IF(SUM(C73:C76)&lt;0,C73+C74+C76+C75,0)</f>
        <v>-1300.3</v>
      </c>
    </row>
    <row r="74" spans="1:20" s="356" customFormat="1" ht="15.75" hidden="1">
      <c r="A74" s="62"/>
      <c r="B74" s="59" t="s">
        <v>148</v>
      </c>
      <c r="C74" s="11">
        <f>SUM(D74:N74)</f>
        <v>0</v>
      </c>
      <c r="D74" s="249"/>
      <c r="E74" s="249">
        <v>0</v>
      </c>
      <c r="F74" s="249"/>
      <c r="G74" s="250"/>
      <c r="H74" s="60"/>
      <c r="I74" s="50"/>
      <c r="J74" s="87"/>
      <c r="K74" s="87"/>
      <c r="L74" s="50"/>
      <c r="M74" s="50"/>
      <c r="N74" s="50"/>
      <c r="O74" s="106"/>
      <c r="P74" s="50"/>
      <c r="Q74" s="347" t="s">
        <v>11</v>
      </c>
      <c r="R74" s="348" t="s">
        <v>62</v>
      </c>
      <c r="S74" s="335">
        <v>0</v>
      </c>
      <c r="T74" s="337">
        <v>0</v>
      </c>
    </row>
    <row r="75" spans="1:20" s="356" customFormat="1" ht="15.75" hidden="1">
      <c r="A75" s="62"/>
      <c r="B75" s="59" t="s">
        <v>144</v>
      </c>
      <c r="C75" s="11">
        <f>SUM(D75:N75)</f>
        <v>0</v>
      </c>
      <c r="D75" s="247">
        <v>0</v>
      </c>
      <c r="E75" s="247"/>
      <c r="F75" s="247"/>
      <c r="G75" s="249">
        <v>0</v>
      </c>
      <c r="H75" s="105"/>
      <c r="I75" s="50"/>
      <c r="J75" s="87"/>
      <c r="K75" s="50"/>
      <c r="L75" s="50"/>
      <c r="M75" s="50"/>
      <c r="N75" s="50"/>
      <c r="O75" s="106"/>
      <c r="P75" s="50"/>
      <c r="Q75" s="340" t="s">
        <v>80</v>
      </c>
      <c r="R75" s="339" t="s">
        <v>59</v>
      </c>
      <c r="S75" s="112">
        <f>IF(SUM(C73)&lt;0,-C73,0)</f>
        <v>0</v>
      </c>
      <c r="T75" s="337">
        <f>IF(SUM(C73)&gt;0,-C73,0)</f>
        <v>0</v>
      </c>
    </row>
    <row r="76" spans="1:20" s="356" customFormat="1" ht="15.75" hidden="1">
      <c r="A76" s="62"/>
      <c r="B76" s="59" t="s">
        <v>57</v>
      </c>
      <c r="C76" s="64">
        <f>SUM(D76:N76)</f>
        <v>-1300.3</v>
      </c>
      <c r="D76" s="64"/>
      <c r="E76" s="64"/>
      <c r="F76" s="64"/>
      <c r="G76" s="64"/>
      <c r="H76" s="64">
        <f>ROUND(((C69)+(C73)/2)*(O76/12),2)</f>
        <v>-1300.3</v>
      </c>
      <c r="I76" s="64"/>
      <c r="J76" s="64"/>
      <c r="K76" s="64"/>
      <c r="L76" s="64"/>
      <c r="M76" s="64"/>
      <c r="N76" s="64"/>
      <c r="O76" s="99">
        <v>0.01</v>
      </c>
      <c r="P76" s="50"/>
      <c r="Q76" s="342" t="s">
        <v>154</v>
      </c>
      <c r="R76" s="339" t="s">
        <v>77</v>
      </c>
      <c r="S76" s="344">
        <v>0</v>
      </c>
      <c r="T76" s="337">
        <f>IF(SUM(C76)&gt;0,-C76,0)</f>
        <v>0</v>
      </c>
    </row>
    <row r="77" spans="1:20" s="356" customFormat="1" ht="16.5" thickBot="1">
      <c r="A77" s="104">
        <f>A73</f>
        <v>41426</v>
      </c>
      <c r="B77" s="50" t="s">
        <v>56</v>
      </c>
      <c r="C77" s="158">
        <f>SUM(C69:C76)</f>
        <v>-1561663.8299999998</v>
      </c>
      <c r="D77" s="158">
        <f>SUM(D69:D76)</f>
        <v>-883736.20005990437</v>
      </c>
      <c r="E77" s="158">
        <f>SUM(E69:E76)</f>
        <v>-659271.7478600872</v>
      </c>
      <c r="F77" s="158">
        <f t="shared" ref="F77:G77" si="14">SUM(F69:F76)</f>
        <v>0</v>
      </c>
      <c r="G77" s="158">
        <f t="shared" si="14"/>
        <v>0</v>
      </c>
      <c r="H77" s="158">
        <f>SUM(H69:H76)</f>
        <v>-18655.88208000845</v>
      </c>
      <c r="I77" s="158">
        <f t="shared" ref="I77:N77" si="15">SUM(I69:I76)</f>
        <v>0</v>
      </c>
      <c r="J77" s="158">
        <f t="shared" si="15"/>
        <v>0</v>
      </c>
      <c r="K77" s="158">
        <f t="shared" si="15"/>
        <v>0</v>
      </c>
      <c r="L77" s="158">
        <f t="shared" si="15"/>
        <v>0</v>
      </c>
      <c r="M77" s="158">
        <f t="shared" si="15"/>
        <v>0</v>
      </c>
      <c r="N77" s="158">
        <f t="shared" si="15"/>
        <v>0</v>
      </c>
      <c r="O77" s="50"/>
      <c r="P77" s="50"/>
      <c r="Q77" s="343" t="s">
        <v>83</v>
      </c>
      <c r="R77" s="341" t="s">
        <v>78</v>
      </c>
      <c r="S77" s="116">
        <f>IF(SUM(C76)&lt;0,-C76,0)</f>
        <v>1300.3</v>
      </c>
      <c r="T77" s="391">
        <v>0</v>
      </c>
    </row>
    <row r="78" spans="1:20" s="356" customFormat="1" ht="15.75" thickTop="1">
      <c r="A78" s="53"/>
      <c r="B78" s="384"/>
      <c r="C78" s="384"/>
      <c r="D78" s="384"/>
      <c r="E78" s="384"/>
      <c r="F78" s="384"/>
      <c r="G78" s="384"/>
      <c r="H78" s="384"/>
      <c r="I78" s="384"/>
      <c r="J78" s="384"/>
      <c r="K78" s="384"/>
      <c r="L78" s="384"/>
      <c r="M78" s="384"/>
      <c r="N78" s="384"/>
      <c r="O78" s="384"/>
      <c r="P78" s="384"/>
      <c r="Q78" s="384"/>
      <c r="R78" s="384"/>
      <c r="S78" s="384"/>
      <c r="T78" s="338">
        <v>0</v>
      </c>
    </row>
    <row r="79" spans="1:20" s="356" customFormat="1" ht="16.5" thickBot="1">
      <c r="A79" s="364"/>
      <c r="B79" s="359"/>
      <c r="C79" s="316"/>
      <c r="D79" s="316"/>
      <c r="E79" s="316"/>
      <c r="F79" s="316"/>
      <c r="G79" s="316"/>
      <c r="H79" s="316"/>
      <c r="I79" s="316"/>
      <c r="J79" s="316"/>
      <c r="K79" s="316"/>
      <c r="L79" s="316"/>
      <c r="M79" s="316"/>
      <c r="N79" s="316"/>
      <c r="O79" s="370"/>
      <c r="P79" s="316"/>
      <c r="Q79" s="371"/>
      <c r="R79" s="362"/>
      <c r="S79" s="369"/>
      <c r="T79" s="369"/>
    </row>
    <row r="80" spans="1:20" s="356" customFormat="1" ht="15.75" thickBot="1">
      <c r="A80" s="53"/>
      <c r="B80" s="384"/>
      <c r="C80" s="384"/>
      <c r="D80" s="384"/>
      <c r="E80" s="384"/>
      <c r="F80" s="384"/>
      <c r="G80" s="384"/>
      <c r="H80" s="384"/>
      <c r="I80" s="384"/>
      <c r="J80" s="384"/>
      <c r="K80" s="384"/>
      <c r="L80" s="384"/>
      <c r="M80" s="384"/>
      <c r="N80" s="384"/>
      <c r="O80" s="384"/>
      <c r="P80" s="384"/>
      <c r="Q80" s="336" t="s">
        <v>107</v>
      </c>
      <c r="R80" s="332"/>
      <c r="S80" s="332"/>
      <c r="T80" s="228"/>
    </row>
    <row r="81" spans="1:20" s="356" customFormat="1" ht="15.75">
      <c r="A81" s="58">
        <v>41456</v>
      </c>
      <c r="B81" s="59" t="s">
        <v>84</v>
      </c>
      <c r="C81" s="11">
        <f>SUM(D81:N81)</f>
        <v>0</v>
      </c>
      <c r="D81" s="248">
        <v>0</v>
      </c>
      <c r="E81" s="248">
        <v>0</v>
      </c>
      <c r="F81" s="249">
        <v>0</v>
      </c>
      <c r="G81" s="249">
        <v>0</v>
      </c>
      <c r="H81" s="50">
        <v>0</v>
      </c>
      <c r="I81" s="50"/>
      <c r="J81" s="50"/>
      <c r="K81" s="50"/>
      <c r="L81" s="50"/>
      <c r="M81" s="50"/>
      <c r="N81" s="50">
        <v>0</v>
      </c>
      <c r="O81" s="106"/>
      <c r="P81" s="50"/>
      <c r="Q81" s="392" t="s">
        <v>209</v>
      </c>
      <c r="R81" s="393" t="s">
        <v>207</v>
      </c>
      <c r="S81" s="335">
        <f>IF(SUM(C81:C84)&gt;0,C81+C82+C84+C83,0)</f>
        <v>0</v>
      </c>
      <c r="T81" s="337">
        <f>IF(SUM(C81:C84)&lt;0,C81+C82+C84+C83,0)</f>
        <v>-1301.3900000000001</v>
      </c>
    </row>
    <row r="82" spans="1:20" s="356" customFormat="1" ht="15.75">
      <c r="A82" s="62"/>
      <c r="B82" s="59" t="s">
        <v>148</v>
      </c>
      <c r="C82" s="11">
        <f>SUM(D82:N82)</f>
        <v>0</v>
      </c>
      <c r="D82" s="249"/>
      <c r="E82" s="249">
        <v>0</v>
      </c>
      <c r="F82" s="249"/>
      <c r="G82" s="250"/>
      <c r="H82" s="60"/>
      <c r="I82" s="50"/>
      <c r="J82" s="87"/>
      <c r="K82" s="87"/>
      <c r="L82" s="50"/>
      <c r="M82" s="50"/>
      <c r="N82" s="50"/>
      <c r="O82" s="106"/>
      <c r="P82" s="50"/>
      <c r="Q82" s="347" t="s">
        <v>11</v>
      </c>
      <c r="R82" s="348" t="s">
        <v>62</v>
      </c>
      <c r="S82" s="335">
        <v>0</v>
      </c>
      <c r="T82" s="337">
        <v>0</v>
      </c>
    </row>
    <row r="83" spans="1:20" s="356" customFormat="1" ht="15.75">
      <c r="A83" s="62"/>
      <c r="B83" s="59" t="s">
        <v>144</v>
      </c>
      <c r="C83" s="11">
        <f>SUM(D83:N83)</f>
        <v>0</v>
      </c>
      <c r="D83" s="247">
        <v>0</v>
      </c>
      <c r="E83" s="247"/>
      <c r="F83" s="247"/>
      <c r="G83" s="249">
        <v>0</v>
      </c>
      <c r="H83" s="105"/>
      <c r="I83" s="50"/>
      <c r="J83" s="87"/>
      <c r="K83" s="50"/>
      <c r="L83" s="50"/>
      <c r="M83" s="50"/>
      <c r="N83" s="50"/>
      <c r="O83" s="106"/>
      <c r="P83" s="50"/>
      <c r="Q83" s="340" t="s">
        <v>80</v>
      </c>
      <c r="R83" s="339" t="s">
        <v>59</v>
      </c>
      <c r="S83" s="112">
        <f>IF(SUM(C81)&lt;0,-C81,0)</f>
        <v>0</v>
      </c>
      <c r="T83" s="337">
        <f>IF(SUM(C81)&gt;0,-C81,0)</f>
        <v>0</v>
      </c>
    </row>
    <row r="84" spans="1:20" s="356" customFormat="1" ht="15.75">
      <c r="A84" s="62"/>
      <c r="B84" s="59" t="s">
        <v>57</v>
      </c>
      <c r="C84" s="64">
        <f>SUM(D84:N84)</f>
        <v>-1301.3900000000001</v>
      </c>
      <c r="D84" s="64"/>
      <c r="E84" s="64"/>
      <c r="F84" s="64"/>
      <c r="G84" s="64"/>
      <c r="H84" s="64">
        <f>ROUND(((C77)+(C81)/2)*(O84/12),2)</f>
        <v>-1301.3900000000001</v>
      </c>
      <c r="I84" s="64"/>
      <c r="J84" s="64"/>
      <c r="K84" s="64"/>
      <c r="L84" s="64"/>
      <c r="M84" s="64"/>
      <c r="N84" s="64"/>
      <c r="O84" s="99">
        <v>0.01</v>
      </c>
      <c r="P84" s="50"/>
      <c r="Q84" s="342" t="s">
        <v>154</v>
      </c>
      <c r="R84" s="339" t="s">
        <v>77</v>
      </c>
      <c r="S84" s="344">
        <v>0</v>
      </c>
      <c r="T84" s="337">
        <f>IF(SUM(C84)&gt;0,-C84,0)</f>
        <v>0</v>
      </c>
    </row>
    <row r="85" spans="1:20" s="356" customFormat="1" ht="16.5" thickBot="1">
      <c r="A85" s="104">
        <f>A81</f>
        <v>41456</v>
      </c>
      <c r="B85" s="50" t="s">
        <v>56</v>
      </c>
      <c r="C85" s="158">
        <f>SUM(C77:C84)</f>
        <v>-1562965.2199999997</v>
      </c>
      <c r="D85" s="158">
        <f>SUM(D77:D84)</f>
        <v>-883736.20005990437</v>
      </c>
      <c r="E85" s="158">
        <f>SUM(E77:E84)</f>
        <v>-659271.7478600872</v>
      </c>
      <c r="F85" s="158">
        <f t="shared" ref="F85:G85" si="16">SUM(F77:F84)</f>
        <v>0</v>
      </c>
      <c r="G85" s="158">
        <f t="shared" si="16"/>
        <v>0</v>
      </c>
      <c r="H85" s="158">
        <f>SUM(H77:H84)</f>
        <v>-19957.27208000845</v>
      </c>
      <c r="I85" s="158">
        <f t="shared" ref="I85:N85" si="17">SUM(I77:I84)</f>
        <v>0</v>
      </c>
      <c r="J85" s="158">
        <f t="shared" si="17"/>
        <v>0</v>
      </c>
      <c r="K85" s="158">
        <f t="shared" si="17"/>
        <v>0</v>
      </c>
      <c r="L85" s="158">
        <f t="shared" si="17"/>
        <v>0</v>
      </c>
      <c r="M85" s="158">
        <f t="shared" si="17"/>
        <v>0</v>
      </c>
      <c r="N85" s="158">
        <f t="shared" si="17"/>
        <v>0</v>
      </c>
      <c r="O85" s="50"/>
      <c r="P85" s="50"/>
      <c r="Q85" s="343" t="s">
        <v>83</v>
      </c>
      <c r="R85" s="341" t="s">
        <v>78</v>
      </c>
      <c r="S85" s="116">
        <f>IF(SUM(C84)&lt;0,-C84,0)</f>
        <v>1301.3900000000001</v>
      </c>
      <c r="T85" s="391">
        <v>0</v>
      </c>
    </row>
    <row r="86" spans="1:20" s="356" customFormat="1" ht="15.75" thickTop="1">
      <c r="A86" s="53"/>
      <c r="B86" s="384"/>
      <c r="C86" s="384"/>
      <c r="D86" s="384"/>
      <c r="E86" s="384"/>
      <c r="F86" s="384"/>
      <c r="G86" s="384"/>
      <c r="H86" s="384"/>
      <c r="I86" s="384"/>
      <c r="J86" s="384"/>
      <c r="K86" s="384"/>
      <c r="L86" s="384"/>
      <c r="M86" s="384"/>
      <c r="N86" s="384"/>
      <c r="O86" s="384"/>
      <c r="P86" s="384"/>
      <c r="Q86" s="384"/>
      <c r="R86" s="384"/>
      <c r="S86" s="384"/>
      <c r="T86" s="338">
        <v>0</v>
      </c>
    </row>
    <row r="87" spans="1:20" s="356" customFormat="1" ht="16.5" thickBot="1">
      <c r="A87" s="364"/>
      <c r="B87" s="359"/>
      <c r="C87" s="316"/>
      <c r="D87" s="316"/>
      <c r="E87" s="316"/>
      <c r="F87" s="316"/>
      <c r="G87" s="316"/>
      <c r="H87" s="316"/>
      <c r="I87" s="316"/>
      <c r="J87" s="316"/>
      <c r="K87" s="316"/>
      <c r="L87" s="316"/>
      <c r="M87" s="316"/>
      <c r="N87" s="316"/>
      <c r="O87" s="370"/>
      <c r="P87" s="316"/>
      <c r="Q87" s="371"/>
      <c r="R87" s="362"/>
      <c r="S87" s="369"/>
      <c r="T87" s="369"/>
    </row>
    <row r="88" spans="1:20" s="356" customFormat="1" ht="15.75" thickBot="1">
      <c r="A88" s="53"/>
      <c r="B88" s="384"/>
      <c r="C88" s="384"/>
      <c r="D88" s="384"/>
      <c r="E88" s="384"/>
      <c r="F88" s="384"/>
      <c r="G88" s="384"/>
      <c r="H88" s="384"/>
      <c r="I88" s="384"/>
      <c r="J88" s="384"/>
      <c r="K88" s="384"/>
      <c r="L88" s="384"/>
      <c r="M88" s="384"/>
      <c r="N88" s="384"/>
      <c r="O88" s="384"/>
      <c r="P88" s="384"/>
      <c r="Q88" s="336" t="s">
        <v>107</v>
      </c>
      <c r="R88" s="332"/>
      <c r="S88" s="332"/>
      <c r="T88" s="228"/>
    </row>
    <row r="89" spans="1:20" s="356" customFormat="1" ht="15.75">
      <c r="A89" s="58">
        <v>41487</v>
      </c>
      <c r="B89" s="59" t="s">
        <v>84</v>
      </c>
      <c r="C89" s="11">
        <f>SUM(D89:N89)</f>
        <v>0</v>
      </c>
      <c r="D89" s="248">
        <v>0</v>
      </c>
      <c r="E89" s="248">
        <v>0</v>
      </c>
      <c r="F89" s="249">
        <v>0</v>
      </c>
      <c r="G89" s="249">
        <v>0</v>
      </c>
      <c r="H89" s="50">
        <v>0</v>
      </c>
      <c r="I89" s="50"/>
      <c r="J89" s="50"/>
      <c r="K89" s="50"/>
      <c r="L89" s="50"/>
      <c r="M89" s="50"/>
      <c r="N89" s="50">
        <v>0</v>
      </c>
      <c r="O89" s="106"/>
      <c r="P89" s="50"/>
      <c r="Q89" s="392" t="s">
        <v>209</v>
      </c>
      <c r="R89" s="393" t="s">
        <v>207</v>
      </c>
      <c r="S89" s="335">
        <f>IF(SUM(C89:C92)&gt;0,C89+C90+C92+C91,0)</f>
        <v>0</v>
      </c>
      <c r="T89" s="337">
        <f>IF(SUM(C89:C92)&lt;0,C89+C90+C92+C91,0)</f>
        <v>-1302.47</v>
      </c>
    </row>
    <row r="90" spans="1:20" s="356" customFormat="1" ht="15.75">
      <c r="A90" s="62"/>
      <c r="B90" s="59" t="s">
        <v>148</v>
      </c>
      <c r="C90" s="11">
        <f>SUM(D90:N90)</f>
        <v>0</v>
      </c>
      <c r="D90" s="249"/>
      <c r="E90" s="249">
        <v>0</v>
      </c>
      <c r="F90" s="249"/>
      <c r="G90" s="250"/>
      <c r="H90" s="60"/>
      <c r="I90" s="50"/>
      <c r="J90" s="87"/>
      <c r="K90" s="87"/>
      <c r="L90" s="50"/>
      <c r="M90" s="50"/>
      <c r="N90" s="50"/>
      <c r="O90" s="106"/>
      <c r="P90" s="50"/>
      <c r="Q90" s="347" t="s">
        <v>11</v>
      </c>
      <c r="R90" s="348" t="s">
        <v>62</v>
      </c>
      <c r="S90" s="335">
        <v>0</v>
      </c>
      <c r="T90" s="337">
        <v>0</v>
      </c>
    </row>
    <row r="91" spans="1:20" s="356" customFormat="1" ht="15.75">
      <c r="A91" s="62"/>
      <c r="B91" s="59" t="s">
        <v>144</v>
      </c>
      <c r="C91" s="11">
        <f>SUM(D91:N91)</f>
        <v>0</v>
      </c>
      <c r="D91" s="247">
        <v>0</v>
      </c>
      <c r="E91" s="247"/>
      <c r="F91" s="247"/>
      <c r="G91" s="249">
        <v>0</v>
      </c>
      <c r="H91" s="105"/>
      <c r="I91" s="50"/>
      <c r="J91" s="87"/>
      <c r="K91" s="50"/>
      <c r="L91" s="50"/>
      <c r="M91" s="50"/>
      <c r="N91" s="50"/>
      <c r="O91" s="106"/>
      <c r="P91" s="50"/>
      <c r="Q91" s="340" t="s">
        <v>80</v>
      </c>
      <c r="R91" s="339" t="s">
        <v>59</v>
      </c>
      <c r="S91" s="112">
        <f>IF(SUM(C89)&lt;0,-C89,0)</f>
        <v>0</v>
      </c>
      <c r="T91" s="337">
        <f>IF(SUM(C89)&gt;0,-C89,0)</f>
        <v>0</v>
      </c>
    </row>
    <row r="92" spans="1:20" s="356" customFormat="1" ht="15.75">
      <c r="A92" s="62"/>
      <c r="B92" s="59" t="s">
        <v>57</v>
      </c>
      <c r="C92" s="64">
        <f>SUM(D92:N92)</f>
        <v>-1302.47</v>
      </c>
      <c r="D92" s="64"/>
      <c r="E92" s="64"/>
      <c r="F92" s="64"/>
      <c r="G92" s="64"/>
      <c r="H92" s="64">
        <v>-1302.47</v>
      </c>
      <c r="I92" s="64"/>
      <c r="J92" s="64"/>
      <c r="K92" s="64"/>
      <c r="L92" s="64"/>
      <c r="M92" s="64"/>
      <c r="N92" s="64"/>
      <c r="O92" s="99">
        <v>0.01</v>
      </c>
      <c r="P92" s="50"/>
      <c r="Q92" s="342" t="s">
        <v>154</v>
      </c>
      <c r="R92" s="339" t="s">
        <v>77</v>
      </c>
      <c r="S92" s="344">
        <v>0</v>
      </c>
      <c r="T92" s="337">
        <f>IF(SUM(C92)&gt;0,-C92,0)</f>
        <v>0</v>
      </c>
    </row>
    <row r="93" spans="1:20" s="356" customFormat="1" ht="16.5" thickBot="1">
      <c r="A93" s="104">
        <f>A89</f>
        <v>41487</v>
      </c>
      <c r="B93" s="50" t="s">
        <v>56</v>
      </c>
      <c r="C93" s="158">
        <f>SUM(C85:C92)</f>
        <v>-1564267.6899999997</v>
      </c>
      <c r="D93" s="158">
        <f>SUM(D85:D92)</f>
        <v>-883736.20005990437</v>
      </c>
      <c r="E93" s="158">
        <f>SUM(E85:E92)</f>
        <v>-659271.7478600872</v>
      </c>
      <c r="F93" s="158">
        <f t="shared" ref="F93:G93" si="18">SUM(F85:F92)</f>
        <v>0</v>
      </c>
      <c r="G93" s="158">
        <f t="shared" si="18"/>
        <v>0</v>
      </c>
      <c r="H93" s="158">
        <f>SUM(H85:H92)</f>
        <v>-21259.742080008451</v>
      </c>
      <c r="I93" s="158">
        <f t="shared" ref="I93:N93" si="19">SUM(I85:I92)</f>
        <v>0</v>
      </c>
      <c r="J93" s="158">
        <f t="shared" si="19"/>
        <v>0</v>
      </c>
      <c r="K93" s="158">
        <f t="shared" si="19"/>
        <v>0</v>
      </c>
      <c r="L93" s="158">
        <f t="shared" si="19"/>
        <v>0</v>
      </c>
      <c r="M93" s="158">
        <f t="shared" si="19"/>
        <v>0</v>
      </c>
      <c r="N93" s="158">
        <f t="shared" si="19"/>
        <v>0</v>
      </c>
      <c r="O93" s="50"/>
      <c r="P93" s="50"/>
      <c r="Q93" s="343" t="s">
        <v>83</v>
      </c>
      <c r="R93" s="341" t="s">
        <v>78</v>
      </c>
      <c r="S93" s="116">
        <f>IF(SUM(C92)&lt;0,-C92,0)</f>
        <v>1302.47</v>
      </c>
      <c r="T93" s="391">
        <v>0</v>
      </c>
    </row>
    <row r="94" spans="1:20" s="356" customFormat="1" ht="15.75" thickTop="1">
      <c r="A94" s="53"/>
      <c r="B94" s="384"/>
      <c r="C94" s="384"/>
      <c r="D94" s="384"/>
      <c r="E94" s="384"/>
      <c r="F94" s="384"/>
      <c r="G94" s="384"/>
      <c r="H94" s="384"/>
      <c r="I94" s="384"/>
      <c r="J94" s="384"/>
      <c r="K94" s="384"/>
      <c r="L94" s="384"/>
      <c r="M94" s="384"/>
      <c r="N94" s="384"/>
      <c r="O94" s="384"/>
      <c r="P94" s="384"/>
      <c r="Q94" s="384"/>
      <c r="R94" s="384"/>
      <c r="S94" s="384"/>
      <c r="T94" s="338">
        <f>SUM(S89:T93)</f>
        <v>0</v>
      </c>
    </row>
    <row r="95" spans="1:20" s="356" customFormat="1" ht="16.5" thickBot="1">
      <c r="A95" s="372"/>
      <c r="B95" s="316"/>
      <c r="C95" s="316"/>
      <c r="D95" s="316"/>
      <c r="E95" s="316"/>
      <c r="F95" s="316"/>
      <c r="G95" s="316"/>
      <c r="H95" s="316"/>
      <c r="I95" s="316"/>
      <c r="J95" s="316"/>
      <c r="K95" s="316"/>
      <c r="L95" s="316"/>
      <c r="M95" s="316"/>
      <c r="N95" s="316"/>
      <c r="O95" s="316"/>
      <c r="P95" s="316"/>
      <c r="Q95" s="371"/>
      <c r="R95" s="373"/>
      <c r="S95" s="369"/>
      <c r="T95" s="369"/>
    </row>
    <row r="96" spans="1:20" s="356" customFormat="1" ht="15.75" thickBot="1">
      <c r="A96" s="53"/>
      <c r="B96" s="384"/>
      <c r="C96" s="384"/>
      <c r="D96" s="384"/>
      <c r="E96" s="384"/>
      <c r="F96" s="384"/>
      <c r="G96" s="384"/>
      <c r="H96" s="384"/>
      <c r="I96" s="384"/>
      <c r="J96" s="384"/>
      <c r="K96" s="384"/>
      <c r="L96" s="384"/>
      <c r="M96" s="384"/>
      <c r="N96" s="384"/>
      <c r="O96" s="384"/>
      <c r="P96" s="384"/>
      <c r="Q96" s="336" t="s">
        <v>107</v>
      </c>
      <c r="R96" s="332"/>
      <c r="S96" s="332"/>
      <c r="T96" s="228"/>
    </row>
    <row r="97" spans="1:20" s="356" customFormat="1" ht="15.75">
      <c r="A97" s="58">
        <v>41518</v>
      </c>
      <c r="B97" s="59" t="s">
        <v>84</v>
      </c>
      <c r="C97" s="11">
        <f>SUM(D97:N97)</f>
        <v>0</v>
      </c>
      <c r="D97" s="248">
        <v>0</v>
      </c>
      <c r="E97" s="248">
        <v>0</v>
      </c>
      <c r="F97" s="249">
        <v>0</v>
      </c>
      <c r="G97" s="249">
        <v>0</v>
      </c>
      <c r="H97" s="50">
        <v>0</v>
      </c>
      <c r="I97" s="50"/>
      <c r="J97" s="50"/>
      <c r="K97" s="50"/>
      <c r="L97" s="50"/>
      <c r="M97" s="50"/>
      <c r="N97" s="50">
        <v>0</v>
      </c>
      <c r="O97" s="106"/>
      <c r="P97" s="50"/>
      <c r="Q97" s="392" t="s">
        <v>209</v>
      </c>
      <c r="R97" s="393" t="s">
        <v>207</v>
      </c>
      <c r="S97" s="335">
        <f>IF(SUM(C97:C100)&gt;0,C97+C98+C100+C99,0)</f>
        <v>0</v>
      </c>
      <c r="T97" s="337">
        <f>IF(SUM(C97:C100)&lt;0,C97+C98+C100+C99,0)</f>
        <v>-1303.56</v>
      </c>
    </row>
    <row r="98" spans="1:20" s="356" customFormat="1" ht="15.75">
      <c r="A98" s="62"/>
      <c r="B98" s="59" t="s">
        <v>148</v>
      </c>
      <c r="C98" s="11">
        <f>SUM(D98:N98)</f>
        <v>0</v>
      </c>
      <c r="D98" s="249"/>
      <c r="E98" s="249">
        <v>0</v>
      </c>
      <c r="F98" s="249"/>
      <c r="G98" s="250"/>
      <c r="H98" s="60"/>
      <c r="I98" s="50"/>
      <c r="J98" s="87"/>
      <c r="K98" s="87"/>
      <c r="L98" s="50"/>
      <c r="M98" s="50"/>
      <c r="N98" s="50"/>
      <c r="O98" s="106"/>
      <c r="P98" s="50"/>
      <c r="Q98" s="347" t="s">
        <v>11</v>
      </c>
      <c r="R98" s="348" t="s">
        <v>62</v>
      </c>
      <c r="S98" s="335">
        <v>0</v>
      </c>
      <c r="T98" s="337">
        <v>0</v>
      </c>
    </row>
    <row r="99" spans="1:20" s="356" customFormat="1" ht="15.75">
      <c r="A99" s="62"/>
      <c r="B99" s="59" t="s">
        <v>144</v>
      </c>
      <c r="C99" s="11">
        <f>SUM(D99:N99)</f>
        <v>0</v>
      </c>
      <c r="D99" s="247">
        <v>0</v>
      </c>
      <c r="E99" s="247"/>
      <c r="F99" s="247"/>
      <c r="G99" s="249">
        <v>0</v>
      </c>
      <c r="H99" s="105"/>
      <c r="I99" s="50"/>
      <c r="J99" s="87"/>
      <c r="K99" s="50"/>
      <c r="L99" s="50"/>
      <c r="M99" s="50"/>
      <c r="N99" s="50"/>
      <c r="O99" s="106"/>
      <c r="P99" s="50"/>
      <c r="Q99" s="340" t="s">
        <v>80</v>
      </c>
      <c r="R99" s="339" t="s">
        <v>59</v>
      </c>
      <c r="S99" s="112">
        <f>IF(SUM(C97)&lt;0,-C97,0)</f>
        <v>0</v>
      </c>
      <c r="T99" s="337">
        <f>IF(SUM(C97)&gt;0,-C97,0)</f>
        <v>0</v>
      </c>
    </row>
    <row r="100" spans="1:20" s="356" customFormat="1" ht="15.75">
      <c r="A100" s="62"/>
      <c r="B100" s="59" t="s">
        <v>57</v>
      </c>
      <c r="C100" s="64">
        <f>SUM(D100:N100)</f>
        <v>-1303.56</v>
      </c>
      <c r="D100" s="64"/>
      <c r="E100" s="64"/>
      <c r="F100" s="64"/>
      <c r="G100" s="64"/>
      <c r="H100" s="64">
        <f>ROUND(((C93)+(C97)/2)*(O100/12),2)</f>
        <v>-1303.56</v>
      </c>
      <c r="I100" s="64"/>
      <c r="J100" s="64"/>
      <c r="K100" s="64"/>
      <c r="L100" s="64"/>
      <c r="M100" s="64"/>
      <c r="N100" s="64"/>
      <c r="O100" s="99">
        <v>0.01</v>
      </c>
      <c r="P100" s="50"/>
      <c r="Q100" s="342" t="s">
        <v>154</v>
      </c>
      <c r="R100" s="339" t="s">
        <v>77</v>
      </c>
      <c r="S100" s="344">
        <v>0</v>
      </c>
      <c r="T100" s="337">
        <f>IF(SUM(C100)&gt;0,-C100,0)</f>
        <v>0</v>
      </c>
    </row>
    <row r="101" spans="1:20" s="356" customFormat="1" ht="16.5" thickBot="1">
      <c r="A101" s="104">
        <f>A97</f>
        <v>41518</v>
      </c>
      <c r="B101" s="50" t="s">
        <v>56</v>
      </c>
      <c r="C101" s="158">
        <f>SUM(C93:C100)</f>
        <v>-1565571.2499999998</v>
      </c>
      <c r="D101" s="158">
        <f>SUM(D93:D100)</f>
        <v>-883736.20005990437</v>
      </c>
      <c r="E101" s="158">
        <f>SUM(E93:E100)</f>
        <v>-659271.7478600872</v>
      </c>
      <c r="F101" s="158">
        <f t="shared" ref="F101:G101" si="20">SUM(F93:F100)</f>
        <v>0</v>
      </c>
      <c r="G101" s="158">
        <f t="shared" si="20"/>
        <v>0</v>
      </c>
      <c r="H101" s="158">
        <f>SUM(H93:H100)</f>
        <v>-22563.302080008452</v>
      </c>
      <c r="I101" s="158">
        <f t="shared" ref="I101:N101" si="21">SUM(I93:I100)</f>
        <v>0</v>
      </c>
      <c r="J101" s="158">
        <f t="shared" si="21"/>
        <v>0</v>
      </c>
      <c r="K101" s="158">
        <f t="shared" si="21"/>
        <v>0</v>
      </c>
      <c r="L101" s="158">
        <f t="shared" si="21"/>
        <v>0</v>
      </c>
      <c r="M101" s="158">
        <f t="shared" si="21"/>
        <v>0</v>
      </c>
      <c r="N101" s="158">
        <f t="shared" si="21"/>
        <v>0</v>
      </c>
      <c r="O101" s="50"/>
      <c r="P101" s="50"/>
      <c r="Q101" s="343" t="s">
        <v>83</v>
      </c>
      <c r="R101" s="341" t="s">
        <v>78</v>
      </c>
      <c r="S101" s="116">
        <f>IF(SUM(C100)&lt;0,-C100,0)</f>
        <v>1303.56</v>
      </c>
      <c r="T101" s="391">
        <v>0</v>
      </c>
    </row>
    <row r="102" spans="1:20" s="356" customFormat="1" ht="15.75" thickTop="1">
      <c r="A102" s="53"/>
      <c r="B102" s="384"/>
      <c r="C102" s="384"/>
      <c r="D102" s="384"/>
      <c r="E102" s="384"/>
      <c r="F102" s="384"/>
      <c r="G102" s="384"/>
      <c r="H102" s="384"/>
      <c r="I102" s="384"/>
      <c r="J102" s="384"/>
      <c r="K102" s="384"/>
      <c r="L102" s="384"/>
      <c r="M102" s="384"/>
      <c r="N102" s="384"/>
      <c r="O102" s="384"/>
      <c r="P102" s="384"/>
      <c r="Q102" s="384"/>
      <c r="R102" s="384"/>
      <c r="S102" s="384"/>
      <c r="T102" s="338">
        <f>SUM(S97:T101)</f>
        <v>0</v>
      </c>
    </row>
    <row r="103" spans="1:20" s="410" customFormat="1" ht="15.75">
      <c r="A103" s="459"/>
      <c r="B103" s="388" t="s">
        <v>224</v>
      </c>
      <c r="T103" s="435"/>
    </row>
    <row r="104" spans="1:20" s="356" customFormat="1">
      <c r="A104" s="355"/>
      <c r="T104" s="369"/>
    </row>
    <row r="105" spans="1:20" s="356" customFormat="1">
      <c r="A105" s="355"/>
      <c r="Q105" s="357"/>
      <c r="T105" s="369"/>
    </row>
    <row r="106" spans="1:20" s="356" customFormat="1" ht="15.75">
      <c r="A106" s="358"/>
      <c r="B106" s="359"/>
      <c r="C106" s="316"/>
      <c r="D106" s="352"/>
      <c r="E106" s="352"/>
      <c r="F106" s="353"/>
      <c r="G106" s="353"/>
      <c r="H106" s="316"/>
      <c r="I106" s="316"/>
      <c r="J106" s="316"/>
      <c r="K106" s="316"/>
      <c r="L106" s="316"/>
      <c r="M106" s="316"/>
      <c r="N106" s="316"/>
      <c r="O106" s="360"/>
      <c r="P106" s="316"/>
      <c r="Q106" s="361"/>
      <c r="R106" s="362"/>
      <c r="S106" s="363"/>
      <c r="T106" s="369"/>
    </row>
    <row r="107" spans="1:20" s="356" customFormat="1" ht="15.75">
      <c r="A107" s="364"/>
      <c r="B107" s="359"/>
      <c r="C107" s="316"/>
      <c r="D107" s="353"/>
      <c r="E107" s="353"/>
      <c r="F107" s="353"/>
      <c r="G107" s="354"/>
      <c r="H107" s="353"/>
      <c r="I107" s="316"/>
      <c r="J107" s="354"/>
      <c r="K107" s="354"/>
      <c r="L107" s="316"/>
      <c r="M107" s="316"/>
      <c r="N107" s="316"/>
      <c r="O107" s="360"/>
      <c r="P107" s="316"/>
      <c r="Q107" s="365"/>
      <c r="R107" s="366"/>
      <c r="S107" s="363"/>
      <c r="T107" s="369"/>
    </row>
    <row r="108" spans="1:20" s="356" customFormat="1" ht="15.75">
      <c r="A108" s="364"/>
      <c r="B108" s="359"/>
      <c r="C108" s="316"/>
      <c r="D108" s="316"/>
      <c r="E108" s="316"/>
      <c r="F108" s="316"/>
      <c r="G108" s="353"/>
      <c r="H108" s="367"/>
      <c r="I108" s="316"/>
      <c r="J108" s="354"/>
      <c r="K108" s="316"/>
      <c r="L108" s="316"/>
      <c r="M108" s="316"/>
      <c r="N108" s="316"/>
      <c r="O108" s="360"/>
      <c r="P108" s="316"/>
      <c r="Q108" s="368"/>
      <c r="R108" s="362"/>
      <c r="S108" s="369"/>
      <c r="T108" s="369"/>
    </row>
    <row r="109" spans="1:20" s="356" customFormat="1" ht="15.75">
      <c r="A109" s="364"/>
      <c r="B109" s="359"/>
      <c r="C109" s="316"/>
      <c r="D109" s="316"/>
      <c r="E109" s="316"/>
      <c r="F109" s="316"/>
      <c r="G109" s="316"/>
      <c r="H109" s="316"/>
      <c r="I109" s="316"/>
      <c r="J109" s="316"/>
      <c r="K109" s="316"/>
      <c r="L109" s="316"/>
      <c r="M109" s="316"/>
      <c r="N109" s="316"/>
      <c r="O109" s="370"/>
      <c r="P109" s="316"/>
      <c r="Q109" s="371"/>
      <c r="R109" s="362"/>
      <c r="S109" s="369"/>
      <c r="T109" s="369"/>
    </row>
    <row r="110" spans="1:20" s="356" customFormat="1" ht="15.75">
      <c r="A110" s="372"/>
      <c r="B110" s="316"/>
      <c r="C110" s="316"/>
      <c r="D110" s="316"/>
      <c r="E110" s="316"/>
      <c r="F110" s="316"/>
      <c r="G110" s="316"/>
      <c r="H110" s="316"/>
      <c r="I110" s="316"/>
      <c r="J110" s="316"/>
      <c r="K110" s="316"/>
      <c r="L110" s="316"/>
      <c r="M110" s="316"/>
      <c r="N110" s="316"/>
      <c r="O110" s="316"/>
      <c r="P110" s="316"/>
      <c r="Q110" s="371"/>
      <c r="R110" s="373"/>
      <c r="S110" s="369"/>
      <c r="T110" s="369"/>
    </row>
    <row r="111" spans="1:20" s="356" customFormat="1">
      <c r="A111" s="355"/>
      <c r="T111" s="369"/>
    </row>
    <row r="112" spans="1:20" s="356" customFormat="1">
      <c r="A112" s="355"/>
      <c r="T112" s="369"/>
    </row>
    <row r="113" spans="1:20" s="356" customFormat="1">
      <c r="A113" s="355"/>
      <c r="Q113" s="357"/>
      <c r="T113" s="369"/>
    </row>
    <row r="114" spans="1:20" s="356" customFormat="1" ht="15.75">
      <c r="A114" s="358"/>
      <c r="B114" s="359"/>
      <c r="C114" s="316"/>
      <c r="D114" s="352"/>
      <c r="E114" s="352"/>
      <c r="F114" s="353"/>
      <c r="G114" s="353"/>
      <c r="H114" s="316"/>
      <c r="I114" s="316"/>
      <c r="J114" s="316"/>
      <c r="K114" s="316"/>
      <c r="L114" s="316"/>
      <c r="M114" s="316"/>
      <c r="N114" s="316"/>
      <c r="O114" s="360"/>
      <c r="P114" s="316"/>
      <c r="Q114" s="361"/>
      <c r="R114" s="362"/>
      <c r="S114" s="363"/>
      <c r="T114" s="369"/>
    </row>
    <row r="115" spans="1:20" s="356" customFormat="1" ht="15.75">
      <c r="A115" s="364"/>
      <c r="B115" s="359"/>
      <c r="C115" s="316"/>
      <c r="D115" s="353"/>
      <c r="E115" s="353"/>
      <c r="F115" s="353"/>
      <c r="G115" s="354"/>
      <c r="H115" s="353"/>
      <c r="I115" s="316"/>
      <c r="J115" s="354"/>
      <c r="K115" s="354"/>
      <c r="L115" s="316"/>
      <c r="M115" s="316"/>
      <c r="N115" s="316"/>
      <c r="O115" s="360"/>
      <c r="P115" s="316"/>
      <c r="Q115" s="365"/>
      <c r="R115" s="366"/>
      <c r="S115" s="363"/>
      <c r="T115" s="369"/>
    </row>
    <row r="116" spans="1:20" s="356" customFormat="1" ht="15.75">
      <c r="A116" s="364"/>
      <c r="B116" s="359"/>
      <c r="C116" s="316"/>
      <c r="D116" s="316"/>
      <c r="E116" s="316"/>
      <c r="F116" s="316"/>
      <c r="G116" s="353"/>
      <c r="H116" s="367"/>
      <c r="I116" s="316"/>
      <c r="J116" s="354"/>
      <c r="K116" s="316"/>
      <c r="L116" s="316"/>
      <c r="M116" s="316"/>
      <c r="N116" s="316"/>
      <c r="O116" s="360"/>
      <c r="P116" s="316"/>
      <c r="Q116" s="368"/>
      <c r="R116" s="362"/>
      <c r="S116" s="369"/>
      <c r="T116" s="369"/>
    </row>
    <row r="117" spans="1:20" s="356" customFormat="1" ht="15.75">
      <c r="A117" s="364"/>
      <c r="B117" s="359"/>
      <c r="C117" s="316"/>
      <c r="D117" s="316"/>
      <c r="E117" s="316"/>
      <c r="F117" s="316"/>
      <c r="G117" s="316"/>
      <c r="H117" s="316"/>
      <c r="I117" s="316"/>
      <c r="J117" s="316"/>
      <c r="K117" s="316"/>
      <c r="L117" s="316"/>
      <c r="M117" s="316"/>
      <c r="N117" s="316"/>
      <c r="O117" s="370"/>
      <c r="P117" s="316"/>
      <c r="Q117" s="371"/>
      <c r="R117" s="362"/>
      <c r="S117" s="369"/>
      <c r="T117" s="369"/>
    </row>
    <row r="118" spans="1:20" s="356" customFormat="1" ht="15.75">
      <c r="A118" s="372"/>
      <c r="B118" s="316"/>
      <c r="C118" s="316"/>
      <c r="D118" s="316"/>
      <c r="E118" s="316"/>
      <c r="F118" s="316"/>
      <c r="G118" s="316"/>
      <c r="H118" s="316"/>
      <c r="I118" s="316"/>
      <c r="J118" s="316"/>
      <c r="K118" s="316"/>
      <c r="L118" s="316"/>
      <c r="M118" s="316"/>
      <c r="N118" s="316"/>
      <c r="O118" s="316"/>
      <c r="P118" s="316"/>
      <c r="Q118" s="371"/>
      <c r="R118" s="373"/>
      <c r="S118" s="369"/>
      <c r="T118" s="369"/>
    </row>
    <row r="119" spans="1:20" s="356" customFormat="1" ht="15.75">
      <c r="A119" s="372"/>
      <c r="B119" s="316"/>
      <c r="C119" s="316"/>
      <c r="D119" s="316"/>
      <c r="E119" s="316"/>
      <c r="F119" s="316"/>
      <c r="G119" s="316"/>
      <c r="H119" s="316"/>
      <c r="I119" s="316"/>
      <c r="J119" s="316"/>
      <c r="K119" s="316"/>
      <c r="L119" s="316"/>
      <c r="M119" s="316"/>
      <c r="N119" s="316"/>
      <c r="O119" s="316"/>
      <c r="P119" s="316"/>
      <c r="Q119" s="371"/>
      <c r="R119" s="373"/>
      <c r="S119" s="369"/>
      <c r="T119" s="369"/>
    </row>
    <row r="120" spans="1:20" s="356" customFormat="1" ht="15.75">
      <c r="A120" s="372"/>
      <c r="B120" s="316"/>
      <c r="C120" s="316"/>
      <c r="D120" s="316"/>
      <c r="E120" s="316"/>
      <c r="F120" s="316"/>
      <c r="G120" s="316"/>
      <c r="H120" s="316"/>
      <c r="I120" s="316"/>
      <c r="J120" s="316"/>
      <c r="K120" s="316"/>
      <c r="L120" s="316"/>
      <c r="M120" s="316"/>
      <c r="N120" s="316"/>
      <c r="O120" s="316"/>
      <c r="P120" s="316"/>
      <c r="Q120" s="371"/>
      <c r="R120" s="373"/>
      <c r="S120" s="369"/>
      <c r="T120" s="369"/>
    </row>
    <row r="121" spans="1:20" s="356" customFormat="1">
      <c r="A121" s="355"/>
      <c r="Q121" s="357"/>
      <c r="T121" s="369"/>
    </row>
    <row r="122" spans="1:20" s="356" customFormat="1" ht="15.75">
      <c r="A122" s="358"/>
      <c r="B122" s="359"/>
      <c r="C122" s="316"/>
      <c r="D122" s="352"/>
      <c r="E122" s="352"/>
      <c r="F122" s="353"/>
      <c r="G122" s="353"/>
      <c r="H122" s="316"/>
      <c r="I122" s="316"/>
      <c r="J122" s="316"/>
      <c r="K122" s="316"/>
      <c r="L122" s="316"/>
      <c r="M122" s="316"/>
      <c r="N122" s="316"/>
      <c r="O122" s="360"/>
      <c r="P122" s="316"/>
      <c r="Q122" s="361"/>
      <c r="R122" s="362"/>
      <c r="S122" s="363"/>
      <c r="T122" s="369"/>
    </row>
    <row r="123" spans="1:20" s="356" customFormat="1" ht="15.75">
      <c r="A123" s="364"/>
      <c r="B123" s="359"/>
      <c r="C123" s="316"/>
      <c r="D123" s="353"/>
      <c r="E123" s="353"/>
      <c r="F123" s="353"/>
      <c r="G123" s="354"/>
      <c r="H123" s="353"/>
      <c r="I123" s="316"/>
      <c r="J123" s="354"/>
      <c r="K123" s="354"/>
      <c r="L123" s="316"/>
      <c r="M123" s="316"/>
      <c r="N123" s="316"/>
      <c r="O123" s="360"/>
      <c r="P123" s="316"/>
      <c r="Q123" s="365"/>
      <c r="R123" s="366"/>
      <c r="S123" s="363"/>
      <c r="T123" s="369"/>
    </row>
    <row r="124" spans="1:20" s="356" customFormat="1" ht="15.75">
      <c r="A124" s="364"/>
      <c r="B124" s="359"/>
      <c r="C124" s="316"/>
      <c r="D124" s="316"/>
      <c r="E124" s="316"/>
      <c r="F124" s="316"/>
      <c r="G124" s="353"/>
      <c r="H124" s="367"/>
      <c r="I124" s="316"/>
      <c r="J124" s="354"/>
      <c r="K124" s="316"/>
      <c r="L124" s="316"/>
      <c r="M124" s="316"/>
      <c r="N124" s="316"/>
      <c r="O124" s="360"/>
      <c r="P124" s="316"/>
      <c r="Q124" s="368"/>
      <c r="R124" s="362"/>
      <c r="S124" s="369"/>
      <c r="T124" s="369"/>
    </row>
    <row r="125" spans="1:20" s="356" customFormat="1" ht="15.75">
      <c r="A125" s="364"/>
      <c r="B125" s="359"/>
      <c r="C125" s="316"/>
      <c r="D125" s="316"/>
      <c r="E125" s="316"/>
      <c r="F125" s="316"/>
      <c r="G125" s="316"/>
      <c r="H125" s="316"/>
      <c r="I125" s="316"/>
      <c r="J125" s="316"/>
      <c r="K125" s="316"/>
      <c r="L125" s="316"/>
      <c r="M125" s="316"/>
      <c r="N125" s="316"/>
      <c r="O125" s="370"/>
      <c r="P125" s="316"/>
      <c r="Q125" s="371"/>
      <c r="R125" s="362"/>
      <c r="S125" s="369"/>
      <c r="T125" s="369"/>
    </row>
    <row r="126" spans="1:20" s="356" customFormat="1" ht="15.75">
      <c r="A126" s="372"/>
      <c r="B126" s="316"/>
      <c r="C126" s="316"/>
      <c r="D126" s="316"/>
      <c r="E126" s="316"/>
      <c r="F126" s="316"/>
      <c r="G126" s="316"/>
      <c r="H126" s="316"/>
      <c r="I126" s="316"/>
      <c r="J126" s="316"/>
      <c r="K126" s="316"/>
      <c r="L126" s="316"/>
      <c r="M126" s="316"/>
      <c r="N126" s="316"/>
      <c r="O126" s="316"/>
      <c r="P126" s="316"/>
      <c r="Q126" s="371"/>
      <c r="R126" s="373"/>
      <c r="S126" s="369"/>
      <c r="T126" s="369"/>
    </row>
    <row r="127" spans="1:20" s="356" customFormat="1" ht="15.75">
      <c r="A127" s="372"/>
      <c r="B127" s="316"/>
      <c r="C127" s="316"/>
      <c r="D127" s="316"/>
      <c r="E127" s="316"/>
      <c r="F127" s="316"/>
      <c r="G127" s="316"/>
      <c r="H127" s="316"/>
      <c r="I127" s="316"/>
      <c r="J127" s="316"/>
      <c r="K127" s="316"/>
      <c r="L127" s="316"/>
      <c r="M127" s="316"/>
      <c r="N127" s="316"/>
      <c r="O127" s="316"/>
      <c r="P127" s="316"/>
      <c r="Q127" s="371"/>
      <c r="R127" s="373"/>
      <c r="S127" s="369"/>
      <c r="T127" s="369"/>
    </row>
    <row r="128" spans="1:20" s="356" customFormat="1" ht="15.75">
      <c r="A128" s="372"/>
      <c r="B128" s="316"/>
      <c r="C128" s="316"/>
      <c r="D128" s="316"/>
      <c r="E128" s="316"/>
      <c r="F128" s="316"/>
      <c r="G128" s="316"/>
      <c r="H128" s="316"/>
      <c r="I128" s="316"/>
      <c r="J128" s="316"/>
      <c r="K128" s="316"/>
      <c r="L128" s="316"/>
      <c r="M128" s="375"/>
      <c r="N128" s="376"/>
      <c r="O128" s="377"/>
      <c r="P128" s="316"/>
      <c r="Q128" s="371"/>
      <c r="R128" s="373"/>
      <c r="S128" s="369"/>
      <c r="T128" s="369"/>
    </row>
    <row r="129" spans="1:20" s="356" customFormat="1" ht="15.75">
      <c r="A129" s="372"/>
      <c r="B129" s="316"/>
      <c r="C129" s="316"/>
      <c r="D129" s="316"/>
      <c r="E129" s="316"/>
      <c r="F129" s="316"/>
      <c r="G129" s="316"/>
      <c r="H129" s="316"/>
      <c r="I129" s="316"/>
      <c r="J129" s="316"/>
      <c r="K129" s="316"/>
      <c r="L129" s="316"/>
      <c r="M129" s="375"/>
      <c r="N129" s="376"/>
      <c r="P129" s="316"/>
      <c r="Q129" s="371"/>
      <c r="R129" s="373"/>
      <c r="S129" s="369"/>
      <c r="T129" s="369"/>
    </row>
    <row r="130" spans="1:20" s="356" customFormat="1" ht="15.75">
      <c r="A130" s="372"/>
      <c r="B130" s="316"/>
      <c r="C130" s="316"/>
      <c r="D130" s="316"/>
      <c r="E130" s="316"/>
      <c r="F130" s="316"/>
      <c r="G130" s="316"/>
      <c r="H130" s="316"/>
      <c r="I130" s="316"/>
      <c r="J130" s="316"/>
      <c r="K130" s="316"/>
      <c r="L130" s="316"/>
      <c r="M130" s="375"/>
      <c r="N130" s="376"/>
      <c r="P130" s="316"/>
      <c r="Q130" s="371"/>
      <c r="R130" s="373"/>
      <c r="S130" s="369"/>
      <c r="T130" s="369"/>
    </row>
    <row r="131" spans="1:20" s="356" customFormat="1" ht="15.75">
      <c r="A131" s="372"/>
      <c r="B131" s="316"/>
      <c r="C131" s="316"/>
      <c r="D131" s="316"/>
      <c r="E131" s="316"/>
      <c r="F131" s="316"/>
      <c r="G131" s="316"/>
      <c r="H131" s="316"/>
      <c r="I131" s="316"/>
      <c r="J131" s="316"/>
      <c r="K131" s="316"/>
      <c r="L131" s="316"/>
      <c r="M131" s="316"/>
      <c r="N131" s="316"/>
      <c r="O131" s="316"/>
      <c r="P131" s="316"/>
      <c r="Q131" s="371"/>
      <c r="R131" s="373"/>
      <c r="S131" s="369"/>
      <c r="T131" s="369"/>
    </row>
    <row r="132" spans="1:20" s="356" customFormat="1">
      <c r="A132" s="355"/>
      <c r="Q132" s="357"/>
      <c r="T132" s="369"/>
    </row>
    <row r="133" spans="1:20" s="356" customFormat="1" ht="15.75">
      <c r="A133" s="358"/>
      <c r="B133" s="359"/>
      <c r="C133" s="316"/>
      <c r="D133" s="352"/>
      <c r="E133" s="352"/>
      <c r="F133" s="353"/>
      <c r="G133" s="353"/>
      <c r="H133" s="316"/>
      <c r="I133" s="316"/>
      <c r="J133" s="316"/>
      <c r="K133" s="316"/>
      <c r="L133" s="316"/>
      <c r="M133" s="316"/>
      <c r="N133" s="316"/>
      <c r="O133" s="360"/>
      <c r="P133" s="316"/>
      <c r="Q133" s="361"/>
      <c r="R133" s="362"/>
      <c r="S133" s="363"/>
      <c r="T133" s="369"/>
    </row>
    <row r="134" spans="1:20" s="356" customFormat="1" ht="15.75">
      <c r="A134" s="364"/>
      <c r="B134" s="359"/>
      <c r="C134" s="316"/>
      <c r="D134" s="353"/>
      <c r="E134" s="353"/>
      <c r="F134" s="353"/>
      <c r="G134" s="354"/>
      <c r="H134" s="353"/>
      <c r="I134" s="316"/>
      <c r="J134" s="354"/>
      <c r="K134" s="354"/>
      <c r="L134" s="316"/>
      <c r="M134" s="316"/>
      <c r="N134" s="316"/>
      <c r="O134" s="360"/>
      <c r="P134" s="316"/>
      <c r="Q134" s="365"/>
      <c r="R134" s="366"/>
      <c r="S134" s="363"/>
      <c r="T134" s="369"/>
    </row>
    <row r="135" spans="1:20" s="356" customFormat="1" ht="15.75">
      <c r="A135" s="364"/>
      <c r="B135" s="359"/>
      <c r="C135" s="316"/>
      <c r="D135" s="316"/>
      <c r="E135" s="316"/>
      <c r="F135" s="316"/>
      <c r="G135" s="353"/>
      <c r="H135" s="367"/>
      <c r="I135" s="316"/>
      <c r="J135" s="354"/>
      <c r="K135" s="316"/>
      <c r="L135" s="316"/>
      <c r="M135" s="316"/>
      <c r="N135" s="316"/>
      <c r="O135" s="360"/>
      <c r="P135" s="316"/>
      <c r="Q135" s="368"/>
      <c r="R135" s="362"/>
      <c r="S135" s="369"/>
      <c r="T135" s="369"/>
    </row>
    <row r="136" spans="1:20" s="356" customFormat="1" ht="15.75">
      <c r="A136" s="364"/>
      <c r="B136" s="359"/>
      <c r="C136" s="316"/>
      <c r="D136" s="316"/>
      <c r="E136" s="316"/>
      <c r="F136" s="316"/>
      <c r="G136" s="316"/>
      <c r="H136" s="316"/>
      <c r="I136" s="316"/>
      <c r="J136" s="316"/>
      <c r="K136" s="316"/>
      <c r="L136" s="316"/>
      <c r="M136" s="316"/>
      <c r="N136" s="316"/>
      <c r="O136" s="370"/>
      <c r="P136" s="316"/>
      <c r="Q136" s="371"/>
      <c r="R136" s="362"/>
      <c r="S136" s="369"/>
      <c r="T136" s="369"/>
    </row>
    <row r="137" spans="1:20" s="356" customFormat="1" ht="15.75">
      <c r="A137" s="372"/>
      <c r="B137" s="316"/>
      <c r="C137" s="316"/>
      <c r="D137" s="316"/>
      <c r="E137" s="316"/>
      <c r="F137" s="316"/>
      <c r="G137" s="316"/>
      <c r="H137" s="316"/>
      <c r="I137" s="316"/>
      <c r="J137" s="316"/>
      <c r="K137" s="316"/>
      <c r="L137" s="316"/>
      <c r="M137" s="316"/>
      <c r="N137" s="316"/>
      <c r="O137" s="316"/>
      <c r="P137" s="316"/>
      <c r="Q137" s="371"/>
      <c r="R137" s="373"/>
      <c r="S137" s="369"/>
      <c r="T137" s="369"/>
    </row>
    <row r="138" spans="1:20" s="356" customFormat="1">
      <c r="A138" s="355"/>
      <c r="T138" s="369"/>
    </row>
    <row r="139" spans="1:20" s="356" customFormat="1">
      <c r="A139" s="355"/>
      <c r="Q139" s="357"/>
      <c r="T139" s="369"/>
    </row>
    <row r="140" spans="1:20" s="356" customFormat="1">
      <c r="A140" s="355"/>
      <c r="Q140" s="361"/>
      <c r="R140" s="362"/>
      <c r="S140" s="378"/>
      <c r="T140" s="369"/>
    </row>
    <row r="141" spans="1:20" s="356" customFormat="1">
      <c r="A141" s="355"/>
      <c r="Q141" s="365"/>
      <c r="R141" s="366"/>
      <c r="S141" s="378"/>
      <c r="T141" s="369"/>
    </row>
    <row r="142" spans="1:20" s="356" customFormat="1">
      <c r="A142" s="355"/>
      <c r="Q142" s="368"/>
      <c r="R142" s="362"/>
      <c r="S142" s="361"/>
      <c r="T142" s="369"/>
    </row>
    <row r="143" spans="1:20" s="356" customFormat="1">
      <c r="A143" s="355"/>
      <c r="Q143" s="371"/>
      <c r="R143" s="362"/>
      <c r="S143" s="361"/>
      <c r="T143" s="369"/>
    </row>
    <row r="144" spans="1:20" s="356" customFormat="1">
      <c r="A144" s="355"/>
      <c r="Q144" s="371"/>
      <c r="R144" s="373"/>
      <c r="S144" s="361"/>
      <c r="T144" s="369"/>
    </row>
    <row r="145" spans="1:20" s="356" customFormat="1">
      <c r="A145" s="355"/>
      <c r="T145" s="369"/>
    </row>
    <row r="146" spans="1:20" s="356" customFormat="1">
      <c r="A146" s="355"/>
      <c r="Q146" s="357"/>
      <c r="T146" s="369"/>
    </row>
    <row r="147" spans="1:20" s="356" customFormat="1">
      <c r="A147" s="355"/>
      <c r="Q147" s="361"/>
      <c r="R147" s="362"/>
      <c r="S147" s="363"/>
      <c r="T147" s="369"/>
    </row>
    <row r="148" spans="1:20" s="356" customFormat="1">
      <c r="A148" s="355"/>
      <c r="Q148" s="365"/>
      <c r="R148" s="366"/>
      <c r="S148" s="363"/>
      <c r="T148" s="369"/>
    </row>
    <row r="149" spans="1:20" s="356" customFormat="1">
      <c r="A149" s="355"/>
      <c r="Q149" s="368"/>
      <c r="R149" s="362"/>
      <c r="S149" s="369"/>
      <c r="T149" s="369"/>
    </row>
    <row r="150" spans="1:20" s="356" customFormat="1">
      <c r="A150" s="355"/>
      <c r="N150" s="379"/>
      <c r="Q150" s="371"/>
      <c r="R150" s="362"/>
      <c r="S150" s="369"/>
      <c r="T150" s="369"/>
    </row>
    <row r="151" spans="1:20" s="356" customFormat="1">
      <c r="A151" s="355"/>
      <c r="Q151" s="371"/>
      <c r="R151" s="373"/>
      <c r="S151" s="369"/>
      <c r="T151" s="369"/>
    </row>
    <row r="152" spans="1:20" s="356" customFormat="1">
      <c r="A152" s="355"/>
      <c r="T152" s="369"/>
    </row>
    <row r="153" spans="1:20" s="356" customFormat="1">
      <c r="A153" s="355"/>
      <c r="Q153" s="357"/>
      <c r="T153" s="369"/>
    </row>
    <row r="154" spans="1:20" s="356" customFormat="1" ht="15.75">
      <c r="A154" s="358"/>
      <c r="B154" s="359"/>
      <c r="C154" s="316"/>
      <c r="D154" s="352"/>
      <c r="E154" s="352"/>
      <c r="F154" s="353"/>
      <c r="G154" s="353"/>
      <c r="H154" s="316"/>
      <c r="I154" s="316"/>
      <c r="J154" s="316"/>
      <c r="K154" s="316"/>
      <c r="L154" s="316"/>
      <c r="M154" s="316"/>
      <c r="N154" s="316"/>
      <c r="O154" s="360"/>
      <c r="P154" s="316"/>
      <c r="Q154" s="361"/>
      <c r="R154" s="362"/>
      <c r="S154" s="363"/>
      <c r="T154" s="369"/>
    </row>
    <row r="155" spans="1:20" s="356" customFormat="1" ht="15.75">
      <c r="A155" s="364"/>
      <c r="B155" s="359"/>
      <c r="C155" s="316"/>
      <c r="D155" s="353"/>
      <c r="E155" s="353"/>
      <c r="F155" s="353"/>
      <c r="G155" s="354"/>
      <c r="H155" s="353"/>
      <c r="I155" s="316"/>
      <c r="J155" s="354"/>
      <c r="K155" s="354"/>
      <c r="L155" s="316"/>
      <c r="M155" s="316"/>
      <c r="N155" s="316"/>
      <c r="O155" s="360"/>
      <c r="P155" s="316"/>
      <c r="Q155" s="365"/>
      <c r="R155" s="366"/>
      <c r="S155" s="363"/>
      <c r="T155" s="369"/>
    </row>
    <row r="156" spans="1:20" s="356" customFormat="1" ht="15.75">
      <c r="A156" s="364"/>
      <c r="B156" s="359"/>
      <c r="C156" s="316"/>
      <c r="D156" s="316"/>
      <c r="E156" s="316"/>
      <c r="F156" s="316"/>
      <c r="G156" s="353"/>
      <c r="H156" s="367"/>
      <c r="I156" s="316"/>
      <c r="J156" s="354"/>
      <c r="K156" s="316"/>
      <c r="L156" s="316"/>
      <c r="M156" s="316"/>
      <c r="N156" s="316"/>
      <c r="O156" s="360"/>
      <c r="P156" s="316"/>
      <c r="Q156" s="368"/>
      <c r="R156" s="362"/>
      <c r="S156" s="369"/>
      <c r="T156" s="369"/>
    </row>
    <row r="157" spans="1:20" s="356" customFormat="1" ht="15.75">
      <c r="A157" s="364"/>
      <c r="B157" s="359"/>
      <c r="C157" s="316"/>
      <c r="D157" s="316"/>
      <c r="E157" s="316"/>
      <c r="F157" s="316"/>
      <c r="G157" s="316"/>
      <c r="H157" s="316"/>
      <c r="I157" s="316"/>
      <c r="J157" s="316"/>
      <c r="K157" s="316"/>
      <c r="L157" s="316"/>
      <c r="M157" s="316"/>
      <c r="N157" s="316"/>
      <c r="O157" s="370"/>
      <c r="P157" s="316"/>
      <c r="Q157" s="371"/>
      <c r="R157" s="362"/>
      <c r="S157" s="369"/>
      <c r="T157" s="369"/>
    </row>
    <row r="158" spans="1:20" s="356" customFormat="1" ht="15.75">
      <c r="A158" s="372"/>
      <c r="B158" s="316"/>
      <c r="C158" s="316"/>
      <c r="D158" s="316"/>
      <c r="E158" s="316"/>
      <c r="F158" s="316"/>
      <c r="G158" s="316"/>
      <c r="H158" s="316"/>
      <c r="I158" s="316"/>
      <c r="J158" s="316"/>
      <c r="K158" s="316"/>
      <c r="L158" s="316"/>
      <c r="M158" s="316"/>
      <c r="N158" s="316"/>
      <c r="O158" s="316"/>
      <c r="P158" s="316"/>
      <c r="Q158" s="371"/>
      <c r="R158" s="373"/>
      <c r="S158" s="369"/>
      <c r="T158" s="369"/>
    </row>
    <row r="159" spans="1:20" s="356" customFormat="1">
      <c r="A159" s="355"/>
      <c r="T159" s="369"/>
    </row>
    <row r="160" spans="1:20" s="356" customFormat="1">
      <c r="A160" s="355"/>
      <c r="Q160" s="357"/>
      <c r="T160" s="369"/>
    </row>
    <row r="161" spans="1:20" s="356" customFormat="1" ht="15.75">
      <c r="A161" s="358"/>
      <c r="B161" s="359"/>
      <c r="C161" s="316"/>
      <c r="D161" s="352"/>
      <c r="E161" s="352"/>
      <c r="F161" s="353"/>
      <c r="G161" s="353"/>
      <c r="H161" s="316"/>
      <c r="I161" s="316"/>
      <c r="J161" s="316"/>
      <c r="K161" s="316"/>
      <c r="L161" s="316"/>
      <c r="M161" s="316"/>
      <c r="N161" s="316"/>
      <c r="O161" s="360"/>
      <c r="P161" s="316"/>
      <c r="Q161" s="361"/>
      <c r="R161" s="362"/>
      <c r="S161" s="363"/>
      <c r="T161" s="369"/>
    </row>
    <row r="162" spans="1:20" s="356" customFormat="1" ht="15.75">
      <c r="A162" s="364"/>
      <c r="B162" s="359"/>
      <c r="C162" s="316"/>
      <c r="D162" s="353"/>
      <c r="E162" s="353"/>
      <c r="F162" s="353"/>
      <c r="G162" s="354"/>
      <c r="H162" s="353"/>
      <c r="I162" s="316"/>
      <c r="J162" s="354"/>
      <c r="K162" s="354"/>
      <c r="L162" s="316"/>
      <c r="M162" s="316"/>
      <c r="N162" s="316"/>
      <c r="O162" s="360"/>
      <c r="P162" s="316"/>
      <c r="Q162" s="365"/>
      <c r="R162" s="366"/>
      <c r="S162" s="363"/>
      <c r="T162" s="369"/>
    </row>
    <row r="163" spans="1:20" s="356" customFormat="1" ht="15.75">
      <c r="A163" s="364"/>
      <c r="B163" s="359"/>
      <c r="C163" s="316"/>
      <c r="D163" s="316"/>
      <c r="E163" s="316"/>
      <c r="F163" s="316"/>
      <c r="G163" s="353"/>
      <c r="H163" s="367"/>
      <c r="I163" s="316"/>
      <c r="J163" s="354"/>
      <c r="K163" s="316"/>
      <c r="L163" s="316"/>
      <c r="M163" s="316"/>
      <c r="N163" s="316"/>
      <c r="O163" s="360"/>
      <c r="P163" s="316"/>
      <c r="Q163" s="368"/>
      <c r="R163" s="362"/>
      <c r="S163" s="369"/>
      <c r="T163" s="369"/>
    </row>
    <row r="164" spans="1:20" s="356" customFormat="1" ht="15.75">
      <c r="A164" s="364"/>
      <c r="B164" s="359"/>
      <c r="C164" s="316"/>
      <c r="D164" s="316"/>
      <c r="E164" s="316"/>
      <c r="F164" s="316"/>
      <c r="G164" s="316"/>
      <c r="H164" s="316"/>
      <c r="I164" s="316"/>
      <c r="J164" s="316"/>
      <c r="K164" s="316"/>
      <c r="L164" s="316"/>
      <c r="M164" s="316"/>
      <c r="N164" s="316"/>
      <c r="O164" s="370"/>
      <c r="P164" s="316"/>
      <c r="Q164" s="371"/>
      <c r="R164" s="362"/>
      <c r="S164" s="369"/>
      <c r="T164" s="369"/>
    </row>
    <row r="165" spans="1:20" s="356" customFormat="1" ht="15.75">
      <c r="A165" s="372"/>
      <c r="B165" s="316"/>
      <c r="C165" s="316"/>
      <c r="D165" s="316"/>
      <c r="E165" s="316"/>
      <c r="F165" s="316"/>
      <c r="G165" s="316"/>
      <c r="H165" s="316"/>
      <c r="I165" s="316"/>
      <c r="J165" s="316"/>
      <c r="K165" s="316"/>
      <c r="L165" s="316"/>
      <c r="M165" s="316"/>
      <c r="N165" s="316"/>
      <c r="O165" s="316"/>
      <c r="P165" s="316"/>
      <c r="Q165" s="371"/>
      <c r="R165" s="373"/>
      <c r="S165" s="369"/>
      <c r="T165" s="369"/>
    </row>
    <row r="166" spans="1:20" s="356" customFormat="1">
      <c r="A166" s="355"/>
      <c r="T166" s="369"/>
    </row>
    <row r="167" spans="1:20" s="356" customFormat="1" ht="15.75">
      <c r="A167" s="358"/>
      <c r="Q167" s="357"/>
      <c r="T167" s="369"/>
    </row>
    <row r="168" spans="1:20" s="356" customFormat="1" ht="15.75">
      <c r="A168" s="358"/>
      <c r="B168" s="359"/>
      <c r="C168" s="316"/>
      <c r="D168" s="352"/>
      <c r="E168" s="352"/>
      <c r="F168" s="353"/>
      <c r="G168" s="353"/>
      <c r="H168" s="316"/>
      <c r="I168" s="316"/>
      <c r="J168" s="316"/>
      <c r="K168" s="316"/>
      <c r="L168" s="316"/>
      <c r="M168" s="316"/>
      <c r="N168" s="316"/>
      <c r="O168" s="360"/>
      <c r="P168" s="316"/>
      <c r="Q168" s="361"/>
      <c r="R168" s="362"/>
      <c r="S168" s="363"/>
      <c r="T168" s="369"/>
    </row>
    <row r="169" spans="1:20" s="356" customFormat="1" ht="15.75">
      <c r="A169" s="364"/>
      <c r="B169" s="359"/>
      <c r="C169" s="316"/>
      <c r="D169" s="353"/>
      <c r="E169" s="353"/>
      <c r="F169" s="353"/>
      <c r="G169" s="354"/>
      <c r="H169" s="353"/>
      <c r="I169" s="316"/>
      <c r="J169" s="354"/>
      <c r="K169" s="354"/>
      <c r="L169" s="316"/>
      <c r="M169" s="316"/>
      <c r="N169" s="316"/>
      <c r="O169" s="360"/>
      <c r="P169" s="316"/>
      <c r="Q169" s="365"/>
      <c r="R169" s="366"/>
      <c r="S169" s="363"/>
      <c r="T169" s="369"/>
    </row>
    <row r="170" spans="1:20" s="356" customFormat="1" ht="15.75">
      <c r="A170" s="364"/>
      <c r="B170" s="359"/>
      <c r="C170" s="316"/>
      <c r="D170" s="316"/>
      <c r="E170" s="316"/>
      <c r="F170" s="316"/>
      <c r="G170" s="353"/>
      <c r="H170" s="367"/>
      <c r="I170" s="316"/>
      <c r="J170" s="354"/>
      <c r="K170" s="316"/>
      <c r="L170" s="316"/>
      <c r="M170" s="316"/>
      <c r="N170" s="316"/>
      <c r="O170" s="360"/>
      <c r="P170" s="316"/>
      <c r="Q170" s="368"/>
      <c r="R170" s="362"/>
      <c r="S170" s="369"/>
      <c r="T170" s="369"/>
    </row>
    <row r="171" spans="1:20" s="356" customFormat="1" ht="15.75">
      <c r="A171" s="364"/>
      <c r="B171" s="359"/>
      <c r="C171" s="316"/>
      <c r="D171" s="316"/>
      <c r="E171" s="316"/>
      <c r="F171" s="316"/>
      <c r="G171" s="316"/>
      <c r="H171" s="316"/>
      <c r="I171" s="316"/>
      <c r="J171" s="316"/>
      <c r="K171" s="316"/>
      <c r="L171" s="316"/>
      <c r="M171" s="316"/>
      <c r="N171" s="316"/>
      <c r="O171" s="370"/>
      <c r="P171" s="316"/>
      <c r="Q171" s="371"/>
      <c r="R171" s="362"/>
      <c r="S171" s="369"/>
      <c r="T171" s="369"/>
    </row>
    <row r="172" spans="1:20" s="356" customFormat="1" ht="15.75">
      <c r="A172" s="372"/>
      <c r="B172" s="316"/>
      <c r="C172" s="316"/>
      <c r="D172" s="316"/>
      <c r="E172" s="316"/>
      <c r="F172" s="316"/>
      <c r="G172" s="316"/>
      <c r="H172" s="316"/>
      <c r="I172" s="316"/>
      <c r="J172" s="316"/>
      <c r="K172" s="316"/>
      <c r="L172" s="316"/>
      <c r="M172" s="316"/>
      <c r="N172" s="316"/>
      <c r="O172" s="316"/>
      <c r="P172" s="316"/>
      <c r="Q172" s="371"/>
      <c r="R172" s="373"/>
      <c r="S172" s="369"/>
      <c r="T172" s="369"/>
    </row>
    <row r="173" spans="1:20" s="356" customFormat="1">
      <c r="A173" s="355"/>
      <c r="T173" s="369"/>
    </row>
    <row r="174" spans="1:20" s="356" customFormat="1" ht="15.75">
      <c r="A174" s="358"/>
      <c r="Q174" s="357"/>
      <c r="T174" s="369"/>
    </row>
    <row r="175" spans="1:20" s="356" customFormat="1" ht="15.75">
      <c r="A175" s="358"/>
      <c r="B175" s="359"/>
      <c r="C175" s="316"/>
      <c r="D175" s="352"/>
      <c r="E175" s="352"/>
      <c r="F175" s="353"/>
      <c r="G175" s="353"/>
      <c r="H175" s="316"/>
      <c r="I175" s="316"/>
      <c r="J175" s="316"/>
      <c r="K175" s="316"/>
      <c r="L175" s="316"/>
      <c r="M175" s="316"/>
      <c r="N175" s="316"/>
      <c r="O175" s="360"/>
      <c r="P175" s="316"/>
      <c r="Q175" s="361"/>
      <c r="R175" s="362"/>
      <c r="S175" s="363"/>
      <c r="T175" s="369"/>
    </row>
    <row r="176" spans="1:20" s="356" customFormat="1" ht="15.75">
      <c r="A176" s="364"/>
      <c r="B176" s="359"/>
      <c r="C176" s="316"/>
      <c r="D176" s="353"/>
      <c r="E176" s="353"/>
      <c r="F176" s="353"/>
      <c r="G176" s="354"/>
      <c r="H176" s="353"/>
      <c r="I176" s="316"/>
      <c r="J176" s="354"/>
      <c r="K176" s="354"/>
      <c r="L176" s="316"/>
      <c r="M176" s="316"/>
      <c r="N176" s="316"/>
      <c r="O176" s="360"/>
      <c r="P176" s="316"/>
      <c r="Q176" s="365"/>
      <c r="R176" s="366"/>
      <c r="S176" s="363"/>
      <c r="T176" s="369"/>
    </row>
    <row r="177" spans="1:20" s="356" customFormat="1" ht="15.75">
      <c r="A177" s="364"/>
      <c r="B177" s="359"/>
      <c r="C177" s="316"/>
      <c r="D177" s="316"/>
      <c r="E177" s="316"/>
      <c r="F177" s="316"/>
      <c r="G177" s="353"/>
      <c r="H177" s="367"/>
      <c r="I177" s="316"/>
      <c r="J177" s="354"/>
      <c r="K177" s="316"/>
      <c r="L177" s="316"/>
      <c r="M177" s="316"/>
      <c r="N177" s="316"/>
      <c r="O177" s="360"/>
      <c r="P177" s="316"/>
      <c r="Q177" s="368"/>
      <c r="R177" s="362"/>
      <c r="S177" s="369"/>
      <c r="T177" s="369"/>
    </row>
    <row r="178" spans="1:20" s="356" customFormat="1" ht="15.75">
      <c r="A178" s="364"/>
      <c r="B178" s="359"/>
      <c r="C178" s="316"/>
      <c r="D178" s="316"/>
      <c r="E178" s="316"/>
      <c r="F178" s="316"/>
      <c r="G178" s="316"/>
      <c r="H178" s="316"/>
      <c r="I178" s="316"/>
      <c r="J178" s="316"/>
      <c r="K178" s="316"/>
      <c r="L178" s="316"/>
      <c r="M178" s="316"/>
      <c r="N178" s="316"/>
      <c r="O178" s="370"/>
      <c r="P178" s="316"/>
      <c r="Q178" s="371"/>
      <c r="R178" s="362"/>
      <c r="S178" s="369"/>
      <c r="T178" s="369"/>
    </row>
    <row r="179" spans="1:20" s="356" customFormat="1" ht="15.75">
      <c r="A179" s="372"/>
      <c r="B179" s="316"/>
      <c r="C179" s="316"/>
      <c r="D179" s="316"/>
      <c r="E179" s="316"/>
      <c r="F179" s="316"/>
      <c r="G179" s="316"/>
      <c r="H179" s="316"/>
      <c r="I179" s="316"/>
      <c r="J179" s="316"/>
      <c r="K179" s="316"/>
      <c r="L179" s="316"/>
      <c r="M179" s="316"/>
      <c r="N179" s="316"/>
      <c r="O179" s="316"/>
      <c r="P179" s="316"/>
      <c r="Q179" s="371"/>
      <c r="R179" s="373"/>
      <c r="S179" s="369"/>
      <c r="T179" s="369"/>
    </row>
    <row r="180" spans="1:20" s="356" customFormat="1">
      <c r="A180" s="355"/>
      <c r="T180" s="369"/>
    </row>
    <row r="181" spans="1:20" s="356" customFormat="1">
      <c r="A181" s="355"/>
      <c r="T181" s="369"/>
    </row>
    <row r="182" spans="1:20" s="356" customFormat="1">
      <c r="A182" s="355"/>
      <c r="T182" s="369"/>
    </row>
    <row r="183" spans="1:20" s="356" customFormat="1">
      <c r="A183" s="355"/>
      <c r="T183" s="369"/>
    </row>
    <row r="184" spans="1:20" s="356" customFormat="1">
      <c r="A184" s="355"/>
      <c r="T184" s="369"/>
    </row>
    <row r="185" spans="1:20" s="356" customFormat="1">
      <c r="A185" s="355"/>
      <c r="T185" s="369"/>
    </row>
    <row r="186" spans="1:20" s="356" customFormat="1">
      <c r="A186" s="355"/>
      <c r="T186" s="369"/>
    </row>
    <row r="187" spans="1:20" s="356" customFormat="1">
      <c r="A187" s="355"/>
      <c r="T187" s="369"/>
    </row>
    <row r="188" spans="1:20" s="356" customFormat="1">
      <c r="A188" s="355"/>
      <c r="T188" s="369"/>
    </row>
    <row r="189" spans="1:20" s="356" customFormat="1">
      <c r="A189" s="355"/>
      <c r="T189" s="369"/>
    </row>
    <row r="190" spans="1:20" s="356" customFormat="1">
      <c r="A190" s="355"/>
      <c r="T190" s="369"/>
    </row>
    <row r="191" spans="1:20" s="356" customFormat="1">
      <c r="A191" s="355"/>
      <c r="T191" s="369"/>
    </row>
    <row r="192" spans="1:20" s="356" customFormat="1">
      <c r="A192" s="355"/>
      <c r="T192" s="369"/>
    </row>
    <row r="193" spans="1:20" s="356" customFormat="1">
      <c r="A193" s="355"/>
      <c r="T193" s="369"/>
    </row>
    <row r="194" spans="1:20" s="356" customFormat="1">
      <c r="A194" s="355"/>
      <c r="T194" s="369"/>
    </row>
    <row r="195" spans="1:20" s="356" customFormat="1">
      <c r="A195" s="355"/>
      <c r="T195" s="369"/>
    </row>
    <row r="196" spans="1:20" s="356" customFormat="1">
      <c r="A196" s="355"/>
      <c r="T196" s="369"/>
    </row>
    <row r="197" spans="1:20" s="356" customFormat="1">
      <c r="A197" s="355"/>
      <c r="T197" s="369"/>
    </row>
    <row r="198" spans="1:20" s="356" customFormat="1">
      <c r="A198" s="355"/>
      <c r="T198" s="369"/>
    </row>
    <row r="199" spans="1:20" s="356" customFormat="1">
      <c r="A199" s="355"/>
      <c r="T199" s="369"/>
    </row>
    <row r="200" spans="1:20" s="356" customFormat="1">
      <c r="A200" s="355"/>
      <c r="T200" s="369"/>
    </row>
    <row r="201" spans="1:20" s="356" customFormat="1">
      <c r="A201" s="355"/>
      <c r="T201" s="369"/>
    </row>
    <row r="202" spans="1:20" s="356" customFormat="1">
      <c r="A202" s="355"/>
      <c r="T202" s="369"/>
    </row>
    <row r="203" spans="1:20" s="356" customFormat="1">
      <c r="A203" s="355"/>
      <c r="T203" s="369"/>
    </row>
    <row r="204" spans="1:20" s="356" customFormat="1">
      <c r="A204" s="355"/>
      <c r="T204" s="369"/>
    </row>
    <row r="205" spans="1:20" s="356" customFormat="1">
      <c r="A205" s="355"/>
      <c r="T205" s="369"/>
    </row>
    <row r="206" spans="1:20" s="356" customFormat="1">
      <c r="A206" s="355"/>
      <c r="T206" s="369"/>
    </row>
    <row r="207" spans="1:20" s="356" customFormat="1">
      <c r="A207" s="355"/>
      <c r="T207" s="369"/>
    </row>
    <row r="208" spans="1:20" s="356" customFormat="1">
      <c r="A208" s="355"/>
      <c r="T208" s="369"/>
    </row>
    <row r="209" spans="1:20" s="356" customFormat="1">
      <c r="A209" s="355"/>
      <c r="T209" s="369"/>
    </row>
    <row r="210" spans="1:20" s="356" customFormat="1">
      <c r="A210" s="355"/>
      <c r="T210" s="369"/>
    </row>
    <row r="211" spans="1:20" s="356" customFormat="1">
      <c r="A211" s="355"/>
      <c r="T211" s="369"/>
    </row>
    <row r="212" spans="1:20" s="356" customFormat="1">
      <c r="A212" s="355"/>
      <c r="T212" s="369"/>
    </row>
    <row r="213" spans="1:20" s="356" customFormat="1">
      <c r="A213" s="355"/>
      <c r="T213" s="369"/>
    </row>
    <row r="214" spans="1:20" s="356" customFormat="1">
      <c r="A214" s="355"/>
      <c r="T214" s="369"/>
    </row>
    <row r="215" spans="1:20" s="356" customFormat="1">
      <c r="A215" s="355"/>
      <c r="T215" s="369"/>
    </row>
    <row r="216" spans="1:20" s="356" customFormat="1">
      <c r="A216" s="355"/>
      <c r="T216" s="369"/>
    </row>
    <row r="217" spans="1:20" s="356" customFormat="1">
      <c r="A217" s="355"/>
      <c r="T217" s="369"/>
    </row>
    <row r="218" spans="1:20" s="356" customFormat="1">
      <c r="A218" s="355"/>
      <c r="T218" s="369"/>
    </row>
    <row r="219" spans="1:20" s="356" customFormat="1">
      <c r="A219" s="355"/>
      <c r="T219" s="369"/>
    </row>
    <row r="220" spans="1:20" s="356" customFormat="1">
      <c r="A220" s="355"/>
      <c r="T220" s="369"/>
    </row>
    <row r="221" spans="1:20" s="356" customFormat="1">
      <c r="A221" s="355"/>
      <c r="T221" s="369"/>
    </row>
    <row r="222" spans="1:20" s="356" customFormat="1">
      <c r="A222" s="355"/>
      <c r="T222" s="369"/>
    </row>
    <row r="223" spans="1:20" s="356" customFormat="1">
      <c r="A223" s="355"/>
      <c r="T223" s="369"/>
    </row>
    <row r="224" spans="1:20" s="356" customFormat="1">
      <c r="A224" s="355"/>
      <c r="T224" s="369"/>
    </row>
    <row r="225" spans="1:20" s="356" customFormat="1">
      <c r="A225" s="355"/>
      <c r="T225" s="369"/>
    </row>
    <row r="226" spans="1:20" s="356" customFormat="1">
      <c r="A226" s="355"/>
      <c r="T226" s="369"/>
    </row>
    <row r="227" spans="1:20" s="356" customFormat="1">
      <c r="A227" s="355"/>
      <c r="T227" s="369"/>
    </row>
    <row r="228" spans="1:20" s="356" customFormat="1">
      <c r="A228" s="355"/>
      <c r="T228" s="369"/>
    </row>
    <row r="229" spans="1:20" s="356" customFormat="1">
      <c r="A229" s="355"/>
      <c r="T229" s="369"/>
    </row>
    <row r="230" spans="1:20" s="356" customFormat="1">
      <c r="A230" s="355"/>
      <c r="T230" s="369"/>
    </row>
    <row r="231" spans="1:20" s="356" customFormat="1">
      <c r="A231" s="355"/>
      <c r="T231" s="369"/>
    </row>
    <row r="232" spans="1:20" s="356" customFormat="1">
      <c r="A232" s="355"/>
      <c r="T232" s="369"/>
    </row>
    <row r="233" spans="1:20" s="356" customFormat="1">
      <c r="A233" s="355"/>
      <c r="T233" s="369"/>
    </row>
    <row r="234" spans="1:20" s="356" customFormat="1">
      <c r="A234" s="355"/>
      <c r="T234" s="369"/>
    </row>
    <row r="235" spans="1:20" s="356" customFormat="1">
      <c r="A235" s="355"/>
      <c r="T235" s="369"/>
    </row>
    <row r="236" spans="1:20" s="356" customFormat="1">
      <c r="A236" s="355"/>
      <c r="T236" s="369"/>
    </row>
    <row r="237" spans="1:20" s="356" customFormat="1">
      <c r="A237" s="355"/>
      <c r="T237" s="369"/>
    </row>
    <row r="238" spans="1:20" s="356" customFormat="1">
      <c r="A238" s="355"/>
      <c r="T238" s="369"/>
    </row>
    <row r="239" spans="1:20" s="356" customFormat="1">
      <c r="A239" s="355"/>
      <c r="T239" s="369"/>
    </row>
    <row r="240" spans="1:20" s="356" customFormat="1">
      <c r="A240" s="355"/>
      <c r="T240" s="369"/>
    </row>
    <row r="241" spans="1:20" s="356" customFormat="1">
      <c r="A241" s="355"/>
      <c r="T241" s="369"/>
    </row>
    <row r="242" spans="1:20" s="356" customFormat="1">
      <c r="A242" s="355"/>
      <c r="T242" s="369"/>
    </row>
    <row r="243" spans="1:20" s="356" customFormat="1">
      <c r="A243" s="355"/>
      <c r="T243" s="369"/>
    </row>
    <row r="244" spans="1:20" s="356" customFormat="1">
      <c r="A244" s="355"/>
      <c r="T244" s="369"/>
    </row>
    <row r="245" spans="1:20" s="356" customFormat="1">
      <c r="A245" s="355"/>
      <c r="T245" s="369"/>
    </row>
    <row r="246" spans="1:20" s="356" customFormat="1">
      <c r="A246" s="355"/>
      <c r="T246" s="369"/>
    </row>
    <row r="247" spans="1:20" s="356" customFormat="1">
      <c r="A247" s="355"/>
      <c r="T247" s="369"/>
    </row>
    <row r="248" spans="1:20" s="356" customFormat="1">
      <c r="A248" s="355"/>
      <c r="T248" s="369"/>
    </row>
    <row r="249" spans="1:20" s="356" customFormat="1">
      <c r="A249" s="355"/>
      <c r="T249" s="369"/>
    </row>
    <row r="250" spans="1:20" s="356" customFormat="1">
      <c r="A250" s="355"/>
      <c r="T250" s="369"/>
    </row>
    <row r="251" spans="1:20" s="356" customFormat="1">
      <c r="A251" s="355"/>
      <c r="T251" s="369"/>
    </row>
    <row r="252" spans="1:20" s="356" customFormat="1">
      <c r="A252" s="355"/>
      <c r="T252" s="369"/>
    </row>
    <row r="253" spans="1:20" s="356" customFormat="1">
      <c r="A253" s="355"/>
      <c r="T253" s="369"/>
    </row>
    <row r="254" spans="1:20" s="356" customFormat="1">
      <c r="A254" s="355"/>
      <c r="T254" s="369"/>
    </row>
    <row r="255" spans="1:20" s="356" customFormat="1">
      <c r="A255" s="355"/>
      <c r="T255" s="369"/>
    </row>
    <row r="256" spans="1:20" s="356" customFormat="1">
      <c r="A256" s="355"/>
      <c r="T256" s="369"/>
    </row>
    <row r="257" spans="1:20" s="356" customFormat="1">
      <c r="A257" s="355"/>
      <c r="T257" s="369"/>
    </row>
    <row r="258" spans="1:20" s="356" customFormat="1">
      <c r="A258" s="355"/>
      <c r="T258" s="369"/>
    </row>
    <row r="259" spans="1:20" s="356" customFormat="1">
      <c r="A259" s="355"/>
      <c r="T259" s="369"/>
    </row>
    <row r="260" spans="1:20" s="356" customFormat="1">
      <c r="A260" s="355"/>
      <c r="T260" s="369"/>
    </row>
    <row r="261" spans="1:20" s="356" customFormat="1">
      <c r="A261" s="355"/>
      <c r="T261" s="369"/>
    </row>
    <row r="262" spans="1:20" s="356" customFormat="1">
      <c r="A262" s="355"/>
      <c r="T262" s="369"/>
    </row>
    <row r="263" spans="1:20" s="356" customFormat="1">
      <c r="A263" s="355"/>
      <c r="T263" s="369"/>
    </row>
    <row r="264" spans="1:20" s="356" customFormat="1">
      <c r="A264" s="355"/>
      <c r="T264" s="369"/>
    </row>
    <row r="265" spans="1:20" s="356" customFormat="1">
      <c r="A265" s="355"/>
      <c r="T265" s="369"/>
    </row>
    <row r="266" spans="1:20" s="356" customFormat="1">
      <c r="A266" s="355"/>
      <c r="T266" s="369"/>
    </row>
    <row r="267" spans="1:20" s="356" customFormat="1">
      <c r="A267" s="355"/>
      <c r="T267" s="369"/>
    </row>
    <row r="268" spans="1:20" s="356" customFormat="1">
      <c r="A268" s="355"/>
      <c r="T268" s="369"/>
    </row>
    <row r="269" spans="1:20" s="356" customFormat="1">
      <c r="A269" s="355"/>
      <c r="T269" s="369"/>
    </row>
    <row r="270" spans="1:20" s="356" customFormat="1">
      <c r="A270" s="355"/>
      <c r="T270" s="369"/>
    </row>
    <row r="271" spans="1:20" s="356" customFormat="1">
      <c r="A271" s="355"/>
      <c r="T271" s="369"/>
    </row>
    <row r="272" spans="1:20" s="356" customFormat="1">
      <c r="A272" s="355"/>
      <c r="T272" s="369"/>
    </row>
    <row r="273" spans="1:20" s="356" customFormat="1">
      <c r="A273" s="355"/>
      <c r="T273" s="369"/>
    </row>
    <row r="274" spans="1:20" s="356" customFormat="1">
      <c r="A274" s="355"/>
      <c r="T274" s="369"/>
    </row>
    <row r="275" spans="1:20" s="356" customFormat="1">
      <c r="A275" s="355"/>
      <c r="T275" s="369"/>
    </row>
    <row r="276" spans="1:20" s="356" customFormat="1">
      <c r="A276" s="355"/>
      <c r="T276" s="369"/>
    </row>
    <row r="277" spans="1:20" s="356" customFormat="1">
      <c r="A277" s="355"/>
      <c r="T277" s="369"/>
    </row>
    <row r="278" spans="1:20" s="356" customFormat="1">
      <c r="A278" s="355"/>
      <c r="T278" s="369"/>
    </row>
    <row r="279" spans="1:20" s="356" customFormat="1">
      <c r="A279" s="355"/>
      <c r="T279" s="369"/>
    </row>
    <row r="280" spans="1:20" s="356" customFormat="1">
      <c r="A280" s="355"/>
      <c r="T280" s="369"/>
    </row>
    <row r="281" spans="1:20" s="356" customFormat="1">
      <c r="A281" s="355"/>
      <c r="T281" s="369"/>
    </row>
    <row r="282" spans="1:20" s="356" customFormat="1">
      <c r="A282" s="355"/>
      <c r="T282" s="369"/>
    </row>
    <row r="283" spans="1:20" s="356" customFormat="1">
      <c r="A283" s="355"/>
      <c r="T283" s="369"/>
    </row>
    <row r="284" spans="1:20" s="356" customFormat="1">
      <c r="A284" s="355"/>
      <c r="T284" s="369"/>
    </row>
    <row r="285" spans="1:20" s="356" customFormat="1">
      <c r="A285" s="355"/>
      <c r="T285" s="369"/>
    </row>
    <row r="286" spans="1:20" s="356" customFormat="1">
      <c r="A286" s="355"/>
      <c r="T286" s="369"/>
    </row>
    <row r="287" spans="1:20" s="356" customFormat="1">
      <c r="A287" s="355"/>
      <c r="T287" s="369"/>
    </row>
    <row r="288" spans="1:20" s="356" customFormat="1">
      <c r="A288" s="355"/>
      <c r="T288" s="369"/>
    </row>
    <row r="289" spans="1:20" s="356" customFormat="1">
      <c r="A289" s="355"/>
      <c r="T289" s="369"/>
    </row>
    <row r="290" spans="1:20" s="356" customFormat="1">
      <c r="A290" s="355"/>
      <c r="T290" s="369"/>
    </row>
    <row r="291" spans="1:20" s="356" customFormat="1">
      <c r="A291" s="355"/>
      <c r="T291" s="369"/>
    </row>
    <row r="292" spans="1:20" s="356" customFormat="1">
      <c r="A292" s="355"/>
      <c r="T292" s="369"/>
    </row>
    <row r="293" spans="1:20" s="356" customFormat="1">
      <c r="A293" s="355"/>
      <c r="T293" s="369"/>
    </row>
    <row r="294" spans="1:20" s="356" customFormat="1">
      <c r="A294" s="355"/>
      <c r="T294" s="369"/>
    </row>
    <row r="295" spans="1:20" s="356" customFormat="1">
      <c r="A295" s="355"/>
      <c r="T295" s="369"/>
    </row>
    <row r="296" spans="1:20" s="356" customFormat="1">
      <c r="A296" s="355"/>
      <c r="T296" s="369"/>
    </row>
    <row r="297" spans="1:20" s="356" customFormat="1">
      <c r="A297" s="355"/>
      <c r="T297" s="369"/>
    </row>
    <row r="298" spans="1:20" s="356" customFormat="1">
      <c r="A298" s="355"/>
      <c r="T298" s="369"/>
    </row>
    <row r="299" spans="1:20" s="356" customFormat="1">
      <c r="A299" s="355"/>
      <c r="T299" s="369"/>
    </row>
    <row r="300" spans="1:20">
      <c r="T300" s="369"/>
    </row>
    <row r="301" spans="1:20">
      <c r="T301" s="369"/>
    </row>
    <row r="302" spans="1:20">
      <c r="T302" s="369"/>
    </row>
    <row r="303" spans="1:20">
      <c r="T303" s="369"/>
    </row>
    <row r="304" spans="1:20">
      <c r="T304" s="369"/>
    </row>
    <row r="305" spans="20:20">
      <c r="T305" s="369"/>
    </row>
    <row r="306" spans="20:20">
      <c r="T306" s="369"/>
    </row>
    <row r="307" spans="20:20">
      <c r="T307" s="369"/>
    </row>
    <row r="308" spans="20:20">
      <c r="T308" s="369"/>
    </row>
    <row r="309" spans="20:20">
      <c r="T309" s="369"/>
    </row>
    <row r="310" spans="20:20">
      <c r="T310" s="369"/>
    </row>
    <row r="311" spans="20:20">
      <c r="T311" s="369"/>
    </row>
    <row r="312" spans="20:20">
      <c r="T312" s="369"/>
    </row>
    <row r="313" spans="20:20">
      <c r="T313" s="369"/>
    </row>
    <row r="314" spans="20:20">
      <c r="T314" s="369"/>
    </row>
    <row r="315" spans="20:20">
      <c r="T315" s="369"/>
    </row>
    <row r="316" spans="20:20">
      <c r="T316" s="369"/>
    </row>
    <row r="317" spans="20:20">
      <c r="T317" s="369"/>
    </row>
    <row r="318" spans="20:20">
      <c r="T318" s="369"/>
    </row>
    <row r="319" spans="20:20">
      <c r="T319" s="369"/>
    </row>
    <row r="320" spans="20:20">
      <c r="T320" s="369"/>
    </row>
    <row r="321" spans="20:20">
      <c r="T321" s="369"/>
    </row>
    <row r="322" spans="20:20">
      <c r="T322" s="369"/>
    </row>
    <row r="323" spans="20:20">
      <c r="T323" s="369"/>
    </row>
    <row r="324" spans="20:20">
      <c r="T324" s="369"/>
    </row>
    <row r="325" spans="20:20">
      <c r="T325" s="369"/>
    </row>
    <row r="326" spans="20:20">
      <c r="T326" s="369"/>
    </row>
    <row r="327" spans="20:20">
      <c r="T327" s="369"/>
    </row>
    <row r="328" spans="20:20">
      <c r="T328" s="369"/>
    </row>
    <row r="329" spans="20:20">
      <c r="T329" s="369"/>
    </row>
    <row r="330" spans="20:20">
      <c r="T330" s="369"/>
    </row>
    <row r="331" spans="20:20">
      <c r="T331" s="369"/>
    </row>
    <row r="332" spans="20:20">
      <c r="T332" s="369"/>
    </row>
    <row r="333" spans="20:20">
      <c r="T333" s="369"/>
    </row>
    <row r="334" spans="20:20">
      <c r="T334" s="369"/>
    </row>
    <row r="335" spans="20:20">
      <c r="T335" s="369"/>
    </row>
    <row r="336" spans="20:20">
      <c r="T336" s="369"/>
    </row>
    <row r="337" spans="20:20">
      <c r="T337" s="369"/>
    </row>
    <row r="338" spans="20:20">
      <c r="T338" s="369"/>
    </row>
    <row r="339" spans="20:20">
      <c r="T339" s="369"/>
    </row>
    <row r="340" spans="20:20">
      <c r="T340" s="369"/>
    </row>
    <row r="341" spans="20:20">
      <c r="T341" s="369"/>
    </row>
    <row r="342" spans="20:20">
      <c r="T342" s="369"/>
    </row>
    <row r="343" spans="20:20">
      <c r="T343" s="369"/>
    </row>
    <row r="344" spans="20:20">
      <c r="T344" s="369"/>
    </row>
    <row r="345" spans="20:20">
      <c r="T345" s="369"/>
    </row>
    <row r="346" spans="20:20">
      <c r="T346" s="369"/>
    </row>
    <row r="347" spans="20:20">
      <c r="T347" s="369"/>
    </row>
    <row r="348" spans="20:20">
      <c r="T348" s="369"/>
    </row>
    <row r="349" spans="20:20">
      <c r="T349" s="369"/>
    </row>
    <row r="350" spans="20:20">
      <c r="T350" s="369"/>
    </row>
    <row r="351" spans="20:20">
      <c r="T351" s="369"/>
    </row>
    <row r="352" spans="20:20">
      <c r="T352" s="369"/>
    </row>
    <row r="353" spans="20:20">
      <c r="T353" s="369"/>
    </row>
    <row r="354" spans="20:20">
      <c r="T354" s="369"/>
    </row>
    <row r="355" spans="20:20">
      <c r="T355" s="369"/>
    </row>
    <row r="356" spans="20:20">
      <c r="T356" s="369"/>
    </row>
    <row r="357" spans="20:20">
      <c r="T357" s="369"/>
    </row>
    <row r="358" spans="20:20">
      <c r="T358" s="369"/>
    </row>
    <row r="359" spans="20:20">
      <c r="T359" s="369"/>
    </row>
    <row r="360" spans="20:20">
      <c r="T360" s="369"/>
    </row>
    <row r="361" spans="20:20">
      <c r="T361" s="369"/>
    </row>
    <row r="362" spans="20:20">
      <c r="T362" s="369"/>
    </row>
    <row r="363" spans="20:20">
      <c r="T363" s="369"/>
    </row>
    <row r="364" spans="20:20">
      <c r="T364" s="369"/>
    </row>
    <row r="365" spans="20:20">
      <c r="T365" s="369"/>
    </row>
    <row r="366" spans="20:20">
      <c r="T366" s="369"/>
    </row>
    <row r="367" spans="20:20">
      <c r="T367" s="369"/>
    </row>
    <row r="368" spans="20:20">
      <c r="T368" s="369"/>
    </row>
    <row r="369" spans="20:20">
      <c r="T369" s="369"/>
    </row>
    <row r="370" spans="20:20">
      <c r="T370" s="369"/>
    </row>
    <row r="371" spans="20:20">
      <c r="T371" s="369"/>
    </row>
    <row r="372" spans="20:20">
      <c r="T372" s="369"/>
    </row>
    <row r="373" spans="20:20">
      <c r="T373" s="369"/>
    </row>
    <row r="374" spans="20:20">
      <c r="T374" s="369"/>
    </row>
    <row r="375" spans="20:20">
      <c r="T375" s="369"/>
    </row>
    <row r="376" spans="20:20">
      <c r="T376" s="369"/>
    </row>
    <row r="377" spans="20:20">
      <c r="T377" s="369"/>
    </row>
    <row r="378" spans="20:20">
      <c r="T378" s="369"/>
    </row>
    <row r="379" spans="20:20">
      <c r="T379" s="369"/>
    </row>
    <row r="380" spans="20:20">
      <c r="T380" s="369"/>
    </row>
    <row r="381" spans="20:20">
      <c r="T381" s="369"/>
    </row>
    <row r="382" spans="20:20">
      <c r="T382" s="369"/>
    </row>
    <row r="383" spans="20:20">
      <c r="T383" s="369"/>
    </row>
    <row r="384" spans="20:20">
      <c r="T384" s="369"/>
    </row>
    <row r="385" spans="20:20">
      <c r="T385" s="369"/>
    </row>
    <row r="386" spans="20:20">
      <c r="T386" s="369"/>
    </row>
    <row r="387" spans="20:20">
      <c r="T387" s="369"/>
    </row>
    <row r="388" spans="20:20">
      <c r="T388" s="369"/>
    </row>
    <row r="389" spans="20:20">
      <c r="T389" s="369"/>
    </row>
    <row r="390" spans="20:20">
      <c r="T390" s="369"/>
    </row>
    <row r="391" spans="20:20">
      <c r="T391" s="369"/>
    </row>
    <row r="392" spans="20:20">
      <c r="T392" s="369"/>
    </row>
    <row r="393" spans="20:20">
      <c r="T393" s="369"/>
    </row>
    <row r="394" spans="20:20">
      <c r="T394" s="369"/>
    </row>
    <row r="395" spans="20:20">
      <c r="T395" s="369"/>
    </row>
    <row r="396" spans="20:20">
      <c r="T396" s="369"/>
    </row>
    <row r="397" spans="20:20">
      <c r="T397" s="369"/>
    </row>
    <row r="398" spans="20:20">
      <c r="T398" s="369"/>
    </row>
    <row r="399" spans="20:20">
      <c r="T399" s="369"/>
    </row>
    <row r="400" spans="20:20">
      <c r="T400" s="369"/>
    </row>
    <row r="401" spans="20:20">
      <c r="T401" s="369"/>
    </row>
    <row r="402" spans="20:20">
      <c r="T402" s="369"/>
    </row>
    <row r="403" spans="20:20">
      <c r="T403" s="369"/>
    </row>
    <row r="404" spans="20:20">
      <c r="T404" s="369"/>
    </row>
    <row r="405" spans="20:20">
      <c r="T405" s="369"/>
    </row>
    <row r="406" spans="20:20">
      <c r="T406" s="369"/>
    </row>
    <row r="407" spans="20:20">
      <c r="T407" s="369"/>
    </row>
    <row r="408" spans="20:20">
      <c r="T408" s="369"/>
    </row>
    <row r="409" spans="20:20">
      <c r="T409" s="369"/>
    </row>
    <row r="410" spans="20:20">
      <c r="T410" s="369"/>
    </row>
    <row r="411" spans="20:20">
      <c r="T411" s="369"/>
    </row>
    <row r="412" spans="20:20">
      <c r="T412" s="369"/>
    </row>
    <row r="413" spans="20:20">
      <c r="T413" s="369"/>
    </row>
    <row r="414" spans="20:20">
      <c r="T414" s="369"/>
    </row>
    <row r="415" spans="20:20">
      <c r="T415" s="369"/>
    </row>
    <row r="416" spans="20:20">
      <c r="T416" s="369"/>
    </row>
    <row r="417" spans="20:20">
      <c r="T417" s="369"/>
    </row>
    <row r="418" spans="20:20">
      <c r="T418" s="369"/>
    </row>
    <row r="419" spans="20:20">
      <c r="T419" s="369"/>
    </row>
    <row r="420" spans="20:20">
      <c r="T420" s="369"/>
    </row>
    <row r="421" spans="20:20">
      <c r="T421" s="369"/>
    </row>
    <row r="422" spans="20:20">
      <c r="T422" s="369"/>
    </row>
    <row r="423" spans="20:20">
      <c r="T423" s="369"/>
    </row>
    <row r="424" spans="20:20">
      <c r="T424" s="369"/>
    </row>
    <row r="425" spans="20:20">
      <c r="T425" s="369"/>
    </row>
    <row r="426" spans="20:20">
      <c r="T426" s="369"/>
    </row>
    <row r="427" spans="20:20">
      <c r="T427" s="369"/>
    </row>
    <row r="428" spans="20:20">
      <c r="T428" s="369"/>
    </row>
    <row r="429" spans="20:20">
      <c r="T429" s="369"/>
    </row>
    <row r="430" spans="20:20">
      <c r="T430" s="369"/>
    </row>
    <row r="431" spans="20:20">
      <c r="T431" s="369"/>
    </row>
    <row r="432" spans="20:20">
      <c r="T432" s="369"/>
    </row>
    <row r="433" spans="20:20">
      <c r="T433" s="369"/>
    </row>
    <row r="434" spans="20:20">
      <c r="T434" s="369"/>
    </row>
    <row r="435" spans="20:20">
      <c r="T435" s="369"/>
    </row>
    <row r="436" spans="20:20">
      <c r="T436" s="369"/>
    </row>
    <row r="437" spans="20:20">
      <c r="T437" s="369"/>
    </row>
    <row r="438" spans="20:20">
      <c r="T438" s="369"/>
    </row>
    <row r="439" spans="20:20">
      <c r="T439" s="369"/>
    </row>
    <row r="440" spans="20:20">
      <c r="T440" s="369"/>
    </row>
    <row r="441" spans="20:20">
      <c r="T441" s="369"/>
    </row>
    <row r="442" spans="20:20">
      <c r="T442" s="369"/>
    </row>
    <row r="443" spans="20:20">
      <c r="T443" s="369"/>
    </row>
    <row r="444" spans="20:20">
      <c r="T444" s="369"/>
    </row>
    <row r="445" spans="20:20">
      <c r="T445" s="369"/>
    </row>
    <row r="446" spans="20:20">
      <c r="T446" s="369"/>
    </row>
    <row r="447" spans="20:20">
      <c r="T447" s="369"/>
    </row>
    <row r="448" spans="20:20">
      <c r="T448" s="369"/>
    </row>
    <row r="449" spans="20:20">
      <c r="T449" s="369"/>
    </row>
    <row r="1145" spans="3:3">
      <c r="C1145" s="331">
        <v>-2130</v>
      </c>
    </row>
    <row r="1153" spans="3:3">
      <c r="C1153" s="331">
        <f>7004298-2130</f>
        <v>7002168</v>
      </c>
    </row>
  </sheetData>
  <conditionalFormatting sqref="T17 T24 T31 T38 T46 T54 T62 T70 T78 T86 T102 T94">
    <cfRule type="cellIs" dxfId="106" priority="107" stopIfTrue="1" operator="equal">
      <formula>0</formula>
    </cfRule>
    <cfRule type="cellIs" dxfId="105" priority="108" stopIfTrue="1" operator="notEqual">
      <formula>0</formula>
    </cfRule>
  </conditionalFormatting>
  <conditionalFormatting sqref="T17 T24 T31 T38 T46 T54 T62 T70 T78 T86 T102 T94">
    <cfRule type="cellIs" dxfId="104" priority="106" stopIfTrue="1" operator="equal">
      <formula>0</formula>
    </cfRule>
  </conditionalFormatting>
  <printOptions gridLinesSet="0"/>
  <pageMargins left="0.18" right="0" top="0.5" bottom="0.5" header="0.5" footer="0.25"/>
  <pageSetup scale="53" orientation="landscape" horizontalDpi="300" verticalDpi="300" r:id="rId1"/>
  <headerFooter alignWithMargins="0">
    <oddFooter>&amp;L&amp;F&amp;C&amp;A&amp;R&amp;D  &amp;T</oddFooter>
  </headerFooter>
  <customProperties>
    <customPr name="xxe4aPID" r:id="rId2"/>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rgb="FF92D050"/>
    <pageSetUpPr fitToPage="1"/>
  </sheetPr>
  <dimension ref="A1:J196"/>
  <sheetViews>
    <sheetView view="pageBreakPreview" topLeftCell="A159" zoomScale="85" zoomScaleNormal="100" zoomScaleSheetLayoutView="85" workbookViewId="0">
      <selection activeCell="G51" sqref="G51:J55"/>
    </sheetView>
  </sheetViews>
  <sheetFormatPr defaultColWidth="9.140625" defaultRowHeight="15"/>
  <cols>
    <col min="1" max="1" width="29.85546875" style="275" customWidth="1"/>
    <col min="2" max="2" width="6.85546875" style="275" bestFit="1" customWidth="1"/>
    <col min="3" max="3" width="15.85546875" style="275" bestFit="1" customWidth="1"/>
    <col min="4" max="4" width="14.85546875" style="275" bestFit="1" customWidth="1"/>
    <col min="5" max="5" width="16.140625" style="275" bestFit="1" customWidth="1"/>
    <col min="6" max="6" width="9.140625" style="275"/>
    <col min="7" max="7" width="36.28515625" style="275" bestFit="1" customWidth="1"/>
    <col min="8" max="8" width="17.5703125" style="275" bestFit="1" customWidth="1"/>
    <col min="9" max="10" width="15.140625" style="275" bestFit="1" customWidth="1"/>
    <col min="11" max="16384" width="9.140625" style="275"/>
  </cols>
  <sheetData>
    <row r="1" spans="1:10" ht="15.75">
      <c r="A1" s="274" t="s">
        <v>200</v>
      </c>
    </row>
    <row r="2" spans="1:10" ht="15.75">
      <c r="A2" s="447"/>
    </row>
    <row r="3" spans="1:10" ht="15.75">
      <c r="A3" s="274"/>
    </row>
    <row r="4" spans="1:10" ht="15.75" hidden="1">
      <c r="A4" s="290"/>
      <c r="B4" s="290"/>
      <c r="C4" s="284" t="s">
        <v>1</v>
      </c>
      <c r="D4" s="308">
        <v>41274</v>
      </c>
      <c r="E4" s="309">
        <v>280640.39010999998</v>
      </c>
    </row>
    <row r="5" spans="1:10" ht="15.75" hidden="1" thickBot="1"/>
    <row r="6" spans="1:10" ht="15.75" hidden="1">
      <c r="A6" s="643" t="s">
        <v>195</v>
      </c>
      <c r="B6" s="644"/>
      <c r="C6" s="644"/>
      <c r="D6" s="644"/>
      <c r="E6" s="645"/>
      <c r="G6" s="290"/>
      <c r="H6" s="290"/>
      <c r="I6" s="290"/>
    </row>
    <row r="7" spans="1:10" ht="15.75" hidden="1">
      <c r="A7" s="219">
        <v>41305</v>
      </c>
      <c r="B7" s="276"/>
      <c r="C7" s="277" t="s">
        <v>101</v>
      </c>
      <c r="D7" s="278"/>
      <c r="E7" s="279"/>
    </row>
    <row r="8" spans="1:10" ht="16.5" hidden="1" thickBot="1">
      <c r="A8" s="280"/>
      <c r="B8" s="281"/>
      <c r="C8" s="282" t="s">
        <v>21</v>
      </c>
      <c r="D8" s="282" t="s">
        <v>22</v>
      </c>
      <c r="E8" s="283" t="s">
        <v>23</v>
      </c>
    </row>
    <row r="9" spans="1:10" ht="15.75" hidden="1">
      <c r="A9" s="284" t="s">
        <v>24</v>
      </c>
      <c r="B9" s="285">
        <v>101</v>
      </c>
      <c r="C9" s="286">
        <v>22136409</v>
      </c>
      <c r="D9" s="287">
        <v>-2.1900000000000001E-3</v>
      </c>
      <c r="E9" s="288">
        <f>C9*D9</f>
        <v>-48478.735710000001</v>
      </c>
    </row>
    <row r="10" spans="1:10" ht="16.5" hidden="1" thickBot="1">
      <c r="A10" s="284" t="s">
        <v>24</v>
      </c>
      <c r="B10" s="285">
        <v>111</v>
      </c>
      <c r="C10" s="286">
        <v>7525225</v>
      </c>
      <c r="D10" s="287">
        <v>-2.1900000000000001E-3</v>
      </c>
      <c r="E10" s="288">
        <f t="shared" ref="E10:E16" si="0">C10*D10</f>
        <v>-16480.242750000001</v>
      </c>
      <c r="G10" s="289">
        <f>A7</f>
        <v>41305</v>
      </c>
      <c r="H10" s="290"/>
      <c r="I10" s="290"/>
      <c r="J10" s="290"/>
    </row>
    <row r="11" spans="1:10" ht="16.5" hidden="1" thickBot="1">
      <c r="A11" s="284" t="s">
        <v>24</v>
      </c>
      <c r="B11" s="285">
        <v>112</v>
      </c>
      <c r="C11" s="286">
        <v>0</v>
      </c>
      <c r="D11" s="287">
        <v>-2.1900000000000001E-3</v>
      </c>
      <c r="E11" s="288">
        <f t="shared" si="0"/>
        <v>0</v>
      </c>
      <c r="G11" s="291" t="s">
        <v>25</v>
      </c>
      <c r="H11" s="292"/>
      <c r="I11" s="293" t="s">
        <v>18</v>
      </c>
      <c r="J11" s="293" t="s">
        <v>19</v>
      </c>
    </row>
    <row r="12" spans="1:10" ht="15.75" hidden="1">
      <c r="A12" s="284" t="s">
        <v>24</v>
      </c>
      <c r="B12" s="285">
        <v>121</v>
      </c>
      <c r="C12" s="286">
        <v>606431</v>
      </c>
      <c r="D12" s="287">
        <v>-2.1900000000000001E-3</v>
      </c>
      <c r="E12" s="288">
        <f t="shared" si="0"/>
        <v>-1328.0838900000001</v>
      </c>
      <c r="G12" s="294" t="s">
        <v>97</v>
      </c>
      <c r="H12" s="295" t="s">
        <v>26</v>
      </c>
      <c r="I12" s="296">
        <f>-E17</f>
        <v>67542.528509999989</v>
      </c>
      <c r="J12" s="297">
        <v>0</v>
      </c>
    </row>
    <row r="13" spans="1:10" ht="16.5" hidden="1" thickBot="1">
      <c r="A13" s="284" t="s">
        <v>24</v>
      </c>
      <c r="B13" s="285">
        <v>122</v>
      </c>
      <c r="C13" s="286">
        <v>85748</v>
      </c>
      <c r="D13" s="287">
        <v>-2.1900000000000001E-3</v>
      </c>
      <c r="E13" s="288">
        <f t="shared" si="0"/>
        <v>-187.78812000000002</v>
      </c>
      <c r="G13" s="298" t="s">
        <v>196</v>
      </c>
      <c r="H13" s="299" t="s">
        <v>197</v>
      </c>
      <c r="I13" s="300">
        <v>0</v>
      </c>
      <c r="J13" s="301">
        <f>-I12</f>
        <v>-67542.528509999989</v>
      </c>
    </row>
    <row r="14" spans="1:10" ht="15.75" hidden="1">
      <c r="A14" s="284" t="s">
        <v>24</v>
      </c>
      <c r="B14" s="285">
        <v>131</v>
      </c>
      <c r="C14" s="286">
        <v>0</v>
      </c>
      <c r="D14" s="287">
        <v>-2.1900000000000001E-3</v>
      </c>
      <c r="E14" s="288">
        <f t="shared" si="0"/>
        <v>0</v>
      </c>
      <c r="G14" s="290"/>
      <c r="H14" s="290"/>
      <c r="I14" s="290"/>
      <c r="J14" s="302">
        <f>SUM(I12:J13)</f>
        <v>0</v>
      </c>
    </row>
    <row r="15" spans="1:10" ht="15.75" hidden="1">
      <c r="A15" s="284" t="s">
        <v>24</v>
      </c>
      <c r="B15" s="285">
        <v>132</v>
      </c>
      <c r="C15" s="286">
        <v>151236</v>
      </c>
      <c r="D15" s="287">
        <v>-2.1900000000000001E-3</v>
      </c>
      <c r="E15" s="288">
        <f t="shared" si="0"/>
        <v>-331.20684</v>
      </c>
    </row>
    <row r="16" spans="1:10" ht="15.75" hidden="1">
      <c r="A16" s="284" t="s">
        <v>24</v>
      </c>
      <c r="B16" s="285">
        <v>146</v>
      </c>
      <c r="C16" s="286">
        <v>3682356</v>
      </c>
      <c r="D16" s="287">
        <v>-2.0000000000000001E-4</v>
      </c>
      <c r="E16" s="303">
        <f t="shared" si="0"/>
        <v>-736.47120000000007</v>
      </c>
    </row>
    <row r="17" spans="1:10" ht="16.5" hidden="1" thickBot="1">
      <c r="A17" s="284" t="s">
        <v>198</v>
      </c>
      <c r="B17" s="285"/>
      <c r="C17" s="304">
        <f>SUM(C9:C16)</f>
        <v>34187405</v>
      </c>
      <c r="D17" s="305"/>
      <c r="E17" s="306">
        <f>SUM(E9:E16)</f>
        <v>-67542.528509999989</v>
      </c>
    </row>
    <row r="18" spans="1:10" ht="16.5" hidden="1" thickTop="1">
      <c r="A18" s="284"/>
      <c r="B18" s="285"/>
      <c r="C18" s="310">
        <v>34187405</v>
      </c>
      <c r="D18" s="305"/>
      <c r="E18" s="306"/>
    </row>
    <row r="19" spans="1:10" ht="15.75" hidden="1">
      <c r="A19" s="284"/>
      <c r="B19" s="285"/>
      <c r="C19" s="307">
        <f>C18-C17</f>
        <v>0</v>
      </c>
      <c r="D19" s="305"/>
      <c r="E19" s="306"/>
    </row>
    <row r="20" spans="1:10" ht="15.75" hidden="1">
      <c r="A20" s="290"/>
      <c r="B20" s="290"/>
      <c r="C20" s="284" t="s">
        <v>1</v>
      </c>
      <c r="D20" s="308">
        <f>A7</f>
        <v>41305</v>
      </c>
      <c r="E20" s="309">
        <f>E4+E17</f>
        <v>213097.8616</v>
      </c>
    </row>
    <row r="21" spans="1:10" ht="15.75" hidden="1" thickBot="1"/>
    <row r="22" spans="1:10" ht="15.75" hidden="1">
      <c r="A22" s="643" t="s">
        <v>195</v>
      </c>
      <c r="B22" s="644"/>
      <c r="C22" s="644"/>
      <c r="D22" s="644"/>
      <c r="E22" s="645"/>
      <c r="G22" s="290"/>
      <c r="H22" s="290"/>
      <c r="I22" s="290"/>
    </row>
    <row r="23" spans="1:10" ht="15.75" hidden="1">
      <c r="A23" s="219">
        <v>41333</v>
      </c>
      <c r="B23" s="276"/>
      <c r="C23" s="277" t="s">
        <v>101</v>
      </c>
      <c r="D23" s="278"/>
      <c r="E23" s="279"/>
    </row>
    <row r="24" spans="1:10" ht="16.5" hidden="1" thickBot="1">
      <c r="A24" s="280"/>
      <c r="B24" s="281"/>
      <c r="C24" s="282" t="s">
        <v>21</v>
      </c>
      <c r="D24" s="282" t="s">
        <v>22</v>
      </c>
      <c r="E24" s="283" t="s">
        <v>23</v>
      </c>
    </row>
    <row r="25" spans="1:10" ht="15.75" hidden="1">
      <c r="A25" s="284" t="s">
        <v>24</v>
      </c>
      <c r="B25" s="285">
        <v>101</v>
      </c>
      <c r="C25" s="286">
        <v>16585315</v>
      </c>
      <c r="D25" s="287">
        <v>-2.1900000000000001E-3</v>
      </c>
      <c r="E25" s="288">
        <v>-36321.839850000004</v>
      </c>
    </row>
    <row r="26" spans="1:10" ht="16.5" hidden="1" thickBot="1">
      <c r="A26" s="284" t="s">
        <v>24</v>
      </c>
      <c r="B26" s="285">
        <v>111</v>
      </c>
      <c r="C26" s="286">
        <v>5716465</v>
      </c>
      <c r="D26" s="287">
        <v>-2.1900000000000001E-3</v>
      </c>
      <c r="E26" s="288">
        <v>-12519.058350000001</v>
      </c>
      <c r="G26" s="289">
        <f>A23</f>
        <v>41333</v>
      </c>
      <c r="H26" s="290"/>
      <c r="I26" s="290"/>
      <c r="J26" s="290"/>
    </row>
    <row r="27" spans="1:10" ht="16.5" hidden="1" thickBot="1">
      <c r="A27" s="284" t="s">
        <v>24</v>
      </c>
      <c r="B27" s="285">
        <v>112</v>
      </c>
      <c r="C27" s="286">
        <v>0</v>
      </c>
      <c r="D27" s="287">
        <v>-2.1900000000000001E-3</v>
      </c>
      <c r="E27" s="288">
        <v>0</v>
      </c>
      <c r="G27" s="291" t="s">
        <v>25</v>
      </c>
      <c r="H27" s="292"/>
      <c r="I27" s="293" t="s">
        <v>18</v>
      </c>
      <c r="J27" s="293" t="s">
        <v>19</v>
      </c>
    </row>
    <row r="28" spans="1:10" ht="15.75" hidden="1">
      <c r="A28" s="284" t="s">
        <v>24</v>
      </c>
      <c r="B28" s="285">
        <v>121</v>
      </c>
      <c r="C28" s="286">
        <v>416479</v>
      </c>
      <c r="D28" s="287">
        <v>-2.1900000000000001E-3</v>
      </c>
      <c r="E28" s="288">
        <v>-912.08901000000003</v>
      </c>
      <c r="G28" s="294" t="s">
        <v>97</v>
      </c>
      <c r="H28" s="295" t="s">
        <v>26</v>
      </c>
      <c r="I28" s="296">
        <f>-E33</f>
        <v>50910.051820000008</v>
      </c>
      <c r="J28" s="297">
        <v>0</v>
      </c>
    </row>
    <row r="29" spans="1:10" ht="16.5" hidden="1" thickBot="1">
      <c r="A29" s="284" t="s">
        <v>24</v>
      </c>
      <c r="B29" s="285">
        <v>122</v>
      </c>
      <c r="C29" s="286">
        <v>94568</v>
      </c>
      <c r="D29" s="287">
        <v>-2.1900000000000001E-3</v>
      </c>
      <c r="E29" s="288">
        <v>-207.10392000000002</v>
      </c>
      <c r="G29" s="298" t="s">
        <v>196</v>
      </c>
      <c r="H29" s="299" t="s">
        <v>197</v>
      </c>
      <c r="I29" s="300">
        <v>0</v>
      </c>
      <c r="J29" s="301">
        <f>-I28</f>
        <v>-50910.051820000008</v>
      </c>
    </row>
    <row r="30" spans="1:10" ht="15.75" hidden="1">
      <c r="A30" s="284" t="s">
        <v>24</v>
      </c>
      <c r="B30" s="285">
        <v>131</v>
      </c>
      <c r="C30" s="286">
        <v>0</v>
      </c>
      <c r="D30" s="287">
        <v>-2.1900000000000001E-3</v>
      </c>
      <c r="E30" s="288">
        <v>0</v>
      </c>
      <c r="G30" s="290"/>
      <c r="H30" s="290"/>
      <c r="I30" s="290"/>
      <c r="J30" s="302">
        <f>SUM(I28:J29)</f>
        <v>0</v>
      </c>
    </row>
    <row r="31" spans="1:10" ht="15.75" hidden="1">
      <c r="A31" s="284" t="s">
        <v>24</v>
      </c>
      <c r="B31" s="285">
        <v>132</v>
      </c>
      <c r="C31" s="286">
        <v>172051</v>
      </c>
      <c r="D31" s="287">
        <v>-2.1900000000000001E-3</v>
      </c>
      <c r="E31" s="288">
        <v>-376.79169000000002</v>
      </c>
    </row>
    <row r="32" spans="1:10" ht="15.75" hidden="1">
      <c r="A32" s="284" t="s">
        <v>24</v>
      </c>
      <c r="B32" s="285">
        <v>146</v>
      </c>
      <c r="C32" s="286">
        <v>2865845</v>
      </c>
      <c r="D32" s="287">
        <v>-2.0000000000000001E-4</v>
      </c>
      <c r="E32" s="303">
        <v>-573.16899999999998</v>
      </c>
    </row>
    <row r="33" spans="1:10" ht="16.5" hidden="1" thickBot="1">
      <c r="A33" s="284" t="s">
        <v>198</v>
      </c>
      <c r="B33" s="285"/>
      <c r="C33" s="304">
        <f>SUM(C25:C32)</f>
        <v>25850723</v>
      </c>
      <c r="D33" s="305"/>
      <c r="E33" s="306">
        <f>SUM(E25:E32)</f>
        <v>-50910.051820000008</v>
      </c>
    </row>
    <row r="34" spans="1:10" ht="16.5" hidden="1" thickTop="1">
      <c r="A34" s="284"/>
      <c r="B34" s="285"/>
      <c r="C34" s="310">
        <v>25850723</v>
      </c>
      <c r="D34" s="305"/>
      <c r="E34" s="306"/>
    </row>
    <row r="35" spans="1:10" ht="15.75" hidden="1">
      <c r="A35" s="284"/>
      <c r="B35" s="285"/>
      <c r="C35" s="307">
        <f>C34-C33</f>
        <v>0</v>
      </c>
      <c r="D35" s="305"/>
      <c r="E35" s="306"/>
    </row>
    <row r="36" spans="1:10" ht="15.75" hidden="1">
      <c r="A36" s="290"/>
      <c r="B36" s="290"/>
      <c r="C36" s="284" t="s">
        <v>1</v>
      </c>
      <c r="D36" s="308">
        <f>A23</f>
        <v>41333</v>
      </c>
      <c r="E36" s="309">
        <f>E20+E33</f>
        <v>162187.80978000001</v>
      </c>
    </row>
    <row r="37" spans="1:10" ht="15.75" hidden="1" thickBot="1"/>
    <row r="38" spans="1:10" ht="15.75" hidden="1">
      <c r="A38" s="643" t="s">
        <v>195</v>
      </c>
      <c r="B38" s="644"/>
      <c r="C38" s="644"/>
      <c r="D38" s="644"/>
      <c r="E38" s="645"/>
      <c r="G38" s="290"/>
      <c r="H38" s="290"/>
      <c r="I38" s="290"/>
    </row>
    <row r="39" spans="1:10" ht="15.75" hidden="1">
      <c r="A39" s="219">
        <v>41364</v>
      </c>
      <c r="B39" s="276"/>
      <c r="C39" s="277" t="s">
        <v>101</v>
      </c>
      <c r="D39" s="278"/>
      <c r="E39" s="279"/>
    </row>
    <row r="40" spans="1:10" ht="16.5" hidden="1" thickBot="1">
      <c r="A40" s="280"/>
      <c r="B40" s="281"/>
      <c r="C40" s="282" t="s">
        <v>21</v>
      </c>
      <c r="D40" s="282" t="s">
        <v>22</v>
      </c>
      <c r="E40" s="283" t="s">
        <v>23</v>
      </c>
    </row>
    <row r="41" spans="1:10" ht="15.75" hidden="1">
      <c r="A41" s="284" t="s">
        <v>24</v>
      </c>
      <c r="B41" s="285">
        <v>101</v>
      </c>
      <c r="C41" s="286">
        <v>12776328</v>
      </c>
      <c r="D41" s="287">
        <v>-2.1900000000000001E-3</v>
      </c>
      <c r="E41" s="288">
        <v>-27980.158320000002</v>
      </c>
    </row>
    <row r="42" spans="1:10" ht="16.5" hidden="1" thickBot="1">
      <c r="A42" s="284" t="s">
        <v>24</v>
      </c>
      <c r="B42" s="285">
        <v>111</v>
      </c>
      <c r="C42" s="286">
        <v>4890087</v>
      </c>
      <c r="D42" s="287">
        <v>-2.1900000000000001E-3</v>
      </c>
      <c r="E42" s="288">
        <v>-10709.29053</v>
      </c>
      <c r="G42" s="289">
        <f>A39</f>
        <v>41364</v>
      </c>
      <c r="H42" s="290"/>
      <c r="I42" s="290"/>
      <c r="J42" s="290"/>
    </row>
    <row r="43" spans="1:10" ht="16.5" hidden="1" thickBot="1">
      <c r="A43" s="284" t="s">
        <v>24</v>
      </c>
      <c r="B43" s="285">
        <v>112</v>
      </c>
      <c r="C43" s="286">
        <v>0</v>
      </c>
      <c r="D43" s="287">
        <v>-2.1900000000000001E-3</v>
      </c>
      <c r="E43" s="288">
        <v>0</v>
      </c>
      <c r="G43" s="291" t="s">
        <v>25</v>
      </c>
      <c r="H43" s="292"/>
      <c r="I43" s="293" t="s">
        <v>18</v>
      </c>
      <c r="J43" s="293" t="s">
        <v>19</v>
      </c>
    </row>
    <row r="44" spans="1:10" ht="15.75" hidden="1">
      <c r="A44" s="284" t="s">
        <v>24</v>
      </c>
      <c r="B44" s="285">
        <v>121</v>
      </c>
      <c r="C44" s="286">
        <v>526218</v>
      </c>
      <c r="D44" s="287">
        <v>-2.1900000000000001E-3</v>
      </c>
      <c r="E44" s="288">
        <v>-1152.41742</v>
      </c>
      <c r="G44" s="294" t="s">
        <v>97</v>
      </c>
      <c r="H44" s="295" t="s">
        <v>26</v>
      </c>
      <c r="I44" s="296">
        <f>-E49</f>
        <v>40849.65926</v>
      </c>
      <c r="J44" s="297">
        <v>0</v>
      </c>
    </row>
    <row r="45" spans="1:10" ht="16.5" hidden="1" thickBot="1">
      <c r="A45" s="284" t="s">
        <v>24</v>
      </c>
      <c r="B45" s="285">
        <v>122</v>
      </c>
      <c r="C45" s="286">
        <v>71767</v>
      </c>
      <c r="D45" s="287">
        <v>-2.1900000000000001E-3</v>
      </c>
      <c r="E45" s="288">
        <v>-157.16973000000002</v>
      </c>
      <c r="G45" s="298" t="s">
        <v>196</v>
      </c>
      <c r="H45" s="299" t="s">
        <v>197</v>
      </c>
      <c r="I45" s="300">
        <v>0</v>
      </c>
      <c r="J45" s="301">
        <f>-I44</f>
        <v>-40849.65926</v>
      </c>
    </row>
    <row r="46" spans="1:10" ht="15.75" hidden="1">
      <c r="A46" s="284" t="s">
        <v>24</v>
      </c>
      <c r="B46" s="285">
        <v>131</v>
      </c>
      <c r="C46" s="286">
        <v>0</v>
      </c>
      <c r="D46" s="287">
        <v>-2.1900000000000001E-3</v>
      </c>
      <c r="E46" s="288">
        <v>0</v>
      </c>
      <c r="G46" s="290"/>
      <c r="H46" s="290"/>
      <c r="I46" s="290"/>
      <c r="J46" s="302">
        <f>SUM(I44:J45)</f>
        <v>0</v>
      </c>
    </row>
    <row r="47" spans="1:10" ht="15.75" hidden="1">
      <c r="A47" s="284" t="s">
        <v>24</v>
      </c>
      <c r="B47" s="285">
        <v>132</v>
      </c>
      <c r="C47" s="286">
        <v>135254</v>
      </c>
      <c r="D47" s="287">
        <v>-2.1900000000000001E-3</v>
      </c>
      <c r="E47" s="288">
        <v>-296.20625999999999</v>
      </c>
    </row>
    <row r="48" spans="1:10" ht="15.75" hidden="1">
      <c r="A48" s="284" t="s">
        <v>24</v>
      </c>
      <c r="B48" s="285">
        <v>146</v>
      </c>
      <c r="C48" s="286">
        <v>2772085</v>
      </c>
      <c r="D48" s="287">
        <v>-2.0000000000000001E-4</v>
      </c>
      <c r="E48" s="303">
        <v>-554.41700000000003</v>
      </c>
    </row>
    <row r="49" spans="1:10" ht="16.5" hidden="1" thickBot="1">
      <c r="A49" s="284" t="s">
        <v>198</v>
      </c>
      <c r="B49" s="285"/>
      <c r="C49" s="304">
        <f>SUM(C41:C48)</f>
        <v>21171739</v>
      </c>
      <c r="D49" s="305"/>
      <c r="E49" s="306">
        <f>SUM(E41:E48)</f>
        <v>-40849.65926</v>
      </c>
    </row>
    <row r="50" spans="1:10" ht="16.5" hidden="1" thickTop="1">
      <c r="A50" s="284"/>
      <c r="B50" s="285"/>
      <c r="C50" s="310">
        <v>21171739</v>
      </c>
      <c r="D50" s="305"/>
      <c r="E50" s="306"/>
    </row>
    <row r="51" spans="1:10" ht="15.75" hidden="1">
      <c r="A51" s="284"/>
      <c r="B51" s="285"/>
      <c r="C51" s="307">
        <f>C50-C49</f>
        <v>0</v>
      </c>
      <c r="D51" s="305"/>
      <c r="E51" s="306"/>
    </row>
    <row r="52" spans="1:10" ht="15.75" hidden="1">
      <c r="A52" s="290"/>
      <c r="B52" s="290"/>
      <c r="C52" s="284" t="s">
        <v>1</v>
      </c>
      <c r="D52" s="308">
        <f>A39</f>
        <v>41364</v>
      </c>
      <c r="E52" s="309">
        <f>E36+E49</f>
        <v>121338.15052000001</v>
      </c>
    </row>
    <row r="53" spans="1:10" ht="15.75" hidden="1" thickBot="1"/>
    <row r="54" spans="1:10" ht="15.75" hidden="1">
      <c r="A54" s="643" t="s">
        <v>195</v>
      </c>
      <c r="B54" s="644"/>
      <c r="C54" s="644"/>
      <c r="D54" s="644"/>
      <c r="E54" s="645"/>
      <c r="G54" s="290"/>
      <c r="H54" s="290"/>
      <c r="I54" s="290"/>
    </row>
    <row r="55" spans="1:10" ht="15.75" hidden="1">
      <c r="A55" s="219">
        <v>41394</v>
      </c>
      <c r="B55" s="276"/>
      <c r="C55" s="277" t="s">
        <v>101</v>
      </c>
      <c r="D55" s="278"/>
      <c r="E55" s="279"/>
    </row>
    <row r="56" spans="1:10" ht="16.5" hidden="1" thickBot="1">
      <c r="A56" s="280"/>
      <c r="B56" s="281"/>
      <c r="C56" s="282" t="s">
        <v>21</v>
      </c>
      <c r="D56" s="282" t="s">
        <v>22</v>
      </c>
      <c r="E56" s="283" t="s">
        <v>23</v>
      </c>
    </row>
    <row r="57" spans="1:10" ht="15.75" hidden="1">
      <c r="A57" s="284" t="s">
        <v>24</v>
      </c>
      <c r="B57" s="285">
        <v>101</v>
      </c>
      <c r="C57" s="286">
        <v>8689955</v>
      </c>
      <c r="D57" s="287">
        <v>-2.1900000000000001E-3</v>
      </c>
      <c r="E57" s="288">
        <v>-19031.00145</v>
      </c>
    </row>
    <row r="58" spans="1:10" ht="16.5" hidden="1" thickBot="1">
      <c r="A58" s="284" t="s">
        <v>24</v>
      </c>
      <c r="B58" s="285">
        <v>111</v>
      </c>
      <c r="C58" s="286">
        <v>3665435</v>
      </c>
      <c r="D58" s="287">
        <v>-2.1900000000000001E-3</v>
      </c>
      <c r="E58" s="288">
        <v>-8027.3026500000005</v>
      </c>
      <c r="G58" s="289">
        <f>A55</f>
        <v>41394</v>
      </c>
      <c r="H58" s="290"/>
      <c r="I58" s="290"/>
      <c r="J58" s="290"/>
    </row>
    <row r="59" spans="1:10" ht="16.5" hidden="1" thickBot="1">
      <c r="A59" s="284" t="s">
        <v>24</v>
      </c>
      <c r="B59" s="285">
        <v>112</v>
      </c>
      <c r="C59" s="286">
        <v>0</v>
      </c>
      <c r="D59" s="287">
        <v>-2.1900000000000001E-3</v>
      </c>
      <c r="E59" s="288">
        <v>0</v>
      </c>
      <c r="G59" s="291" t="s">
        <v>25</v>
      </c>
      <c r="H59" s="292"/>
      <c r="I59" s="293" t="s">
        <v>18</v>
      </c>
      <c r="J59" s="293" t="s">
        <v>19</v>
      </c>
    </row>
    <row r="60" spans="1:10" ht="15.75" hidden="1">
      <c r="A60" s="284" t="s">
        <v>24</v>
      </c>
      <c r="B60" s="285">
        <v>121</v>
      </c>
      <c r="C60" s="286">
        <v>375679</v>
      </c>
      <c r="D60" s="287">
        <v>-2.1900000000000001E-3</v>
      </c>
      <c r="E60" s="288">
        <v>-822.73701000000005</v>
      </c>
      <c r="G60" s="294" t="s">
        <v>97</v>
      </c>
      <c r="H60" s="295" t="s">
        <v>26</v>
      </c>
      <c r="I60" s="296">
        <f>-E65</f>
        <v>28792.572810000001</v>
      </c>
      <c r="J60" s="297">
        <v>0</v>
      </c>
    </row>
    <row r="61" spans="1:10" ht="16.5" hidden="1" thickBot="1">
      <c r="A61" s="284" t="s">
        <v>24</v>
      </c>
      <c r="B61" s="285">
        <v>122</v>
      </c>
      <c r="C61" s="286">
        <v>67054</v>
      </c>
      <c r="D61" s="287">
        <v>-2.1900000000000001E-3</v>
      </c>
      <c r="E61" s="288">
        <v>-146.84826000000001</v>
      </c>
      <c r="G61" s="298" t="s">
        <v>196</v>
      </c>
      <c r="H61" s="299" t="s">
        <v>197</v>
      </c>
      <c r="I61" s="300">
        <v>0</v>
      </c>
      <c r="J61" s="301">
        <f>-I60</f>
        <v>-28792.572810000001</v>
      </c>
    </row>
    <row r="62" spans="1:10" ht="15.75" hidden="1">
      <c r="A62" s="284" t="s">
        <v>24</v>
      </c>
      <c r="B62" s="285">
        <v>131</v>
      </c>
      <c r="C62" s="286">
        <v>0</v>
      </c>
      <c r="D62" s="287">
        <v>-2.1900000000000001E-3</v>
      </c>
      <c r="E62" s="288">
        <v>0</v>
      </c>
      <c r="G62" s="290"/>
      <c r="H62" s="290"/>
      <c r="I62" s="290"/>
      <c r="J62" s="302">
        <f>SUM(I60:J61)</f>
        <v>0</v>
      </c>
    </row>
    <row r="63" spans="1:10" ht="15.75" hidden="1">
      <c r="A63" s="284" t="s">
        <v>24</v>
      </c>
      <c r="B63" s="285">
        <v>132</v>
      </c>
      <c r="C63" s="286">
        <v>126416</v>
      </c>
      <c r="D63" s="287">
        <v>-2.1900000000000001E-3</v>
      </c>
      <c r="E63" s="288">
        <v>-276.85104000000001</v>
      </c>
    </row>
    <row r="64" spans="1:10" ht="15.75" hidden="1">
      <c r="A64" s="284" t="s">
        <v>24</v>
      </c>
      <c r="B64" s="285">
        <v>146</v>
      </c>
      <c r="C64" s="286">
        <v>2439162</v>
      </c>
      <c r="D64" s="287">
        <v>-2.0000000000000001E-4</v>
      </c>
      <c r="E64" s="303">
        <v>-487.83240000000001</v>
      </c>
    </row>
    <row r="65" spans="1:10" ht="16.5" hidden="1" thickBot="1">
      <c r="A65" s="284" t="s">
        <v>198</v>
      </c>
      <c r="B65" s="285"/>
      <c r="C65" s="304">
        <f>SUM(C57:C64)</f>
        <v>15363701</v>
      </c>
      <c r="D65" s="305"/>
      <c r="E65" s="306">
        <f>SUM(E57:E64)</f>
        <v>-28792.572810000001</v>
      </c>
    </row>
    <row r="66" spans="1:10" ht="16.5" hidden="1" thickTop="1">
      <c r="A66" s="284"/>
      <c r="B66" s="285"/>
      <c r="C66" s="310">
        <v>15363701</v>
      </c>
      <c r="D66" s="305"/>
      <c r="E66" s="306"/>
    </row>
    <row r="67" spans="1:10" ht="15.75" hidden="1">
      <c r="A67" s="284"/>
      <c r="B67" s="285"/>
      <c r="C67" s="307">
        <f>C66-C65</f>
        <v>0</v>
      </c>
      <c r="D67" s="305"/>
      <c r="E67" s="306"/>
    </row>
    <row r="68" spans="1:10" ht="15.75" hidden="1">
      <c r="A68" s="290"/>
      <c r="B68" s="290"/>
      <c r="C68" s="284" t="s">
        <v>1</v>
      </c>
      <c r="D68" s="308">
        <f>A55</f>
        <v>41394</v>
      </c>
      <c r="E68" s="309">
        <f>E52+E65</f>
        <v>92545.577710000012</v>
      </c>
      <c r="G68" s="385"/>
    </row>
    <row r="69" spans="1:10" ht="15.75" hidden="1" thickBot="1"/>
    <row r="70" spans="1:10" ht="15.75" hidden="1">
      <c r="A70" s="643" t="s">
        <v>195</v>
      </c>
      <c r="B70" s="644"/>
      <c r="C70" s="644"/>
      <c r="D70" s="644"/>
      <c r="E70" s="645"/>
      <c r="G70" s="290"/>
      <c r="H70" s="290"/>
      <c r="I70" s="290"/>
    </row>
    <row r="71" spans="1:10" ht="15.75" hidden="1">
      <c r="A71" s="219">
        <v>41425</v>
      </c>
      <c r="B71" s="276"/>
      <c r="C71" s="277" t="s">
        <v>101</v>
      </c>
      <c r="D71" s="278"/>
      <c r="E71" s="279"/>
    </row>
    <row r="72" spans="1:10" ht="16.5" hidden="1" thickBot="1">
      <c r="A72" s="280"/>
      <c r="B72" s="281"/>
      <c r="C72" s="282" t="s">
        <v>21</v>
      </c>
      <c r="D72" s="282" t="s">
        <v>22</v>
      </c>
      <c r="E72" s="283" t="s">
        <v>23</v>
      </c>
    </row>
    <row r="73" spans="1:10" ht="15.75" hidden="1">
      <c r="A73" s="284" t="s">
        <v>24</v>
      </c>
      <c r="B73" s="285">
        <v>101</v>
      </c>
      <c r="C73" s="286">
        <v>4182901</v>
      </c>
      <c r="D73" s="287">
        <v>-2.1900000000000001E-3</v>
      </c>
      <c r="E73" s="288">
        <v>-9160.5531900000005</v>
      </c>
    </row>
    <row r="74" spans="1:10" ht="16.5" hidden="1" thickBot="1">
      <c r="A74" s="284" t="s">
        <v>24</v>
      </c>
      <c r="B74" s="285">
        <v>111</v>
      </c>
      <c r="C74" s="286">
        <v>1970725</v>
      </c>
      <c r="D74" s="287">
        <v>-2.1900000000000001E-3</v>
      </c>
      <c r="E74" s="288">
        <v>-4315.8877499999999</v>
      </c>
      <c r="G74" s="289">
        <f>A71</f>
        <v>41425</v>
      </c>
      <c r="H74" s="290"/>
      <c r="I74" s="290"/>
      <c r="J74" s="290"/>
    </row>
    <row r="75" spans="1:10" ht="16.5" hidden="1" thickBot="1">
      <c r="A75" s="284" t="s">
        <v>24</v>
      </c>
      <c r="B75" s="285">
        <v>112</v>
      </c>
      <c r="C75" s="286">
        <v>0</v>
      </c>
      <c r="D75" s="287">
        <v>-2.1900000000000001E-3</v>
      </c>
      <c r="E75" s="288">
        <v>0</v>
      </c>
      <c r="G75" s="291" t="s">
        <v>25</v>
      </c>
      <c r="H75" s="292"/>
      <c r="I75" s="293" t="s">
        <v>18</v>
      </c>
      <c r="J75" s="293" t="s">
        <v>19</v>
      </c>
    </row>
    <row r="76" spans="1:10" ht="15.75" hidden="1">
      <c r="A76" s="284" t="s">
        <v>24</v>
      </c>
      <c r="B76" s="285">
        <v>121</v>
      </c>
      <c r="C76" s="286">
        <v>339319</v>
      </c>
      <c r="D76" s="287">
        <v>-2.1900000000000001E-3</v>
      </c>
      <c r="E76" s="288">
        <v>-743.10861</v>
      </c>
      <c r="G76" s="294" t="s">
        <v>97</v>
      </c>
      <c r="H76" s="295" t="s">
        <v>26</v>
      </c>
      <c r="I76" s="296">
        <f>-E81</f>
        <v>14976.37256</v>
      </c>
      <c r="J76" s="297">
        <v>0</v>
      </c>
    </row>
    <row r="77" spans="1:10" ht="16.5" hidden="1" thickBot="1">
      <c r="A77" s="284" t="s">
        <v>24</v>
      </c>
      <c r="B77" s="285">
        <v>122</v>
      </c>
      <c r="C77" s="286">
        <v>57247</v>
      </c>
      <c r="D77" s="287">
        <v>-2.1900000000000001E-3</v>
      </c>
      <c r="E77" s="288">
        <v>-125.37093</v>
      </c>
      <c r="G77" s="298" t="s">
        <v>196</v>
      </c>
      <c r="H77" s="299" t="s">
        <v>197</v>
      </c>
      <c r="I77" s="300">
        <v>0</v>
      </c>
      <c r="J77" s="301">
        <f>-I76</f>
        <v>-14976.37256</v>
      </c>
    </row>
    <row r="78" spans="1:10" ht="15.75" hidden="1">
      <c r="A78" s="284" t="s">
        <v>24</v>
      </c>
      <c r="B78" s="285">
        <v>131</v>
      </c>
      <c r="C78" s="286">
        <v>0</v>
      </c>
      <c r="D78" s="287">
        <v>-2.1900000000000001E-3</v>
      </c>
      <c r="E78" s="288">
        <v>0</v>
      </c>
      <c r="G78" s="290"/>
      <c r="H78" s="290"/>
      <c r="I78" s="290"/>
      <c r="J78" s="302">
        <f>SUM(I76:J77)</f>
        <v>0</v>
      </c>
    </row>
    <row r="79" spans="1:10" ht="15.75" hidden="1">
      <c r="A79" s="284" t="s">
        <v>24</v>
      </c>
      <c r="B79" s="285">
        <v>132</v>
      </c>
      <c r="C79" s="286">
        <v>107592</v>
      </c>
      <c r="D79" s="287">
        <v>-2.1900000000000001E-3</v>
      </c>
      <c r="E79" s="288">
        <v>-235.62648000000002</v>
      </c>
    </row>
    <row r="80" spans="1:10" ht="15.75" hidden="1">
      <c r="A80" s="284" t="s">
        <v>24</v>
      </c>
      <c r="B80" s="285">
        <v>146</v>
      </c>
      <c r="C80" s="286">
        <v>1979128</v>
      </c>
      <c r="D80" s="287">
        <v>-2.0000000000000001E-4</v>
      </c>
      <c r="E80" s="303">
        <v>-395.82560000000001</v>
      </c>
    </row>
    <row r="81" spans="1:10" ht="16.5" hidden="1" thickBot="1">
      <c r="A81" s="284" t="s">
        <v>198</v>
      </c>
      <c r="B81" s="285"/>
      <c r="C81" s="304">
        <f>SUM(C73:C80)</f>
        <v>8636912</v>
      </c>
      <c r="D81" s="305"/>
      <c r="E81" s="306">
        <f>SUM(E73:E80)</f>
        <v>-14976.37256</v>
      </c>
    </row>
    <row r="82" spans="1:10" ht="16.5" hidden="1" thickTop="1">
      <c r="A82" s="284"/>
      <c r="B82" s="285"/>
      <c r="C82" s="310">
        <v>8636912</v>
      </c>
      <c r="D82" s="305"/>
      <c r="E82" s="306"/>
    </row>
    <row r="83" spans="1:10" ht="15.75" hidden="1">
      <c r="A83" s="284"/>
      <c r="B83" s="285"/>
      <c r="C83" s="307">
        <f>C82-C81</f>
        <v>0</v>
      </c>
      <c r="D83" s="305"/>
      <c r="E83" s="306"/>
    </row>
    <row r="84" spans="1:10" ht="15.75">
      <c r="A84" s="290"/>
      <c r="B84" s="290"/>
      <c r="C84" s="284" t="s">
        <v>1</v>
      </c>
      <c r="D84" s="308">
        <f>EOMONTH(D68,1)</f>
        <v>41425</v>
      </c>
      <c r="E84" s="309">
        <f>E68+E81</f>
        <v>77569.205150000009</v>
      </c>
    </row>
    <row r="85" spans="1:10" ht="15.75" thickBot="1"/>
    <row r="86" spans="1:10" ht="15.75">
      <c r="A86" s="643" t="s">
        <v>195</v>
      </c>
      <c r="B86" s="644"/>
      <c r="C86" s="644"/>
      <c r="D86" s="644"/>
      <c r="E86" s="645"/>
      <c r="G86" s="290"/>
      <c r="H86" s="290"/>
      <c r="I86" s="290"/>
    </row>
    <row r="87" spans="1:10" ht="15.75">
      <c r="A87" s="219">
        <v>41426</v>
      </c>
      <c r="B87" s="276"/>
      <c r="C87" s="277" t="s">
        <v>101</v>
      </c>
      <c r="D87" s="278"/>
      <c r="E87" s="279"/>
    </row>
    <row r="88" spans="1:10" ht="16.5" thickBot="1">
      <c r="A88" s="280"/>
      <c r="B88" s="281"/>
      <c r="C88" s="282" t="s">
        <v>21</v>
      </c>
      <c r="D88" s="282" t="s">
        <v>22</v>
      </c>
      <c r="E88" s="283" t="s">
        <v>23</v>
      </c>
    </row>
    <row r="89" spans="1:10" ht="15.75">
      <c r="A89" s="284" t="s">
        <v>24</v>
      </c>
      <c r="B89" s="285">
        <v>101</v>
      </c>
      <c r="C89" s="286">
        <v>2800295</v>
      </c>
      <c r="D89" s="287">
        <v>-2.1900000000000001E-3</v>
      </c>
      <c r="E89" s="288">
        <v>-6132.6460500000003</v>
      </c>
    </row>
    <row r="90" spans="1:10" ht="16.5" thickBot="1">
      <c r="A90" s="284" t="s">
        <v>24</v>
      </c>
      <c r="B90" s="285">
        <v>111</v>
      </c>
      <c r="C90" s="286">
        <v>1678252</v>
      </c>
      <c r="D90" s="287">
        <v>-2.1900000000000001E-3</v>
      </c>
      <c r="E90" s="288">
        <v>-3675.3718800000001</v>
      </c>
      <c r="G90" s="289">
        <f>A87</f>
        <v>41426</v>
      </c>
      <c r="H90" s="290"/>
      <c r="I90" s="290"/>
      <c r="J90" s="290"/>
    </row>
    <row r="91" spans="1:10" ht="16.5" thickBot="1">
      <c r="A91" s="284" t="s">
        <v>24</v>
      </c>
      <c r="B91" s="285">
        <v>112</v>
      </c>
      <c r="C91" s="286">
        <v>0</v>
      </c>
      <c r="D91" s="287">
        <v>-2.1900000000000001E-3</v>
      </c>
      <c r="E91" s="288">
        <v>0</v>
      </c>
      <c r="G91" s="291" t="s">
        <v>25</v>
      </c>
      <c r="H91" s="292"/>
      <c r="I91" s="293" t="s">
        <v>18</v>
      </c>
      <c r="J91" s="293" t="s">
        <v>19</v>
      </c>
    </row>
    <row r="92" spans="1:10" ht="15.75">
      <c r="A92" s="284" t="s">
        <v>24</v>
      </c>
      <c r="B92" s="285">
        <v>121</v>
      </c>
      <c r="C92" s="286">
        <v>339158</v>
      </c>
      <c r="D92" s="287">
        <v>-2.1900000000000001E-3</v>
      </c>
      <c r="E92" s="288">
        <v>-742.75602000000003</v>
      </c>
      <c r="G92" s="294" t="s">
        <v>97</v>
      </c>
      <c r="H92" s="295" t="s">
        <v>26</v>
      </c>
      <c r="I92" s="296">
        <f>-E97</f>
        <v>11131.53289</v>
      </c>
      <c r="J92" s="297">
        <v>0</v>
      </c>
    </row>
    <row r="93" spans="1:10" ht="16.5" thickBot="1">
      <c r="A93" s="284" t="s">
        <v>24</v>
      </c>
      <c r="B93" s="285">
        <v>122</v>
      </c>
      <c r="C93" s="286">
        <v>42891</v>
      </c>
      <c r="D93" s="287">
        <v>-2.1900000000000001E-3</v>
      </c>
      <c r="E93" s="288">
        <v>-93.931290000000004</v>
      </c>
      <c r="G93" s="298" t="s">
        <v>196</v>
      </c>
      <c r="H93" s="299" t="s">
        <v>197</v>
      </c>
      <c r="I93" s="300">
        <v>0</v>
      </c>
      <c r="J93" s="301">
        <f>-I92</f>
        <v>-11131.53289</v>
      </c>
    </row>
    <row r="94" spans="1:10" ht="15.75">
      <c r="A94" s="284" t="s">
        <v>24</v>
      </c>
      <c r="B94" s="285">
        <v>131</v>
      </c>
      <c r="C94" s="286">
        <v>0</v>
      </c>
      <c r="D94" s="287">
        <v>-2.1900000000000001E-3</v>
      </c>
      <c r="E94" s="288">
        <v>0</v>
      </c>
      <c r="G94" s="290"/>
      <c r="H94" s="290"/>
      <c r="I94" s="290"/>
      <c r="J94" s="302">
        <f>SUM(I92:J93)</f>
        <v>0</v>
      </c>
    </row>
    <row r="95" spans="1:10" ht="15.75">
      <c r="A95" s="284" t="s">
        <v>24</v>
      </c>
      <c r="B95" s="285">
        <v>132</v>
      </c>
      <c r="C95" s="286">
        <v>77535</v>
      </c>
      <c r="D95" s="287">
        <v>-2.1900000000000001E-3</v>
      </c>
      <c r="E95" s="288">
        <v>-169.80165</v>
      </c>
    </row>
    <row r="96" spans="1:10" ht="15.75">
      <c r="A96" s="284" t="s">
        <v>24</v>
      </c>
      <c r="B96" s="285">
        <v>146</v>
      </c>
      <c r="C96" s="286">
        <v>1585130</v>
      </c>
      <c r="D96" s="287">
        <v>-2.0000000000000001E-4</v>
      </c>
      <c r="E96" s="303">
        <v>-317.02600000000001</v>
      </c>
    </row>
    <row r="97" spans="1:10" ht="16.5" thickBot="1">
      <c r="A97" s="284" t="s">
        <v>198</v>
      </c>
      <c r="B97" s="285"/>
      <c r="C97" s="304">
        <f>SUM(C89:C96)</f>
        <v>6523261</v>
      </c>
      <c r="D97" s="305"/>
      <c r="E97" s="306">
        <f>SUM(E89:E96)</f>
        <v>-11131.53289</v>
      </c>
    </row>
    <row r="98" spans="1:10" ht="16.5" thickTop="1">
      <c r="A98" s="284"/>
      <c r="B98" s="285"/>
      <c r="C98" s="310">
        <v>6523261</v>
      </c>
      <c r="D98" s="305"/>
      <c r="E98" s="306"/>
    </row>
    <row r="99" spans="1:10" ht="15.75">
      <c r="A99" s="284"/>
      <c r="B99" s="285"/>
      <c r="C99" s="307">
        <f>C98-C97</f>
        <v>0</v>
      </c>
      <c r="D99" s="305"/>
      <c r="E99" s="306"/>
    </row>
    <row r="100" spans="1:10" ht="15.75">
      <c r="A100" s="290"/>
      <c r="B100" s="290"/>
      <c r="C100" s="284" t="s">
        <v>1</v>
      </c>
      <c r="D100" s="308">
        <f>EOMONTH(D84,1)</f>
        <v>41455</v>
      </c>
      <c r="E100" s="309">
        <f>E84+E97</f>
        <v>66437.672260000007</v>
      </c>
    </row>
    <row r="101" spans="1:10" ht="15.75" thickBot="1"/>
    <row r="102" spans="1:10" ht="15.75">
      <c r="A102" s="643" t="s">
        <v>195</v>
      </c>
      <c r="B102" s="644"/>
      <c r="C102" s="644"/>
      <c r="D102" s="644"/>
      <c r="E102" s="645"/>
      <c r="G102" s="290"/>
      <c r="H102" s="290"/>
      <c r="I102" s="290"/>
    </row>
    <row r="103" spans="1:10" ht="15.75">
      <c r="A103" s="219">
        <v>41456</v>
      </c>
      <c r="B103" s="276"/>
      <c r="C103" s="277" t="s">
        <v>101</v>
      </c>
      <c r="D103" s="278"/>
      <c r="E103" s="279"/>
    </row>
    <row r="104" spans="1:10" ht="16.5" thickBot="1">
      <c r="A104" s="280"/>
      <c r="B104" s="281"/>
      <c r="C104" s="282" t="s">
        <v>21</v>
      </c>
      <c r="D104" s="282" t="s">
        <v>22</v>
      </c>
      <c r="E104" s="283" t="s">
        <v>23</v>
      </c>
    </row>
    <row r="105" spans="1:10" ht="15.75">
      <c r="A105" s="284" t="s">
        <v>24</v>
      </c>
      <c r="B105" s="285">
        <v>101</v>
      </c>
      <c r="C105" s="286">
        <v>2082299</v>
      </c>
      <c r="D105" s="287">
        <v>-2.1900000000000001E-3</v>
      </c>
      <c r="E105" s="288">
        <v>-4560.2348099999999</v>
      </c>
    </row>
    <row r="106" spans="1:10" ht="16.5" thickBot="1">
      <c r="A106" s="284" t="s">
        <v>24</v>
      </c>
      <c r="B106" s="285">
        <v>111</v>
      </c>
      <c r="C106" s="286">
        <v>1140112</v>
      </c>
      <c r="D106" s="287">
        <v>-2.1900000000000001E-3</v>
      </c>
      <c r="E106" s="288">
        <v>-2496.84528</v>
      </c>
      <c r="G106" s="289">
        <f>A103</f>
        <v>41456</v>
      </c>
      <c r="H106" s="290"/>
      <c r="I106" s="290"/>
      <c r="J106" s="290"/>
    </row>
    <row r="107" spans="1:10" ht="16.5" thickBot="1">
      <c r="A107" s="284" t="s">
        <v>24</v>
      </c>
      <c r="B107" s="285">
        <v>112</v>
      </c>
      <c r="C107" s="286">
        <v>0</v>
      </c>
      <c r="D107" s="287">
        <v>-2.1900000000000001E-3</v>
      </c>
      <c r="E107" s="288">
        <v>0</v>
      </c>
      <c r="G107" s="291" t="s">
        <v>25</v>
      </c>
      <c r="H107" s="292"/>
      <c r="I107" s="293" t="s">
        <v>18</v>
      </c>
      <c r="J107" s="293" t="s">
        <v>19</v>
      </c>
    </row>
    <row r="108" spans="1:10" ht="15.75">
      <c r="A108" s="284" t="s">
        <v>24</v>
      </c>
      <c r="B108" s="285">
        <v>121</v>
      </c>
      <c r="C108" s="286">
        <v>304732</v>
      </c>
      <c r="D108" s="287">
        <v>-2.1900000000000001E-3</v>
      </c>
      <c r="E108" s="288">
        <v>-667.36308000000008</v>
      </c>
      <c r="G108" s="294" t="s">
        <v>97</v>
      </c>
      <c r="H108" s="295" t="s">
        <v>26</v>
      </c>
      <c r="I108" s="296">
        <f>-E113</f>
        <v>8287.0303600000007</v>
      </c>
      <c r="J108" s="297">
        <v>0</v>
      </c>
    </row>
    <row r="109" spans="1:10" ht="16.5" thickBot="1">
      <c r="A109" s="284" t="s">
        <v>24</v>
      </c>
      <c r="B109" s="285">
        <v>122</v>
      </c>
      <c r="C109" s="286">
        <v>30928</v>
      </c>
      <c r="D109" s="287">
        <v>-2.1900000000000001E-3</v>
      </c>
      <c r="E109" s="288">
        <v>-67.732320000000001</v>
      </c>
      <c r="G109" s="298" t="s">
        <v>196</v>
      </c>
      <c r="H109" s="299" t="s">
        <v>197</v>
      </c>
      <c r="I109" s="300">
        <v>0</v>
      </c>
      <c r="J109" s="301">
        <f>-I108</f>
        <v>-8287.0303600000007</v>
      </c>
    </row>
    <row r="110" spans="1:10" ht="15.75">
      <c r="A110" s="284" t="s">
        <v>24</v>
      </c>
      <c r="B110" s="285">
        <v>131</v>
      </c>
      <c r="C110" s="286">
        <v>0</v>
      </c>
      <c r="D110" s="287">
        <v>-2.1900000000000001E-3</v>
      </c>
      <c r="E110" s="288">
        <v>0</v>
      </c>
      <c r="G110" s="290"/>
      <c r="H110" s="290"/>
      <c r="I110" s="290"/>
      <c r="J110" s="302">
        <f>SUM(I108:J109)</f>
        <v>0</v>
      </c>
    </row>
    <row r="111" spans="1:10" ht="15.75">
      <c r="A111" s="284" t="s">
        <v>24</v>
      </c>
      <c r="B111" s="285">
        <v>132</v>
      </c>
      <c r="C111" s="286">
        <v>74633</v>
      </c>
      <c r="D111" s="287">
        <v>-2.1900000000000001E-3</v>
      </c>
      <c r="E111" s="288">
        <v>-163.44627</v>
      </c>
    </row>
    <row r="112" spans="1:10" ht="15.75">
      <c r="A112" s="284" t="s">
        <v>24</v>
      </c>
      <c r="B112" s="285">
        <v>146</v>
      </c>
      <c r="C112" s="286">
        <v>1657043</v>
      </c>
      <c r="D112" s="287">
        <v>-2.0000000000000001E-4</v>
      </c>
      <c r="E112" s="303">
        <v>-331.40860000000004</v>
      </c>
    </row>
    <row r="113" spans="1:10" ht="16.5" thickBot="1">
      <c r="A113" s="284" t="s">
        <v>198</v>
      </c>
      <c r="B113" s="285"/>
      <c r="C113" s="304">
        <f>SUM(C105:C112)</f>
        <v>5289747</v>
      </c>
      <c r="D113" s="305"/>
      <c r="E113" s="306">
        <f>SUM(E105:E112)</f>
        <v>-8287.0303600000007</v>
      </c>
    </row>
    <row r="114" spans="1:10" ht="16.5" thickTop="1">
      <c r="A114" s="284"/>
      <c r="B114" s="285"/>
      <c r="C114" s="310">
        <v>5289747</v>
      </c>
      <c r="D114" s="305"/>
      <c r="E114" s="306"/>
    </row>
    <row r="115" spans="1:10" ht="15.75">
      <c r="A115" s="284"/>
      <c r="B115" s="285"/>
      <c r="C115" s="307">
        <f>C114-C113</f>
        <v>0</v>
      </c>
      <c r="D115" s="305"/>
      <c r="E115" s="306"/>
    </row>
    <row r="116" spans="1:10" ht="15.75">
      <c r="A116" s="290"/>
      <c r="B116" s="290"/>
      <c r="C116" s="284" t="s">
        <v>1</v>
      </c>
      <c r="D116" s="308">
        <f>EOMONTH(D100,1)</f>
        <v>41486</v>
      </c>
      <c r="E116" s="309">
        <f>E100+E113</f>
        <v>58150.641900000002</v>
      </c>
    </row>
    <row r="117" spans="1:10" ht="15.75" thickBot="1"/>
    <row r="118" spans="1:10" ht="15.75">
      <c r="A118" s="643" t="s">
        <v>195</v>
      </c>
      <c r="B118" s="644"/>
      <c r="C118" s="644"/>
      <c r="D118" s="644"/>
      <c r="E118" s="645"/>
      <c r="G118" s="290"/>
      <c r="H118" s="290"/>
      <c r="I118" s="290"/>
    </row>
    <row r="119" spans="1:10" ht="15.75">
      <c r="A119" s="219">
        <v>41487</v>
      </c>
      <c r="B119" s="276"/>
      <c r="C119" s="277" t="s">
        <v>101</v>
      </c>
      <c r="D119" s="278"/>
      <c r="E119" s="279"/>
    </row>
    <row r="120" spans="1:10" ht="16.5" thickBot="1">
      <c r="A120" s="280"/>
      <c r="B120" s="281"/>
      <c r="C120" s="282" t="s">
        <v>21</v>
      </c>
      <c r="D120" s="282" t="s">
        <v>22</v>
      </c>
      <c r="E120" s="283" t="s">
        <v>23</v>
      </c>
    </row>
    <row r="121" spans="1:10" ht="15.75">
      <c r="A121" s="284" t="s">
        <v>24</v>
      </c>
      <c r="B121" s="285">
        <v>101</v>
      </c>
      <c r="C121" s="286">
        <v>2046635</v>
      </c>
      <c r="D121" s="287">
        <v>-2.1900000000000001E-3</v>
      </c>
      <c r="E121" s="288">
        <v>-4482.1306500000001</v>
      </c>
    </row>
    <row r="122" spans="1:10" ht="16.5" thickBot="1">
      <c r="A122" s="284" t="s">
        <v>24</v>
      </c>
      <c r="B122" s="285">
        <v>111</v>
      </c>
      <c r="C122" s="286">
        <v>1287109</v>
      </c>
      <c r="D122" s="287">
        <v>-2.1900000000000001E-3</v>
      </c>
      <c r="E122" s="288">
        <v>-2818.7687100000003</v>
      </c>
      <c r="G122" s="289">
        <f>A119</f>
        <v>41487</v>
      </c>
      <c r="H122" s="290"/>
      <c r="I122" s="290"/>
      <c r="J122" s="290"/>
    </row>
    <row r="123" spans="1:10" ht="16.5" thickBot="1">
      <c r="A123" s="284" t="s">
        <v>24</v>
      </c>
      <c r="B123" s="285">
        <v>112</v>
      </c>
      <c r="C123" s="286">
        <v>0</v>
      </c>
      <c r="D123" s="287">
        <v>-2.1900000000000001E-3</v>
      </c>
      <c r="E123" s="288">
        <v>0</v>
      </c>
      <c r="G123" s="291" t="s">
        <v>25</v>
      </c>
      <c r="H123" s="292"/>
      <c r="I123" s="293" t="s">
        <v>18</v>
      </c>
      <c r="J123" s="293" t="s">
        <v>19</v>
      </c>
    </row>
    <row r="124" spans="1:10" ht="15.75">
      <c r="A124" s="284" t="s">
        <v>24</v>
      </c>
      <c r="B124" s="285">
        <v>121</v>
      </c>
      <c r="C124" s="286">
        <v>364418</v>
      </c>
      <c r="D124" s="287">
        <v>-2.1900000000000001E-3</v>
      </c>
      <c r="E124" s="288">
        <v>-798.07542000000001</v>
      </c>
      <c r="G124" s="294" t="s">
        <v>97</v>
      </c>
      <c r="H124" s="295" t="s">
        <v>26</v>
      </c>
      <c r="I124" s="296">
        <f>-E129</f>
        <v>8611.5948700000008</v>
      </c>
      <c r="J124" s="297">
        <v>0</v>
      </c>
    </row>
    <row r="125" spans="1:10" ht="16.5" thickBot="1">
      <c r="A125" s="284" t="s">
        <v>24</v>
      </c>
      <c r="B125" s="285">
        <v>122</v>
      </c>
      <c r="C125" s="286">
        <v>28500</v>
      </c>
      <c r="D125" s="287">
        <v>-2.1900000000000001E-3</v>
      </c>
      <c r="E125" s="288">
        <v>-62.415000000000006</v>
      </c>
      <c r="G125" s="298" t="s">
        <v>196</v>
      </c>
      <c r="H125" s="299" t="s">
        <v>197</v>
      </c>
      <c r="I125" s="300">
        <v>0</v>
      </c>
      <c r="J125" s="301">
        <f>-I124</f>
        <v>-8611.5948700000008</v>
      </c>
    </row>
    <row r="126" spans="1:10" ht="15.75">
      <c r="A126" s="284" t="s">
        <v>24</v>
      </c>
      <c r="B126" s="285">
        <v>131</v>
      </c>
      <c r="C126" s="286">
        <v>0</v>
      </c>
      <c r="D126" s="287">
        <v>-2.1900000000000001E-3</v>
      </c>
      <c r="E126" s="288">
        <v>0</v>
      </c>
      <c r="G126" s="290"/>
      <c r="H126" s="290"/>
      <c r="I126" s="290"/>
      <c r="J126" s="302">
        <f>SUM(I124:J125)</f>
        <v>0</v>
      </c>
    </row>
    <row r="127" spans="1:10" ht="15.75">
      <c r="A127" s="284" t="s">
        <v>24</v>
      </c>
      <c r="B127" s="285">
        <v>132</v>
      </c>
      <c r="C127" s="286">
        <v>49431</v>
      </c>
      <c r="D127" s="287">
        <v>-2.1900000000000001E-3</v>
      </c>
      <c r="E127" s="288">
        <v>-108.25389</v>
      </c>
    </row>
    <row r="128" spans="1:10" ht="15.75">
      <c r="A128" s="284" t="s">
        <v>24</v>
      </c>
      <c r="B128" s="285">
        <v>146</v>
      </c>
      <c r="C128" s="286">
        <v>1709756</v>
      </c>
      <c r="D128" s="287">
        <v>-2.0000000000000001E-4</v>
      </c>
      <c r="E128" s="303">
        <v>-341.95120000000003</v>
      </c>
    </row>
    <row r="129" spans="1:10" ht="16.5" thickBot="1">
      <c r="A129" s="284" t="s">
        <v>198</v>
      </c>
      <c r="B129" s="285"/>
      <c r="C129" s="304">
        <f>SUM(C121:C128)</f>
        <v>5485849</v>
      </c>
      <c r="D129" s="305"/>
      <c r="E129" s="306">
        <f>SUM(E121:E128)</f>
        <v>-8611.5948700000008</v>
      </c>
    </row>
    <row r="130" spans="1:10" ht="16.5" thickTop="1">
      <c r="A130" s="284"/>
      <c r="B130" s="285"/>
      <c r="C130" s="310">
        <v>5485849</v>
      </c>
      <c r="D130" s="305"/>
      <c r="E130" s="306"/>
    </row>
    <row r="131" spans="1:10" ht="15.75">
      <c r="A131" s="284"/>
      <c r="B131" s="285"/>
      <c r="C131" s="307">
        <f>C130-C129</f>
        <v>0</v>
      </c>
      <c r="D131" s="305"/>
      <c r="E131" s="306"/>
    </row>
    <row r="132" spans="1:10" ht="15.75">
      <c r="A132" s="290"/>
      <c r="B132" s="290"/>
      <c r="C132" s="284" t="s">
        <v>1</v>
      </c>
      <c r="D132" s="308">
        <f>EOMONTH(D116,1)</f>
        <v>41517</v>
      </c>
      <c r="E132" s="309">
        <f>E116+E129</f>
        <v>49539.047030000002</v>
      </c>
    </row>
    <row r="133" spans="1:10" ht="15.75" thickBot="1"/>
    <row r="134" spans="1:10" ht="15.75">
      <c r="A134" s="643" t="s">
        <v>195</v>
      </c>
      <c r="B134" s="644"/>
      <c r="C134" s="644"/>
      <c r="D134" s="644"/>
      <c r="E134" s="645"/>
      <c r="G134" s="290"/>
      <c r="H134" s="290"/>
      <c r="I134" s="290"/>
    </row>
    <row r="135" spans="1:10" ht="15.75">
      <c r="A135" s="219">
        <v>41518</v>
      </c>
      <c r="B135" s="276"/>
      <c r="C135" s="277" t="s">
        <v>101</v>
      </c>
      <c r="D135" s="278"/>
      <c r="E135" s="279"/>
    </row>
    <row r="136" spans="1:10" ht="16.5" thickBot="1">
      <c r="A136" s="280"/>
      <c r="B136" s="281"/>
      <c r="C136" s="282" t="s">
        <v>21</v>
      </c>
      <c r="D136" s="282" t="s">
        <v>22</v>
      </c>
      <c r="E136" s="283" t="s">
        <v>23</v>
      </c>
    </row>
    <row r="137" spans="1:10" ht="15.75">
      <c r="A137" s="284" t="s">
        <v>24</v>
      </c>
      <c r="B137" s="285">
        <v>101</v>
      </c>
      <c r="C137" s="286">
        <v>2647538</v>
      </c>
      <c r="D137" s="287">
        <v>-2.1900000000000001E-3</v>
      </c>
      <c r="E137" s="288">
        <v>-5798.1082200000001</v>
      </c>
    </row>
    <row r="138" spans="1:10" ht="16.5" thickBot="1">
      <c r="A138" s="284" t="s">
        <v>24</v>
      </c>
      <c r="B138" s="285">
        <v>111</v>
      </c>
      <c r="C138" s="286">
        <v>1599551</v>
      </c>
      <c r="D138" s="287">
        <v>-2.1900000000000001E-3</v>
      </c>
      <c r="E138" s="288">
        <v>-3503.0166900000004</v>
      </c>
      <c r="G138" s="289">
        <f>A135</f>
        <v>41518</v>
      </c>
      <c r="H138" s="290"/>
      <c r="I138" s="290"/>
      <c r="J138" s="290"/>
    </row>
    <row r="139" spans="1:10" ht="16.5" thickBot="1">
      <c r="A139" s="284" t="s">
        <v>24</v>
      </c>
      <c r="B139" s="285">
        <v>112</v>
      </c>
      <c r="C139" s="286">
        <v>0</v>
      </c>
      <c r="D139" s="287">
        <v>-2.1900000000000001E-3</v>
      </c>
      <c r="E139" s="288">
        <v>0</v>
      </c>
      <c r="G139" s="291" t="s">
        <v>25</v>
      </c>
      <c r="H139" s="292"/>
      <c r="I139" s="293" t="s">
        <v>18</v>
      </c>
      <c r="J139" s="293" t="s">
        <v>19</v>
      </c>
    </row>
    <row r="140" spans="1:10" ht="15.75">
      <c r="A140" s="284" t="s">
        <v>24</v>
      </c>
      <c r="B140" s="285">
        <v>121</v>
      </c>
      <c r="C140" s="286">
        <v>344046</v>
      </c>
      <c r="D140" s="287">
        <v>-2.1900000000000001E-3</v>
      </c>
      <c r="E140" s="288">
        <v>-753.46073999999999</v>
      </c>
      <c r="G140" s="294" t="s">
        <v>97</v>
      </c>
      <c r="H140" s="295" t="s">
        <v>26</v>
      </c>
      <c r="I140" s="296">
        <f>-E145</f>
        <v>10606.31724</v>
      </c>
      <c r="J140" s="297">
        <v>0</v>
      </c>
    </row>
    <row r="141" spans="1:10" ht="16.5" thickBot="1">
      <c r="A141" s="284" t="s">
        <v>24</v>
      </c>
      <c r="B141" s="285">
        <v>122</v>
      </c>
      <c r="C141" s="286">
        <v>31388</v>
      </c>
      <c r="D141" s="287">
        <v>-2.1900000000000001E-3</v>
      </c>
      <c r="E141" s="288">
        <v>-68.739720000000005</v>
      </c>
      <c r="G141" s="298" t="s">
        <v>196</v>
      </c>
      <c r="H141" s="299" t="s">
        <v>197</v>
      </c>
      <c r="I141" s="300">
        <v>0</v>
      </c>
      <c r="J141" s="301">
        <f>-I140</f>
        <v>-10606.31724</v>
      </c>
    </row>
    <row r="142" spans="1:10" ht="15.75">
      <c r="A142" s="284" t="s">
        <v>24</v>
      </c>
      <c r="B142" s="285">
        <v>131</v>
      </c>
      <c r="C142" s="286">
        <v>0</v>
      </c>
      <c r="D142" s="287">
        <v>-2.1900000000000001E-3</v>
      </c>
      <c r="E142" s="288">
        <v>0</v>
      </c>
      <c r="G142" s="290"/>
      <c r="H142" s="290"/>
      <c r="I142" s="290"/>
      <c r="J142" s="302">
        <f>SUM(I140:J141)</f>
        <v>0</v>
      </c>
    </row>
    <row r="143" spans="1:10" ht="15.75">
      <c r="A143" s="284" t="s">
        <v>24</v>
      </c>
      <c r="B143" s="285">
        <v>132</v>
      </c>
      <c r="C143" s="286">
        <v>54453</v>
      </c>
      <c r="D143" s="287">
        <v>-2.1900000000000001E-3</v>
      </c>
      <c r="E143" s="288">
        <v>-119.25207</v>
      </c>
    </row>
    <row r="144" spans="1:10" ht="15.75">
      <c r="A144" s="284" t="s">
        <v>24</v>
      </c>
      <c r="B144" s="285">
        <v>146</v>
      </c>
      <c r="C144" s="286">
        <v>1818699</v>
      </c>
      <c r="D144" s="287">
        <v>-2.0000000000000001E-4</v>
      </c>
      <c r="E144" s="303">
        <v>-363.7398</v>
      </c>
    </row>
    <row r="145" spans="1:10" ht="16.5" thickBot="1">
      <c r="A145" s="284" t="s">
        <v>198</v>
      </c>
      <c r="B145" s="285"/>
      <c r="C145" s="304">
        <f>SUM(C137:C144)</f>
        <v>6495675</v>
      </c>
      <c r="D145" s="305"/>
      <c r="E145" s="306">
        <f>SUM(E137:E144)</f>
        <v>-10606.31724</v>
      </c>
    </row>
    <row r="146" spans="1:10" ht="16.5" thickTop="1">
      <c r="A146" s="284"/>
      <c r="B146" s="285"/>
      <c r="C146" s="310">
        <v>6495675</v>
      </c>
      <c r="D146" s="305"/>
      <c r="E146" s="306"/>
    </row>
    <row r="147" spans="1:10" ht="15.75">
      <c r="A147" s="284"/>
      <c r="B147" s="285"/>
      <c r="C147" s="307">
        <f>C146-C145</f>
        <v>0</v>
      </c>
      <c r="D147" s="305"/>
      <c r="E147" s="306"/>
    </row>
    <row r="148" spans="1:10" ht="15.75">
      <c r="A148" s="290"/>
      <c r="B148" s="290"/>
      <c r="C148" s="284" t="s">
        <v>1</v>
      </c>
      <c r="D148" s="308">
        <f>EOMONTH(D132,1)</f>
        <v>41547</v>
      </c>
      <c r="E148" s="309">
        <f>E132+E145</f>
        <v>38932.729789999998</v>
      </c>
    </row>
    <row r="149" spans="1:10" ht="15.75" thickBot="1"/>
    <row r="150" spans="1:10" ht="15.75">
      <c r="A150" s="643" t="s">
        <v>195</v>
      </c>
      <c r="B150" s="644"/>
      <c r="C150" s="644"/>
      <c r="D150" s="644"/>
      <c r="E150" s="645"/>
      <c r="G150" s="290"/>
      <c r="H150" s="290"/>
      <c r="I150" s="290"/>
    </row>
    <row r="151" spans="1:10" ht="15.75">
      <c r="A151" s="219">
        <v>41578</v>
      </c>
      <c r="B151" s="276"/>
      <c r="C151" s="277" t="s">
        <v>101</v>
      </c>
      <c r="D151" s="278"/>
      <c r="E151" s="279"/>
    </row>
    <row r="152" spans="1:10" ht="16.5" thickBot="1">
      <c r="A152" s="280"/>
      <c r="B152" s="281"/>
      <c r="C152" s="282" t="s">
        <v>21</v>
      </c>
      <c r="D152" s="282" t="s">
        <v>22</v>
      </c>
      <c r="E152" s="283" t="s">
        <v>23</v>
      </c>
    </row>
    <row r="153" spans="1:10" ht="15.75">
      <c r="A153" s="284" t="s">
        <v>24</v>
      </c>
      <c r="B153" s="285">
        <v>101</v>
      </c>
      <c r="C153" s="286">
        <v>9244353</v>
      </c>
      <c r="D153" s="287">
        <v>-2.1900000000000001E-3</v>
      </c>
      <c r="E153" s="288">
        <v>-20245.13307</v>
      </c>
    </row>
    <row r="154" spans="1:10" ht="16.5" thickBot="1">
      <c r="A154" s="284" t="s">
        <v>24</v>
      </c>
      <c r="B154" s="285">
        <v>111</v>
      </c>
      <c r="C154" s="286">
        <v>3880001</v>
      </c>
      <c r="D154" s="287">
        <v>-2.1900000000000001E-3</v>
      </c>
      <c r="E154" s="288">
        <v>-8497.20219</v>
      </c>
      <c r="G154" s="289">
        <f>A151</f>
        <v>41578</v>
      </c>
      <c r="H154" s="290"/>
      <c r="I154" s="290"/>
      <c r="J154" s="290"/>
    </row>
    <row r="155" spans="1:10" ht="16.5" thickBot="1">
      <c r="A155" s="284" t="s">
        <v>24</v>
      </c>
      <c r="B155" s="285">
        <v>112</v>
      </c>
      <c r="C155" s="286">
        <v>0</v>
      </c>
      <c r="D155" s="287">
        <v>-2.1900000000000001E-3</v>
      </c>
      <c r="E155" s="288">
        <v>0</v>
      </c>
      <c r="G155" s="291" t="s">
        <v>25</v>
      </c>
      <c r="H155" s="292"/>
      <c r="I155" s="293" t="s">
        <v>18</v>
      </c>
      <c r="J155" s="293" t="s">
        <v>19</v>
      </c>
    </row>
    <row r="156" spans="1:10" ht="15.75">
      <c r="A156" s="284" t="s">
        <v>24</v>
      </c>
      <c r="B156" s="285">
        <v>121</v>
      </c>
      <c r="C156" s="286">
        <v>595792</v>
      </c>
      <c r="D156" s="287">
        <v>-2.1900000000000001E-3</v>
      </c>
      <c r="E156" s="288">
        <v>-1304.78448</v>
      </c>
      <c r="G156" s="294" t="s">
        <v>97</v>
      </c>
      <c r="H156" s="295" t="s">
        <v>26</v>
      </c>
      <c r="I156" s="296">
        <f>-E161</f>
        <v>30792.491249999999</v>
      </c>
      <c r="J156" s="297">
        <v>0</v>
      </c>
    </row>
    <row r="157" spans="1:10" ht="16.5" thickBot="1">
      <c r="A157" s="284" t="s">
        <v>24</v>
      </c>
      <c r="B157" s="285">
        <v>122</v>
      </c>
      <c r="C157" s="286">
        <v>40500</v>
      </c>
      <c r="D157" s="287">
        <v>-2.1900000000000001E-3</v>
      </c>
      <c r="E157" s="288">
        <v>-88.695000000000007</v>
      </c>
      <c r="G157" s="298" t="s">
        <v>196</v>
      </c>
      <c r="H157" s="299" t="s">
        <v>197</v>
      </c>
      <c r="I157" s="300">
        <v>0</v>
      </c>
      <c r="J157" s="301">
        <f>-I156</f>
        <v>-30792.491249999999</v>
      </c>
    </row>
    <row r="158" spans="1:10" ht="15.75">
      <c r="A158" s="284" t="s">
        <v>24</v>
      </c>
      <c r="B158" s="285">
        <v>131</v>
      </c>
      <c r="C158" s="286">
        <v>0</v>
      </c>
      <c r="D158" s="287">
        <v>-2.1900000000000001E-3</v>
      </c>
      <c r="E158" s="288">
        <v>0</v>
      </c>
      <c r="G158" s="290"/>
      <c r="H158" s="290"/>
      <c r="I158" s="290"/>
      <c r="J158" s="302">
        <f>SUM(I156:J157)</f>
        <v>0</v>
      </c>
    </row>
    <row r="159" spans="1:10" ht="15.75">
      <c r="A159" s="284" t="s">
        <v>24</v>
      </c>
      <c r="B159" s="285">
        <v>132</v>
      </c>
      <c r="C159" s="286">
        <v>68629</v>
      </c>
      <c r="D159" s="287">
        <v>-2.1900000000000001E-3</v>
      </c>
      <c r="E159" s="288">
        <v>-150.29751000000002</v>
      </c>
    </row>
    <row r="160" spans="1:10" ht="15.75">
      <c r="A160" s="284" t="s">
        <v>24</v>
      </c>
      <c r="B160" s="285">
        <v>146</v>
      </c>
      <c r="C160" s="286">
        <v>2531895</v>
      </c>
      <c r="D160" s="287">
        <v>-2.0000000000000001E-4</v>
      </c>
      <c r="E160" s="303">
        <v>-506.37900000000002</v>
      </c>
    </row>
    <row r="161" spans="1:10" ht="16.5" thickBot="1">
      <c r="A161" s="284" t="s">
        <v>198</v>
      </c>
      <c r="B161" s="285"/>
      <c r="C161" s="304">
        <f>SUM(C153:C160)</f>
        <v>16361170</v>
      </c>
      <c r="D161" s="305"/>
      <c r="E161" s="306">
        <f>SUM(E153:E160)</f>
        <v>-30792.491249999999</v>
      </c>
    </row>
    <row r="162" spans="1:10" ht="16.5" thickTop="1">
      <c r="A162" s="284"/>
      <c r="B162" s="285"/>
      <c r="C162" s="310">
        <v>16361170</v>
      </c>
      <c r="D162" s="305"/>
      <c r="E162" s="306"/>
    </row>
    <row r="163" spans="1:10" ht="15.75">
      <c r="A163" s="284"/>
      <c r="B163" s="285"/>
      <c r="C163" s="307">
        <f>C162-C161</f>
        <v>0</v>
      </c>
      <c r="D163" s="305"/>
      <c r="E163" s="306"/>
    </row>
    <row r="164" spans="1:10" ht="15.75">
      <c r="A164" s="290"/>
      <c r="B164" s="290"/>
      <c r="C164" s="284" t="s">
        <v>1</v>
      </c>
      <c r="D164" s="308">
        <f>EOMONTH(D148,1)</f>
        <v>41578</v>
      </c>
      <c r="E164" s="309">
        <f>E148+E161</f>
        <v>8140.2385399999985</v>
      </c>
    </row>
    <row r="165" spans="1:10" ht="15.75" thickBot="1"/>
    <row r="166" spans="1:10" ht="15.75">
      <c r="A166" s="643" t="s">
        <v>195</v>
      </c>
      <c r="B166" s="644"/>
      <c r="C166" s="644"/>
      <c r="D166" s="644"/>
      <c r="E166" s="645"/>
      <c r="G166" s="290"/>
      <c r="H166" s="290"/>
      <c r="I166" s="290"/>
    </row>
    <row r="167" spans="1:10" ht="15.75">
      <c r="A167" s="219">
        <f>EOMONTH(A151,1)</f>
        <v>41608</v>
      </c>
      <c r="B167" s="276"/>
      <c r="C167" s="277" t="s">
        <v>101</v>
      </c>
      <c r="D167" s="278"/>
      <c r="E167" s="279"/>
    </row>
    <row r="168" spans="1:10" ht="16.5" thickBot="1">
      <c r="A168" s="280"/>
      <c r="B168" s="281"/>
      <c r="C168" s="282" t="s">
        <v>21</v>
      </c>
      <c r="D168" s="282" t="s">
        <v>22</v>
      </c>
      <c r="E168" s="283" t="s">
        <v>23</v>
      </c>
    </row>
    <row r="169" spans="1:10" ht="15.75">
      <c r="A169" s="284" t="s">
        <v>24</v>
      </c>
      <c r="B169" s="285">
        <v>101</v>
      </c>
      <c r="C169" s="286">
        <v>15070678</v>
      </c>
      <c r="D169" s="287" t="s">
        <v>187</v>
      </c>
      <c r="E169" s="288">
        <v>0</v>
      </c>
    </row>
    <row r="170" spans="1:10" ht="16.5" thickBot="1">
      <c r="A170" s="284" t="s">
        <v>24</v>
      </c>
      <c r="B170" s="285">
        <v>111</v>
      </c>
      <c r="C170" s="286">
        <v>5651303</v>
      </c>
      <c r="D170" s="287" t="s">
        <v>187</v>
      </c>
      <c r="E170" s="288">
        <v>0</v>
      </c>
      <c r="G170" s="289">
        <f>A167</f>
        <v>41608</v>
      </c>
      <c r="H170" s="290"/>
      <c r="I170" s="290"/>
      <c r="J170" s="290"/>
    </row>
    <row r="171" spans="1:10" ht="16.5" thickBot="1">
      <c r="A171" s="284" t="s">
        <v>24</v>
      </c>
      <c r="B171" s="285">
        <v>112</v>
      </c>
      <c r="C171" s="286">
        <v>0</v>
      </c>
      <c r="D171" s="287" t="s">
        <v>187</v>
      </c>
      <c r="E171" s="288">
        <v>0</v>
      </c>
      <c r="G171" s="291" t="s">
        <v>25</v>
      </c>
      <c r="H171" s="292"/>
      <c r="I171" s="293" t="s">
        <v>18</v>
      </c>
      <c r="J171" s="293" t="s">
        <v>19</v>
      </c>
    </row>
    <row r="172" spans="1:10" ht="15.75">
      <c r="A172" s="284" t="s">
        <v>24</v>
      </c>
      <c r="B172" s="285">
        <v>121</v>
      </c>
      <c r="C172" s="286">
        <v>396185</v>
      </c>
      <c r="D172" s="287" t="s">
        <v>187</v>
      </c>
      <c r="E172" s="288">
        <v>0</v>
      </c>
      <c r="G172" s="294" t="s">
        <v>97</v>
      </c>
      <c r="H172" s="295" t="s">
        <v>26</v>
      </c>
      <c r="I172" s="296">
        <f>-E177</f>
        <v>8833.92</v>
      </c>
      <c r="J172" s="297">
        <v>0</v>
      </c>
    </row>
    <row r="173" spans="1:10" ht="16.5" thickBot="1">
      <c r="A173" s="284" t="s">
        <v>24</v>
      </c>
      <c r="B173" s="285">
        <v>122</v>
      </c>
      <c r="C173" s="286">
        <v>51667</v>
      </c>
      <c r="D173" s="287" t="s">
        <v>187</v>
      </c>
      <c r="E173" s="288">
        <v>0</v>
      </c>
      <c r="G173" s="298" t="s">
        <v>196</v>
      </c>
      <c r="H173" s="299" t="s">
        <v>197</v>
      </c>
      <c r="I173" s="300">
        <v>0</v>
      </c>
      <c r="J173" s="301">
        <f>-I172</f>
        <v>-8833.92</v>
      </c>
    </row>
    <row r="174" spans="1:10" ht="15.75">
      <c r="A174" s="284" t="s">
        <v>24</v>
      </c>
      <c r="B174" s="285">
        <v>131</v>
      </c>
      <c r="C174" s="286">
        <v>0</v>
      </c>
      <c r="D174" s="287" t="s">
        <v>187</v>
      </c>
      <c r="E174" s="288">
        <v>0</v>
      </c>
      <c r="G174" s="290"/>
      <c r="H174" s="290"/>
      <c r="I174" s="290"/>
      <c r="J174" s="302">
        <f>SUM(I172:J173)</f>
        <v>0</v>
      </c>
    </row>
    <row r="175" spans="1:10" ht="15.75">
      <c r="A175" s="284" t="s">
        <v>24</v>
      </c>
      <c r="B175" s="285">
        <v>132</v>
      </c>
      <c r="C175" s="286">
        <v>142001</v>
      </c>
      <c r="D175" s="287" t="s">
        <v>187</v>
      </c>
      <c r="E175" s="288">
        <v>0</v>
      </c>
    </row>
    <row r="176" spans="1:10" ht="15.75">
      <c r="A176" s="284" t="s">
        <v>24</v>
      </c>
      <c r="B176" s="285">
        <v>146</v>
      </c>
      <c r="C176" s="286">
        <v>2936207</v>
      </c>
      <c r="D176" s="287" t="s">
        <v>187</v>
      </c>
      <c r="E176" s="303">
        <v>0</v>
      </c>
    </row>
    <row r="177" spans="1:10" ht="16.5" thickBot="1">
      <c r="A177" s="284" t="s">
        <v>198</v>
      </c>
      <c r="B177" s="285"/>
      <c r="C177" s="304">
        <f>SUM(C169:C176)</f>
        <v>24248041</v>
      </c>
      <c r="D177" s="305"/>
      <c r="E177" s="306">
        <v>-8833.92</v>
      </c>
    </row>
    <row r="178" spans="1:10" ht="16.5" thickTop="1">
      <c r="A178" s="284"/>
      <c r="B178" s="285"/>
      <c r="C178" s="310">
        <v>24248041</v>
      </c>
      <c r="D178" s="305"/>
      <c r="E178" s="306"/>
    </row>
    <row r="179" spans="1:10" ht="15.75">
      <c r="A179" s="284"/>
      <c r="B179" s="285"/>
      <c r="C179" s="307">
        <f>C178-C177</f>
        <v>0</v>
      </c>
      <c r="D179" s="305"/>
      <c r="E179" s="306"/>
    </row>
    <row r="180" spans="1:10" ht="15.75">
      <c r="A180" s="290"/>
      <c r="B180" s="290"/>
      <c r="C180" s="284" t="s">
        <v>1</v>
      </c>
      <c r="D180" s="308">
        <f>EOMONTH(D164,1)</f>
        <v>41608</v>
      </c>
      <c r="E180" s="309">
        <f>E164+E177</f>
        <v>-693.68146000000161</v>
      </c>
    </row>
    <row r="181" spans="1:10" ht="15.75" thickBot="1"/>
    <row r="182" spans="1:10" ht="15.75">
      <c r="A182" s="643" t="s">
        <v>195</v>
      </c>
      <c r="B182" s="644"/>
      <c r="C182" s="644"/>
      <c r="D182" s="644"/>
      <c r="E182" s="645"/>
      <c r="G182" s="290"/>
      <c r="H182" s="290"/>
      <c r="I182" s="290"/>
    </row>
    <row r="183" spans="1:10" ht="15.75">
      <c r="A183" s="219">
        <f>EOMONTH(A167,1)</f>
        <v>41639</v>
      </c>
      <c r="B183" s="276"/>
      <c r="C183" s="277" t="s">
        <v>101</v>
      </c>
      <c r="D183" s="278"/>
      <c r="E183" s="279"/>
    </row>
    <row r="184" spans="1:10" ht="16.5" thickBot="1">
      <c r="A184" s="280"/>
      <c r="B184" s="281"/>
      <c r="C184" s="282" t="s">
        <v>21</v>
      </c>
      <c r="D184" s="282" t="s">
        <v>22</v>
      </c>
      <c r="E184" s="283" t="s">
        <v>23</v>
      </c>
    </row>
    <row r="185" spans="1:10" ht="15.75">
      <c r="A185" s="284" t="s">
        <v>24</v>
      </c>
      <c r="B185" s="285">
        <v>101</v>
      </c>
      <c r="C185" s="286">
        <f>Jan!$G$23</f>
        <v>27259641</v>
      </c>
      <c r="D185" s="287" t="s">
        <v>187</v>
      </c>
      <c r="E185" s="288">
        <v>0</v>
      </c>
    </row>
    <row r="186" spans="1:10" ht="16.5" thickBot="1">
      <c r="A186" s="284" t="s">
        <v>24</v>
      </c>
      <c r="B186" s="285">
        <v>111</v>
      </c>
      <c r="C186" s="286">
        <f>Jan!$G$25</f>
        <v>8738107</v>
      </c>
      <c r="D186" s="287" t="s">
        <v>187</v>
      </c>
      <c r="E186" s="288">
        <v>0</v>
      </c>
      <c r="G186" s="289">
        <f>A183</f>
        <v>41639</v>
      </c>
      <c r="H186" s="290"/>
      <c r="I186" s="290"/>
      <c r="J186" s="290"/>
    </row>
    <row r="187" spans="1:10" ht="16.5" thickBot="1">
      <c r="A187" s="284" t="s">
        <v>24</v>
      </c>
      <c r="B187" s="285">
        <v>112</v>
      </c>
      <c r="C187" s="286">
        <f>Jan!$G$26</f>
        <v>0</v>
      </c>
      <c r="D187" s="287" t="s">
        <v>187</v>
      </c>
      <c r="E187" s="288">
        <v>0</v>
      </c>
      <c r="G187" s="291" t="s">
        <v>25</v>
      </c>
      <c r="H187" s="292"/>
      <c r="I187" s="293" t="s">
        <v>18</v>
      </c>
      <c r="J187" s="293" t="s">
        <v>19</v>
      </c>
    </row>
    <row r="188" spans="1:10" ht="15.75">
      <c r="A188" s="284" t="s">
        <v>24</v>
      </c>
      <c r="B188" s="285">
        <v>121</v>
      </c>
      <c r="C188" s="286">
        <f>Jan!$G$27</f>
        <v>284721</v>
      </c>
      <c r="D188" s="287" t="s">
        <v>187</v>
      </c>
      <c r="E188" s="288">
        <v>0</v>
      </c>
      <c r="G188" s="294" t="s">
        <v>97</v>
      </c>
      <c r="H188" s="295" t="s">
        <v>26</v>
      </c>
      <c r="I188" s="296">
        <f>-E193</f>
        <v>13002.04</v>
      </c>
      <c r="J188" s="297">
        <v>0</v>
      </c>
    </row>
    <row r="189" spans="1:10" ht="16.5" thickBot="1">
      <c r="A189" s="284" t="s">
        <v>24</v>
      </c>
      <c r="B189" s="285">
        <v>122</v>
      </c>
      <c r="C189" s="286">
        <f>Jan!$G$28</f>
        <v>64203</v>
      </c>
      <c r="D189" s="287" t="s">
        <v>187</v>
      </c>
      <c r="E189" s="288">
        <v>0</v>
      </c>
      <c r="G189" s="298" t="s">
        <v>196</v>
      </c>
      <c r="H189" s="299" t="s">
        <v>197</v>
      </c>
      <c r="I189" s="300">
        <v>0</v>
      </c>
      <c r="J189" s="301">
        <f>-I188</f>
        <v>-13002.04</v>
      </c>
    </row>
    <row r="190" spans="1:10" ht="15.75">
      <c r="A190" s="284" t="s">
        <v>24</v>
      </c>
      <c r="B190" s="285">
        <v>131</v>
      </c>
      <c r="C190" s="286">
        <f>Jan!$G$29</f>
        <v>0</v>
      </c>
      <c r="D190" s="287" t="s">
        <v>187</v>
      </c>
      <c r="E190" s="288">
        <v>0</v>
      </c>
      <c r="G190" s="290"/>
      <c r="H190" s="290"/>
      <c r="I190" s="290"/>
      <c r="J190" s="302">
        <f>SUM(I188:J189)</f>
        <v>0</v>
      </c>
    </row>
    <row r="191" spans="1:10" ht="15.75">
      <c r="A191" s="284" t="s">
        <v>24</v>
      </c>
      <c r="B191" s="285">
        <v>132</v>
      </c>
      <c r="C191" s="286">
        <f>Jan!$G$30</f>
        <v>160387</v>
      </c>
      <c r="D191" s="287" t="s">
        <v>187</v>
      </c>
      <c r="E191" s="288">
        <v>0</v>
      </c>
    </row>
    <row r="192" spans="1:10" ht="15.75">
      <c r="A192" s="284" t="s">
        <v>24</v>
      </c>
      <c r="B192" s="285">
        <v>146</v>
      </c>
      <c r="C192" s="286">
        <f>Jan!$G$31</f>
        <v>4261630</v>
      </c>
      <c r="D192" s="287" t="s">
        <v>187</v>
      </c>
      <c r="E192" s="303">
        <v>0</v>
      </c>
    </row>
    <row r="193" spans="1:9" ht="16.5" thickBot="1">
      <c r="A193" s="284" t="s">
        <v>198</v>
      </c>
      <c r="B193" s="285"/>
      <c r="C193" s="304">
        <f>SUM(C185:C192)</f>
        <v>40768689</v>
      </c>
      <c r="D193" s="305"/>
      <c r="E193" s="306">
        <v>-13002.04</v>
      </c>
    </row>
    <row r="194" spans="1:9" ht="16.5" thickTop="1">
      <c r="A194" s="284"/>
      <c r="B194" s="285"/>
      <c r="C194" s="310">
        <v>34635509</v>
      </c>
      <c r="D194" s="305"/>
      <c r="E194" s="306"/>
    </row>
    <row r="195" spans="1:9" ht="15.75">
      <c r="A195" s="284"/>
      <c r="B195" s="285"/>
      <c r="C195" s="307">
        <f>C194-C193</f>
        <v>-6133180</v>
      </c>
      <c r="D195" s="305"/>
      <c r="E195" s="306"/>
    </row>
    <row r="196" spans="1:9" ht="15.75">
      <c r="C196" s="284" t="s">
        <v>1</v>
      </c>
      <c r="D196" s="308">
        <f>EOMONTH(D180,1)</f>
        <v>41639</v>
      </c>
      <c r="E196" s="309">
        <f>E180+E193</f>
        <v>-13695.721460000002</v>
      </c>
      <c r="G196" s="475" t="s">
        <v>244</v>
      </c>
      <c r="H196" s="476">
        <f>_xll.Get_Balance(I196,"YTD","USD","Total","A","","001","191025","GD","WA","DL")-E196</f>
        <v>1.4600000031350646E-3</v>
      </c>
      <c r="I196" s="477">
        <v>201312</v>
      </c>
    </row>
  </sheetData>
  <mergeCells count="12">
    <mergeCell ref="A182:E182"/>
    <mergeCell ref="A166:E166"/>
    <mergeCell ref="A6:E6"/>
    <mergeCell ref="A22:E22"/>
    <mergeCell ref="A38:E38"/>
    <mergeCell ref="A54:E54"/>
    <mergeCell ref="A70:E70"/>
    <mergeCell ref="A150:E150"/>
    <mergeCell ref="A134:E134"/>
    <mergeCell ref="A118:E118"/>
    <mergeCell ref="A102:E102"/>
    <mergeCell ref="A86:E86"/>
  </mergeCells>
  <conditionalFormatting sqref="J14">
    <cfRule type="cellIs" dxfId="103" priority="35" stopIfTrue="1" operator="equal">
      <formula>0</formula>
    </cfRule>
    <cfRule type="cellIs" dxfId="102" priority="36" stopIfTrue="1" operator="notEqual">
      <formula>0</formula>
    </cfRule>
  </conditionalFormatting>
  <conditionalFormatting sqref="C19">
    <cfRule type="cellIs" dxfId="101" priority="34" operator="notEqual">
      <formula>0</formula>
    </cfRule>
  </conditionalFormatting>
  <conditionalFormatting sqref="J30">
    <cfRule type="cellIs" dxfId="100" priority="32" stopIfTrue="1" operator="equal">
      <formula>0</formula>
    </cfRule>
    <cfRule type="cellIs" dxfId="99" priority="33" stopIfTrue="1" operator="notEqual">
      <formula>0</formula>
    </cfRule>
  </conditionalFormatting>
  <conditionalFormatting sqref="C35">
    <cfRule type="cellIs" dxfId="98" priority="31" operator="notEqual">
      <formula>0</formula>
    </cfRule>
  </conditionalFormatting>
  <conditionalFormatting sqref="J46">
    <cfRule type="cellIs" dxfId="97" priority="29" stopIfTrue="1" operator="equal">
      <formula>0</formula>
    </cfRule>
    <cfRule type="cellIs" dxfId="96" priority="30" stopIfTrue="1" operator="notEqual">
      <formula>0</formula>
    </cfRule>
  </conditionalFormatting>
  <conditionalFormatting sqref="C51">
    <cfRule type="cellIs" dxfId="95" priority="28" operator="notEqual">
      <formula>0</formula>
    </cfRule>
  </conditionalFormatting>
  <conditionalFormatting sqref="J62">
    <cfRule type="cellIs" dxfId="94" priority="26" stopIfTrue="1" operator="equal">
      <formula>0</formula>
    </cfRule>
    <cfRule type="cellIs" dxfId="93" priority="27" stopIfTrue="1" operator="notEqual">
      <formula>0</formula>
    </cfRule>
  </conditionalFormatting>
  <conditionalFormatting sqref="C67">
    <cfRule type="cellIs" dxfId="92" priority="25" operator="notEqual">
      <formula>0</formula>
    </cfRule>
  </conditionalFormatting>
  <conditionalFormatting sqref="J78">
    <cfRule type="cellIs" dxfId="91" priority="23" stopIfTrue="1" operator="equal">
      <formula>0</formula>
    </cfRule>
    <cfRule type="cellIs" dxfId="90" priority="24" stopIfTrue="1" operator="notEqual">
      <formula>0</formula>
    </cfRule>
  </conditionalFormatting>
  <conditionalFormatting sqref="C83">
    <cfRule type="cellIs" dxfId="89" priority="22" operator="notEqual">
      <formula>0</formula>
    </cfRule>
  </conditionalFormatting>
  <conditionalFormatting sqref="J94">
    <cfRule type="cellIs" dxfId="88" priority="20" stopIfTrue="1" operator="equal">
      <formula>0</formula>
    </cfRule>
    <cfRule type="cellIs" dxfId="87" priority="21" stopIfTrue="1" operator="notEqual">
      <formula>0</formula>
    </cfRule>
  </conditionalFormatting>
  <conditionalFormatting sqref="C99">
    <cfRule type="cellIs" dxfId="86" priority="19" operator="notEqual">
      <formula>0</formula>
    </cfRule>
  </conditionalFormatting>
  <conditionalFormatting sqref="J110">
    <cfRule type="cellIs" dxfId="85" priority="17" stopIfTrue="1" operator="equal">
      <formula>0</formula>
    </cfRule>
    <cfRule type="cellIs" dxfId="84" priority="18" stopIfTrue="1" operator="notEqual">
      <formula>0</formula>
    </cfRule>
  </conditionalFormatting>
  <conditionalFormatting sqref="C115">
    <cfRule type="cellIs" dxfId="83" priority="16" operator="notEqual">
      <formula>0</formula>
    </cfRule>
  </conditionalFormatting>
  <conditionalFormatting sqref="J126">
    <cfRule type="cellIs" dxfId="82" priority="14" stopIfTrue="1" operator="equal">
      <formula>0</formula>
    </cfRule>
    <cfRule type="cellIs" dxfId="81" priority="15" stopIfTrue="1" operator="notEqual">
      <formula>0</formula>
    </cfRule>
  </conditionalFormatting>
  <conditionalFormatting sqref="C131">
    <cfRule type="cellIs" dxfId="80" priority="13" operator="notEqual">
      <formula>0</formula>
    </cfRule>
  </conditionalFormatting>
  <conditionalFormatting sqref="J142">
    <cfRule type="cellIs" dxfId="79" priority="11" stopIfTrue="1" operator="equal">
      <formula>0</formula>
    </cfRule>
    <cfRule type="cellIs" dxfId="78" priority="12" stopIfTrue="1" operator="notEqual">
      <formula>0</formula>
    </cfRule>
  </conditionalFormatting>
  <conditionalFormatting sqref="C147">
    <cfRule type="cellIs" dxfId="77" priority="10" operator="notEqual">
      <formula>0</formula>
    </cfRule>
  </conditionalFormatting>
  <conditionalFormatting sqref="J158">
    <cfRule type="cellIs" dxfId="76" priority="8" stopIfTrue="1" operator="equal">
      <formula>0</formula>
    </cfRule>
    <cfRule type="cellIs" dxfId="75" priority="9" stopIfTrue="1" operator="notEqual">
      <formula>0</formula>
    </cfRule>
  </conditionalFormatting>
  <conditionalFormatting sqref="C163">
    <cfRule type="cellIs" dxfId="74" priority="7" operator="notEqual">
      <formula>0</formula>
    </cfRule>
  </conditionalFormatting>
  <conditionalFormatting sqref="J174">
    <cfRule type="cellIs" dxfId="73" priority="5" stopIfTrue="1" operator="equal">
      <formula>0</formula>
    </cfRule>
    <cfRule type="cellIs" dxfId="72" priority="6" stopIfTrue="1" operator="notEqual">
      <formula>0</formula>
    </cfRule>
  </conditionalFormatting>
  <conditionalFormatting sqref="C179">
    <cfRule type="cellIs" dxfId="71" priority="4" operator="notEqual">
      <formula>0</formula>
    </cfRule>
  </conditionalFormatting>
  <conditionalFormatting sqref="J190">
    <cfRule type="cellIs" dxfId="70" priority="2" stopIfTrue="1" operator="equal">
      <formula>0</formula>
    </cfRule>
    <cfRule type="cellIs" dxfId="69" priority="3" stopIfTrue="1" operator="notEqual">
      <formula>0</formula>
    </cfRule>
  </conditionalFormatting>
  <conditionalFormatting sqref="C195">
    <cfRule type="cellIs" dxfId="68" priority="1" operator="notEqual">
      <formula>0</formula>
    </cfRule>
  </conditionalFormatting>
  <pageMargins left="0.7" right="0.7" top="0.75" bottom="0.75" header="0.3" footer="0.3"/>
  <pageSetup scale="37" orientation="portrait" r:id="rId1"/>
  <customProperties>
    <customPr name="xxe4aPID" r:id="rId2"/>
  </customPropertie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43">
    <tabColor rgb="FF92D050"/>
  </sheetPr>
  <dimension ref="A1:J309"/>
  <sheetViews>
    <sheetView showGridLines="0" view="pageBreakPreview" topLeftCell="A261" zoomScale="85" zoomScaleNormal="80" zoomScaleSheetLayoutView="85" workbookViewId="0">
      <selection activeCell="E297" sqref="E297"/>
    </sheetView>
  </sheetViews>
  <sheetFormatPr defaultColWidth="9.140625" defaultRowHeight="15"/>
  <cols>
    <col min="1" max="1" width="12.42578125" style="1" customWidth="1"/>
    <col min="2" max="2" width="9.42578125" style="1" bestFit="1" customWidth="1"/>
    <col min="3" max="3" width="17" style="1" customWidth="1"/>
    <col min="4" max="4" width="25.7109375" style="1" customWidth="1"/>
    <col min="5" max="5" width="21.85546875" style="1" bestFit="1" customWidth="1"/>
    <col min="6" max="6" width="16.28515625" style="1" bestFit="1" customWidth="1"/>
    <col min="7" max="7" width="32.42578125" style="1" customWidth="1"/>
    <col min="8" max="8" width="19.28515625" style="1" customWidth="1"/>
    <col min="9" max="9" width="20.42578125" style="1" customWidth="1"/>
    <col min="10" max="10" width="19.5703125" style="1" customWidth="1"/>
    <col min="11" max="11" width="3.42578125" style="1" customWidth="1"/>
    <col min="12" max="16384" width="9.140625" style="1"/>
  </cols>
  <sheetData>
    <row r="1" spans="1:10" ht="15.75">
      <c r="A1" s="51" t="s">
        <v>13</v>
      </c>
    </row>
    <row r="2" spans="1:10" ht="15.75">
      <c r="A2" s="51" t="s">
        <v>0</v>
      </c>
    </row>
    <row r="3" spans="1:10" ht="15.75">
      <c r="A3" s="51" t="s">
        <v>172</v>
      </c>
    </row>
    <row r="4" spans="1:10" ht="15.75">
      <c r="A4" s="51" t="s">
        <v>171</v>
      </c>
    </row>
    <row r="6" spans="1:10" ht="15.75">
      <c r="B6" s="17"/>
      <c r="C6" s="2"/>
      <c r="D6" s="3"/>
      <c r="E6" s="4"/>
    </row>
    <row r="7" spans="1:10" s="331" customFormat="1" ht="15.75" hidden="1">
      <c r="A7" s="333"/>
      <c r="B7" s="333"/>
      <c r="C7" s="50" t="s">
        <v>1</v>
      </c>
      <c r="D7" s="90">
        <v>41213</v>
      </c>
      <c r="E7" s="50">
        <v>2351759.8593735616</v>
      </c>
      <c r="F7" s="333"/>
      <c r="G7" s="246"/>
    </row>
    <row r="8" spans="1:10" s="384" customFormat="1" ht="15.75" hidden="1">
      <c r="A8" s="385"/>
      <c r="B8" s="385"/>
      <c r="C8" s="50"/>
      <c r="D8" s="90"/>
      <c r="E8" s="50"/>
      <c r="F8" s="385"/>
      <c r="G8" s="246"/>
    </row>
    <row r="9" spans="1:10" s="202" customFormat="1" ht="15.75" hidden="1">
      <c r="D9" s="259" t="s">
        <v>212</v>
      </c>
      <c r="E9" s="161">
        <f>'WA Def 191010'!R14</f>
        <v>-7340824.0093394704</v>
      </c>
    </row>
    <row r="10" spans="1:10" s="202" customFormat="1" ht="16.5" hidden="1" thickBot="1">
      <c r="D10" s="259" t="s">
        <v>210</v>
      </c>
      <c r="E10" s="390">
        <f>E9+E7</f>
        <v>-4989064.1499659084</v>
      </c>
    </row>
    <row r="11" spans="1:10" s="384" customFormat="1" ht="16.5" hidden="1" thickTop="1" thickBot="1"/>
    <row r="12" spans="1:10" s="384" customFormat="1" ht="15.75" hidden="1">
      <c r="A12" s="73" t="s">
        <v>141</v>
      </c>
      <c r="B12" s="78"/>
      <c r="C12" s="79"/>
      <c r="D12" s="80"/>
      <c r="E12" s="81"/>
      <c r="G12" s="5"/>
      <c r="H12" s="5"/>
      <c r="I12" s="48"/>
      <c r="J12" s="48"/>
    </row>
    <row r="13" spans="1:10" s="384" customFormat="1" ht="15.75" hidden="1">
      <c r="A13" s="219">
        <v>41243</v>
      </c>
      <c r="B13" s="137"/>
      <c r="C13" s="11"/>
      <c r="D13" s="138"/>
      <c r="E13" s="77"/>
      <c r="G13" s="5"/>
      <c r="H13" s="5"/>
      <c r="I13" s="48"/>
      <c r="J13" s="48"/>
    </row>
    <row r="14" spans="1:10" s="384" customFormat="1" ht="16.5" hidden="1" thickBot="1">
      <c r="A14" s="139"/>
      <c r="B14" s="140"/>
      <c r="C14" s="131" t="s">
        <v>21</v>
      </c>
      <c r="D14" s="131" t="s">
        <v>22</v>
      </c>
      <c r="E14" s="128" t="s">
        <v>23</v>
      </c>
      <c r="F14" s="385"/>
      <c r="G14" s="385"/>
      <c r="H14" s="385"/>
      <c r="I14" s="385"/>
      <c r="J14" s="385"/>
    </row>
    <row r="15" spans="1:10" s="384" customFormat="1" ht="15.75" hidden="1">
      <c r="A15" s="50" t="s">
        <v>24</v>
      </c>
      <c r="B15" s="95">
        <v>101</v>
      </c>
      <c r="C15" s="206">
        <v>12694976</v>
      </c>
      <c r="D15" s="389">
        <v>3.3950000000000001E-2</v>
      </c>
      <c r="E15" s="168">
        <v>427531.76</v>
      </c>
      <c r="F15" s="385" t="s">
        <v>187</v>
      </c>
      <c r="G15" s="385"/>
      <c r="H15" s="385"/>
      <c r="I15" s="385"/>
      <c r="J15" s="385"/>
    </row>
    <row r="16" spans="1:10" s="384" customFormat="1" ht="16.5" hidden="1" thickBot="1">
      <c r="A16" s="50" t="s">
        <v>24</v>
      </c>
      <c r="B16" s="95">
        <v>111</v>
      </c>
      <c r="C16" s="206">
        <v>4637935</v>
      </c>
      <c r="D16" s="389">
        <v>3.0599999999999999E-2</v>
      </c>
      <c r="E16" s="168">
        <v>143027.17000000001</v>
      </c>
      <c r="F16" s="385" t="s">
        <v>187</v>
      </c>
      <c r="G16" s="123">
        <f>A13</f>
        <v>41243</v>
      </c>
      <c r="H16" s="385"/>
      <c r="I16" s="385"/>
      <c r="J16" s="385"/>
    </row>
    <row r="17" spans="1:10" s="384" customFormat="1" ht="16.5" hidden="1" thickBot="1">
      <c r="A17" s="50" t="s">
        <v>24</v>
      </c>
      <c r="B17" s="95">
        <v>112</v>
      </c>
      <c r="C17" s="206">
        <v>0</v>
      </c>
      <c r="D17" s="389"/>
      <c r="E17" s="168">
        <v>0</v>
      </c>
      <c r="F17" s="385" t="s">
        <v>187</v>
      </c>
      <c r="G17" s="113" t="s">
        <v>25</v>
      </c>
      <c r="H17" s="205"/>
      <c r="I17" s="126" t="s">
        <v>18</v>
      </c>
      <c r="J17" s="126" t="s">
        <v>19</v>
      </c>
    </row>
    <row r="18" spans="1:10" s="384" customFormat="1" ht="15.75" hidden="1">
      <c r="A18" s="50" t="s">
        <v>24</v>
      </c>
      <c r="B18" s="95">
        <v>121</v>
      </c>
      <c r="C18" s="206">
        <v>347215</v>
      </c>
      <c r="D18" s="389">
        <v>2.998E-2</v>
      </c>
      <c r="E18" s="168">
        <v>11613.6</v>
      </c>
      <c r="F18" s="385" t="s">
        <v>187</v>
      </c>
      <c r="G18" s="151" t="s">
        <v>28</v>
      </c>
      <c r="H18" s="152" t="s">
        <v>75</v>
      </c>
      <c r="I18" s="152"/>
      <c r="J18" s="97">
        <v>0</v>
      </c>
    </row>
    <row r="19" spans="1:10" s="384" customFormat="1" ht="15.75" hidden="1">
      <c r="A19" s="50" t="s">
        <v>24</v>
      </c>
      <c r="B19" s="95">
        <v>122</v>
      </c>
      <c r="C19" s="206">
        <v>0</v>
      </c>
      <c r="D19" s="389"/>
      <c r="E19" s="168">
        <v>0</v>
      </c>
      <c r="F19" s="385" t="s">
        <v>187</v>
      </c>
      <c r="G19" s="153" t="s">
        <v>29</v>
      </c>
      <c r="H19" s="7" t="s">
        <v>76</v>
      </c>
      <c r="I19" s="7">
        <v>12723.82</v>
      </c>
      <c r="J19" s="223"/>
    </row>
    <row r="20" spans="1:10" s="384" customFormat="1" ht="15.75" hidden="1">
      <c r="A20" s="50" t="s">
        <v>24</v>
      </c>
      <c r="B20" s="95">
        <v>131</v>
      </c>
      <c r="C20" s="206">
        <v>0</v>
      </c>
      <c r="D20" s="389">
        <v>5.7389999999999997E-2</v>
      </c>
      <c r="E20" s="168">
        <v>0</v>
      </c>
      <c r="F20" s="385" t="s">
        <v>187</v>
      </c>
      <c r="G20" s="153" t="s">
        <v>97</v>
      </c>
      <c r="H20" s="7" t="s">
        <v>26</v>
      </c>
      <c r="I20" s="8"/>
      <c r="J20" s="98">
        <v>-582079.61</v>
      </c>
    </row>
    <row r="21" spans="1:10" s="384" customFormat="1" ht="15.75" hidden="1">
      <c r="A21" s="50" t="s">
        <v>24</v>
      </c>
      <c r="B21" s="95">
        <v>132</v>
      </c>
      <c r="C21" s="206">
        <v>0</v>
      </c>
      <c r="D21" s="389"/>
      <c r="E21" s="168">
        <v>0</v>
      </c>
      <c r="F21" s="385" t="s">
        <v>187</v>
      </c>
      <c r="G21" s="153" t="s">
        <v>10</v>
      </c>
      <c r="H21" s="7" t="s">
        <v>17</v>
      </c>
      <c r="I21" s="7">
        <v>0</v>
      </c>
      <c r="J21" s="98"/>
    </row>
    <row r="22" spans="1:10" s="384" customFormat="1" ht="16.5" hidden="1" thickBot="1">
      <c r="A22" s="50" t="s">
        <v>24</v>
      </c>
      <c r="B22" s="95">
        <v>146</v>
      </c>
      <c r="C22" s="206">
        <v>2701032</v>
      </c>
      <c r="D22" s="238"/>
      <c r="E22" s="168">
        <v>0</v>
      </c>
      <c r="F22" s="385" t="s">
        <v>187</v>
      </c>
      <c r="G22" s="154" t="s">
        <v>98</v>
      </c>
      <c r="H22" s="147" t="s">
        <v>27</v>
      </c>
      <c r="I22" s="110">
        <v>569355.79</v>
      </c>
      <c r="J22" s="107"/>
    </row>
    <row r="23" spans="1:10" s="384" customFormat="1" ht="15.75" hidden="1">
      <c r="A23" s="50" t="s">
        <v>151</v>
      </c>
      <c r="B23" s="95"/>
      <c r="C23" s="206"/>
      <c r="D23" s="121"/>
      <c r="E23" s="168">
        <v>0</v>
      </c>
      <c r="F23" s="385" t="s">
        <v>187</v>
      </c>
      <c r="G23" s="385"/>
      <c r="H23" s="385"/>
      <c r="I23" s="385"/>
      <c r="J23" s="338">
        <f>SUM(I18:J22)</f>
        <v>0</v>
      </c>
    </row>
    <row r="24" spans="1:10" s="384" customFormat="1" ht="15.75" hidden="1">
      <c r="A24" s="141" t="s">
        <v>143</v>
      </c>
      <c r="B24" s="95">
        <v>146</v>
      </c>
      <c r="C24" s="206"/>
      <c r="D24" s="121"/>
      <c r="E24" s="168">
        <v>0</v>
      </c>
      <c r="F24" s="385" t="s">
        <v>187</v>
      </c>
      <c r="G24" s="123"/>
      <c r="H24" s="7"/>
      <c r="I24" s="7"/>
      <c r="J24" s="7"/>
    </row>
    <row r="25" spans="1:10" s="384" customFormat="1" ht="15.75" hidden="1">
      <c r="A25" s="141" t="s">
        <v>105</v>
      </c>
      <c r="B25" s="95"/>
      <c r="C25" s="206"/>
      <c r="D25" s="121"/>
      <c r="E25" s="226">
        <v>0</v>
      </c>
      <c r="F25" s="385"/>
      <c r="G25" s="123"/>
      <c r="H25" s="7"/>
      <c r="I25" s="12"/>
      <c r="J25" s="12"/>
    </row>
    <row r="26" spans="1:10" s="384" customFormat="1" ht="16.5" hidden="1" thickBot="1">
      <c r="A26" s="50"/>
      <c r="B26" s="95"/>
      <c r="C26" s="159">
        <f>SUM(C15:C25)</f>
        <v>20381158</v>
      </c>
      <c r="D26" s="142"/>
      <c r="E26" s="207">
        <f>SUM(E15:E25)</f>
        <v>582172.53</v>
      </c>
      <c r="F26" s="385"/>
      <c r="G26" s="123"/>
      <c r="H26" s="7"/>
      <c r="I26" s="7"/>
      <c r="J26" s="8"/>
    </row>
    <row r="27" spans="1:10" s="384" customFormat="1" ht="16.5" hidden="1" thickTop="1">
      <c r="A27" s="50"/>
      <c r="B27" s="95"/>
      <c r="C27" s="224">
        <v>20381158</v>
      </c>
      <c r="D27" s="142" t="s">
        <v>161</v>
      </c>
      <c r="E27" s="156">
        <v>0</v>
      </c>
      <c r="F27" s="385"/>
      <c r="G27" s="11"/>
      <c r="H27" s="7"/>
      <c r="I27" s="8"/>
      <c r="J27" s="7"/>
    </row>
    <row r="28" spans="1:10" s="384" customFormat="1" ht="16.5" hidden="1" thickBot="1">
      <c r="A28" s="50"/>
      <c r="B28" s="95"/>
      <c r="C28" s="230">
        <f>C27-C26</f>
        <v>0</v>
      </c>
      <c r="D28" s="142"/>
      <c r="E28" s="160">
        <f>SUM(E26:E27)</f>
        <v>582172.53</v>
      </c>
      <c r="F28" s="385"/>
      <c r="G28" s="65" t="s">
        <v>158</v>
      </c>
      <c r="H28" s="7"/>
      <c r="I28" s="7"/>
      <c r="J28" s="7"/>
    </row>
    <row r="29" spans="1:10" s="384" customFormat="1" ht="16.5" hidden="1" thickTop="1">
      <c r="A29" s="385"/>
      <c r="B29" s="385"/>
      <c r="C29" s="385"/>
      <c r="D29" s="142" t="s">
        <v>87</v>
      </c>
      <c r="E29" s="50">
        <f>E28+E10</f>
        <v>-4406891.6199659081</v>
      </c>
      <c r="F29" s="385"/>
      <c r="G29" s="8">
        <f>(E10*(D30/12))+(E28*(D30/24))</f>
        <v>-12723.690105116002</v>
      </c>
      <c r="H29" s="396"/>
      <c r="I29" s="396"/>
      <c r="J29" s="7"/>
    </row>
    <row r="30" spans="1:10" s="384" customFormat="1" ht="15.75" hidden="1">
      <c r="A30" s="385"/>
      <c r="B30" s="385"/>
      <c r="C30" s="50" t="s">
        <v>57</v>
      </c>
      <c r="D30" s="225">
        <v>3.2500000000000001E-2</v>
      </c>
      <c r="E30" s="119">
        <f>ROUND(((E10)+(SUM(E28))/2)*(D30/12),2)</f>
        <v>-12723.69</v>
      </c>
      <c r="F30" s="385"/>
      <c r="G30" s="8"/>
      <c r="H30" s="7"/>
      <c r="I30" s="12"/>
      <c r="J30" s="12"/>
    </row>
    <row r="31" spans="1:10" s="384" customFormat="1" ht="15.75" hidden="1">
      <c r="A31" s="385"/>
      <c r="B31" s="385"/>
      <c r="C31" s="50" t="s">
        <v>1</v>
      </c>
      <c r="D31" s="90">
        <f>A13</f>
        <v>41243</v>
      </c>
      <c r="E31" s="50">
        <f>SUM(E29:E30)</f>
        <v>-4419615.3099659085</v>
      </c>
      <c r="F31" s="385"/>
      <c r="G31" s="246"/>
    </row>
    <row r="32" spans="1:10" s="384" customFormat="1" ht="15.75" hidden="1">
      <c r="A32" s="385"/>
      <c r="B32" s="385"/>
      <c r="C32" s="50"/>
      <c r="D32" s="443" t="s">
        <v>199</v>
      </c>
      <c r="E32" s="64">
        <v>-4419708.3600000003</v>
      </c>
      <c r="F32" s="385"/>
      <c r="G32" s="246"/>
    </row>
    <row r="33" spans="1:10" s="384" customFormat="1" ht="15.75" hidden="1">
      <c r="A33" s="385"/>
      <c r="B33" s="385"/>
      <c r="C33" s="50"/>
      <c r="D33" s="443" t="s">
        <v>218</v>
      </c>
      <c r="E33" s="444">
        <f>E31-E32</f>
        <v>93.050034091807902</v>
      </c>
      <c r="F33" s="385"/>
      <c r="G33" s="246"/>
    </row>
    <row r="34" spans="1:10" s="384" customFormat="1" ht="15.75" hidden="1" thickBot="1"/>
    <row r="35" spans="1:10" s="384" customFormat="1" ht="15.75" hidden="1">
      <c r="A35" s="73" t="s">
        <v>141</v>
      </c>
      <c r="B35" s="78"/>
      <c r="C35" s="79"/>
      <c r="D35" s="80"/>
      <c r="E35" s="81"/>
      <c r="G35" s="5"/>
      <c r="H35" s="5"/>
      <c r="I35" s="48"/>
      <c r="J35" s="48"/>
    </row>
    <row r="36" spans="1:10" s="384" customFormat="1" ht="15.75" hidden="1">
      <c r="A36" s="219">
        <v>41274</v>
      </c>
      <c r="B36" s="137"/>
      <c r="C36" s="11"/>
      <c r="D36" s="138"/>
      <c r="E36" s="77"/>
      <c r="G36" s="5"/>
      <c r="H36" s="5"/>
      <c r="I36" s="48"/>
      <c r="J36" s="48"/>
    </row>
    <row r="37" spans="1:10" s="384" customFormat="1" ht="16.5" hidden="1" thickBot="1">
      <c r="A37" s="139"/>
      <c r="B37" s="140"/>
      <c r="C37" s="131" t="s">
        <v>21</v>
      </c>
      <c r="D37" s="131" t="s">
        <v>22</v>
      </c>
      <c r="E37" s="128" t="s">
        <v>23</v>
      </c>
      <c r="F37" s="385"/>
      <c r="G37" s="385"/>
      <c r="H37" s="385"/>
      <c r="I37" s="385"/>
      <c r="J37" s="385"/>
    </row>
    <row r="38" spans="1:10" s="384" customFormat="1" ht="15.75" hidden="1">
      <c r="A38" s="50" t="s">
        <v>24</v>
      </c>
      <c r="B38" s="95">
        <v>101</v>
      </c>
      <c r="C38" s="206">
        <v>18054358</v>
      </c>
      <c r="D38" s="389">
        <v>3.3950000000000001E-2</v>
      </c>
      <c r="E38" s="168">
        <v>610563.22</v>
      </c>
      <c r="F38" s="385" t="s">
        <v>187</v>
      </c>
      <c r="G38" s="385"/>
      <c r="H38" s="385"/>
      <c r="I38" s="385"/>
      <c r="J38" s="385"/>
    </row>
    <row r="39" spans="1:10" s="384" customFormat="1" ht="16.5" hidden="1" thickBot="1">
      <c r="A39" s="50" t="s">
        <v>24</v>
      </c>
      <c r="B39" s="95">
        <v>111</v>
      </c>
      <c r="C39" s="206">
        <v>6151406</v>
      </c>
      <c r="D39" s="389">
        <v>3.0599999999999999E-2</v>
      </c>
      <c r="E39" s="168">
        <v>187548.98</v>
      </c>
      <c r="F39" s="385" t="s">
        <v>187</v>
      </c>
      <c r="G39" s="123">
        <f>A36</f>
        <v>41274</v>
      </c>
      <c r="H39" s="385"/>
      <c r="I39" s="385"/>
      <c r="J39" s="385"/>
    </row>
    <row r="40" spans="1:10" s="384" customFormat="1" ht="16.5" hidden="1" thickBot="1">
      <c r="A40" s="50" t="s">
        <v>24</v>
      </c>
      <c r="B40" s="95">
        <v>112</v>
      </c>
      <c r="C40" s="206">
        <v>0</v>
      </c>
      <c r="D40" s="389"/>
      <c r="E40" s="168">
        <f t="shared" ref="E40" si="0">C40*D40</f>
        <v>0</v>
      </c>
      <c r="F40" s="385" t="s">
        <v>187</v>
      </c>
      <c r="G40" s="113" t="s">
        <v>25</v>
      </c>
      <c r="H40" s="205"/>
      <c r="I40" s="126" t="s">
        <v>18</v>
      </c>
      <c r="J40" s="126" t="s">
        <v>19</v>
      </c>
    </row>
    <row r="41" spans="1:10" s="384" customFormat="1" ht="15.75" hidden="1">
      <c r="A41" s="50" t="s">
        <v>24</v>
      </c>
      <c r="B41" s="95">
        <v>121</v>
      </c>
      <c r="C41" s="206">
        <v>385155</v>
      </c>
      <c r="D41" s="389">
        <v>2.998E-2</v>
      </c>
      <c r="E41" s="168">
        <v>11473.63</v>
      </c>
      <c r="F41" s="385" t="s">
        <v>187</v>
      </c>
      <c r="G41" s="151" t="s">
        <v>28</v>
      </c>
      <c r="H41" s="152" t="s">
        <v>75</v>
      </c>
      <c r="I41" s="152"/>
      <c r="J41" s="97">
        <f>IF(-E53&lt;0,-E53,0)</f>
        <v>0</v>
      </c>
    </row>
    <row r="42" spans="1:10" s="384" customFormat="1" ht="15.75" hidden="1">
      <c r="A42" s="50" t="s">
        <v>24</v>
      </c>
      <c r="B42" s="95">
        <v>122</v>
      </c>
      <c r="C42" s="206">
        <v>0</v>
      </c>
      <c r="D42" s="389"/>
      <c r="E42" s="168">
        <f t="shared" ref="E42:E47" si="1">C42*D42</f>
        <v>0</v>
      </c>
      <c r="F42" s="385" t="s">
        <v>187</v>
      </c>
      <c r="G42" s="153" t="s">
        <v>29</v>
      </c>
      <c r="H42" s="7" t="s">
        <v>76</v>
      </c>
      <c r="I42" s="7">
        <f>IF(-E53&gt;0,-E53,0)</f>
        <v>10764.89</v>
      </c>
      <c r="J42" s="223"/>
    </row>
    <row r="43" spans="1:10" s="384" customFormat="1" ht="15.75" hidden="1">
      <c r="A43" s="50" t="s">
        <v>24</v>
      </c>
      <c r="B43" s="95">
        <v>131</v>
      </c>
      <c r="C43" s="206">
        <v>0</v>
      </c>
      <c r="D43" s="389">
        <v>5.7389999999999997E-2</v>
      </c>
      <c r="E43" s="168">
        <f t="shared" si="1"/>
        <v>0</v>
      </c>
      <c r="F43" s="385" t="s">
        <v>187</v>
      </c>
      <c r="G43" s="153" t="s">
        <v>97</v>
      </c>
      <c r="H43" s="7" t="s">
        <v>26</v>
      </c>
      <c r="I43" s="8"/>
      <c r="J43" s="98">
        <f>-E51</f>
        <v>-889770.75003409176</v>
      </c>
    </row>
    <row r="44" spans="1:10" s="384" customFormat="1" ht="15.75" hidden="1">
      <c r="A44" s="50" t="s">
        <v>24</v>
      </c>
      <c r="B44" s="95">
        <v>132</v>
      </c>
      <c r="C44" s="206">
        <v>0</v>
      </c>
      <c r="D44" s="389"/>
      <c r="E44" s="168">
        <f t="shared" si="1"/>
        <v>0</v>
      </c>
      <c r="F44" s="385" t="s">
        <v>187</v>
      </c>
      <c r="G44" s="153" t="s">
        <v>10</v>
      </c>
      <c r="H44" s="7" t="s">
        <v>17</v>
      </c>
      <c r="I44" s="7">
        <v>0</v>
      </c>
      <c r="J44" s="98"/>
    </row>
    <row r="45" spans="1:10" s="384" customFormat="1" ht="16.5" hidden="1" thickBot="1">
      <c r="A45" s="50" t="s">
        <v>24</v>
      </c>
      <c r="B45" s="95">
        <v>146</v>
      </c>
      <c r="C45" s="206">
        <v>3066817</v>
      </c>
      <c r="D45" s="238"/>
      <c r="E45" s="168">
        <f t="shared" si="1"/>
        <v>0</v>
      </c>
      <c r="F45" s="385" t="s">
        <v>187</v>
      </c>
      <c r="G45" s="154" t="s">
        <v>98</v>
      </c>
      <c r="H45" s="147" t="s">
        <v>27</v>
      </c>
      <c r="I45" s="110">
        <f>-E32+E54</f>
        <v>879005.86003409186</v>
      </c>
      <c r="J45" s="107"/>
    </row>
    <row r="46" spans="1:10" s="384" customFormat="1" ht="15.75" hidden="1">
      <c r="A46" s="50" t="s">
        <v>151</v>
      </c>
      <c r="B46" s="95"/>
      <c r="C46" s="206"/>
      <c r="D46" s="121"/>
      <c r="E46" s="168">
        <f t="shared" si="1"/>
        <v>0</v>
      </c>
      <c r="F46" s="385" t="s">
        <v>187</v>
      </c>
      <c r="G46" s="385"/>
      <c r="H46" s="385"/>
      <c r="I46" s="385"/>
      <c r="J46" s="338">
        <f>SUM(I41:J45)</f>
        <v>0</v>
      </c>
    </row>
    <row r="47" spans="1:10" s="384" customFormat="1" ht="15.75" hidden="1">
      <c r="A47" s="141" t="s">
        <v>143</v>
      </c>
      <c r="B47" s="95">
        <v>146</v>
      </c>
      <c r="C47" s="206"/>
      <c r="D47" s="121"/>
      <c r="E47" s="168">
        <f t="shared" si="1"/>
        <v>0</v>
      </c>
      <c r="F47" s="385" t="s">
        <v>187</v>
      </c>
      <c r="G47" s="123"/>
      <c r="H47" s="7"/>
      <c r="I47" s="7"/>
      <c r="J47" s="7"/>
    </row>
    <row r="48" spans="1:10" s="384" customFormat="1" ht="15.75" hidden="1">
      <c r="A48" s="141" t="s">
        <v>105</v>
      </c>
      <c r="B48" s="95"/>
      <c r="C48" s="206"/>
      <c r="D48" s="121"/>
      <c r="E48" s="226">
        <v>80091.87</v>
      </c>
      <c r="F48" s="385"/>
      <c r="G48" s="123"/>
      <c r="H48" s="7"/>
      <c r="I48" s="12"/>
      <c r="J48" s="12"/>
    </row>
    <row r="49" spans="1:10" s="384" customFormat="1" ht="16.5" hidden="1" thickBot="1">
      <c r="A49" s="50"/>
      <c r="B49" s="95"/>
      <c r="C49" s="159">
        <f>SUM(C38:C48)</f>
        <v>27657736</v>
      </c>
      <c r="D49" s="142"/>
      <c r="E49" s="207">
        <f>SUM(E38:E48)</f>
        <v>889677.7</v>
      </c>
      <c r="F49" s="385"/>
      <c r="G49" s="123"/>
      <c r="H49" s="7"/>
      <c r="I49" s="7"/>
      <c r="J49" s="8"/>
    </row>
    <row r="50" spans="1:10" s="384" customFormat="1" ht="16.5" hidden="1" thickTop="1">
      <c r="A50" s="50"/>
      <c r="B50" s="95"/>
      <c r="C50" s="224">
        <v>27657736</v>
      </c>
      <c r="D50" s="142" t="s">
        <v>161</v>
      </c>
      <c r="E50" s="156">
        <f>E33</f>
        <v>93.050034091807902</v>
      </c>
      <c r="F50" s="385"/>
      <c r="G50" s="11"/>
      <c r="H50" s="7"/>
      <c r="I50" s="8"/>
      <c r="J50" s="7"/>
    </row>
    <row r="51" spans="1:10" s="384" customFormat="1" ht="16.5" hidden="1" thickBot="1">
      <c r="A51" s="50"/>
      <c r="B51" s="95"/>
      <c r="C51" s="230">
        <f>C50-C49</f>
        <v>0</v>
      </c>
      <c r="D51" s="142"/>
      <c r="E51" s="160">
        <f>SUM(E49:E50)</f>
        <v>889770.75003409176</v>
      </c>
      <c r="F51" s="385"/>
      <c r="G51" s="65" t="s">
        <v>158</v>
      </c>
      <c r="H51" s="7"/>
      <c r="I51" s="7"/>
      <c r="J51" s="7"/>
    </row>
    <row r="52" spans="1:10" s="384" customFormat="1" ht="16.5" hidden="1" thickTop="1">
      <c r="A52" s="385"/>
      <c r="B52" s="385"/>
      <c r="C52" s="385"/>
      <c r="D52" s="142" t="s">
        <v>87</v>
      </c>
      <c r="E52" s="50">
        <f>E51+E32</f>
        <v>-3529937.6099659083</v>
      </c>
      <c r="F52" s="385"/>
      <c r="G52" s="8">
        <f>(E31*(D53/12))+(E51*(D53/24))</f>
        <v>-10764.893573819838</v>
      </c>
      <c r="H52" s="398"/>
      <c r="I52" s="398"/>
      <c r="J52" s="7"/>
    </row>
    <row r="53" spans="1:10" s="384" customFormat="1" ht="15.75" hidden="1">
      <c r="A53" s="385"/>
      <c r="B53" s="385"/>
      <c r="C53" s="50" t="s">
        <v>57</v>
      </c>
      <c r="D53" s="225">
        <v>3.2500000000000001E-2</v>
      </c>
      <c r="E53" s="119">
        <f>ROUND(((E31)+(SUM(E51))/2)*(D53/12),2)</f>
        <v>-10764.89</v>
      </c>
      <c r="F53" s="385"/>
      <c r="G53" s="8"/>
      <c r="H53" s="7"/>
      <c r="I53" s="12"/>
      <c r="J53" s="12"/>
    </row>
    <row r="54" spans="1:10" s="384" customFormat="1" ht="15.75" hidden="1">
      <c r="A54" s="385"/>
      <c r="B54" s="385"/>
      <c r="C54" s="50" t="s">
        <v>1</v>
      </c>
      <c r="D54" s="90">
        <f>A36</f>
        <v>41274</v>
      </c>
      <c r="E54" s="50">
        <f>SUM(E52:E53)</f>
        <v>-3540702.4999659085</v>
      </c>
      <c r="F54" s="385"/>
      <c r="G54" s="246"/>
    </row>
    <row r="55" spans="1:10" s="331" customFormat="1" ht="15.75" hidden="1" thickBot="1"/>
    <row r="56" spans="1:10" ht="15.75" hidden="1">
      <c r="A56" s="73" t="s">
        <v>141</v>
      </c>
      <c r="B56" s="78"/>
      <c r="C56" s="79"/>
      <c r="D56" s="80"/>
      <c r="E56" s="81"/>
      <c r="F56" s="384"/>
      <c r="G56" s="5"/>
      <c r="H56" s="5"/>
      <c r="I56" s="48"/>
      <c r="J56" s="48"/>
    </row>
    <row r="57" spans="1:10" ht="15.75" hidden="1">
      <c r="A57" s="219">
        <v>41305</v>
      </c>
      <c r="B57" s="137"/>
      <c r="C57" s="11"/>
      <c r="D57" s="138"/>
      <c r="E57" s="77"/>
      <c r="F57" s="384"/>
      <c r="G57" s="5"/>
      <c r="H57" s="5"/>
      <c r="I57" s="48"/>
      <c r="J57" s="48"/>
    </row>
    <row r="58" spans="1:10" ht="16.5" hidden="1" thickBot="1">
      <c r="A58" s="139"/>
      <c r="B58" s="140"/>
      <c r="C58" s="131" t="s">
        <v>21</v>
      </c>
      <c r="D58" s="131" t="s">
        <v>22</v>
      </c>
      <c r="E58" s="128" t="s">
        <v>23</v>
      </c>
      <c r="F58" s="385"/>
      <c r="G58" s="385"/>
      <c r="H58" s="385"/>
      <c r="I58" s="385"/>
      <c r="J58" s="385"/>
    </row>
    <row r="59" spans="1:10" ht="15.75" hidden="1">
      <c r="A59" s="50" t="s">
        <v>24</v>
      </c>
      <c r="B59" s="95">
        <v>101</v>
      </c>
      <c r="C59" s="206">
        <v>22136409</v>
      </c>
      <c r="D59" s="389">
        <v>3.3950000000000001E-2</v>
      </c>
      <c r="E59" s="168">
        <f>C59*D59</f>
        <v>751531.08555000008</v>
      </c>
      <c r="F59" s="385"/>
      <c r="G59" s="385"/>
      <c r="H59" s="385"/>
      <c r="I59" s="385"/>
      <c r="J59" s="385"/>
    </row>
    <row r="60" spans="1:10" ht="16.5" hidden="1" thickBot="1">
      <c r="A60" s="50" t="s">
        <v>24</v>
      </c>
      <c r="B60" s="95">
        <v>111</v>
      </c>
      <c r="C60" s="206">
        <v>7525225</v>
      </c>
      <c r="D60" s="389">
        <v>3.0599999999999999E-2</v>
      </c>
      <c r="E60" s="168">
        <f>C60*D60</f>
        <v>230271.88499999998</v>
      </c>
      <c r="F60" s="385"/>
      <c r="G60" s="123">
        <f>A57</f>
        <v>41305</v>
      </c>
      <c r="H60" s="385"/>
      <c r="I60" s="385"/>
      <c r="J60" s="385"/>
    </row>
    <row r="61" spans="1:10" ht="16.5" hidden="1" thickBot="1">
      <c r="A61" s="50" t="s">
        <v>24</v>
      </c>
      <c r="B61" s="95">
        <v>112</v>
      </c>
      <c r="C61" s="206">
        <v>0</v>
      </c>
      <c r="D61" s="389"/>
      <c r="E61" s="168">
        <f t="shared" ref="E61:E68" si="2">C61*D61</f>
        <v>0</v>
      </c>
      <c r="F61" s="385"/>
      <c r="G61" s="113" t="s">
        <v>25</v>
      </c>
      <c r="H61" s="205"/>
      <c r="I61" s="126" t="s">
        <v>18</v>
      </c>
      <c r="J61" s="126" t="s">
        <v>19</v>
      </c>
    </row>
    <row r="62" spans="1:10" ht="15.75" hidden="1">
      <c r="A62" s="50" t="s">
        <v>24</v>
      </c>
      <c r="B62" s="95">
        <v>121</v>
      </c>
      <c r="C62" s="206">
        <v>606431</v>
      </c>
      <c r="D62" s="389">
        <v>2.998E-2</v>
      </c>
      <c r="E62" s="168">
        <f>C62*D62</f>
        <v>18180.801380000001</v>
      </c>
      <c r="F62" s="385"/>
      <c r="G62" s="151" t="s">
        <v>28</v>
      </c>
      <c r="H62" s="152" t="s">
        <v>75</v>
      </c>
      <c r="I62" s="152"/>
      <c r="J62" s="97">
        <f>IF(-E74&lt;0,-E74,0)</f>
        <v>0</v>
      </c>
    </row>
    <row r="63" spans="1:10" ht="15.75" hidden="1">
      <c r="A63" s="50" t="s">
        <v>24</v>
      </c>
      <c r="B63" s="95">
        <v>122</v>
      </c>
      <c r="C63" s="206">
        <v>0</v>
      </c>
      <c r="D63" s="389"/>
      <c r="E63" s="168">
        <f t="shared" si="2"/>
        <v>0</v>
      </c>
      <c r="F63" s="385"/>
      <c r="G63" s="153" t="s">
        <v>29</v>
      </c>
      <c r="H63" s="7" t="s">
        <v>76</v>
      </c>
      <c r="I63" s="7">
        <f>IF(-E74&gt;0,-E74,0)</f>
        <v>8235.26</v>
      </c>
      <c r="J63" s="223"/>
    </row>
    <row r="64" spans="1:10" ht="15.75" hidden="1">
      <c r="A64" s="50" t="s">
        <v>24</v>
      </c>
      <c r="B64" s="95">
        <v>131</v>
      </c>
      <c r="C64" s="206">
        <v>0</v>
      </c>
      <c r="D64" s="389">
        <v>5.7389999999999997E-2</v>
      </c>
      <c r="E64" s="168">
        <f t="shared" si="2"/>
        <v>0</v>
      </c>
      <c r="F64" s="385"/>
      <c r="G64" s="153" t="s">
        <v>97</v>
      </c>
      <c r="H64" s="7" t="s">
        <v>26</v>
      </c>
      <c r="I64" s="8"/>
      <c r="J64" s="98">
        <f>-E72</f>
        <v>-999983.77193000005</v>
      </c>
    </row>
    <row r="65" spans="1:10" ht="15.75" hidden="1">
      <c r="A65" s="50" t="s">
        <v>24</v>
      </c>
      <c r="B65" s="95">
        <v>132</v>
      </c>
      <c r="C65" s="206">
        <v>0</v>
      </c>
      <c r="D65" s="389"/>
      <c r="E65" s="168">
        <f t="shared" si="2"/>
        <v>0</v>
      </c>
      <c r="F65" s="385"/>
      <c r="G65" s="153" t="s">
        <v>10</v>
      </c>
      <c r="H65" s="7" t="s">
        <v>17</v>
      </c>
      <c r="I65" s="7">
        <v>0</v>
      </c>
      <c r="J65" s="98"/>
    </row>
    <row r="66" spans="1:10" ht="16.5" hidden="1" thickBot="1">
      <c r="A66" s="50" t="s">
        <v>24</v>
      </c>
      <c r="B66" s="95">
        <v>146</v>
      </c>
      <c r="C66" s="206">
        <v>3682356</v>
      </c>
      <c r="D66" s="238"/>
      <c r="E66" s="168">
        <f t="shared" si="2"/>
        <v>0</v>
      </c>
      <c r="F66" s="385"/>
      <c r="G66" s="154" t="s">
        <v>98</v>
      </c>
      <c r="H66" s="147" t="s">
        <v>27</v>
      </c>
      <c r="I66" s="110">
        <f>-E54+E75</f>
        <v>991748.5119300005</v>
      </c>
      <c r="J66" s="107"/>
    </row>
    <row r="67" spans="1:10" ht="15.75" hidden="1">
      <c r="A67" s="50" t="s">
        <v>151</v>
      </c>
      <c r="B67" s="95"/>
      <c r="C67" s="206"/>
      <c r="D67" s="121"/>
      <c r="E67" s="168">
        <f t="shared" si="2"/>
        <v>0</v>
      </c>
      <c r="F67" s="385"/>
      <c r="G67" s="646"/>
      <c r="H67" s="646"/>
      <c r="I67" s="646"/>
      <c r="J67" s="338">
        <f>SUM(I62:J66)</f>
        <v>0</v>
      </c>
    </row>
    <row r="68" spans="1:10" ht="15.75" hidden="1">
      <c r="A68" s="141" t="s">
        <v>143</v>
      </c>
      <c r="B68" s="95">
        <v>146</v>
      </c>
      <c r="C68" s="206"/>
      <c r="D68" s="121"/>
      <c r="E68" s="168">
        <f t="shared" si="2"/>
        <v>0</v>
      </c>
      <c r="F68" s="385"/>
      <c r="G68" s="647"/>
      <c r="H68" s="647"/>
      <c r="I68" s="647"/>
      <c r="J68" s="7"/>
    </row>
    <row r="69" spans="1:10" ht="15.75" hidden="1">
      <c r="A69" s="141" t="s">
        <v>105</v>
      </c>
      <c r="B69" s="95"/>
      <c r="C69" s="206"/>
      <c r="D69" s="121"/>
      <c r="E69" s="226">
        <v>0</v>
      </c>
      <c r="F69" s="385"/>
      <c r="G69" s="647"/>
      <c r="H69" s="647"/>
      <c r="I69" s="647"/>
      <c r="J69" s="12"/>
    </row>
    <row r="70" spans="1:10" ht="16.5" hidden="1" thickBot="1">
      <c r="A70" s="50"/>
      <c r="B70" s="95"/>
      <c r="C70" s="159">
        <f>SUM(C59:C69)</f>
        <v>33950421</v>
      </c>
      <c r="D70" s="142"/>
      <c r="E70" s="207">
        <f>SUM(E59:E69)</f>
        <v>999983.77193000005</v>
      </c>
      <c r="F70" s="385"/>
      <c r="G70" s="647"/>
      <c r="H70" s="647"/>
      <c r="I70" s="647"/>
      <c r="J70" s="8"/>
    </row>
    <row r="71" spans="1:10" ht="16.5" hidden="1" thickTop="1">
      <c r="A71" s="50"/>
      <c r="B71" s="95"/>
      <c r="C71" s="224">
        <v>33950421</v>
      </c>
      <c r="D71" s="142" t="s">
        <v>161</v>
      </c>
      <c r="E71" s="156">
        <v>0</v>
      </c>
      <c r="F71" s="385"/>
      <c r="G71" s="11"/>
      <c r="H71" s="7"/>
      <c r="I71" s="8"/>
      <c r="J71" s="7"/>
    </row>
    <row r="72" spans="1:10" ht="16.5" hidden="1" thickBot="1">
      <c r="A72" s="50"/>
      <c r="B72" s="95"/>
      <c r="C72" s="230">
        <f>C71-C70</f>
        <v>0</v>
      </c>
      <c r="D72" s="142"/>
      <c r="E72" s="160">
        <f>SUM(E70:E71)</f>
        <v>999983.77193000005</v>
      </c>
      <c r="F72" s="385"/>
      <c r="G72" s="65" t="s">
        <v>158</v>
      </c>
      <c r="H72" s="7"/>
      <c r="I72" s="7"/>
      <c r="J72" s="7"/>
    </row>
    <row r="73" spans="1:10" ht="16.5" hidden="1" thickTop="1">
      <c r="A73" s="385"/>
      <c r="B73" s="385"/>
      <c r="C73" s="385"/>
      <c r="D73" s="142" t="s">
        <v>87</v>
      </c>
      <c r="E73" s="50">
        <f>E72+E54</f>
        <v>-2540718.7280359082</v>
      </c>
      <c r="F73" s="385"/>
      <c r="G73" s="8">
        <f>(E54*(D74/12))+(E72*(D74/24))</f>
        <v>-8235.2579129191272</v>
      </c>
      <c r="H73" s="446"/>
      <c r="I73" s="446"/>
      <c r="J73" s="7"/>
    </row>
    <row r="74" spans="1:10" ht="15.75" hidden="1">
      <c r="A74" s="385"/>
      <c r="B74" s="385"/>
      <c r="C74" s="50" t="s">
        <v>57</v>
      </c>
      <c r="D74" s="225">
        <v>3.2500000000000001E-2</v>
      </c>
      <c r="E74" s="119">
        <f>ROUND(((E54)+(SUM(E72))/2)*(D74/12),2)</f>
        <v>-8235.26</v>
      </c>
      <c r="F74" s="385"/>
      <c r="G74" s="8"/>
      <c r="H74" s="7"/>
      <c r="I74" s="12"/>
      <c r="J74" s="12"/>
    </row>
    <row r="75" spans="1:10" ht="15.75" hidden="1">
      <c r="A75" s="385"/>
      <c r="B75" s="385"/>
      <c r="C75" s="50" t="s">
        <v>1</v>
      </c>
      <c r="D75" s="90">
        <f>A57</f>
        <v>41305</v>
      </c>
      <c r="E75" s="50">
        <f>SUM(E73:E74)</f>
        <v>-2548953.988035908</v>
      </c>
      <c r="F75" s="385"/>
      <c r="G75" s="246"/>
      <c r="H75" s="384"/>
      <c r="I75" s="384"/>
      <c r="J75" s="384"/>
    </row>
    <row r="76" spans="1:10" s="384" customFormat="1" ht="15.75" hidden="1" thickBot="1"/>
    <row r="77" spans="1:10" s="384" customFormat="1" ht="15.75" hidden="1">
      <c r="A77" s="73" t="s">
        <v>141</v>
      </c>
      <c r="B77" s="78"/>
      <c r="C77" s="79"/>
      <c r="D77" s="80"/>
      <c r="E77" s="81"/>
      <c r="G77" s="5"/>
      <c r="H77" s="5"/>
      <c r="I77" s="48"/>
      <c r="J77" s="48"/>
    </row>
    <row r="78" spans="1:10" s="384" customFormat="1" ht="15.75" hidden="1">
      <c r="A78" s="219">
        <v>41333</v>
      </c>
      <c r="B78" s="137"/>
      <c r="C78" s="11"/>
      <c r="D78" s="138"/>
      <c r="E78" s="77"/>
      <c r="G78" s="5"/>
      <c r="H78" s="5"/>
      <c r="I78" s="48"/>
      <c r="J78" s="48"/>
    </row>
    <row r="79" spans="1:10" s="384" customFormat="1" ht="16.5" hidden="1" thickBot="1">
      <c r="A79" s="139"/>
      <c r="B79" s="140"/>
      <c r="C79" s="131" t="s">
        <v>21</v>
      </c>
      <c r="D79" s="131" t="s">
        <v>22</v>
      </c>
      <c r="E79" s="128" t="s">
        <v>23</v>
      </c>
      <c r="F79" s="385"/>
      <c r="G79" s="385"/>
      <c r="H79" s="385"/>
      <c r="I79" s="385"/>
      <c r="J79" s="385"/>
    </row>
    <row r="80" spans="1:10" s="384" customFormat="1" ht="15.75" hidden="1">
      <c r="A80" s="50" t="s">
        <v>24</v>
      </c>
      <c r="B80" s="95">
        <v>101</v>
      </c>
      <c r="C80" s="206">
        <v>16585315</v>
      </c>
      <c r="D80" s="389">
        <v>3.3950000000000001E-2</v>
      </c>
      <c r="E80" s="168">
        <v>563071.44425000006</v>
      </c>
      <c r="F80" s="385"/>
      <c r="G80" s="385"/>
      <c r="H80" s="385"/>
      <c r="I80" s="385"/>
      <c r="J80" s="385"/>
    </row>
    <row r="81" spans="1:10" s="384" customFormat="1" ht="16.5" hidden="1" thickBot="1">
      <c r="A81" s="50" t="s">
        <v>24</v>
      </c>
      <c r="B81" s="95">
        <v>111</v>
      </c>
      <c r="C81" s="206">
        <v>5716465</v>
      </c>
      <c r="D81" s="389">
        <v>3.0599999999999999E-2</v>
      </c>
      <c r="E81" s="168">
        <v>174923.829</v>
      </c>
      <c r="F81" s="385"/>
      <c r="G81" s="123">
        <f>A78</f>
        <v>41333</v>
      </c>
      <c r="H81" s="385"/>
      <c r="I81" s="385"/>
      <c r="J81" s="385"/>
    </row>
    <row r="82" spans="1:10" s="384" customFormat="1" ht="16.5" hidden="1" thickBot="1">
      <c r="A82" s="50" t="s">
        <v>24</v>
      </c>
      <c r="B82" s="95">
        <v>112</v>
      </c>
      <c r="C82" s="206">
        <v>0</v>
      </c>
      <c r="D82" s="389"/>
      <c r="E82" s="168">
        <v>0</v>
      </c>
      <c r="F82" s="385"/>
      <c r="G82" s="113" t="s">
        <v>25</v>
      </c>
      <c r="H82" s="205"/>
      <c r="I82" s="126" t="s">
        <v>18</v>
      </c>
      <c r="J82" s="126" t="s">
        <v>19</v>
      </c>
    </row>
    <row r="83" spans="1:10" s="384" customFormat="1" ht="15.75" hidden="1">
      <c r="A83" s="50" t="s">
        <v>24</v>
      </c>
      <c r="B83" s="95">
        <v>121</v>
      </c>
      <c r="C83" s="206">
        <v>416479</v>
      </c>
      <c r="D83" s="389">
        <v>2.998E-2</v>
      </c>
      <c r="E83" s="168">
        <v>12486.040419999999</v>
      </c>
      <c r="F83" s="385"/>
      <c r="G83" s="151" t="s">
        <v>28</v>
      </c>
      <c r="H83" s="152" t="s">
        <v>75</v>
      </c>
      <c r="I83" s="152"/>
      <c r="J83" s="97">
        <f>IF(-E95&lt;0,-E95,0)</f>
        <v>0</v>
      </c>
    </row>
    <row r="84" spans="1:10" s="384" customFormat="1" ht="15.75" hidden="1">
      <c r="A84" s="50" t="s">
        <v>24</v>
      </c>
      <c r="B84" s="95">
        <v>122</v>
      </c>
      <c r="C84" s="206">
        <v>0</v>
      </c>
      <c r="D84" s="389"/>
      <c r="E84" s="168">
        <v>0</v>
      </c>
      <c r="F84" s="385"/>
      <c r="G84" s="153" t="s">
        <v>29</v>
      </c>
      <c r="H84" s="7" t="s">
        <v>76</v>
      </c>
      <c r="I84" s="7">
        <f>IF(-E95&gt;0,-E95,0)</f>
        <v>5887.14</v>
      </c>
      <c r="J84" s="223"/>
    </row>
    <row r="85" spans="1:10" s="384" customFormat="1" ht="15.75" hidden="1">
      <c r="A85" s="50" t="s">
        <v>24</v>
      </c>
      <c r="B85" s="95">
        <v>131</v>
      </c>
      <c r="C85" s="206">
        <v>0</v>
      </c>
      <c r="D85" s="389">
        <v>5.7389999999999997E-2</v>
      </c>
      <c r="E85" s="168">
        <v>0</v>
      </c>
      <c r="F85" s="385"/>
      <c r="G85" s="153" t="s">
        <v>97</v>
      </c>
      <c r="H85" s="7" t="s">
        <v>26</v>
      </c>
      <c r="I85" s="8"/>
      <c r="J85" s="98">
        <f>-E93</f>
        <v>-750481.31367000006</v>
      </c>
    </row>
    <row r="86" spans="1:10" s="384" customFormat="1" ht="15.75" hidden="1">
      <c r="A86" s="50" t="s">
        <v>24</v>
      </c>
      <c r="B86" s="95">
        <v>132</v>
      </c>
      <c r="C86" s="206">
        <v>0</v>
      </c>
      <c r="D86" s="389"/>
      <c r="E86" s="168">
        <v>0</v>
      </c>
      <c r="F86" s="385"/>
      <c r="G86" s="153" t="s">
        <v>10</v>
      </c>
      <c r="H86" s="7" t="s">
        <v>17</v>
      </c>
      <c r="I86" s="7">
        <v>0</v>
      </c>
      <c r="J86" s="98"/>
    </row>
    <row r="87" spans="1:10" s="384" customFormat="1" ht="16.5" hidden="1" thickBot="1">
      <c r="A87" s="50" t="s">
        <v>24</v>
      </c>
      <c r="B87" s="95">
        <v>146</v>
      </c>
      <c r="C87" s="206">
        <v>2865845</v>
      </c>
      <c r="D87" s="238"/>
      <c r="E87" s="168">
        <v>0</v>
      </c>
      <c r="F87" s="385"/>
      <c r="G87" s="154" t="s">
        <v>98</v>
      </c>
      <c r="H87" s="147" t="s">
        <v>27</v>
      </c>
      <c r="I87" s="110">
        <f>-E75+E96</f>
        <v>744594.17367000016</v>
      </c>
      <c r="J87" s="107"/>
    </row>
    <row r="88" spans="1:10" s="384" customFormat="1" ht="15.75" hidden="1">
      <c r="A88" s="50" t="s">
        <v>151</v>
      </c>
      <c r="B88" s="95"/>
      <c r="C88" s="206"/>
      <c r="D88" s="121"/>
      <c r="E88" s="168">
        <v>0</v>
      </c>
      <c r="F88" s="385"/>
      <c r="G88" s="385"/>
      <c r="H88" s="385"/>
      <c r="I88" s="385"/>
      <c r="J88" s="338">
        <f>SUM(I83:J87)</f>
        <v>0</v>
      </c>
    </row>
    <row r="89" spans="1:10" s="384" customFormat="1" ht="15.75" hidden="1">
      <c r="A89" s="141" t="s">
        <v>143</v>
      </c>
      <c r="B89" s="95">
        <v>146</v>
      </c>
      <c r="C89" s="206"/>
      <c r="D89" s="121"/>
      <c r="E89" s="168">
        <v>0</v>
      </c>
      <c r="F89" s="385"/>
      <c r="G89" s="123"/>
      <c r="H89" s="7"/>
      <c r="I89" s="7"/>
      <c r="J89" s="7"/>
    </row>
    <row r="90" spans="1:10" s="384" customFormat="1" ht="15.75" hidden="1">
      <c r="A90" s="141" t="s">
        <v>105</v>
      </c>
      <c r="B90" s="95"/>
      <c r="C90" s="206"/>
      <c r="D90" s="121"/>
      <c r="E90" s="226">
        <v>0</v>
      </c>
      <c r="F90" s="385"/>
      <c r="G90" s="123"/>
      <c r="H90" s="7"/>
      <c r="I90" s="12"/>
      <c r="J90" s="12"/>
    </row>
    <row r="91" spans="1:10" s="384" customFormat="1" ht="16.5" hidden="1" thickBot="1">
      <c r="A91" s="50"/>
      <c r="B91" s="95"/>
      <c r="C91" s="159">
        <f>SUM(C80:C90)</f>
        <v>25584104</v>
      </c>
      <c r="D91" s="142"/>
      <c r="E91" s="207">
        <f>SUM(E80:E90)</f>
        <v>750481.31367000006</v>
      </c>
      <c r="F91" s="385"/>
      <c r="G91" s="123"/>
      <c r="H91" s="7"/>
      <c r="I91" s="7"/>
      <c r="J91" s="8"/>
    </row>
    <row r="92" spans="1:10" s="384" customFormat="1" ht="16.5" hidden="1" thickTop="1">
      <c r="A92" s="50"/>
      <c r="B92" s="95"/>
      <c r="C92" s="224">
        <v>25584104</v>
      </c>
      <c r="D92" s="142" t="s">
        <v>161</v>
      </c>
      <c r="E92" s="156">
        <v>0</v>
      </c>
      <c r="F92" s="385"/>
      <c r="G92" s="11"/>
      <c r="H92" s="7"/>
      <c r="I92" s="8"/>
      <c r="J92" s="7"/>
    </row>
    <row r="93" spans="1:10" s="384" customFormat="1" ht="16.5" hidden="1" thickBot="1">
      <c r="A93" s="50"/>
      <c r="B93" s="95"/>
      <c r="C93" s="230">
        <f>C92-C91</f>
        <v>0</v>
      </c>
      <c r="D93" s="142"/>
      <c r="E93" s="160">
        <f>SUM(E91:E92)</f>
        <v>750481.31367000006</v>
      </c>
      <c r="F93" s="385"/>
      <c r="G93" s="65" t="s">
        <v>158</v>
      </c>
      <c r="H93" s="7"/>
      <c r="I93" s="7"/>
      <c r="J93" s="7"/>
    </row>
    <row r="94" spans="1:10" s="384" customFormat="1" ht="16.5" hidden="1" thickTop="1">
      <c r="A94" s="385"/>
      <c r="B94" s="385"/>
      <c r="C94" s="385"/>
      <c r="D94" s="142" t="s">
        <v>87</v>
      </c>
      <c r="E94" s="50">
        <f>E93+E75</f>
        <v>-1798472.6743659079</v>
      </c>
      <c r="F94" s="385"/>
      <c r="G94" s="8">
        <f>(E75*(D95/12))+(E93*(D95/24))</f>
        <v>-5887.1402720024589</v>
      </c>
      <c r="H94" s="448"/>
      <c r="I94" s="448"/>
      <c r="J94" s="7"/>
    </row>
    <row r="95" spans="1:10" s="384" customFormat="1" ht="15.75" hidden="1">
      <c r="A95" s="385"/>
      <c r="B95" s="385"/>
      <c r="C95" s="50" t="s">
        <v>57</v>
      </c>
      <c r="D95" s="225">
        <v>3.2500000000000001E-2</v>
      </c>
      <c r="E95" s="119">
        <f>ROUND(((E75)+(SUM(E93))/2)*(D95/12),2)</f>
        <v>-5887.14</v>
      </c>
      <c r="F95" s="385"/>
      <c r="G95" s="8"/>
      <c r="H95" s="7"/>
      <c r="I95" s="12"/>
      <c r="J95" s="12"/>
    </row>
    <row r="96" spans="1:10" s="384" customFormat="1" ht="15.75" hidden="1">
      <c r="A96" s="385"/>
      <c r="B96" s="385"/>
      <c r="C96" s="50" t="s">
        <v>1</v>
      </c>
      <c r="D96" s="90">
        <f>A78</f>
        <v>41333</v>
      </c>
      <c r="E96" s="50">
        <f>SUM(E94:E95)</f>
        <v>-1804359.8143659078</v>
      </c>
      <c r="F96" s="385"/>
      <c r="G96" s="246"/>
    </row>
    <row r="97" spans="1:10" s="384" customFormat="1" ht="15.75" hidden="1" thickBot="1"/>
    <row r="98" spans="1:10" s="384" customFormat="1" ht="15.75" hidden="1">
      <c r="A98" s="73" t="s">
        <v>141</v>
      </c>
      <c r="B98" s="78"/>
      <c r="C98" s="79"/>
      <c r="D98" s="80"/>
      <c r="E98" s="81"/>
      <c r="G98" s="5"/>
      <c r="H98" s="5"/>
      <c r="I98" s="48"/>
      <c r="J98" s="48"/>
    </row>
    <row r="99" spans="1:10" s="384" customFormat="1" ht="15.75" hidden="1">
      <c r="A99" s="219">
        <v>41364</v>
      </c>
      <c r="B99" s="137"/>
      <c r="C99" s="11"/>
      <c r="D99" s="138"/>
      <c r="E99" s="77"/>
      <c r="G99" s="5"/>
      <c r="H99" s="5"/>
      <c r="I99" s="48"/>
      <c r="J99" s="48"/>
    </row>
    <row r="100" spans="1:10" s="384" customFormat="1" ht="16.5" hidden="1" thickBot="1">
      <c r="A100" s="139"/>
      <c r="B100" s="140"/>
      <c r="C100" s="131" t="s">
        <v>21</v>
      </c>
      <c r="D100" s="131" t="s">
        <v>22</v>
      </c>
      <c r="E100" s="128" t="s">
        <v>23</v>
      </c>
      <c r="F100" s="385"/>
      <c r="G100" s="385"/>
      <c r="H100" s="385"/>
      <c r="I100" s="385"/>
      <c r="J100" s="385"/>
    </row>
    <row r="101" spans="1:10" s="384" customFormat="1" ht="15.75" hidden="1">
      <c r="A101" s="50" t="s">
        <v>24</v>
      </c>
      <c r="B101" s="95">
        <v>101</v>
      </c>
      <c r="C101" s="206">
        <v>12776328</v>
      </c>
      <c r="D101" s="389">
        <v>3.3950000000000001E-2</v>
      </c>
      <c r="E101" s="168">
        <v>433756.33559999999</v>
      </c>
      <c r="F101" s="385"/>
      <c r="G101" s="385"/>
      <c r="H101" s="385"/>
      <c r="I101" s="385"/>
      <c r="J101" s="385"/>
    </row>
    <row r="102" spans="1:10" s="384" customFormat="1" ht="16.5" hidden="1" thickBot="1">
      <c r="A102" s="50" t="s">
        <v>24</v>
      </c>
      <c r="B102" s="95">
        <v>111</v>
      </c>
      <c r="C102" s="206">
        <v>4890087</v>
      </c>
      <c r="D102" s="389">
        <v>3.0599999999999999E-2</v>
      </c>
      <c r="E102" s="168">
        <v>149636.66219999999</v>
      </c>
      <c r="F102" s="385"/>
      <c r="G102" s="123">
        <f>A99</f>
        <v>41364</v>
      </c>
      <c r="H102" s="385"/>
      <c r="I102" s="385"/>
      <c r="J102" s="385"/>
    </row>
    <row r="103" spans="1:10" s="384" customFormat="1" ht="16.5" hidden="1" thickBot="1">
      <c r="A103" s="50" t="s">
        <v>24</v>
      </c>
      <c r="B103" s="95">
        <v>112</v>
      </c>
      <c r="C103" s="206">
        <v>0</v>
      </c>
      <c r="D103" s="389"/>
      <c r="E103" s="168">
        <v>0</v>
      </c>
      <c r="F103" s="385"/>
      <c r="G103" s="113" t="s">
        <v>25</v>
      </c>
      <c r="H103" s="205"/>
      <c r="I103" s="126" t="s">
        <v>18</v>
      </c>
      <c r="J103" s="126" t="s">
        <v>19</v>
      </c>
    </row>
    <row r="104" spans="1:10" s="384" customFormat="1" ht="15.75" hidden="1">
      <c r="A104" s="50" t="s">
        <v>24</v>
      </c>
      <c r="B104" s="95">
        <v>121</v>
      </c>
      <c r="C104" s="206">
        <v>526218</v>
      </c>
      <c r="D104" s="389">
        <v>2.998E-2</v>
      </c>
      <c r="E104" s="168">
        <v>15776.01564</v>
      </c>
      <c r="F104" s="385"/>
      <c r="G104" s="151" t="s">
        <v>28</v>
      </c>
      <c r="H104" s="152" t="s">
        <v>75</v>
      </c>
      <c r="I104" s="152"/>
      <c r="J104" s="97">
        <f>IF(-E116&lt;0,-E116,0)</f>
        <v>0</v>
      </c>
    </row>
    <row r="105" spans="1:10" s="384" customFormat="1" ht="15.75" hidden="1">
      <c r="A105" s="50" t="s">
        <v>24</v>
      </c>
      <c r="B105" s="95">
        <v>122</v>
      </c>
      <c r="C105" s="206">
        <v>0</v>
      </c>
      <c r="D105" s="389"/>
      <c r="E105" s="168">
        <v>0</v>
      </c>
      <c r="F105" s="385"/>
      <c r="G105" s="153" t="s">
        <v>29</v>
      </c>
      <c r="H105" s="7" t="s">
        <v>76</v>
      </c>
      <c r="I105" s="7">
        <f>IF(-E116&gt;0,-E116,0)</f>
        <v>4075.43</v>
      </c>
      <c r="J105" s="223"/>
    </row>
    <row r="106" spans="1:10" s="384" customFormat="1" ht="15.75" hidden="1">
      <c r="A106" s="50" t="s">
        <v>24</v>
      </c>
      <c r="B106" s="95">
        <v>131</v>
      </c>
      <c r="C106" s="206">
        <v>0</v>
      </c>
      <c r="D106" s="389">
        <v>5.7389999999999997E-2</v>
      </c>
      <c r="E106" s="168">
        <v>0</v>
      </c>
      <c r="F106" s="385"/>
      <c r="G106" s="153" t="s">
        <v>97</v>
      </c>
      <c r="H106" s="7" t="s">
        <v>26</v>
      </c>
      <c r="I106" s="8"/>
      <c r="J106" s="98">
        <f>-E114</f>
        <v>-599169.01344000001</v>
      </c>
    </row>
    <row r="107" spans="1:10" s="384" customFormat="1" ht="15.75" hidden="1">
      <c r="A107" s="50" t="s">
        <v>24</v>
      </c>
      <c r="B107" s="95">
        <v>132</v>
      </c>
      <c r="C107" s="206">
        <v>0</v>
      </c>
      <c r="D107" s="389"/>
      <c r="E107" s="168">
        <v>0</v>
      </c>
      <c r="F107" s="385"/>
      <c r="G107" s="153" t="s">
        <v>10</v>
      </c>
      <c r="H107" s="7" t="s">
        <v>17</v>
      </c>
      <c r="I107" s="7">
        <v>0</v>
      </c>
      <c r="J107" s="98"/>
    </row>
    <row r="108" spans="1:10" s="384" customFormat="1" ht="16.5" hidden="1" thickBot="1">
      <c r="A108" s="50" t="s">
        <v>24</v>
      </c>
      <c r="B108" s="95">
        <v>146</v>
      </c>
      <c r="C108" s="206">
        <v>2772085</v>
      </c>
      <c r="D108" s="238"/>
      <c r="E108" s="168">
        <v>0</v>
      </c>
      <c r="F108" s="385"/>
      <c r="G108" s="154" t="s">
        <v>98</v>
      </c>
      <c r="H108" s="147" t="s">
        <v>27</v>
      </c>
      <c r="I108" s="110">
        <f>-E96+E117</f>
        <v>595093.58344000019</v>
      </c>
      <c r="J108" s="107"/>
    </row>
    <row r="109" spans="1:10" s="384" customFormat="1" ht="15.75" hidden="1">
      <c r="A109" s="50" t="s">
        <v>151</v>
      </c>
      <c r="B109" s="95"/>
      <c r="C109" s="206"/>
      <c r="D109" s="121"/>
      <c r="E109" s="168">
        <v>0</v>
      </c>
      <c r="F109" s="385"/>
      <c r="G109" s="385"/>
      <c r="H109" s="385"/>
      <c r="I109" s="385"/>
      <c r="J109" s="338">
        <f>SUM(I104:J108)</f>
        <v>0</v>
      </c>
    </row>
    <row r="110" spans="1:10" s="384" customFormat="1" ht="15.75" hidden="1">
      <c r="A110" s="141" t="s">
        <v>143</v>
      </c>
      <c r="B110" s="95">
        <v>146</v>
      </c>
      <c r="C110" s="206"/>
      <c r="D110" s="121"/>
      <c r="E110" s="168">
        <v>0</v>
      </c>
      <c r="F110" s="385"/>
      <c r="G110" s="123"/>
      <c r="H110" s="7"/>
      <c r="I110" s="7"/>
      <c r="J110" s="7"/>
    </row>
    <row r="111" spans="1:10" s="384" customFormat="1" ht="15.75" hidden="1">
      <c r="A111" s="141" t="s">
        <v>105</v>
      </c>
      <c r="B111" s="95"/>
      <c r="C111" s="206"/>
      <c r="D111" s="121"/>
      <c r="E111" s="226">
        <v>0</v>
      </c>
      <c r="F111" s="385"/>
      <c r="G111" s="123"/>
      <c r="H111" s="7"/>
      <c r="I111" s="12"/>
      <c r="J111" s="12"/>
    </row>
    <row r="112" spans="1:10" s="384" customFormat="1" ht="16.5" hidden="1" thickBot="1">
      <c r="A112" s="50"/>
      <c r="B112" s="95"/>
      <c r="C112" s="159">
        <f>SUM(C101:C111)</f>
        <v>20964718</v>
      </c>
      <c r="D112" s="142"/>
      <c r="E112" s="207">
        <f>SUM(E101:E111)</f>
        <v>599169.01344000001</v>
      </c>
      <c r="F112" s="385"/>
      <c r="G112" s="123"/>
      <c r="H112" s="7"/>
      <c r="I112" s="7"/>
      <c r="J112" s="8"/>
    </row>
    <row r="113" spans="1:10" s="384" customFormat="1" ht="16.5" hidden="1" thickTop="1">
      <c r="A113" s="50"/>
      <c r="B113" s="95"/>
      <c r="C113" s="224">
        <v>20964718</v>
      </c>
      <c r="D113" s="142" t="s">
        <v>161</v>
      </c>
      <c r="E113" s="156">
        <v>0</v>
      </c>
      <c r="F113" s="385"/>
      <c r="G113" s="11"/>
      <c r="H113" s="7"/>
      <c r="I113" s="8"/>
      <c r="J113" s="7"/>
    </row>
    <row r="114" spans="1:10" s="384" customFormat="1" ht="16.5" hidden="1" thickBot="1">
      <c r="A114" s="50"/>
      <c r="B114" s="95"/>
      <c r="C114" s="230">
        <f>C113-C112</f>
        <v>0</v>
      </c>
      <c r="D114" s="142"/>
      <c r="E114" s="160">
        <f>SUM(E112:E113)</f>
        <v>599169.01344000001</v>
      </c>
      <c r="F114" s="385"/>
      <c r="G114" s="65" t="s">
        <v>158</v>
      </c>
      <c r="H114" s="7"/>
      <c r="I114" s="7"/>
      <c r="J114" s="7"/>
    </row>
    <row r="115" spans="1:10" s="384" customFormat="1" ht="16.5" hidden="1" thickTop="1">
      <c r="A115" s="385"/>
      <c r="B115" s="385"/>
      <c r="C115" s="385"/>
      <c r="D115" s="142" t="s">
        <v>87</v>
      </c>
      <c r="E115" s="50">
        <f>E114+E96</f>
        <v>-1205190.8009259077</v>
      </c>
      <c r="F115" s="385"/>
      <c r="G115" s="8">
        <f>(E96*(D116/12))+(E114*(D116/24))</f>
        <v>-4075.4331248743338</v>
      </c>
      <c r="H115" s="450"/>
      <c r="I115" s="450"/>
      <c r="J115" s="7"/>
    </row>
    <row r="116" spans="1:10" s="384" customFormat="1" ht="15.75" hidden="1">
      <c r="A116" s="385"/>
      <c r="B116" s="385"/>
      <c r="C116" s="50" t="s">
        <v>57</v>
      </c>
      <c r="D116" s="225">
        <v>3.2500000000000001E-2</v>
      </c>
      <c r="E116" s="119">
        <f>ROUND(((E96)+(SUM(E114))/2)*(D116/12),2)</f>
        <v>-4075.43</v>
      </c>
      <c r="F116" s="385"/>
      <c r="G116" s="8"/>
      <c r="H116" s="7"/>
      <c r="I116" s="12"/>
      <c r="J116" s="12"/>
    </row>
    <row r="117" spans="1:10" s="384" customFormat="1" ht="15.75" hidden="1">
      <c r="A117" s="385"/>
      <c r="B117" s="385"/>
      <c r="C117" s="50" t="s">
        <v>1</v>
      </c>
      <c r="D117" s="90">
        <f>A99</f>
        <v>41364</v>
      </c>
      <c r="E117" s="50">
        <f>SUM(E115:E116)</f>
        <v>-1209266.2309259076</v>
      </c>
      <c r="F117" s="385"/>
      <c r="G117" s="246"/>
    </row>
    <row r="118" spans="1:10" s="384" customFormat="1" ht="15.75" hidden="1" thickBot="1"/>
    <row r="119" spans="1:10" s="384" customFormat="1" ht="15.75" hidden="1">
      <c r="A119" s="73" t="s">
        <v>141</v>
      </c>
      <c r="B119" s="78"/>
      <c r="C119" s="79"/>
      <c r="D119" s="80"/>
      <c r="E119" s="81"/>
      <c r="G119" s="5"/>
      <c r="H119" s="5"/>
      <c r="I119" s="48"/>
      <c r="J119" s="48"/>
    </row>
    <row r="120" spans="1:10" s="384" customFormat="1" ht="15.75" hidden="1">
      <c r="A120" s="219">
        <v>41394</v>
      </c>
      <c r="B120" s="137"/>
      <c r="C120" s="11"/>
      <c r="D120" s="138"/>
      <c r="E120" s="77"/>
      <c r="G120" s="5"/>
      <c r="H120" s="5"/>
      <c r="I120" s="48"/>
      <c r="J120" s="48"/>
    </row>
    <row r="121" spans="1:10" s="384" customFormat="1" ht="16.5" hidden="1" thickBot="1">
      <c r="A121" s="139"/>
      <c r="B121" s="140"/>
      <c r="C121" s="131" t="s">
        <v>21</v>
      </c>
      <c r="D121" s="131" t="s">
        <v>22</v>
      </c>
      <c r="E121" s="128" t="s">
        <v>23</v>
      </c>
      <c r="F121" s="385"/>
      <c r="G121" s="385"/>
      <c r="H121" s="385"/>
      <c r="I121" s="385"/>
      <c r="J121" s="385"/>
    </row>
    <row r="122" spans="1:10" s="384" customFormat="1" ht="15.75" hidden="1">
      <c r="A122" s="50" t="s">
        <v>24</v>
      </c>
      <c r="B122" s="95">
        <v>101</v>
      </c>
      <c r="C122" s="206">
        <v>8689955</v>
      </c>
      <c r="D122" s="389">
        <v>3.3950000000000001E-2</v>
      </c>
      <c r="E122" s="168">
        <v>295023.97224999999</v>
      </c>
      <c r="F122" s="385"/>
      <c r="G122" s="385"/>
      <c r="H122" s="385"/>
      <c r="I122" s="385"/>
      <c r="J122" s="385"/>
    </row>
    <row r="123" spans="1:10" s="384" customFormat="1" ht="16.5" hidden="1" thickBot="1">
      <c r="A123" s="50" t="s">
        <v>24</v>
      </c>
      <c r="B123" s="95">
        <v>111</v>
      </c>
      <c r="C123" s="206">
        <v>3665435</v>
      </c>
      <c r="D123" s="389">
        <v>3.0599999999999999E-2</v>
      </c>
      <c r="E123" s="168">
        <v>112162.311</v>
      </c>
      <c r="F123" s="385"/>
      <c r="G123" s="123">
        <f>A120</f>
        <v>41394</v>
      </c>
      <c r="H123" s="385"/>
      <c r="I123" s="385"/>
      <c r="J123" s="385"/>
    </row>
    <row r="124" spans="1:10" s="384" customFormat="1" ht="16.5" hidden="1" thickBot="1">
      <c r="A124" s="50" t="s">
        <v>24</v>
      </c>
      <c r="B124" s="95">
        <v>112</v>
      </c>
      <c r="C124" s="206">
        <v>0</v>
      </c>
      <c r="D124" s="389"/>
      <c r="E124" s="168">
        <v>0</v>
      </c>
      <c r="F124" s="385"/>
      <c r="G124" s="113" t="s">
        <v>25</v>
      </c>
      <c r="H124" s="205"/>
      <c r="I124" s="126" t="s">
        <v>18</v>
      </c>
      <c r="J124" s="126" t="s">
        <v>19</v>
      </c>
    </row>
    <row r="125" spans="1:10" s="384" customFormat="1" ht="15.75" hidden="1">
      <c r="A125" s="50" t="s">
        <v>24</v>
      </c>
      <c r="B125" s="95">
        <v>121</v>
      </c>
      <c r="C125" s="206">
        <v>375679</v>
      </c>
      <c r="D125" s="389">
        <v>2.998E-2</v>
      </c>
      <c r="E125" s="168">
        <v>11262.85642</v>
      </c>
      <c r="F125" s="385"/>
      <c r="G125" s="151" t="s">
        <v>28</v>
      </c>
      <c r="H125" s="152" t="s">
        <v>75</v>
      </c>
      <c r="I125" s="152"/>
      <c r="J125" s="97">
        <f>IF(-E137&lt;0,-E137,0)</f>
        <v>0</v>
      </c>
    </row>
    <row r="126" spans="1:10" s="384" customFormat="1" ht="15.75" hidden="1">
      <c r="A126" s="50" t="s">
        <v>24</v>
      </c>
      <c r="B126" s="95">
        <v>122</v>
      </c>
      <c r="C126" s="206">
        <v>0</v>
      </c>
      <c r="D126" s="389"/>
      <c r="E126" s="168">
        <v>0</v>
      </c>
      <c r="F126" s="385"/>
      <c r="G126" s="153" t="s">
        <v>29</v>
      </c>
      <c r="H126" s="7" t="s">
        <v>76</v>
      </c>
      <c r="I126" s="7">
        <f>IF(-E137&gt;0,-E137,0)</f>
        <v>2708.45</v>
      </c>
      <c r="J126" s="223"/>
    </row>
    <row r="127" spans="1:10" s="384" customFormat="1" ht="15.75" hidden="1">
      <c r="A127" s="50" t="s">
        <v>24</v>
      </c>
      <c r="B127" s="95">
        <v>131</v>
      </c>
      <c r="C127" s="206">
        <v>0</v>
      </c>
      <c r="D127" s="389">
        <v>5.7389999999999997E-2</v>
      </c>
      <c r="E127" s="168">
        <v>0</v>
      </c>
      <c r="F127" s="385"/>
      <c r="G127" s="153" t="s">
        <v>97</v>
      </c>
      <c r="H127" s="7" t="s">
        <v>26</v>
      </c>
      <c r="I127" s="8"/>
      <c r="J127" s="98">
        <f>-E135</f>
        <v>-418449.13967</v>
      </c>
    </row>
    <row r="128" spans="1:10" s="384" customFormat="1" ht="15.75" hidden="1">
      <c r="A128" s="50" t="s">
        <v>24</v>
      </c>
      <c r="B128" s="95">
        <v>132</v>
      </c>
      <c r="C128" s="206">
        <v>0</v>
      </c>
      <c r="D128" s="389"/>
      <c r="E128" s="168">
        <v>0</v>
      </c>
      <c r="F128" s="385"/>
      <c r="G128" s="153" t="s">
        <v>10</v>
      </c>
      <c r="H128" s="7" t="s">
        <v>17</v>
      </c>
      <c r="I128" s="7">
        <v>0</v>
      </c>
      <c r="J128" s="98"/>
    </row>
    <row r="129" spans="1:10" s="384" customFormat="1" ht="16.5" hidden="1" thickBot="1">
      <c r="A129" s="50" t="s">
        <v>24</v>
      </c>
      <c r="B129" s="95">
        <v>146</v>
      </c>
      <c r="C129" s="206">
        <v>2439162</v>
      </c>
      <c r="D129" s="238"/>
      <c r="E129" s="168">
        <v>0</v>
      </c>
      <c r="F129" s="385"/>
      <c r="G129" s="154" t="s">
        <v>98</v>
      </c>
      <c r="H129" s="147" t="s">
        <v>27</v>
      </c>
      <c r="I129" s="110">
        <f>-E117+E138</f>
        <v>415740.68966999999</v>
      </c>
      <c r="J129" s="107"/>
    </row>
    <row r="130" spans="1:10" s="384" customFormat="1" ht="15.75" hidden="1">
      <c r="A130" s="50" t="s">
        <v>151</v>
      </c>
      <c r="B130" s="95"/>
      <c r="C130" s="206"/>
      <c r="D130" s="121"/>
      <c r="E130" s="168">
        <v>0</v>
      </c>
      <c r="F130" s="385"/>
      <c r="G130" s="385"/>
      <c r="H130" s="385"/>
      <c r="I130" s="385"/>
      <c r="J130" s="338">
        <f>SUM(I125:J129)</f>
        <v>0</v>
      </c>
    </row>
    <row r="131" spans="1:10" s="384" customFormat="1" ht="15.75" hidden="1">
      <c r="A131" s="141" t="s">
        <v>143</v>
      </c>
      <c r="B131" s="95">
        <v>146</v>
      </c>
      <c r="C131" s="206"/>
      <c r="D131" s="121"/>
      <c r="E131" s="168">
        <v>0</v>
      </c>
      <c r="F131" s="385"/>
      <c r="G131" s="123"/>
      <c r="H131" s="7"/>
      <c r="I131" s="7"/>
      <c r="J131" s="7"/>
    </row>
    <row r="132" spans="1:10" s="384" customFormat="1" ht="15.75" hidden="1">
      <c r="A132" s="141" t="s">
        <v>105</v>
      </c>
      <c r="B132" s="95"/>
      <c r="C132" s="206"/>
      <c r="D132" s="121"/>
      <c r="E132" s="226">
        <v>0</v>
      </c>
      <c r="F132" s="385"/>
      <c r="G132" s="123"/>
      <c r="H132" s="7"/>
      <c r="I132" s="12"/>
      <c r="J132" s="12"/>
    </row>
    <row r="133" spans="1:10" s="384" customFormat="1" ht="16.5" hidden="1" thickBot="1">
      <c r="A133" s="50"/>
      <c r="B133" s="95"/>
      <c r="C133" s="159">
        <f>SUM(C122:C132)</f>
        <v>15170231</v>
      </c>
      <c r="D133" s="142"/>
      <c r="E133" s="207">
        <f>SUM(E122:E132)</f>
        <v>418449.13967</v>
      </c>
      <c r="F133" s="385"/>
      <c r="G133" s="123"/>
      <c r="H133" s="7"/>
      <c r="I133" s="7"/>
      <c r="J133" s="8"/>
    </row>
    <row r="134" spans="1:10" s="384" customFormat="1" ht="16.5" hidden="1" thickTop="1">
      <c r="A134" s="50"/>
      <c r="B134" s="95"/>
      <c r="C134" s="224">
        <v>15170231</v>
      </c>
      <c r="D134" s="142" t="s">
        <v>161</v>
      </c>
      <c r="E134" s="156">
        <v>0</v>
      </c>
      <c r="F134" s="385"/>
      <c r="G134" s="11"/>
      <c r="H134" s="7"/>
      <c r="I134" s="8"/>
      <c r="J134" s="7"/>
    </row>
    <row r="135" spans="1:10" s="384" customFormat="1" ht="16.5" hidden="1" thickBot="1">
      <c r="A135" s="50"/>
      <c r="B135" s="95"/>
      <c r="C135" s="230">
        <f>C134-C133</f>
        <v>0</v>
      </c>
      <c r="D135" s="142"/>
      <c r="E135" s="160">
        <f>SUM(E133:E134)</f>
        <v>418449.13967</v>
      </c>
      <c r="F135" s="385"/>
      <c r="G135" s="65" t="s">
        <v>158</v>
      </c>
      <c r="H135" s="7"/>
      <c r="I135" s="7"/>
      <c r="J135" s="7"/>
    </row>
    <row r="136" spans="1:10" s="384" customFormat="1" ht="16.5" hidden="1" thickTop="1">
      <c r="A136" s="385"/>
      <c r="B136" s="385"/>
      <c r="C136" s="385"/>
      <c r="D136" s="142" t="s">
        <v>87</v>
      </c>
      <c r="E136" s="50">
        <f>E135+E117</f>
        <v>-790817.09125590767</v>
      </c>
      <c r="F136" s="385"/>
      <c r="G136" s="8">
        <f>(E117*(D137/12))+(E135*(D137/24))</f>
        <v>-2708.4461654545416</v>
      </c>
      <c r="H136" s="451"/>
      <c r="I136" s="451"/>
      <c r="J136" s="7"/>
    </row>
    <row r="137" spans="1:10" s="384" customFormat="1" ht="15.75" hidden="1">
      <c r="A137" s="385"/>
      <c r="B137" s="385"/>
      <c r="C137" s="50" t="s">
        <v>57</v>
      </c>
      <c r="D137" s="225">
        <v>3.2500000000000001E-2</v>
      </c>
      <c r="E137" s="119">
        <f>ROUND(((E117)+(SUM(E135))/2)*(D137/12),2)</f>
        <v>-2708.45</v>
      </c>
      <c r="F137" s="385"/>
      <c r="G137" s="8"/>
      <c r="H137" s="7"/>
      <c r="I137" s="12"/>
      <c r="J137" s="12"/>
    </row>
    <row r="138" spans="1:10" s="384" customFormat="1" ht="15.75" hidden="1">
      <c r="A138" s="385"/>
      <c r="B138" s="385"/>
      <c r="C138" s="50" t="s">
        <v>1</v>
      </c>
      <c r="D138" s="90">
        <f>A120</f>
        <v>41394</v>
      </c>
      <c r="E138" s="50">
        <f>SUM(E136:E137)</f>
        <v>-793525.54125590762</v>
      </c>
      <c r="F138" s="385"/>
      <c r="G138" s="385"/>
    </row>
    <row r="139" spans="1:10" s="384" customFormat="1" ht="15.75" hidden="1" thickBot="1"/>
    <row r="140" spans="1:10" s="384" customFormat="1" ht="15.75" hidden="1">
      <c r="A140" s="73" t="s">
        <v>141</v>
      </c>
      <c r="B140" s="78"/>
      <c r="C140" s="79"/>
      <c r="D140" s="80"/>
      <c r="E140" s="81"/>
      <c r="G140" s="5"/>
      <c r="H140" s="5"/>
      <c r="I140" s="48"/>
      <c r="J140" s="48"/>
    </row>
    <row r="141" spans="1:10" s="384" customFormat="1" ht="15.75" hidden="1">
      <c r="A141" s="219">
        <v>41425</v>
      </c>
      <c r="B141" s="137"/>
      <c r="C141" s="11"/>
      <c r="D141" s="138"/>
      <c r="E141" s="77"/>
      <c r="G141" s="5"/>
      <c r="H141" s="5"/>
      <c r="I141" s="48"/>
      <c r="J141" s="48"/>
    </row>
    <row r="142" spans="1:10" s="384" customFormat="1" ht="16.5" hidden="1" thickBot="1">
      <c r="A142" s="139"/>
      <c r="B142" s="140"/>
      <c r="C142" s="131" t="s">
        <v>21</v>
      </c>
      <c r="D142" s="131" t="s">
        <v>22</v>
      </c>
      <c r="E142" s="128" t="s">
        <v>23</v>
      </c>
      <c r="F142" s="385"/>
      <c r="G142" s="385"/>
      <c r="H142" s="385"/>
      <c r="I142" s="385"/>
      <c r="J142" s="385"/>
    </row>
    <row r="143" spans="1:10" s="384" customFormat="1" ht="15.75" hidden="1">
      <c r="A143" s="50" t="s">
        <v>24</v>
      </c>
      <c r="B143" s="95">
        <v>101</v>
      </c>
      <c r="C143" s="206">
        <v>4182901</v>
      </c>
      <c r="D143" s="389">
        <v>3.3950000000000001E-2</v>
      </c>
      <c r="E143" s="168">
        <v>142009.48895</v>
      </c>
      <c r="F143" s="385"/>
      <c r="G143" s="385"/>
      <c r="H143" s="385"/>
      <c r="I143" s="385"/>
      <c r="J143" s="385"/>
    </row>
    <row r="144" spans="1:10" s="384" customFormat="1" ht="16.5" hidden="1" thickBot="1">
      <c r="A144" s="50" t="s">
        <v>24</v>
      </c>
      <c r="B144" s="95">
        <v>111</v>
      </c>
      <c r="C144" s="206">
        <v>1970725</v>
      </c>
      <c r="D144" s="389">
        <v>3.0599999999999999E-2</v>
      </c>
      <c r="E144" s="168">
        <v>60304.184999999998</v>
      </c>
      <c r="F144" s="385"/>
      <c r="G144" s="123">
        <f>A141</f>
        <v>41425</v>
      </c>
      <c r="H144" s="385"/>
      <c r="I144" s="385"/>
      <c r="J144" s="385"/>
    </row>
    <row r="145" spans="1:10" s="384" customFormat="1" ht="16.5" hidden="1" thickBot="1">
      <c r="A145" s="50" t="s">
        <v>24</v>
      </c>
      <c r="B145" s="95">
        <v>112</v>
      </c>
      <c r="C145" s="206">
        <v>0</v>
      </c>
      <c r="D145" s="389"/>
      <c r="E145" s="168">
        <v>0</v>
      </c>
      <c r="F145" s="385"/>
      <c r="G145" s="113" t="s">
        <v>25</v>
      </c>
      <c r="H145" s="205"/>
      <c r="I145" s="126" t="s">
        <v>18</v>
      </c>
      <c r="J145" s="126" t="s">
        <v>19</v>
      </c>
    </row>
    <row r="146" spans="1:10" s="384" customFormat="1" ht="15.75" hidden="1">
      <c r="A146" s="50" t="s">
        <v>24</v>
      </c>
      <c r="B146" s="95">
        <v>121</v>
      </c>
      <c r="C146" s="206">
        <v>339319</v>
      </c>
      <c r="D146" s="389">
        <v>2.998E-2</v>
      </c>
      <c r="E146" s="168">
        <v>10172.78362</v>
      </c>
      <c r="F146" s="385"/>
      <c r="G146" s="151" t="s">
        <v>28</v>
      </c>
      <c r="H146" s="152" t="s">
        <v>75</v>
      </c>
      <c r="I146" s="152"/>
      <c r="J146" s="97">
        <f>IF(-E158&lt;0,-E158,0)</f>
        <v>0</v>
      </c>
    </row>
    <row r="147" spans="1:10" s="384" customFormat="1" ht="15.75" hidden="1">
      <c r="A147" s="50" t="s">
        <v>24</v>
      </c>
      <c r="B147" s="95">
        <v>122</v>
      </c>
      <c r="C147" s="206">
        <v>0</v>
      </c>
      <c r="D147" s="389"/>
      <c r="E147" s="168">
        <v>0</v>
      </c>
      <c r="F147" s="385"/>
      <c r="G147" s="153" t="s">
        <v>29</v>
      </c>
      <c r="H147" s="7" t="s">
        <v>76</v>
      </c>
      <c r="I147" s="7">
        <f>IF(-E158&gt;0,-E158,0)</f>
        <v>1861.39</v>
      </c>
      <c r="J147" s="223"/>
    </row>
    <row r="148" spans="1:10" s="384" customFormat="1" ht="15.75" hidden="1">
      <c r="A148" s="50" t="s">
        <v>24</v>
      </c>
      <c r="B148" s="95">
        <v>131</v>
      </c>
      <c r="C148" s="206">
        <v>0</v>
      </c>
      <c r="D148" s="389">
        <v>5.7389999999999997E-2</v>
      </c>
      <c r="E148" s="168">
        <v>0</v>
      </c>
      <c r="F148" s="385"/>
      <c r="G148" s="153" t="s">
        <v>97</v>
      </c>
      <c r="H148" s="7" t="s">
        <v>26</v>
      </c>
      <c r="I148" s="8"/>
      <c r="J148" s="98">
        <f>-E156</f>
        <v>-212486.45757</v>
      </c>
    </row>
    <row r="149" spans="1:10" s="384" customFormat="1" ht="15.75" hidden="1">
      <c r="A149" s="50" t="s">
        <v>24</v>
      </c>
      <c r="B149" s="95">
        <v>132</v>
      </c>
      <c r="C149" s="206">
        <v>0</v>
      </c>
      <c r="D149" s="389"/>
      <c r="E149" s="168">
        <v>0</v>
      </c>
      <c r="F149" s="385"/>
      <c r="G149" s="153" t="s">
        <v>10</v>
      </c>
      <c r="H149" s="7" t="s">
        <v>17</v>
      </c>
      <c r="I149" s="7">
        <v>0</v>
      </c>
      <c r="J149" s="98"/>
    </row>
    <row r="150" spans="1:10" s="384" customFormat="1" ht="16.5" hidden="1" thickBot="1">
      <c r="A150" s="50" t="s">
        <v>24</v>
      </c>
      <c r="B150" s="95">
        <v>146</v>
      </c>
      <c r="C150" s="206">
        <v>1979128</v>
      </c>
      <c r="D150" s="238"/>
      <c r="E150" s="168">
        <v>0</v>
      </c>
      <c r="F150" s="385"/>
      <c r="G150" s="154" t="s">
        <v>98</v>
      </c>
      <c r="H150" s="147" t="s">
        <v>27</v>
      </c>
      <c r="I150" s="110">
        <f>-E138+E159</f>
        <v>210625.06756999996</v>
      </c>
      <c r="J150" s="107"/>
    </row>
    <row r="151" spans="1:10" s="384" customFormat="1" ht="15.75" hidden="1">
      <c r="A151" s="50" t="s">
        <v>151</v>
      </c>
      <c r="B151" s="95"/>
      <c r="C151" s="206"/>
      <c r="D151" s="121"/>
      <c r="E151" s="168">
        <v>0</v>
      </c>
      <c r="F151" s="385"/>
      <c r="G151" s="385"/>
      <c r="H151" s="385"/>
      <c r="I151" s="385"/>
      <c r="J151" s="338">
        <f>SUM(I146:J150)</f>
        <v>0</v>
      </c>
    </row>
    <row r="152" spans="1:10" s="384" customFormat="1" ht="15.75" hidden="1">
      <c r="A152" s="141" t="s">
        <v>143</v>
      </c>
      <c r="B152" s="95">
        <v>146</v>
      </c>
      <c r="C152" s="206"/>
      <c r="D152" s="121"/>
      <c r="E152" s="168">
        <v>0</v>
      </c>
      <c r="F152" s="385"/>
      <c r="G152" s="123"/>
      <c r="H152" s="7"/>
      <c r="I152" s="7"/>
      <c r="J152" s="7"/>
    </row>
    <row r="153" spans="1:10" s="384" customFormat="1" ht="15.75" hidden="1">
      <c r="A153" s="141" t="s">
        <v>105</v>
      </c>
      <c r="B153" s="95"/>
      <c r="C153" s="206"/>
      <c r="D153" s="121"/>
      <c r="E153" s="226">
        <v>0</v>
      </c>
      <c r="F153" s="385"/>
      <c r="G153" s="123"/>
      <c r="H153" s="7"/>
      <c r="I153" s="12"/>
      <c r="J153" s="12"/>
    </row>
    <row r="154" spans="1:10" s="384" customFormat="1" ht="16.5" hidden="1" thickBot="1">
      <c r="A154" s="50"/>
      <c r="B154" s="95"/>
      <c r="C154" s="159">
        <f>SUM(C143:C153)</f>
        <v>8472073</v>
      </c>
      <c r="D154" s="142"/>
      <c r="E154" s="207">
        <f>SUM(E143:E153)</f>
        <v>212486.45757</v>
      </c>
      <c r="F154" s="385"/>
      <c r="G154" s="123"/>
      <c r="H154" s="7"/>
      <c r="I154" s="7"/>
      <c r="J154" s="8"/>
    </row>
    <row r="155" spans="1:10" s="384" customFormat="1" ht="16.5" hidden="1" thickTop="1">
      <c r="A155" s="50"/>
      <c r="B155" s="95"/>
      <c r="C155" s="224">
        <v>8472073</v>
      </c>
      <c r="D155" s="142" t="s">
        <v>161</v>
      </c>
      <c r="E155" s="156">
        <v>0</v>
      </c>
      <c r="F155" s="385"/>
      <c r="G155" s="11"/>
      <c r="H155" s="7"/>
      <c r="I155" s="8"/>
      <c r="J155" s="7"/>
    </row>
    <row r="156" spans="1:10" s="384" customFormat="1" ht="16.5" hidden="1" thickBot="1">
      <c r="A156" s="50"/>
      <c r="B156" s="95"/>
      <c r="C156" s="230">
        <f>C155-C154</f>
        <v>0</v>
      </c>
      <c r="D156" s="142"/>
      <c r="E156" s="160">
        <f>SUM(E154:E155)</f>
        <v>212486.45757</v>
      </c>
      <c r="F156" s="385"/>
      <c r="G156" s="65" t="s">
        <v>158</v>
      </c>
      <c r="H156" s="7"/>
      <c r="I156" s="7"/>
      <c r="J156" s="7"/>
    </row>
    <row r="157" spans="1:10" s="384" customFormat="1" ht="16.5" hidden="1" thickTop="1">
      <c r="A157" s="385"/>
      <c r="B157" s="385"/>
      <c r="C157" s="385"/>
      <c r="D157" s="142" t="s">
        <v>87</v>
      </c>
      <c r="E157" s="50">
        <f>E156+E138</f>
        <v>-581039.08368590765</v>
      </c>
      <c r="F157" s="385"/>
      <c r="G157" s="8">
        <f>(E138*(D158/12))+(E156*(D158/24))</f>
        <v>-1861.389596275375</v>
      </c>
      <c r="H157" s="453"/>
      <c r="I157" s="453"/>
      <c r="J157" s="7"/>
    </row>
    <row r="158" spans="1:10" s="384" customFormat="1" ht="15.75" hidden="1">
      <c r="A158" s="385"/>
      <c r="B158" s="385"/>
      <c r="C158" s="50" t="s">
        <v>57</v>
      </c>
      <c r="D158" s="225">
        <v>3.2500000000000001E-2</v>
      </c>
      <c r="E158" s="119">
        <f>ROUND(((E138)+(SUM(E156))/2)*(D158/12),2)</f>
        <v>-1861.39</v>
      </c>
      <c r="F158" s="385"/>
      <c r="G158" s="8"/>
      <c r="H158" s="7"/>
      <c r="I158" s="12"/>
      <c r="J158" s="12"/>
    </row>
    <row r="159" spans="1:10" s="384" customFormat="1" ht="15.75" hidden="1">
      <c r="A159" s="385"/>
      <c r="B159" s="385"/>
      <c r="C159" s="50" t="s">
        <v>1</v>
      </c>
      <c r="D159" s="90">
        <f>A141</f>
        <v>41425</v>
      </c>
      <c r="E159" s="50">
        <f>SUM(E157:E158)</f>
        <v>-582900.47368590767</v>
      </c>
      <c r="F159" s="385"/>
      <c r="G159" s="246"/>
    </row>
    <row r="160" spans="1:10" s="384" customFormat="1" ht="15.75" hidden="1" thickBot="1"/>
    <row r="161" spans="1:10" s="384" customFormat="1" ht="15.75" hidden="1">
      <c r="A161" s="73" t="s">
        <v>141</v>
      </c>
      <c r="B161" s="78"/>
      <c r="C161" s="79"/>
      <c r="D161" s="80"/>
      <c r="E161" s="81"/>
      <c r="G161" s="5"/>
      <c r="H161" s="5"/>
      <c r="I161" s="48"/>
      <c r="J161" s="48"/>
    </row>
    <row r="162" spans="1:10" s="384" customFormat="1" ht="15.75" hidden="1">
      <c r="A162" s="219">
        <v>41426</v>
      </c>
      <c r="B162" s="137"/>
      <c r="C162" s="11"/>
      <c r="D162" s="138"/>
      <c r="E162" s="77"/>
      <c r="G162" s="5"/>
      <c r="H162" s="5"/>
      <c r="I162" s="48"/>
      <c r="J162" s="48"/>
    </row>
    <row r="163" spans="1:10" s="384" customFormat="1" ht="16.5" hidden="1" thickBot="1">
      <c r="A163" s="139"/>
      <c r="B163" s="140"/>
      <c r="C163" s="131" t="s">
        <v>21</v>
      </c>
      <c r="D163" s="131" t="s">
        <v>22</v>
      </c>
      <c r="E163" s="128" t="s">
        <v>23</v>
      </c>
      <c r="F163" s="385"/>
      <c r="G163" s="385"/>
      <c r="H163" s="385"/>
      <c r="I163" s="385"/>
      <c r="J163" s="385"/>
    </row>
    <row r="164" spans="1:10" s="384" customFormat="1" ht="15.75" hidden="1">
      <c r="A164" s="50" t="s">
        <v>24</v>
      </c>
      <c r="B164" s="95">
        <v>101</v>
      </c>
      <c r="C164" s="206">
        <v>2800295</v>
      </c>
      <c r="D164" s="389">
        <v>3.3950000000000001E-2</v>
      </c>
      <c r="E164" s="168">
        <v>95070.015249999997</v>
      </c>
      <c r="F164" s="385"/>
      <c r="G164" s="385"/>
      <c r="H164" s="385"/>
      <c r="I164" s="385"/>
      <c r="J164" s="385"/>
    </row>
    <row r="165" spans="1:10" s="384" customFormat="1" ht="16.5" hidden="1" thickBot="1">
      <c r="A165" s="50" t="s">
        <v>24</v>
      </c>
      <c r="B165" s="95">
        <v>111</v>
      </c>
      <c r="C165" s="206">
        <v>1678252</v>
      </c>
      <c r="D165" s="389">
        <v>3.0599999999999999E-2</v>
      </c>
      <c r="E165" s="168">
        <v>51354.511200000001</v>
      </c>
      <c r="F165" s="385"/>
      <c r="G165" s="123">
        <f>A162</f>
        <v>41426</v>
      </c>
      <c r="H165" s="385"/>
      <c r="I165" s="385"/>
      <c r="J165" s="385"/>
    </row>
    <row r="166" spans="1:10" s="384" customFormat="1" ht="16.5" hidden="1" thickBot="1">
      <c r="A166" s="50" t="s">
        <v>24</v>
      </c>
      <c r="B166" s="95">
        <v>112</v>
      </c>
      <c r="C166" s="206">
        <v>0</v>
      </c>
      <c r="D166" s="389"/>
      <c r="E166" s="168">
        <v>0</v>
      </c>
      <c r="F166" s="385"/>
      <c r="G166" s="113" t="s">
        <v>25</v>
      </c>
      <c r="H166" s="205"/>
      <c r="I166" s="126" t="s">
        <v>18</v>
      </c>
      <c r="J166" s="126" t="s">
        <v>19</v>
      </c>
    </row>
    <row r="167" spans="1:10" s="384" customFormat="1" ht="15.75" hidden="1">
      <c r="A167" s="50" t="s">
        <v>24</v>
      </c>
      <c r="B167" s="95">
        <v>121</v>
      </c>
      <c r="C167" s="206">
        <v>339158</v>
      </c>
      <c r="D167" s="389">
        <v>2.998E-2</v>
      </c>
      <c r="E167" s="168">
        <v>10167.956840000001</v>
      </c>
      <c r="F167" s="385"/>
      <c r="G167" s="151" t="s">
        <v>28</v>
      </c>
      <c r="H167" s="152" t="s">
        <v>75</v>
      </c>
      <c r="I167" s="152"/>
      <c r="J167" s="97">
        <f>IF(-E179&lt;0,-E179,0)</f>
        <v>0</v>
      </c>
    </row>
    <row r="168" spans="1:10" s="384" customFormat="1" ht="15.75" hidden="1">
      <c r="A168" s="50" t="s">
        <v>24</v>
      </c>
      <c r="B168" s="95">
        <v>122</v>
      </c>
      <c r="C168" s="206">
        <v>0</v>
      </c>
      <c r="D168" s="389"/>
      <c r="E168" s="168">
        <v>0</v>
      </c>
      <c r="F168" s="385"/>
      <c r="G168" s="153" t="s">
        <v>29</v>
      </c>
      <c r="H168" s="7" t="s">
        <v>76</v>
      </c>
      <c r="I168" s="7">
        <f>IF(-E179&gt;0,-E179,0)</f>
        <v>1366.64</v>
      </c>
      <c r="J168" s="223"/>
    </row>
    <row r="169" spans="1:10" s="384" customFormat="1" ht="15.75" hidden="1">
      <c r="A169" s="50" t="s">
        <v>24</v>
      </c>
      <c r="B169" s="95">
        <v>131</v>
      </c>
      <c r="C169" s="206">
        <v>0</v>
      </c>
      <c r="D169" s="389">
        <v>5.7389999999999997E-2</v>
      </c>
      <c r="E169" s="168">
        <v>0</v>
      </c>
      <c r="F169" s="385"/>
      <c r="G169" s="153" t="s">
        <v>97</v>
      </c>
      <c r="H169" s="7" t="s">
        <v>26</v>
      </c>
      <c r="I169" s="8"/>
      <c r="J169" s="98">
        <f>-E177</f>
        <v>-156592.48329</v>
      </c>
    </row>
    <row r="170" spans="1:10" s="384" customFormat="1" ht="15.75" hidden="1">
      <c r="A170" s="50" t="s">
        <v>24</v>
      </c>
      <c r="B170" s="95">
        <v>132</v>
      </c>
      <c r="C170" s="206">
        <v>0</v>
      </c>
      <c r="D170" s="389"/>
      <c r="E170" s="168">
        <v>0</v>
      </c>
      <c r="F170" s="385"/>
      <c r="G170" s="153" t="s">
        <v>10</v>
      </c>
      <c r="H170" s="7" t="s">
        <v>17</v>
      </c>
      <c r="I170" s="7">
        <v>0</v>
      </c>
      <c r="J170" s="98"/>
    </row>
    <row r="171" spans="1:10" s="384" customFormat="1" ht="16.5" hidden="1" thickBot="1">
      <c r="A171" s="50" t="s">
        <v>24</v>
      </c>
      <c r="B171" s="95">
        <v>146</v>
      </c>
      <c r="C171" s="206">
        <v>1585130</v>
      </c>
      <c r="D171" s="238"/>
      <c r="E171" s="168">
        <v>0</v>
      </c>
      <c r="F171" s="385"/>
      <c r="G171" s="154" t="s">
        <v>98</v>
      </c>
      <c r="H171" s="147" t="s">
        <v>27</v>
      </c>
      <c r="I171" s="110">
        <f>-E159+E180</f>
        <v>155225.84328999999</v>
      </c>
      <c r="J171" s="107"/>
    </row>
    <row r="172" spans="1:10" s="384" customFormat="1" ht="15.75" hidden="1">
      <c r="A172" s="50" t="s">
        <v>151</v>
      </c>
      <c r="B172" s="95"/>
      <c r="C172" s="206"/>
      <c r="D172" s="121"/>
      <c r="E172" s="168">
        <v>0</v>
      </c>
      <c r="F172" s="385"/>
      <c r="G172" s="385"/>
      <c r="H172" s="385"/>
      <c r="I172" s="385"/>
      <c r="J172" s="338">
        <f>SUM(I167:J171)</f>
        <v>0</v>
      </c>
    </row>
    <row r="173" spans="1:10" s="384" customFormat="1" ht="15.75" hidden="1">
      <c r="A173" s="141" t="s">
        <v>143</v>
      </c>
      <c r="B173" s="95">
        <v>146</v>
      </c>
      <c r="C173" s="206"/>
      <c r="D173" s="121"/>
      <c r="E173" s="168">
        <v>0</v>
      </c>
      <c r="F173" s="385"/>
      <c r="G173" s="123"/>
      <c r="H173" s="7"/>
      <c r="I173" s="7"/>
      <c r="J173" s="7"/>
    </row>
    <row r="174" spans="1:10" s="384" customFormat="1" ht="15.75" hidden="1">
      <c r="A174" s="141" t="s">
        <v>105</v>
      </c>
      <c r="B174" s="95"/>
      <c r="C174" s="206"/>
      <c r="D174" s="121"/>
      <c r="E174" s="226">
        <v>0</v>
      </c>
      <c r="F174" s="385"/>
      <c r="G174" s="123"/>
      <c r="H174" s="7"/>
      <c r="I174" s="12"/>
      <c r="J174" s="12"/>
    </row>
    <row r="175" spans="1:10" s="384" customFormat="1" ht="16.5" hidden="1" thickBot="1">
      <c r="A175" s="50"/>
      <c r="B175" s="95"/>
      <c r="C175" s="159">
        <f>SUM(C164:C174)</f>
        <v>6402835</v>
      </c>
      <c r="D175" s="142"/>
      <c r="E175" s="207">
        <f>SUM(E164:E174)</f>
        <v>156592.48329</v>
      </c>
      <c r="F175" s="385"/>
      <c r="G175" s="123"/>
      <c r="H175" s="7"/>
      <c r="I175" s="7"/>
      <c r="J175" s="8"/>
    </row>
    <row r="176" spans="1:10" s="384" customFormat="1" ht="16.5" hidden="1" thickTop="1">
      <c r="A176" s="50"/>
      <c r="B176" s="95"/>
      <c r="C176" s="224">
        <v>6402835</v>
      </c>
      <c r="D176" s="142" t="s">
        <v>161</v>
      </c>
      <c r="E176" s="156">
        <v>0</v>
      </c>
      <c r="F176" s="385"/>
      <c r="G176" s="11"/>
      <c r="H176" s="7"/>
      <c r="I176" s="8"/>
      <c r="J176" s="7"/>
    </row>
    <row r="177" spans="1:10" s="384" customFormat="1" ht="16.5" hidden="1" thickBot="1">
      <c r="A177" s="50"/>
      <c r="B177" s="95"/>
      <c r="C177" s="230">
        <f>C176-C175</f>
        <v>0</v>
      </c>
      <c r="D177" s="142"/>
      <c r="E177" s="160">
        <f>SUM(E175:E176)</f>
        <v>156592.48329</v>
      </c>
      <c r="F177" s="385"/>
      <c r="G177" s="65" t="s">
        <v>158</v>
      </c>
      <c r="H177" s="7"/>
      <c r="I177" s="7"/>
      <c r="J177" s="7"/>
    </row>
    <row r="178" spans="1:10" s="384" customFormat="1" ht="16.5" hidden="1" thickTop="1">
      <c r="A178" s="385"/>
      <c r="B178" s="385"/>
      <c r="C178" s="385"/>
      <c r="D178" s="142" t="s">
        <v>87</v>
      </c>
      <c r="E178" s="50">
        <f>E177+E159</f>
        <v>-426307.99039590766</v>
      </c>
      <c r="F178" s="385"/>
      <c r="G178" s="8">
        <f>(E159*(D179/12))+(E177*(D179/24))</f>
        <v>-1366.6364617774584</v>
      </c>
      <c r="H178" s="454"/>
      <c r="I178" s="454"/>
      <c r="J178" s="7"/>
    </row>
    <row r="179" spans="1:10" s="384" customFormat="1" ht="15.75" hidden="1">
      <c r="A179" s="385"/>
      <c r="B179" s="385"/>
      <c r="C179" s="50" t="s">
        <v>57</v>
      </c>
      <c r="D179" s="225">
        <v>3.2500000000000001E-2</v>
      </c>
      <c r="E179" s="119">
        <f>ROUND(((E159)+(SUM(E177))/2)*(D179/12),2)</f>
        <v>-1366.64</v>
      </c>
      <c r="F179" s="385"/>
      <c r="G179" s="8"/>
      <c r="H179" s="7"/>
      <c r="I179" s="12"/>
      <c r="J179" s="12"/>
    </row>
    <row r="180" spans="1:10" s="384" customFormat="1" ht="15.75" hidden="1">
      <c r="A180" s="385"/>
      <c r="B180" s="385"/>
      <c r="C180" s="50" t="s">
        <v>1</v>
      </c>
      <c r="D180" s="90">
        <v>41455</v>
      </c>
      <c r="E180" s="50">
        <f>SUM(E178:E179)</f>
        <v>-427674.63039590768</v>
      </c>
      <c r="F180" s="385"/>
      <c r="G180" s="246"/>
    </row>
    <row r="181" spans="1:10" s="384" customFormat="1" ht="15.75" hidden="1" thickBot="1"/>
    <row r="182" spans="1:10" s="384" customFormat="1" ht="15.75" hidden="1">
      <c r="A182" s="73" t="s">
        <v>141</v>
      </c>
      <c r="B182" s="78"/>
      <c r="C182" s="79"/>
      <c r="D182" s="80"/>
      <c r="E182" s="81"/>
      <c r="G182" s="5"/>
      <c r="H182" s="5"/>
      <c r="I182" s="48"/>
      <c r="J182" s="48"/>
    </row>
    <row r="183" spans="1:10" s="384" customFormat="1" ht="15.75" hidden="1">
      <c r="A183" s="219">
        <v>41456</v>
      </c>
      <c r="B183" s="137"/>
      <c r="C183" s="11"/>
      <c r="D183" s="138"/>
      <c r="E183" s="77"/>
      <c r="G183" s="5"/>
      <c r="H183" s="5"/>
      <c r="I183" s="48"/>
      <c r="J183" s="48"/>
    </row>
    <row r="184" spans="1:10" s="384" customFormat="1" ht="16.5" hidden="1" thickBot="1">
      <c r="A184" s="139"/>
      <c r="B184" s="140"/>
      <c r="C184" s="131" t="s">
        <v>21</v>
      </c>
      <c r="D184" s="131" t="s">
        <v>22</v>
      </c>
      <c r="E184" s="128" t="s">
        <v>23</v>
      </c>
      <c r="F184" s="385"/>
      <c r="G184" s="385"/>
      <c r="H184" s="385"/>
      <c r="I184" s="385"/>
      <c r="J184" s="385"/>
    </row>
    <row r="185" spans="1:10" s="384" customFormat="1" ht="15.75" hidden="1">
      <c r="A185" s="50" t="s">
        <v>24</v>
      </c>
      <c r="B185" s="95">
        <v>101</v>
      </c>
      <c r="C185" s="206">
        <v>2082299</v>
      </c>
      <c r="D185" s="389">
        <v>3.3950000000000001E-2</v>
      </c>
      <c r="E185" s="168">
        <v>70694.051050000009</v>
      </c>
      <c r="F185" s="385"/>
      <c r="G185" s="385"/>
      <c r="H185" s="385"/>
      <c r="I185" s="385"/>
      <c r="J185" s="385"/>
    </row>
    <row r="186" spans="1:10" s="384" customFormat="1" ht="16.5" hidden="1" thickBot="1">
      <c r="A186" s="50" t="s">
        <v>24</v>
      </c>
      <c r="B186" s="95">
        <v>111</v>
      </c>
      <c r="C186" s="206">
        <v>1140112</v>
      </c>
      <c r="D186" s="389">
        <v>3.0599999999999999E-2</v>
      </c>
      <c r="E186" s="168">
        <v>34887.427199999998</v>
      </c>
      <c r="F186" s="385"/>
      <c r="G186" s="123">
        <f>A183</f>
        <v>41456</v>
      </c>
      <c r="H186" s="385"/>
      <c r="I186" s="385"/>
      <c r="J186" s="385"/>
    </row>
    <row r="187" spans="1:10" s="384" customFormat="1" ht="16.5" hidden="1" thickBot="1">
      <c r="A187" s="50" t="s">
        <v>24</v>
      </c>
      <c r="B187" s="95">
        <v>112</v>
      </c>
      <c r="C187" s="206">
        <v>0</v>
      </c>
      <c r="D187" s="389"/>
      <c r="E187" s="168">
        <v>0</v>
      </c>
      <c r="F187" s="385"/>
      <c r="G187" s="113" t="s">
        <v>25</v>
      </c>
      <c r="H187" s="205"/>
      <c r="I187" s="126" t="s">
        <v>18</v>
      </c>
      <c r="J187" s="126" t="s">
        <v>19</v>
      </c>
    </row>
    <row r="188" spans="1:10" s="384" customFormat="1" ht="15.75" hidden="1">
      <c r="A188" s="50" t="s">
        <v>24</v>
      </c>
      <c r="B188" s="95">
        <v>121</v>
      </c>
      <c r="C188" s="206">
        <v>304732</v>
      </c>
      <c r="D188" s="389">
        <v>2.998E-2</v>
      </c>
      <c r="E188" s="168">
        <v>9135.8653599999998</v>
      </c>
      <c r="F188" s="385"/>
      <c r="G188" s="151" t="s">
        <v>28</v>
      </c>
      <c r="H188" s="152" t="s">
        <v>75</v>
      </c>
      <c r="I188" s="152"/>
      <c r="J188" s="97">
        <f>IF(-E200&lt;0,-E200,0)</f>
        <v>0</v>
      </c>
    </row>
    <row r="189" spans="1:10" s="384" customFormat="1" ht="15.75" hidden="1">
      <c r="A189" s="50" t="s">
        <v>24</v>
      </c>
      <c r="B189" s="95">
        <v>122</v>
      </c>
      <c r="C189" s="206">
        <v>0</v>
      </c>
      <c r="D189" s="389"/>
      <c r="E189" s="168">
        <v>0</v>
      </c>
      <c r="F189" s="385"/>
      <c r="G189" s="153" t="s">
        <v>29</v>
      </c>
      <c r="H189" s="7" t="s">
        <v>76</v>
      </c>
      <c r="I189" s="7">
        <f>IF(-E200&gt;0,-E200,0)</f>
        <v>1002.94</v>
      </c>
      <c r="J189" s="223"/>
    </row>
    <row r="190" spans="1:10" s="384" customFormat="1" ht="15.75" hidden="1">
      <c r="A190" s="50" t="s">
        <v>24</v>
      </c>
      <c r="B190" s="95">
        <v>131</v>
      </c>
      <c r="C190" s="206">
        <v>0</v>
      </c>
      <c r="D190" s="389">
        <v>5.7389999999999997E-2</v>
      </c>
      <c r="E190" s="168">
        <v>0</v>
      </c>
      <c r="F190" s="385"/>
      <c r="G190" s="153" t="s">
        <v>97</v>
      </c>
      <c r="H190" s="7" t="s">
        <v>26</v>
      </c>
      <c r="I190" s="8"/>
      <c r="J190" s="98">
        <f>-E198</f>
        <v>-114717.34361000001</v>
      </c>
    </row>
    <row r="191" spans="1:10" s="384" customFormat="1" ht="15.75" hidden="1">
      <c r="A191" s="50" t="s">
        <v>24</v>
      </c>
      <c r="B191" s="95">
        <v>132</v>
      </c>
      <c r="C191" s="206">
        <v>0</v>
      </c>
      <c r="D191" s="389"/>
      <c r="E191" s="168">
        <v>0</v>
      </c>
      <c r="F191" s="385"/>
      <c r="G191" s="153" t="s">
        <v>10</v>
      </c>
      <c r="H191" s="7" t="s">
        <v>17</v>
      </c>
      <c r="I191" s="7">
        <v>0</v>
      </c>
      <c r="J191" s="98"/>
    </row>
    <row r="192" spans="1:10" s="384" customFormat="1" ht="16.5" hidden="1" thickBot="1">
      <c r="A192" s="50" t="s">
        <v>24</v>
      </c>
      <c r="B192" s="95">
        <v>146</v>
      </c>
      <c r="C192" s="206">
        <v>1657043</v>
      </c>
      <c r="D192" s="238"/>
      <c r="E192" s="168">
        <v>0</v>
      </c>
      <c r="F192" s="385"/>
      <c r="G192" s="154" t="s">
        <v>98</v>
      </c>
      <c r="H192" s="147" t="s">
        <v>27</v>
      </c>
      <c r="I192" s="110">
        <f>-E180+E201</f>
        <v>113714.40360999998</v>
      </c>
      <c r="J192" s="107"/>
    </row>
    <row r="193" spans="1:10" s="384" customFormat="1" ht="15.75" hidden="1">
      <c r="A193" s="50" t="s">
        <v>151</v>
      </c>
      <c r="B193" s="95"/>
      <c r="C193" s="206"/>
      <c r="D193" s="121"/>
      <c r="E193" s="168">
        <v>0</v>
      </c>
      <c r="F193" s="385"/>
      <c r="G193" s="385"/>
      <c r="H193" s="385"/>
      <c r="I193" s="385"/>
      <c r="J193" s="338">
        <f>SUM(I188:J192)</f>
        <v>0</v>
      </c>
    </row>
    <row r="194" spans="1:10" s="384" customFormat="1" ht="15.75" hidden="1">
      <c r="A194" s="141" t="s">
        <v>143</v>
      </c>
      <c r="B194" s="95">
        <v>146</v>
      </c>
      <c r="C194" s="206"/>
      <c r="D194" s="121"/>
      <c r="E194" s="168">
        <v>0</v>
      </c>
      <c r="F194" s="385"/>
      <c r="G194" s="123"/>
      <c r="H194" s="7"/>
      <c r="I194" s="7"/>
      <c r="J194" s="7"/>
    </row>
    <row r="195" spans="1:10" s="384" customFormat="1" ht="15.75" hidden="1">
      <c r="A195" s="141" t="s">
        <v>105</v>
      </c>
      <c r="B195" s="95"/>
      <c r="C195" s="206"/>
      <c r="D195" s="121"/>
      <c r="E195" s="226">
        <v>0</v>
      </c>
      <c r="F195" s="385"/>
      <c r="G195" s="123"/>
      <c r="H195" s="7"/>
      <c r="I195" s="12"/>
      <c r="J195" s="12"/>
    </row>
    <row r="196" spans="1:10" s="384" customFormat="1" ht="16.5" hidden="1" thickBot="1">
      <c r="A196" s="50"/>
      <c r="B196" s="95"/>
      <c r="C196" s="159">
        <f>SUM(C185:C195)</f>
        <v>5184186</v>
      </c>
      <c r="D196" s="142"/>
      <c r="E196" s="207">
        <f>SUM(E185:E195)</f>
        <v>114717.34361000001</v>
      </c>
      <c r="F196" s="385"/>
      <c r="G196" s="123"/>
      <c r="H196" s="7"/>
      <c r="I196" s="7"/>
      <c r="J196" s="8"/>
    </row>
    <row r="197" spans="1:10" s="384" customFormat="1" ht="16.5" hidden="1" thickTop="1">
      <c r="A197" s="50"/>
      <c r="B197" s="95"/>
      <c r="C197" s="224">
        <v>5184186</v>
      </c>
      <c r="D197" s="142" t="s">
        <v>161</v>
      </c>
      <c r="E197" s="156">
        <v>0</v>
      </c>
      <c r="F197" s="385"/>
      <c r="G197" s="11"/>
      <c r="H197" s="7"/>
      <c r="I197" s="8"/>
      <c r="J197" s="7"/>
    </row>
    <row r="198" spans="1:10" s="384" customFormat="1" ht="16.5" hidden="1" thickBot="1">
      <c r="A198" s="50"/>
      <c r="B198" s="95"/>
      <c r="C198" s="230">
        <f>C197-C196</f>
        <v>0</v>
      </c>
      <c r="D198" s="142"/>
      <c r="E198" s="160">
        <f>SUM(E196:E197)</f>
        <v>114717.34361000001</v>
      </c>
      <c r="F198" s="385"/>
      <c r="G198" s="65" t="s">
        <v>158</v>
      </c>
      <c r="H198" s="7"/>
      <c r="I198" s="7"/>
      <c r="J198" s="7"/>
    </row>
    <row r="199" spans="1:10" s="384" customFormat="1" ht="16.5" hidden="1" thickTop="1">
      <c r="A199" s="385"/>
      <c r="B199" s="385"/>
      <c r="C199" s="385"/>
      <c r="D199" s="142" t="s">
        <v>87</v>
      </c>
      <c r="E199" s="50">
        <f>E198+E180</f>
        <v>-312957.28678590769</v>
      </c>
      <c r="F199" s="385"/>
      <c r="G199" s="8">
        <f>(E180*(D200/12))+(E198*(D200/24))</f>
        <v>-1002.9390545170418</v>
      </c>
      <c r="H199" s="455"/>
      <c r="I199" s="455"/>
      <c r="J199" s="7"/>
    </row>
    <row r="200" spans="1:10" s="384" customFormat="1" ht="15.75" hidden="1">
      <c r="A200" s="385"/>
      <c r="B200" s="385"/>
      <c r="C200" s="50" t="s">
        <v>57</v>
      </c>
      <c r="D200" s="225">
        <v>3.2500000000000001E-2</v>
      </c>
      <c r="E200" s="119">
        <f>ROUND(((E180)+(SUM(E198))/2)*(D200/12),2)</f>
        <v>-1002.94</v>
      </c>
      <c r="F200" s="385"/>
      <c r="G200" s="8"/>
      <c r="H200" s="7"/>
      <c r="I200" s="12"/>
      <c r="J200" s="12"/>
    </row>
    <row r="201" spans="1:10" s="384" customFormat="1" ht="15.75" hidden="1">
      <c r="A201" s="385"/>
      <c r="B201" s="385"/>
      <c r="C201" s="50" t="s">
        <v>1</v>
      </c>
      <c r="D201" s="90">
        <f>A183</f>
        <v>41456</v>
      </c>
      <c r="E201" s="50">
        <f>SUM(E199:E200)</f>
        <v>-313960.2267859077</v>
      </c>
      <c r="F201" s="385"/>
      <c r="G201" s="246"/>
    </row>
    <row r="202" spans="1:10" ht="15.75" hidden="1" thickBot="1"/>
    <row r="203" spans="1:10" s="384" customFormat="1" ht="15.75" hidden="1">
      <c r="A203" s="73" t="s">
        <v>141</v>
      </c>
      <c r="B203" s="78"/>
      <c r="C203" s="79"/>
      <c r="D203" s="80"/>
      <c r="E203" s="81"/>
      <c r="G203" s="5"/>
      <c r="H203" s="5"/>
      <c r="I203" s="48"/>
      <c r="J203" s="48"/>
    </row>
    <row r="204" spans="1:10" s="384" customFormat="1" ht="15.75" hidden="1">
      <c r="A204" s="219">
        <v>41487</v>
      </c>
      <c r="B204" s="137"/>
      <c r="C204" s="11"/>
      <c r="D204" s="138"/>
      <c r="E204" s="77"/>
      <c r="G204" s="5"/>
      <c r="H204" s="5"/>
      <c r="I204" s="48"/>
      <c r="J204" s="48"/>
    </row>
    <row r="205" spans="1:10" s="384" customFormat="1" ht="16.5" hidden="1" thickBot="1">
      <c r="A205" s="139"/>
      <c r="B205" s="140"/>
      <c r="C205" s="131" t="s">
        <v>21</v>
      </c>
      <c r="D205" s="131" t="s">
        <v>22</v>
      </c>
      <c r="E205" s="128" t="s">
        <v>23</v>
      </c>
      <c r="F205" s="385"/>
      <c r="G205" s="385"/>
      <c r="H205" s="385"/>
      <c r="I205" s="385"/>
      <c r="J205" s="385"/>
    </row>
    <row r="206" spans="1:10" s="384" customFormat="1" ht="15.75" hidden="1">
      <c r="A206" s="50" t="s">
        <v>24</v>
      </c>
      <c r="B206" s="95">
        <v>101</v>
      </c>
      <c r="C206" s="206">
        <v>2046635</v>
      </c>
      <c r="D206" s="389">
        <v>3.3950000000000001E-2</v>
      </c>
      <c r="E206" s="168">
        <v>69483.258249999999</v>
      </c>
      <c r="F206" s="385"/>
      <c r="G206" s="385"/>
      <c r="H206" s="385"/>
      <c r="I206" s="385"/>
      <c r="J206" s="385"/>
    </row>
    <row r="207" spans="1:10" s="384" customFormat="1" ht="16.5" hidden="1" thickBot="1">
      <c r="A207" s="50" t="s">
        <v>24</v>
      </c>
      <c r="B207" s="95">
        <v>111</v>
      </c>
      <c r="C207" s="206">
        <v>1287109</v>
      </c>
      <c r="D207" s="389">
        <v>3.0599999999999999E-2</v>
      </c>
      <c r="E207" s="168">
        <v>39385.535400000001</v>
      </c>
      <c r="F207" s="385"/>
      <c r="G207" s="123">
        <f>A204</f>
        <v>41487</v>
      </c>
      <c r="H207" s="385"/>
      <c r="I207" s="385"/>
      <c r="J207" s="385"/>
    </row>
    <row r="208" spans="1:10" s="384" customFormat="1" ht="16.5" hidden="1" thickBot="1">
      <c r="A208" s="50" t="s">
        <v>24</v>
      </c>
      <c r="B208" s="95">
        <v>112</v>
      </c>
      <c r="C208" s="206">
        <v>0</v>
      </c>
      <c r="D208" s="389"/>
      <c r="E208" s="168">
        <v>0</v>
      </c>
      <c r="F208" s="385"/>
      <c r="G208" s="113" t="s">
        <v>25</v>
      </c>
      <c r="H208" s="205"/>
      <c r="I208" s="126" t="s">
        <v>18</v>
      </c>
      <c r="J208" s="126" t="s">
        <v>19</v>
      </c>
    </row>
    <row r="209" spans="1:10" s="384" customFormat="1" ht="15.75" hidden="1">
      <c r="A209" s="50" t="s">
        <v>24</v>
      </c>
      <c r="B209" s="95">
        <v>121</v>
      </c>
      <c r="C209" s="206">
        <v>364418</v>
      </c>
      <c r="D209" s="389">
        <v>2.998E-2</v>
      </c>
      <c r="E209" s="168">
        <v>10925.25164</v>
      </c>
      <c r="F209" s="385"/>
      <c r="G209" s="151" t="s">
        <v>28</v>
      </c>
      <c r="H209" s="152" t="s">
        <v>75</v>
      </c>
      <c r="I209" s="152"/>
      <c r="J209" s="97">
        <f>IF(-E221&lt;0,-E221,0)</f>
        <v>0</v>
      </c>
    </row>
    <row r="210" spans="1:10" s="384" customFormat="1" ht="15.75" hidden="1">
      <c r="A210" s="50" t="s">
        <v>24</v>
      </c>
      <c r="B210" s="95">
        <v>122</v>
      </c>
      <c r="C210" s="206">
        <v>0</v>
      </c>
      <c r="D210" s="389"/>
      <c r="E210" s="168">
        <v>0</v>
      </c>
      <c r="F210" s="385"/>
      <c r="G210" s="153" t="s">
        <v>29</v>
      </c>
      <c r="H210" s="7" t="s">
        <v>76</v>
      </c>
      <c r="I210" s="7">
        <f>IF(-E221&gt;0,-E221,0)</f>
        <v>688.09</v>
      </c>
      <c r="J210" s="223"/>
    </row>
    <row r="211" spans="1:10" s="384" customFormat="1" ht="15.75" hidden="1">
      <c r="A211" s="50" t="s">
        <v>24</v>
      </c>
      <c r="B211" s="95">
        <v>131</v>
      </c>
      <c r="C211" s="206">
        <v>0</v>
      </c>
      <c r="D211" s="389">
        <v>5.7389999999999997E-2</v>
      </c>
      <c r="E211" s="168">
        <v>0</v>
      </c>
      <c r="F211" s="385"/>
      <c r="G211" s="153" t="s">
        <v>97</v>
      </c>
      <c r="H211" s="7" t="s">
        <v>26</v>
      </c>
      <c r="I211" s="8"/>
      <c r="J211" s="98">
        <f>-E219</f>
        <v>-119794.04529000001</v>
      </c>
    </row>
    <row r="212" spans="1:10" s="384" customFormat="1" ht="15.75" hidden="1">
      <c r="A212" s="50" t="s">
        <v>24</v>
      </c>
      <c r="B212" s="95">
        <v>132</v>
      </c>
      <c r="C212" s="206">
        <v>0</v>
      </c>
      <c r="D212" s="389"/>
      <c r="E212" s="168">
        <v>0</v>
      </c>
      <c r="F212" s="385"/>
      <c r="G212" s="153" t="s">
        <v>10</v>
      </c>
      <c r="H212" s="7" t="s">
        <v>17</v>
      </c>
      <c r="I212" s="7">
        <v>0</v>
      </c>
      <c r="J212" s="98"/>
    </row>
    <row r="213" spans="1:10" s="384" customFormat="1" ht="16.5" hidden="1" thickBot="1">
      <c r="A213" s="50" t="s">
        <v>24</v>
      </c>
      <c r="B213" s="95">
        <v>146</v>
      </c>
      <c r="C213" s="206">
        <v>1709756</v>
      </c>
      <c r="D213" s="238"/>
      <c r="E213" s="168">
        <v>0</v>
      </c>
      <c r="F213" s="385"/>
      <c r="G213" s="154" t="s">
        <v>98</v>
      </c>
      <c r="H213" s="147" t="s">
        <v>27</v>
      </c>
      <c r="I213" s="110">
        <f>-E201+E222</f>
        <v>119105.95529000001</v>
      </c>
      <c r="J213" s="107"/>
    </row>
    <row r="214" spans="1:10" s="384" customFormat="1" ht="15.75" hidden="1">
      <c r="A214" s="50" t="s">
        <v>151</v>
      </c>
      <c r="B214" s="95"/>
      <c r="C214" s="206"/>
      <c r="D214" s="121"/>
      <c r="E214" s="168">
        <v>0</v>
      </c>
      <c r="F214" s="385"/>
      <c r="G214" s="385"/>
      <c r="H214" s="385"/>
      <c r="I214" s="385"/>
      <c r="J214" s="338">
        <f>SUM(I209:J213)</f>
        <v>0</v>
      </c>
    </row>
    <row r="215" spans="1:10" s="384" customFormat="1" ht="15.75" hidden="1">
      <c r="A215" s="141" t="s">
        <v>143</v>
      </c>
      <c r="B215" s="95">
        <v>146</v>
      </c>
      <c r="C215" s="206"/>
      <c r="D215" s="121"/>
      <c r="E215" s="168">
        <v>0</v>
      </c>
      <c r="F215" s="385"/>
      <c r="G215" s="123"/>
      <c r="H215" s="7"/>
      <c r="I215" s="7"/>
      <c r="J215" s="7"/>
    </row>
    <row r="216" spans="1:10" s="384" customFormat="1" ht="15.75" hidden="1">
      <c r="A216" s="141" t="s">
        <v>105</v>
      </c>
      <c r="B216" s="95"/>
      <c r="C216" s="206"/>
      <c r="D216" s="121"/>
      <c r="E216" s="226">
        <v>0</v>
      </c>
      <c r="F216" s="385"/>
      <c r="G216" s="123"/>
      <c r="H216" s="7"/>
      <c r="I216" s="12"/>
      <c r="J216" s="12"/>
    </row>
    <row r="217" spans="1:10" s="384" customFormat="1" ht="16.5" hidden="1" thickBot="1">
      <c r="A217" s="50"/>
      <c r="B217" s="95"/>
      <c r="C217" s="159">
        <f>SUM(C206:C216)</f>
        <v>5407918</v>
      </c>
      <c r="D217" s="142"/>
      <c r="E217" s="207">
        <f>SUM(E206:E216)</f>
        <v>119794.04529000001</v>
      </c>
      <c r="F217" s="385"/>
      <c r="G217" s="123"/>
      <c r="H217" s="7"/>
      <c r="I217" s="7"/>
      <c r="J217" s="8"/>
    </row>
    <row r="218" spans="1:10" s="384" customFormat="1" ht="16.5" hidden="1" thickTop="1">
      <c r="A218" s="50"/>
      <c r="B218" s="95"/>
      <c r="C218" s="224">
        <v>5407918</v>
      </c>
      <c r="D218" s="142" t="s">
        <v>161</v>
      </c>
      <c r="E218" s="156">
        <v>0</v>
      </c>
      <c r="F218" s="385"/>
      <c r="G218" s="11"/>
      <c r="H218" s="7"/>
      <c r="I218" s="8"/>
      <c r="J218" s="7"/>
    </row>
    <row r="219" spans="1:10" s="384" customFormat="1" ht="16.5" hidden="1" thickBot="1">
      <c r="A219" s="50"/>
      <c r="B219" s="95"/>
      <c r="C219" s="230">
        <f>C218-C217</f>
        <v>0</v>
      </c>
      <c r="D219" s="142"/>
      <c r="E219" s="160">
        <f>SUM(E217:E218)</f>
        <v>119794.04529000001</v>
      </c>
      <c r="F219" s="385"/>
      <c r="G219" s="65" t="s">
        <v>158</v>
      </c>
      <c r="H219" s="7"/>
      <c r="I219" s="7"/>
      <c r="J219" s="7"/>
    </row>
    <row r="220" spans="1:10" s="384" customFormat="1" ht="16.5" hidden="1" thickTop="1">
      <c r="A220" s="385"/>
      <c r="B220" s="385"/>
      <c r="C220" s="385"/>
      <c r="D220" s="142" t="s">
        <v>87</v>
      </c>
      <c r="E220" s="50">
        <f>E219+E201</f>
        <v>-194166.18149590769</v>
      </c>
      <c r="F220" s="385"/>
      <c r="G220" s="8">
        <f>(E201*(D221/12))+(E219*(D221/24))</f>
        <v>-688.08784454829174</v>
      </c>
      <c r="H220" s="456"/>
      <c r="I220" s="456"/>
      <c r="J220" s="7"/>
    </row>
    <row r="221" spans="1:10" s="384" customFormat="1" ht="15.75" hidden="1">
      <c r="A221" s="385"/>
      <c r="B221" s="385"/>
      <c r="C221" s="50" t="s">
        <v>57</v>
      </c>
      <c r="D221" s="225">
        <v>3.2500000000000001E-2</v>
      </c>
      <c r="E221" s="119">
        <f>ROUND(((E201)+(SUM(E219))/2)*(D221/12),2)</f>
        <v>-688.09</v>
      </c>
      <c r="F221" s="385"/>
      <c r="G221" s="8"/>
      <c r="H221" s="7"/>
      <c r="I221" s="12"/>
      <c r="J221" s="12"/>
    </row>
    <row r="222" spans="1:10" s="384" customFormat="1" ht="15.75">
      <c r="A222" s="385"/>
      <c r="B222" s="385"/>
      <c r="C222" s="50" t="s">
        <v>1</v>
      </c>
      <c r="D222" s="90">
        <f>A204</f>
        <v>41487</v>
      </c>
      <c r="E222" s="50">
        <f>SUM(E220:E221)</f>
        <v>-194854.27149590768</v>
      </c>
      <c r="F222" s="385"/>
      <c r="G222" s="246"/>
    </row>
    <row r="223" spans="1:10" ht="15.75" thickBot="1"/>
    <row r="224" spans="1:10" s="384" customFormat="1" ht="15.75">
      <c r="A224" s="73" t="s">
        <v>141</v>
      </c>
      <c r="B224" s="78"/>
      <c r="C224" s="79"/>
      <c r="D224" s="80"/>
      <c r="E224" s="81"/>
      <c r="G224" s="5"/>
      <c r="H224" s="5"/>
      <c r="I224" s="48"/>
      <c r="J224" s="48"/>
    </row>
    <row r="225" spans="1:10" s="384" customFormat="1" ht="15.75">
      <c r="A225" s="219">
        <v>41518</v>
      </c>
      <c r="B225" s="137"/>
      <c r="C225" s="11"/>
      <c r="D225" s="138"/>
      <c r="E225" s="77"/>
      <c r="G225" s="5"/>
      <c r="H225" s="5"/>
      <c r="I225" s="48"/>
      <c r="J225" s="48"/>
    </row>
    <row r="226" spans="1:10" s="384" customFormat="1" ht="16.5" thickBot="1">
      <c r="A226" s="139"/>
      <c r="B226" s="140"/>
      <c r="C226" s="131" t="s">
        <v>21</v>
      </c>
      <c r="D226" s="131" t="s">
        <v>22</v>
      </c>
      <c r="E226" s="128" t="s">
        <v>23</v>
      </c>
      <c r="F226" s="385"/>
      <c r="G226" s="385"/>
      <c r="H226" s="385"/>
      <c r="I226" s="385"/>
      <c r="J226" s="385"/>
    </row>
    <row r="227" spans="1:10" s="384" customFormat="1" ht="15.75">
      <c r="A227" s="50" t="s">
        <v>24</v>
      </c>
      <c r="B227" s="95">
        <v>101</v>
      </c>
      <c r="C227" s="206">
        <v>2647538</v>
      </c>
      <c r="D227" s="389">
        <v>3.3950000000000001E-2</v>
      </c>
      <c r="E227" s="168">
        <v>89883.915099999998</v>
      </c>
      <c r="F227" s="385"/>
      <c r="G227" s="385"/>
      <c r="H227" s="385"/>
      <c r="I227" s="385"/>
      <c r="J227" s="385"/>
    </row>
    <row r="228" spans="1:10" s="384" customFormat="1" ht="16.5" thickBot="1">
      <c r="A228" s="50" t="s">
        <v>24</v>
      </c>
      <c r="B228" s="95">
        <v>111</v>
      </c>
      <c r="C228" s="206">
        <v>1599551</v>
      </c>
      <c r="D228" s="389">
        <v>3.0599999999999999E-2</v>
      </c>
      <c r="E228" s="168">
        <v>48946.260600000001</v>
      </c>
      <c r="F228" s="385"/>
      <c r="G228" s="123">
        <f>A225</f>
        <v>41518</v>
      </c>
      <c r="H228" s="385"/>
      <c r="I228" s="385"/>
      <c r="J228" s="385"/>
    </row>
    <row r="229" spans="1:10" s="384" customFormat="1" ht="16.5" thickBot="1">
      <c r="A229" s="50" t="s">
        <v>24</v>
      </c>
      <c r="B229" s="95">
        <v>112</v>
      </c>
      <c r="C229" s="206">
        <v>0</v>
      </c>
      <c r="D229" s="389"/>
      <c r="E229" s="168">
        <v>0</v>
      </c>
      <c r="F229" s="385"/>
      <c r="G229" s="113" t="s">
        <v>25</v>
      </c>
      <c r="H229" s="205"/>
      <c r="I229" s="126" t="s">
        <v>18</v>
      </c>
      <c r="J229" s="126" t="s">
        <v>19</v>
      </c>
    </row>
    <row r="230" spans="1:10" s="384" customFormat="1" ht="15.75">
      <c r="A230" s="50" t="s">
        <v>24</v>
      </c>
      <c r="B230" s="95">
        <v>121</v>
      </c>
      <c r="C230" s="206">
        <v>344046</v>
      </c>
      <c r="D230" s="389">
        <v>2.998E-2</v>
      </c>
      <c r="E230" s="168">
        <v>10314.49908</v>
      </c>
      <c r="F230" s="385"/>
      <c r="G230" s="151" t="s">
        <v>28</v>
      </c>
      <c r="H230" s="152" t="s">
        <v>75</v>
      </c>
      <c r="I230" s="152"/>
      <c r="J230" s="97">
        <f>IF(-E242&lt;0,-E242,0)</f>
        <v>0</v>
      </c>
    </row>
    <row r="231" spans="1:10" s="384" customFormat="1" ht="15.75">
      <c r="A231" s="50" t="s">
        <v>24</v>
      </c>
      <c r="B231" s="95">
        <v>122</v>
      </c>
      <c r="C231" s="206">
        <v>0</v>
      </c>
      <c r="D231" s="389"/>
      <c r="E231" s="168">
        <v>0</v>
      </c>
      <c r="F231" s="385"/>
      <c r="G231" s="153" t="s">
        <v>29</v>
      </c>
      <c r="H231" s="7" t="s">
        <v>76</v>
      </c>
      <c r="I231" s="7">
        <f>IF(-E242&gt;0,-E242,0)</f>
        <v>325.76</v>
      </c>
      <c r="J231" s="223"/>
    </row>
    <row r="232" spans="1:10" s="384" customFormat="1" ht="15.75">
      <c r="A232" s="50" t="s">
        <v>24</v>
      </c>
      <c r="B232" s="95">
        <v>131</v>
      </c>
      <c r="C232" s="206">
        <v>0</v>
      </c>
      <c r="D232" s="389">
        <v>5.7389999999999997E-2</v>
      </c>
      <c r="E232" s="168">
        <v>0</v>
      </c>
      <c r="F232" s="385"/>
      <c r="G232" s="153" t="s">
        <v>97</v>
      </c>
      <c r="H232" s="7" t="s">
        <v>26</v>
      </c>
      <c r="I232" s="8"/>
      <c r="J232" s="98">
        <f>-E240</f>
        <v>-149144.67478</v>
      </c>
    </row>
    <row r="233" spans="1:10" s="384" customFormat="1" ht="15.75">
      <c r="A233" s="50" t="s">
        <v>24</v>
      </c>
      <c r="B233" s="95">
        <v>132</v>
      </c>
      <c r="C233" s="206">
        <v>0</v>
      </c>
      <c r="D233" s="389"/>
      <c r="E233" s="168">
        <v>0</v>
      </c>
      <c r="F233" s="385"/>
      <c r="G233" s="153" t="s">
        <v>10</v>
      </c>
      <c r="H233" s="7" t="s">
        <v>17</v>
      </c>
      <c r="I233" s="7">
        <v>0</v>
      </c>
      <c r="J233" s="98"/>
    </row>
    <row r="234" spans="1:10" s="384" customFormat="1" ht="16.5" thickBot="1">
      <c r="A234" s="50" t="s">
        <v>24</v>
      </c>
      <c r="B234" s="95">
        <v>146</v>
      </c>
      <c r="C234" s="206">
        <v>1818699</v>
      </c>
      <c r="D234" s="238"/>
      <c r="E234" s="168">
        <v>0</v>
      </c>
      <c r="F234" s="385"/>
      <c r="G234" s="154" t="s">
        <v>98</v>
      </c>
      <c r="H234" s="147" t="s">
        <v>27</v>
      </c>
      <c r="I234" s="110">
        <f>-E222+E243</f>
        <v>148818.91477999999</v>
      </c>
      <c r="J234" s="107"/>
    </row>
    <row r="235" spans="1:10" s="384" customFormat="1" ht="15.75">
      <c r="A235" s="50" t="s">
        <v>151</v>
      </c>
      <c r="B235" s="95"/>
      <c r="C235" s="206"/>
      <c r="D235" s="121"/>
      <c r="E235" s="168">
        <v>0</v>
      </c>
      <c r="F235" s="385"/>
      <c r="G235" s="385"/>
      <c r="H235" s="385"/>
      <c r="I235" s="385"/>
      <c r="J235" s="338">
        <f>SUM(I230:J234)</f>
        <v>0</v>
      </c>
    </row>
    <row r="236" spans="1:10" s="384" customFormat="1" ht="15.75">
      <c r="A236" s="141" t="s">
        <v>143</v>
      </c>
      <c r="B236" s="95">
        <v>146</v>
      </c>
      <c r="C236" s="206"/>
      <c r="D236" s="121"/>
      <c r="E236" s="168">
        <v>0</v>
      </c>
      <c r="F236" s="385"/>
      <c r="G236" s="123"/>
      <c r="H236" s="7"/>
      <c r="I236" s="7"/>
      <c r="J236" s="7"/>
    </row>
    <row r="237" spans="1:10" s="384" customFormat="1" ht="15.75">
      <c r="A237" s="141" t="s">
        <v>105</v>
      </c>
      <c r="B237" s="95"/>
      <c r="C237" s="206"/>
      <c r="D237" s="121"/>
      <c r="E237" s="226">
        <v>0</v>
      </c>
      <c r="F237" s="385"/>
      <c r="G237" s="123"/>
      <c r="H237" s="7"/>
      <c r="I237" s="12"/>
      <c r="J237" s="12"/>
    </row>
    <row r="238" spans="1:10" s="384" customFormat="1" ht="16.5" thickBot="1">
      <c r="A238" s="50"/>
      <c r="B238" s="95"/>
      <c r="C238" s="159">
        <f>SUM(C227:C237)</f>
        <v>6409834</v>
      </c>
      <c r="D238" s="142"/>
      <c r="E238" s="207">
        <f>SUM(E227:E237)</f>
        <v>149144.67478</v>
      </c>
      <c r="F238" s="385"/>
      <c r="G238" s="123"/>
      <c r="H238" s="7"/>
      <c r="I238" s="7"/>
      <c r="J238" s="8"/>
    </row>
    <row r="239" spans="1:10" s="384" customFormat="1" ht="16.5" thickTop="1">
      <c r="A239" s="50"/>
      <c r="B239" s="95"/>
      <c r="C239" s="224">
        <v>6409834</v>
      </c>
      <c r="D239" s="142" t="s">
        <v>161</v>
      </c>
      <c r="E239" s="156">
        <v>0</v>
      </c>
      <c r="F239" s="385"/>
      <c r="G239" s="11"/>
      <c r="H239" s="7"/>
      <c r="I239" s="8"/>
      <c r="J239" s="7"/>
    </row>
    <row r="240" spans="1:10" s="384" customFormat="1" ht="16.5" thickBot="1">
      <c r="A240" s="50"/>
      <c r="B240" s="95"/>
      <c r="C240" s="230">
        <f>C239-C238</f>
        <v>0</v>
      </c>
      <c r="D240" s="142"/>
      <c r="E240" s="160">
        <f>SUM(E238:E239)</f>
        <v>149144.67478</v>
      </c>
      <c r="F240" s="385"/>
      <c r="G240" s="65" t="s">
        <v>158</v>
      </c>
      <c r="H240" s="7"/>
      <c r="I240" s="7"/>
      <c r="J240" s="7"/>
    </row>
    <row r="241" spans="1:10" s="384" customFormat="1" ht="16.5" thickTop="1">
      <c r="A241" s="385"/>
      <c r="B241" s="385"/>
      <c r="C241" s="385"/>
      <c r="D241" s="142" t="s">
        <v>87</v>
      </c>
      <c r="E241" s="50">
        <f>E240+E222</f>
        <v>-45709.596715907683</v>
      </c>
      <c r="F241" s="385"/>
      <c r="G241" s="8">
        <f>(E222*(D242/12))+(E240*(D242/24))</f>
        <v>-325.7635715368333</v>
      </c>
      <c r="H241" s="457"/>
      <c r="I241" s="457"/>
      <c r="J241" s="7"/>
    </row>
    <row r="242" spans="1:10" s="384" customFormat="1" ht="15.75">
      <c r="A242" s="385"/>
      <c r="B242" s="385"/>
      <c r="C242" s="50" t="s">
        <v>57</v>
      </c>
      <c r="D242" s="225">
        <v>3.2500000000000001E-2</v>
      </c>
      <c r="E242" s="119">
        <f>ROUND(((E222)+(SUM(E240))/2)*(D242/12),2)</f>
        <v>-325.76</v>
      </c>
      <c r="F242" s="385"/>
      <c r="G242" s="8"/>
      <c r="H242" s="7"/>
      <c r="I242" s="12"/>
      <c r="J242" s="12"/>
    </row>
    <row r="243" spans="1:10" s="384" customFormat="1" ht="15.75">
      <c r="A243" s="385"/>
      <c r="B243" s="385"/>
      <c r="C243" s="50" t="s">
        <v>1</v>
      </c>
      <c r="D243" s="90">
        <f>A225</f>
        <v>41518</v>
      </c>
      <c r="E243" s="50">
        <f>SUM(E241:E242)</f>
        <v>-46035.356715907685</v>
      </c>
      <c r="F243" s="385"/>
      <c r="G243" s="246"/>
    </row>
    <row r="244" spans="1:10" ht="15.75" thickBot="1"/>
    <row r="245" spans="1:10" s="384" customFormat="1" ht="15.75">
      <c r="A245" s="73" t="s">
        <v>141</v>
      </c>
      <c r="B245" s="78"/>
      <c r="C245" s="79"/>
      <c r="D245" s="80"/>
      <c r="E245" s="81"/>
      <c r="G245" s="5"/>
      <c r="H245" s="5"/>
      <c r="I245" s="48"/>
      <c r="J245" s="48"/>
    </row>
    <row r="246" spans="1:10" s="384" customFormat="1" ht="15.75">
      <c r="A246" s="219">
        <v>41578</v>
      </c>
      <c r="B246" s="137"/>
      <c r="C246" s="11"/>
      <c r="D246" s="138"/>
      <c r="E246" s="77"/>
      <c r="G246" s="5"/>
      <c r="H246" s="5"/>
      <c r="I246" s="48"/>
      <c r="J246" s="48"/>
    </row>
    <row r="247" spans="1:10" s="384" customFormat="1" ht="16.5" thickBot="1">
      <c r="A247" s="139"/>
      <c r="B247" s="140"/>
      <c r="C247" s="131" t="s">
        <v>21</v>
      </c>
      <c r="D247" s="131" t="s">
        <v>22</v>
      </c>
      <c r="E247" s="128" t="s">
        <v>23</v>
      </c>
      <c r="F247" s="385"/>
      <c r="G247" s="385"/>
      <c r="H247" s="385"/>
      <c r="I247" s="385"/>
      <c r="J247" s="385"/>
    </row>
    <row r="248" spans="1:10" s="384" customFormat="1" ht="15.75">
      <c r="A248" s="50" t="s">
        <v>24</v>
      </c>
      <c r="B248" s="95">
        <v>101</v>
      </c>
      <c r="C248" s="206">
        <v>9244353</v>
      </c>
      <c r="D248" s="389">
        <v>3.3950000000000001E-2</v>
      </c>
      <c r="E248" s="168">
        <v>313845.78435000003</v>
      </c>
      <c r="F248" s="385"/>
      <c r="G248" s="385"/>
      <c r="H248" s="385"/>
      <c r="I248" s="385"/>
      <c r="J248" s="385"/>
    </row>
    <row r="249" spans="1:10" s="384" customFormat="1" ht="16.5" thickBot="1">
      <c r="A249" s="50" t="s">
        <v>24</v>
      </c>
      <c r="B249" s="95">
        <v>111</v>
      </c>
      <c r="C249" s="206">
        <v>3880001</v>
      </c>
      <c r="D249" s="389">
        <v>3.0599999999999999E-2</v>
      </c>
      <c r="E249" s="168">
        <v>118728.0306</v>
      </c>
      <c r="F249" s="385"/>
      <c r="G249" s="123">
        <f>A246</f>
        <v>41578</v>
      </c>
      <c r="H249" s="385"/>
      <c r="I249" s="385"/>
      <c r="J249" s="385"/>
    </row>
    <row r="250" spans="1:10" s="384" customFormat="1" ht="16.5" thickBot="1">
      <c r="A250" s="50" t="s">
        <v>24</v>
      </c>
      <c r="B250" s="95">
        <v>112</v>
      </c>
      <c r="C250" s="206">
        <v>0</v>
      </c>
      <c r="D250" s="389"/>
      <c r="E250" s="168">
        <v>0</v>
      </c>
      <c r="F250" s="385"/>
      <c r="G250" s="113" t="s">
        <v>25</v>
      </c>
      <c r="H250" s="205"/>
      <c r="I250" s="126" t="s">
        <v>18</v>
      </c>
      <c r="J250" s="126" t="s">
        <v>19</v>
      </c>
    </row>
    <row r="251" spans="1:10" s="384" customFormat="1" ht="15.75">
      <c r="A251" s="50" t="s">
        <v>24</v>
      </c>
      <c r="B251" s="95">
        <v>121</v>
      </c>
      <c r="C251" s="206">
        <v>595792</v>
      </c>
      <c r="D251" s="389">
        <v>2.998E-2</v>
      </c>
      <c r="E251" s="168">
        <v>17861.844160000001</v>
      </c>
      <c r="F251" s="385"/>
      <c r="G251" s="151" t="s">
        <v>28</v>
      </c>
      <c r="H251" s="152" t="s">
        <v>75</v>
      </c>
      <c r="I251" s="152"/>
      <c r="J251" s="97">
        <f>IF(-E263&lt;0,-E263,0)</f>
        <v>-485.29</v>
      </c>
    </row>
    <row r="252" spans="1:10" s="384" customFormat="1" ht="15.75">
      <c r="A252" s="50" t="s">
        <v>24</v>
      </c>
      <c r="B252" s="95">
        <v>122</v>
      </c>
      <c r="C252" s="206">
        <v>0</v>
      </c>
      <c r="D252" s="389"/>
      <c r="E252" s="168">
        <v>0</v>
      </c>
      <c r="F252" s="385"/>
      <c r="G252" s="153" t="s">
        <v>29</v>
      </c>
      <c r="H252" s="7" t="s">
        <v>76</v>
      </c>
      <c r="I252" s="7">
        <f>IF(-E263&gt;0,-E263,0)</f>
        <v>0</v>
      </c>
      <c r="J252" s="223"/>
    </row>
    <row r="253" spans="1:10" s="384" customFormat="1" ht="15.75">
      <c r="A253" s="50" t="s">
        <v>24</v>
      </c>
      <c r="B253" s="95">
        <v>131</v>
      </c>
      <c r="C253" s="206">
        <v>0</v>
      </c>
      <c r="D253" s="389">
        <v>5.7389999999999997E-2</v>
      </c>
      <c r="E253" s="168">
        <v>0</v>
      </c>
      <c r="F253" s="385"/>
      <c r="G253" s="153" t="s">
        <v>97</v>
      </c>
      <c r="H253" s="7" t="s">
        <v>26</v>
      </c>
      <c r="I253" s="8"/>
      <c r="J253" s="98">
        <f>-E261</f>
        <v>-450435.65911000001</v>
      </c>
    </row>
    <row r="254" spans="1:10" s="384" customFormat="1" ht="15.75">
      <c r="A254" s="50" t="s">
        <v>24</v>
      </c>
      <c r="B254" s="95">
        <v>132</v>
      </c>
      <c r="C254" s="206">
        <v>0</v>
      </c>
      <c r="D254" s="389"/>
      <c r="E254" s="168">
        <v>0</v>
      </c>
      <c r="F254" s="385"/>
      <c r="G254" s="153" t="s">
        <v>10</v>
      </c>
      <c r="H254" s="7" t="s">
        <v>17</v>
      </c>
      <c r="I254" s="7">
        <v>0</v>
      </c>
      <c r="J254" s="98"/>
    </row>
    <row r="255" spans="1:10" s="384" customFormat="1" ht="16.5" thickBot="1">
      <c r="A255" s="50" t="s">
        <v>24</v>
      </c>
      <c r="B255" s="95">
        <v>146</v>
      </c>
      <c r="C255" s="206">
        <v>2531895</v>
      </c>
      <c r="D255" s="238"/>
      <c r="E255" s="168">
        <v>0</v>
      </c>
      <c r="F255" s="385"/>
      <c r="G255" s="154" t="s">
        <v>98</v>
      </c>
      <c r="H255" s="147" t="s">
        <v>27</v>
      </c>
      <c r="I255" s="110">
        <f>-E243+E264</f>
        <v>450920.94910999999</v>
      </c>
      <c r="J255" s="107"/>
    </row>
    <row r="256" spans="1:10" s="384" customFormat="1" ht="15.75">
      <c r="A256" s="50" t="s">
        <v>151</v>
      </c>
      <c r="B256" s="95"/>
      <c r="C256" s="206"/>
      <c r="D256" s="121"/>
      <c r="E256" s="168">
        <v>0</v>
      </c>
      <c r="F256" s="385"/>
      <c r="G256" s="385"/>
      <c r="H256" s="385"/>
      <c r="I256" s="385"/>
      <c r="J256" s="338">
        <f>SUM(I251:J255)</f>
        <v>0</v>
      </c>
    </row>
    <row r="257" spans="1:10" s="384" customFormat="1" ht="15.75">
      <c r="A257" s="141" t="s">
        <v>143</v>
      </c>
      <c r="B257" s="95">
        <v>146</v>
      </c>
      <c r="C257" s="206"/>
      <c r="D257" s="121"/>
      <c r="E257" s="168">
        <v>0</v>
      </c>
      <c r="F257" s="385"/>
      <c r="G257" s="123"/>
      <c r="H257" s="7"/>
      <c r="I257" s="7"/>
      <c r="J257" s="7"/>
    </row>
    <row r="258" spans="1:10" s="384" customFormat="1" ht="15.75">
      <c r="A258" s="141" t="s">
        <v>105</v>
      </c>
      <c r="B258" s="95"/>
      <c r="C258" s="206"/>
      <c r="D258" s="121"/>
      <c r="E258" s="226">
        <v>0</v>
      </c>
      <c r="F258" s="385"/>
      <c r="G258" s="123"/>
      <c r="H258" s="7"/>
      <c r="I258" s="12"/>
      <c r="J258" s="12"/>
    </row>
    <row r="259" spans="1:10" s="384" customFormat="1" ht="16.5" thickBot="1">
      <c r="A259" s="50"/>
      <c r="B259" s="95"/>
      <c r="C259" s="159">
        <f>SUM(C248:C258)</f>
        <v>16252041</v>
      </c>
      <c r="D259" s="142"/>
      <c r="E259" s="207">
        <f>SUM(E248:E258)</f>
        <v>450435.65911000001</v>
      </c>
      <c r="F259" s="385"/>
      <c r="G259" s="123"/>
      <c r="H259" s="7"/>
      <c r="I259" s="7"/>
      <c r="J259" s="8"/>
    </row>
    <row r="260" spans="1:10" s="384" customFormat="1" ht="16.5" thickTop="1">
      <c r="A260" s="50"/>
      <c r="B260" s="95"/>
      <c r="C260" s="224">
        <v>16252041</v>
      </c>
      <c r="D260" s="142" t="s">
        <v>161</v>
      </c>
      <c r="E260" s="156">
        <v>0</v>
      </c>
      <c r="F260" s="385"/>
      <c r="G260" s="11"/>
      <c r="H260" s="7"/>
      <c r="I260" s="8"/>
      <c r="J260" s="7"/>
    </row>
    <row r="261" spans="1:10" s="384" customFormat="1" ht="16.5" thickBot="1">
      <c r="A261" s="50"/>
      <c r="B261" s="95"/>
      <c r="C261" s="230">
        <f>C260-C259</f>
        <v>0</v>
      </c>
      <c r="D261" s="142"/>
      <c r="E261" s="160">
        <f>SUM(E259:E260)</f>
        <v>450435.65911000001</v>
      </c>
      <c r="F261" s="385"/>
      <c r="G261" s="65" t="s">
        <v>158</v>
      </c>
      <c r="H261" s="7"/>
      <c r="I261" s="7"/>
      <c r="J261" s="7"/>
    </row>
    <row r="262" spans="1:10" s="384" customFormat="1" ht="16.5" thickTop="1">
      <c r="A262" s="385"/>
      <c r="B262" s="385"/>
      <c r="C262" s="385"/>
      <c r="D262" s="142" t="s">
        <v>87</v>
      </c>
      <c r="E262" s="50">
        <f>E261+E243</f>
        <v>404400.30239409232</v>
      </c>
      <c r="F262" s="385"/>
      <c r="G262" s="8">
        <f>(E243*(D263/12))+(E261*(D263/24))</f>
        <v>485.28586393920841</v>
      </c>
      <c r="H262" s="458"/>
      <c r="I262" s="458"/>
      <c r="J262" s="7"/>
    </row>
    <row r="263" spans="1:10" s="384" customFormat="1" ht="15.75">
      <c r="A263" s="385"/>
      <c r="B263" s="385"/>
      <c r="C263" s="50" t="s">
        <v>57</v>
      </c>
      <c r="D263" s="225">
        <v>3.2500000000000001E-2</v>
      </c>
      <c r="E263" s="119">
        <f>ROUND(((E243)+(SUM(E261))/2)*(D263/12),2)</f>
        <v>485.29</v>
      </c>
      <c r="F263" s="385"/>
      <c r="G263" s="8"/>
      <c r="H263" s="7"/>
      <c r="I263" s="12"/>
      <c r="J263" s="12"/>
    </row>
    <row r="264" spans="1:10" s="384" customFormat="1" ht="15.75">
      <c r="A264" s="385"/>
      <c r="B264" s="385"/>
      <c r="C264" s="50" t="s">
        <v>1</v>
      </c>
      <c r="D264" s="90">
        <f>A246</f>
        <v>41578</v>
      </c>
      <c r="E264" s="50">
        <f>SUM(E262:E263)</f>
        <v>404885.59239409229</v>
      </c>
      <c r="F264" s="385"/>
      <c r="G264" s="246"/>
    </row>
    <row r="265" spans="1:10" s="384" customFormat="1" ht="15.75">
      <c r="A265" s="385"/>
      <c r="B265" s="385"/>
      <c r="C265" s="50"/>
      <c r="D265" s="443" t="s">
        <v>230</v>
      </c>
      <c r="E265" s="64">
        <f>-'WA Def 191010'!C109</f>
        <v>1145801.7486667871</v>
      </c>
      <c r="F265" s="385"/>
      <c r="G265" s="246"/>
    </row>
    <row r="266" spans="1:10" s="384" customFormat="1" ht="16.5" thickBot="1">
      <c r="A266" s="385"/>
      <c r="B266" s="385"/>
      <c r="C266" s="50"/>
      <c r="D266" s="443" t="s">
        <v>231</v>
      </c>
      <c r="E266" s="160">
        <f>E265+E264</f>
        <v>1550687.3410608794</v>
      </c>
      <c r="F266" s="385"/>
      <c r="G266" s="246"/>
    </row>
    <row r="267" spans="1:10" s="384" customFormat="1" ht="16.5" thickTop="1" thickBot="1"/>
    <row r="268" spans="1:10" s="384" customFormat="1" ht="15.75">
      <c r="A268" s="73" t="s">
        <v>141</v>
      </c>
      <c r="B268" s="78"/>
      <c r="C268" s="79"/>
      <c r="D268" s="80"/>
      <c r="E268" s="81"/>
      <c r="G268" s="5"/>
      <c r="H268" s="5"/>
      <c r="I268" s="48"/>
      <c r="J268" s="48"/>
    </row>
    <row r="269" spans="1:10" s="384" customFormat="1" ht="15.75">
      <c r="A269" s="219">
        <v>41608</v>
      </c>
      <c r="B269" s="137"/>
      <c r="C269" s="11"/>
      <c r="D269" s="138"/>
      <c r="E269" s="77"/>
      <c r="G269" s="5"/>
      <c r="H269" s="5"/>
      <c r="I269" s="48"/>
      <c r="J269" s="48"/>
    </row>
    <row r="270" spans="1:10" s="384" customFormat="1" ht="16.5" thickBot="1">
      <c r="A270" s="139"/>
      <c r="B270" s="140"/>
      <c r="C270" s="131" t="s">
        <v>21</v>
      </c>
      <c r="D270" s="131" t="s">
        <v>22</v>
      </c>
      <c r="E270" s="128" t="s">
        <v>23</v>
      </c>
      <c r="F270" s="385"/>
      <c r="G270" s="385"/>
      <c r="H270" s="385"/>
      <c r="I270" s="385"/>
      <c r="J270" s="385"/>
    </row>
    <row r="271" spans="1:10" s="384" customFormat="1" ht="15.75">
      <c r="A271" s="50" t="s">
        <v>24</v>
      </c>
      <c r="B271" s="95">
        <v>101</v>
      </c>
      <c r="C271" s="206">
        <v>15070678</v>
      </c>
      <c r="D271" s="389" t="s">
        <v>187</v>
      </c>
      <c r="E271" s="168">
        <v>-28858.639999999999</v>
      </c>
      <c r="F271" s="385"/>
      <c r="G271" s="385"/>
      <c r="H271" s="385"/>
      <c r="I271" s="385"/>
      <c r="J271" s="385"/>
    </row>
    <row r="272" spans="1:10" s="384" customFormat="1" ht="16.5" thickBot="1">
      <c r="A272" s="50" t="s">
        <v>24</v>
      </c>
      <c r="B272" s="95">
        <v>111</v>
      </c>
      <c r="C272" s="206">
        <v>5651303</v>
      </c>
      <c r="D272" s="389" t="s">
        <v>187</v>
      </c>
      <c r="E272" s="168">
        <v>-36478.370000000003</v>
      </c>
      <c r="F272" s="385"/>
      <c r="G272" s="123">
        <f>A269</f>
        <v>41608</v>
      </c>
      <c r="H272" s="385"/>
      <c r="I272" s="385"/>
      <c r="J272" s="385"/>
    </row>
    <row r="273" spans="1:10" s="384" customFormat="1" ht="16.5" thickBot="1">
      <c r="A273" s="50" t="s">
        <v>24</v>
      </c>
      <c r="B273" s="95">
        <v>112</v>
      </c>
      <c r="C273" s="206">
        <v>0</v>
      </c>
      <c r="D273" s="389" t="s">
        <v>187</v>
      </c>
      <c r="E273" s="168">
        <v>0</v>
      </c>
      <c r="F273" s="385"/>
      <c r="G273" s="113" t="s">
        <v>25</v>
      </c>
      <c r="H273" s="205"/>
      <c r="I273" s="126" t="s">
        <v>18</v>
      </c>
      <c r="J273" s="126" t="s">
        <v>19</v>
      </c>
    </row>
    <row r="274" spans="1:10" s="384" customFormat="1" ht="15.75">
      <c r="A274" s="50" t="s">
        <v>24</v>
      </c>
      <c r="B274" s="95">
        <v>121</v>
      </c>
      <c r="C274" s="206">
        <v>396185</v>
      </c>
      <c r="D274" s="389" t="s">
        <v>187</v>
      </c>
      <c r="E274" s="168">
        <v>-16940.830000000002</v>
      </c>
      <c r="F274" s="385"/>
      <c r="G274" s="151" t="s">
        <v>28</v>
      </c>
      <c r="H274" s="152" t="s">
        <v>75</v>
      </c>
      <c r="I274" s="468"/>
      <c r="J274" s="469">
        <f>IF(-E286&lt;0,-E286,0)</f>
        <v>-4107.12</v>
      </c>
    </row>
    <row r="275" spans="1:10" s="384" customFormat="1" ht="15.75">
      <c r="A275" s="50" t="s">
        <v>24</v>
      </c>
      <c r="B275" s="95">
        <v>122</v>
      </c>
      <c r="C275" s="206">
        <v>0</v>
      </c>
      <c r="D275" s="389" t="s">
        <v>187</v>
      </c>
      <c r="E275" s="168">
        <v>0</v>
      </c>
      <c r="F275" s="385"/>
      <c r="G275" s="153" t="s">
        <v>29</v>
      </c>
      <c r="H275" s="7" t="s">
        <v>76</v>
      </c>
      <c r="I275" s="470">
        <f>IF(-E286&gt;0,-E286,0)</f>
        <v>0</v>
      </c>
      <c r="J275" s="460"/>
    </row>
    <row r="276" spans="1:10" s="384" customFormat="1" ht="15.75">
      <c r="A276" s="50" t="s">
        <v>24</v>
      </c>
      <c r="B276" s="95">
        <v>131</v>
      </c>
      <c r="C276" s="206">
        <v>0</v>
      </c>
      <c r="D276" s="389" t="s">
        <v>187</v>
      </c>
      <c r="E276" s="168">
        <v>0</v>
      </c>
      <c r="F276" s="385"/>
      <c r="G276" s="153" t="s">
        <v>97</v>
      </c>
      <c r="H276" s="7" t="s">
        <v>26</v>
      </c>
      <c r="I276" s="470">
        <f>IF(-E284&gt;0,-E284,0)</f>
        <v>68424.86</v>
      </c>
      <c r="J276" s="460">
        <f>IF(-E284&lt;0,-E284,0)</f>
        <v>0</v>
      </c>
    </row>
    <row r="277" spans="1:10" s="384" customFormat="1" ht="15.75">
      <c r="A277" s="50" t="s">
        <v>24</v>
      </c>
      <c r="B277" s="95">
        <v>132</v>
      </c>
      <c r="C277" s="206">
        <v>0</v>
      </c>
      <c r="D277" s="389" t="s">
        <v>187</v>
      </c>
      <c r="E277" s="168">
        <v>0</v>
      </c>
      <c r="F277" s="385"/>
      <c r="G277" s="153" t="s">
        <v>10</v>
      </c>
      <c r="H277" s="7" t="s">
        <v>17</v>
      </c>
      <c r="I277" s="470"/>
      <c r="J277" s="460"/>
    </row>
    <row r="278" spans="1:10" s="384" customFormat="1" ht="16.5" thickBot="1">
      <c r="A278" s="50" t="s">
        <v>24</v>
      </c>
      <c r="B278" s="95">
        <v>146</v>
      </c>
      <c r="C278" s="206">
        <v>2936207</v>
      </c>
      <c r="D278" s="389" t="s">
        <v>187</v>
      </c>
      <c r="E278" s="168">
        <v>0</v>
      </c>
      <c r="F278" s="385"/>
      <c r="G278" s="154" t="s">
        <v>98</v>
      </c>
      <c r="H278" s="147" t="s">
        <v>27</v>
      </c>
      <c r="I278" s="462">
        <f>IF(-(E266-E287)&lt;0,0,-(E266-E287))</f>
        <v>0</v>
      </c>
      <c r="J278" s="471">
        <f>IF(-(E266-E287)&gt;0,0,-(E266-E287))</f>
        <v>-64317.739999999991</v>
      </c>
    </row>
    <row r="279" spans="1:10" s="384" customFormat="1" ht="15.75">
      <c r="A279" s="50" t="s">
        <v>151</v>
      </c>
      <c r="B279" s="95"/>
      <c r="C279" s="206"/>
      <c r="D279" s="389"/>
      <c r="E279" s="168">
        <v>0</v>
      </c>
      <c r="F279" s="385"/>
      <c r="G279" s="385"/>
      <c r="H279" s="385"/>
      <c r="I279" s="385"/>
      <c r="J279" s="338">
        <f>SUM(I274:J278)</f>
        <v>0</v>
      </c>
    </row>
    <row r="280" spans="1:10" s="384" customFormat="1" ht="15.75">
      <c r="A280" s="141" t="s">
        <v>143</v>
      </c>
      <c r="B280" s="95">
        <v>146</v>
      </c>
      <c r="C280" s="206"/>
      <c r="D280" s="121"/>
      <c r="E280" s="168">
        <v>0</v>
      </c>
      <c r="F280" s="385"/>
      <c r="G280" s="123"/>
      <c r="H280" s="7"/>
      <c r="I280" s="7"/>
      <c r="J280" s="7"/>
    </row>
    <row r="281" spans="1:10" s="384" customFormat="1" ht="15.75">
      <c r="A281" s="141" t="s">
        <v>105</v>
      </c>
      <c r="B281" s="95"/>
      <c r="C281" s="206"/>
      <c r="D281" s="121"/>
      <c r="E281" s="226">
        <v>13852.98</v>
      </c>
      <c r="F281" s="385"/>
      <c r="G281" s="123"/>
      <c r="H281" s="7"/>
      <c r="I281" s="12"/>
      <c r="J281" s="12"/>
    </row>
    <row r="282" spans="1:10" s="384" customFormat="1" ht="16.5" thickBot="1">
      <c r="A282" s="50"/>
      <c r="B282" s="95"/>
      <c r="C282" s="159">
        <f>SUM(C271:C281)</f>
        <v>24054373</v>
      </c>
      <c r="D282" s="142"/>
      <c r="E282" s="207">
        <f>SUM(E271:E281)</f>
        <v>-68424.86</v>
      </c>
      <c r="F282" s="385">
        <f>SUM(E271:E274)</f>
        <v>-82277.84</v>
      </c>
      <c r="G282" s="123"/>
      <c r="H282" s="7"/>
      <c r="I282" s="7"/>
      <c r="J282" s="8"/>
    </row>
    <row r="283" spans="1:10" s="384" customFormat="1" ht="16.5" thickTop="1">
      <c r="A283" s="50"/>
      <c r="B283" s="95"/>
      <c r="C283" s="224">
        <v>24054373</v>
      </c>
      <c r="D283" s="142" t="s">
        <v>161</v>
      </c>
      <c r="E283" s="156">
        <v>0</v>
      </c>
      <c r="F283" s="385"/>
      <c r="G283" s="11"/>
      <c r="H283" s="7"/>
      <c r="I283" s="8"/>
      <c r="J283" s="7"/>
    </row>
    <row r="284" spans="1:10" s="384" customFormat="1" ht="16.5" thickBot="1">
      <c r="A284" s="50"/>
      <c r="B284" s="95"/>
      <c r="C284" s="230">
        <f>C283-C282</f>
        <v>0</v>
      </c>
      <c r="D284" s="142"/>
      <c r="E284" s="160">
        <f>SUM(E282:E283)</f>
        <v>-68424.86</v>
      </c>
      <c r="F284" s="385"/>
      <c r="G284" s="65" t="s">
        <v>158</v>
      </c>
      <c r="H284" s="7"/>
      <c r="I284" s="7"/>
      <c r="J284" s="7"/>
    </row>
    <row r="285" spans="1:10" s="384" customFormat="1" ht="16.5" thickTop="1">
      <c r="A285" s="385"/>
      <c r="B285" s="385"/>
      <c r="C285" s="385"/>
      <c r="D285" s="142" t="s">
        <v>87</v>
      </c>
      <c r="E285" s="50">
        <f>E284+E266</f>
        <v>1482262.4810608793</v>
      </c>
      <c r="F285" s="385"/>
      <c r="G285" s="8">
        <f>(E266*(D286/12))+(E284*(D286/24))</f>
        <v>4107.1195507898819</v>
      </c>
      <c r="H285" s="466"/>
      <c r="I285" s="466"/>
      <c r="J285" s="7"/>
    </row>
    <row r="286" spans="1:10" s="384" customFormat="1" ht="15.75">
      <c r="A286" s="385"/>
      <c r="B286" s="385"/>
      <c r="C286" s="50" t="s">
        <v>57</v>
      </c>
      <c r="D286" s="225">
        <v>3.2500000000000001E-2</v>
      </c>
      <c r="E286" s="119">
        <f>ROUND(((E266)+(SUM(E284))/2)*(D286/12),2)</f>
        <v>4107.12</v>
      </c>
      <c r="F286" s="385"/>
      <c r="G286" s="8"/>
      <c r="H286" s="7"/>
      <c r="I286" s="12"/>
      <c r="J286" s="12"/>
    </row>
    <row r="287" spans="1:10" s="384" customFormat="1" ht="15.75">
      <c r="A287" s="385"/>
      <c r="B287" s="385"/>
      <c r="C287" s="50" t="s">
        <v>1</v>
      </c>
      <c r="D287" s="90">
        <f>A269</f>
        <v>41608</v>
      </c>
      <c r="E287" s="50">
        <f>SUM(E285:E286)</f>
        <v>1486369.6010608794</v>
      </c>
      <c r="F287" s="385"/>
      <c r="G287" s="246"/>
    </row>
    <row r="288" spans="1:10" s="384" customFormat="1" ht="15.75" thickBot="1"/>
    <row r="289" spans="1:10" s="384" customFormat="1" ht="15.75">
      <c r="A289" s="73" t="s">
        <v>141</v>
      </c>
      <c r="B289" s="78"/>
      <c r="C289" s="79"/>
      <c r="D289" s="80"/>
      <c r="E289" s="81"/>
      <c r="G289" s="5"/>
      <c r="H289" s="5"/>
      <c r="I289" s="48"/>
      <c r="J289" s="48"/>
    </row>
    <row r="290" spans="1:10" s="384" customFormat="1" ht="15.75">
      <c r="A290" s="219">
        <f>EOMONTH(A269,1)</f>
        <v>41639</v>
      </c>
      <c r="B290" s="137"/>
      <c r="C290" s="11"/>
      <c r="D290" s="138"/>
      <c r="E290" s="77"/>
      <c r="G290" s="5"/>
      <c r="H290" s="5"/>
      <c r="I290" s="48"/>
      <c r="J290" s="48"/>
    </row>
    <row r="291" spans="1:10" s="384" customFormat="1" ht="16.5" thickBot="1">
      <c r="A291" s="139"/>
      <c r="B291" s="140"/>
      <c r="C291" s="131" t="s">
        <v>21</v>
      </c>
      <c r="D291" s="131" t="s">
        <v>22</v>
      </c>
      <c r="E291" s="128" t="s">
        <v>23</v>
      </c>
      <c r="F291" s="385"/>
      <c r="G291" s="385"/>
      <c r="H291" s="385"/>
      <c r="I291" s="385"/>
      <c r="J291" s="385"/>
    </row>
    <row r="292" spans="1:10" s="384" customFormat="1" ht="15.75">
      <c r="A292" s="50" t="s">
        <v>24</v>
      </c>
      <c r="B292" s="95">
        <v>101</v>
      </c>
      <c r="C292" s="206">
        <f>Jan!$G$23</f>
        <v>27259641</v>
      </c>
      <c r="D292" s="389" t="s">
        <v>187</v>
      </c>
      <c r="E292" s="168">
        <v>-56737.25</v>
      </c>
      <c r="F292" s="385"/>
      <c r="G292" s="385"/>
      <c r="H292" s="385"/>
      <c r="I292" s="385"/>
      <c r="J292" s="385"/>
    </row>
    <row r="293" spans="1:10" s="384" customFormat="1" ht="16.5" thickBot="1">
      <c r="A293" s="50" t="s">
        <v>24</v>
      </c>
      <c r="B293" s="95">
        <v>111</v>
      </c>
      <c r="C293" s="206">
        <f>Jan!$G$25</f>
        <v>8738107</v>
      </c>
      <c r="D293" s="389" t="s">
        <v>187</v>
      </c>
      <c r="E293" s="168">
        <v>-36348.93</v>
      </c>
      <c r="F293" s="385"/>
      <c r="G293" s="123">
        <f>A290</f>
        <v>41639</v>
      </c>
      <c r="H293" s="385"/>
      <c r="I293" s="385"/>
      <c r="J293" s="385"/>
    </row>
    <row r="294" spans="1:10" s="384" customFormat="1" ht="16.5" thickBot="1">
      <c r="A294" s="50" t="s">
        <v>24</v>
      </c>
      <c r="B294" s="95">
        <v>112</v>
      </c>
      <c r="C294" s="206">
        <f>Jan!$G$26</f>
        <v>0</v>
      </c>
      <c r="D294" s="389" t="s">
        <v>187</v>
      </c>
      <c r="E294" s="168">
        <v>0</v>
      </c>
      <c r="F294" s="385"/>
      <c r="G294" s="113" t="s">
        <v>25</v>
      </c>
      <c r="H294" s="205"/>
      <c r="I294" s="126" t="s">
        <v>18</v>
      </c>
      <c r="J294" s="126" t="s">
        <v>19</v>
      </c>
    </row>
    <row r="295" spans="1:10" s="384" customFormat="1" ht="15.75">
      <c r="A295" s="50" t="s">
        <v>24</v>
      </c>
      <c r="B295" s="95">
        <v>121</v>
      </c>
      <c r="C295" s="206">
        <f>Jan!$G$27</f>
        <v>284721</v>
      </c>
      <c r="D295" s="389" t="s">
        <v>187</v>
      </c>
      <c r="E295" s="168">
        <v>-8844.16</v>
      </c>
      <c r="F295" s="385"/>
      <c r="G295" s="151" t="s">
        <v>28</v>
      </c>
      <c r="H295" s="152" t="s">
        <v>75</v>
      </c>
      <c r="I295" s="468"/>
      <c r="J295" s="469">
        <f>IF(-E307&lt;0,-E307,0)</f>
        <v>-3887.55</v>
      </c>
    </row>
    <row r="296" spans="1:10" s="384" customFormat="1" ht="15.75">
      <c r="A296" s="50" t="s">
        <v>24</v>
      </c>
      <c r="B296" s="95">
        <v>122</v>
      </c>
      <c r="C296" s="206">
        <v>0</v>
      </c>
      <c r="D296" s="389" t="s">
        <v>187</v>
      </c>
      <c r="E296" s="168">
        <v>0</v>
      </c>
      <c r="F296" s="385"/>
      <c r="G296" s="153" t="s">
        <v>29</v>
      </c>
      <c r="H296" s="7" t="s">
        <v>76</v>
      </c>
      <c r="I296" s="470">
        <f>IF(-E307&gt;0,-E307,0)</f>
        <v>0</v>
      </c>
      <c r="J296" s="460"/>
    </row>
    <row r="297" spans="1:10" s="384" customFormat="1" ht="15.75">
      <c r="A297" s="50" t="s">
        <v>24</v>
      </c>
      <c r="B297" s="95">
        <v>131</v>
      </c>
      <c r="C297" s="206">
        <f>Jan!$G$29</f>
        <v>0</v>
      </c>
      <c r="D297" s="389" t="s">
        <v>187</v>
      </c>
      <c r="E297" s="168">
        <v>0</v>
      </c>
      <c r="F297" s="385"/>
      <c r="G297" s="153" t="s">
        <v>97</v>
      </c>
      <c r="H297" s="7" t="s">
        <v>26</v>
      </c>
      <c r="I297" s="470">
        <f>IF(-E305&gt;0,-E305,0)</f>
        <v>101930.34</v>
      </c>
      <c r="J297" s="460">
        <f>IF(-E305&lt;0,-E305,0)</f>
        <v>0</v>
      </c>
    </row>
    <row r="298" spans="1:10" s="384" customFormat="1" ht="15.75">
      <c r="A298" s="50" t="s">
        <v>24</v>
      </c>
      <c r="B298" s="95">
        <v>132</v>
      </c>
      <c r="C298" s="206">
        <v>0</v>
      </c>
      <c r="D298" s="389" t="s">
        <v>187</v>
      </c>
      <c r="E298" s="168">
        <v>0</v>
      </c>
      <c r="F298" s="385"/>
      <c r="G298" s="153" t="s">
        <v>10</v>
      </c>
      <c r="H298" s="7" t="s">
        <v>17</v>
      </c>
      <c r="I298" s="470"/>
      <c r="J298" s="460"/>
    </row>
    <row r="299" spans="1:10" s="384" customFormat="1" ht="16.5" thickBot="1">
      <c r="A299" s="50" t="s">
        <v>24</v>
      </c>
      <c r="B299" s="95">
        <v>146</v>
      </c>
      <c r="C299" s="206">
        <f>Jan!$G$31</f>
        <v>4261630</v>
      </c>
      <c r="D299" s="389" t="s">
        <v>187</v>
      </c>
      <c r="E299" s="168">
        <v>0</v>
      </c>
      <c r="F299" s="385"/>
      <c r="G299" s="154" t="s">
        <v>98</v>
      </c>
      <c r="H299" s="147" t="s">
        <v>27</v>
      </c>
      <c r="I299" s="462">
        <f>IF(-(E287-E308)&lt;0,0,-(E287-E308))</f>
        <v>0</v>
      </c>
      <c r="J299" s="471">
        <f>IF(-(E287-E308)&gt;0,0,-(E287-E308))</f>
        <v>-98042.790000000037</v>
      </c>
    </row>
    <row r="300" spans="1:10" s="384" customFormat="1" ht="15.75">
      <c r="A300" s="50" t="s">
        <v>151</v>
      </c>
      <c r="B300" s="95"/>
      <c r="C300" s="206"/>
      <c r="D300" s="389"/>
      <c r="E300" s="168">
        <v>0</v>
      </c>
      <c r="F300" s="385"/>
      <c r="G300" s="385"/>
      <c r="H300" s="385"/>
      <c r="I300" s="385"/>
      <c r="J300" s="338">
        <f>SUM(I295:J299)</f>
        <v>0</v>
      </c>
    </row>
    <row r="301" spans="1:10" s="384" customFormat="1" ht="15.75">
      <c r="A301" s="141" t="s">
        <v>143</v>
      </c>
      <c r="B301" s="95">
        <v>146</v>
      </c>
      <c r="C301" s="206"/>
      <c r="D301" s="121"/>
      <c r="E301" s="168">
        <v>0</v>
      </c>
      <c r="F301" s="385"/>
      <c r="G301" s="123"/>
      <c r="H301" s="7"/>
      <c r="I301" s="7"/>
      <c r="J301" s="7"/>
    </row>
    <row r="302" spans="1:10" s="384" customFormat="1" ht="15.75">
      <c r="A302" s="141" t="s">
        <v>105</v>
      </c>
      <c r="B302" s="95"/>
      <c r="C302" s="206"/>
      <c r="D302" s="121"/>
      <c r="E302" s="226">
        <v>0</v>
      </c>
      <c r="F302" s="385"/>
      <c r="G302" s="123"/>
      <c r="H302" s="7"/>
      <c r="I302" s="12"/>
      <c r="J302" s="12"/>
    </row>
    <row r="303" spans="1:10" s="384" customFormat="1" ht="16.5" thickBot="1">
      <c r="A303" s="50"/>
      <c r="B303" s="95"/>
      <c r="C303" s="159">
        <f>SUM(C292:C302)</f>
        <v>40544099</v>
      </c>
      <c r="D303" s="142"/>
      <c r="E303" s="207">
        <f>SUM(E292:E302)</f>
        <v>-101930.34</v>
      </c>
      <c r="F303" s="385"/>
      <c r="G303" s="123"/>
      <c r="H303" s="7"/>
      <c r="I303" s="7"/>
      <c r="J303" s="8"/>
    </row>
    <row r="304" spans="1:10" s="384" customFormat="1" ht="16.5" thickTop="1">
      <c r="A304" s="50"/>
      <c r="B304" s="95"/>
      <c r="C304" s="224">
        <v>34418458</v>
      </c>
      <c r="D304" s="142" t="s">
        <v>161</v>
      </c>
      <c r="E304" s="156">
        <v>0</v>
      </c>
      <c r="F304" s="385"/>
      <c r="G304" s="11"/>
      <c r="H304" s="7"/>
      <c r="I304" s="8"/>
      <c r="J304" s="7"/>
    </row>
    <row r="305" spans="1:10" s="384" customFormat="1" ht="16.5" thickBot="1">
      <c r="A305" s="50"/>
      <c r="B305" s="95"/>
      <c r="C305" s="230">
        <f>C304-C303</f>
        <v>-6125641</v>
      </c>
      <c r="D305" s="142"/>
      <c r="E305" s="160">
        <f>SUM(E303:E304)</f>
        <v>-101930.34</v>
      </c>
      <c r="F305" s="385"/>
      <c r="G305" s="65" t="s">
        <v>158</v>
      </c>
      <c r="H305" s="7"/>
      <c r="I305" s="7"/>
      <c r="J305" s="7"/>
    </row>
    <row r="306" spans="1:10" s="384" customFormat="1" ht="16.5" thickTop="1">
      <c r="A306" s="385"/>
      <c r="B306" s="385"/>
      <c r="C306" s="385"/>
      <c r="D306" s="142" t="s">
        <v>87</v>
      </c>
      <c r="E306" s="50">
        <f>E305+E287</f>
        <v>1384439.2610608793</v>
      </c>
      <c r="F306" s="385"/>
      <c r="G306" s="8">
        <f>(E287*(D307/12))+(E305*(D307/24))</f>
        <v>3887.5536674565483</v>
      </c>
      <c r="H306" s="472"/>
      <c r="I306" s="472"/>
      <c r="J306" s="7"/>
    </row>
    <row r="307" spans="1:10" s="384" customFormat="1" ht="15.75">
      <c r="A307" s="385"/>
      <c r="B307" s="385"/>
      <c r="C307" s="50" t="s">
        <v>57</v>
      </c>
      <c r="D307" s="225">
        <v>3.2500000000000001E-2</v>
      </c>
      <c r="E307" s="119">
        <f>ROUND(((E287)+(SUM(E305))/2)*(D307/12),2)</f>
        <v>3887.55</v>
      </c>
      <c r="F307" s="385"/>
      <c r="G307" s="8"/>
      <c r="H307" s="7"/>
      <c r="I307" s="12"/>
      <c r="J307" s="12"/>
    </row>
    <row r="308" spans="1:10" s="384" customFormat="1" ht="15.75">
      <c r="A308" s="385"/>
      <c r="B308" s="385"/>
      <c r="C308" s="50" t="s">
        <v>1</v>
      </c>
      <c r="D308" s="90">
        <f>A290</f>
        <v>41639</v>
      </c>
      <c r="E308" s="50">
        <f>SUM(E306:E307)</f>
        <v>1388326.8110608794</v>
      </c>
      <c r="F308" s="385"/>
      <c r="G308" s="475" t="s">
        <v>244</v>
      </c>
      <c r="H308" s="476" t="e">
        <f>_xll.Get_Balance(I308,"YTD","USD","Total","A","","001","191000","GD","WA","DL")-E308</f>
        <v>#VALUE!</v>
      </c>
      <c r="I308" s="477">
        <v>201312</v>
      </c>
    </row>
    <row r="309" spans="1:10" s="384" customFormat="1"/>
  </sheetData>
  <mergeCells count="1">
    <mergeCell ref="G67:I70"/>
  </mergeCells>
  <conditionalFormatting sqref="C28">
    <cfRule type="cellIs" dxfId="67" priority="68" operator="notEqual">
      <formula>0</formula>
    </cfRule>
  </conditionalFormatting>
  <conditionalFormatting sqref="J23">
    <cfRule type="cellIs" dxfId="66" priority="66" stopIfTrue="1" operator="equal">
      <formula>0</formula>
    </cfRule>
    <cfRule type="cellIs" dxfId="65" priority="67" stopIfTrue="1" operator="notEqual">
      <formula>0</formula>
    </cfRule>
  </conditionalFormatting>
  <conditionalFormatting sqref="C51">
    <cfRule type="cellIs" dxfId="64" priority="65" operator="notEqual">
      <formula>0</formula>
    </cfRule>
  </conditionalFormatting>
  <conditionalFormatting sqref="J46">
    <cfRule type="cellIs" dxfId="63" priority="63" stopIfTrue="1" operator="equal">
      <formula>0</formula>
    </cfRule>
    <cfRule type="cellIs" dxfId="62" priority="64" stopIfTrue="1" operator="notEqual">
      <formula>0</formula>
    </cfRule>
  </conditionalFormatting>
  <conditionalFormatting sqref="J46">
    <cfRule type="cellIs" dxfId="61" priority="61" stopIfTrue="1" operator="equal">
      <formula>0</formula>
    </cfRule>
    <cfRule type="cellIs" dxfId="60" priority="62" stopIfTrue="1" operator="notEqual">
      <formula>0</formula>
    </cfRule>
  </conditionalFormatting>
  <conditionalFormatting sqref="C72">
    <cfRule type="cellIs" dxfId="59" priority="60" operator="notEqual">
      <formula>0</formula>
    </cfRule>
  </conditionalFormatting>
  <conditionalFormatting sqref="J67">
    <cfRule type="cellIs" dxfId="58" priority="58" stopIfTrue="1" operator="equal">
      <formula>0</formula>
    </cfRule>
    <cfRule type="cellIs" dxfId="57" priority="59" stopIfTrue="1" operator="notEqual">
      <formula>0</formula>
    </cfRule>
  </conditionalFormatting>
  <conditionalFormatting sqref="J67">
    <cfRule type="cellIs" dxfId="56" priority="56" stopIfTrue="1" operator="equal">
      <formula>0</formula>
    </cfRule>
    <cfRule type="cellIs" dxfId="55" priority="57" stopIfTrue="1" operator="notEqual">
      <formula>0</formula>
    </cfRule>
  </conditionalFormatting>
  <conditionalFormatting sqref="C93">
    <cfRule type="cellIs" dxfId="54" priority="55" operator="notEqual">
      <formula>0</formula>
    </cfRule>
  </conditionalFormatting>
  <conditionalFormatting sqref="J88">
    <cfRule type="cellIs" dxfId="53" priority="53" stopIfTrue="1" operator="equal">
      <formula>0</formula>
    </cfRule>
    <cfRule type="cellIs" dxfId="52" priority="54" stopIfTrue="1" operator="notEqual">
      <formula>0</formula>
    </cfRule>
  </conditionalFormatting>
  <conditionalFormatting sqref="J88">
    <cfRule type="cellIs" dxfId="51" priority="51" stopIfTrue="1" operator="equal">
      <formula>0</formula>
    </cfRule>
    <cfRule type="cellIs" dxfId="50" priority="52" stopIfTrue="1" operator="notEqual">
      <formula>0</formula>
    </cfRule>
  </conditionalFormatting>
  <conditionalFormatting sqref="C114">
    <cfRule type="cellIs" dxfId="49" priority="50" operator="notEqual">
      <formula>0</formula>
    </cfRule>
  </conditionalFormatting>
  <conditionalFormatting sqref="J109">
    <cfRule type="cellIs" dxfId="48" priority="48" stopIfTrue="1" operator="equal">
      <formula>0</formula>
    </cfRule>
    <cfRule type="cellIs" dxfId="47" priority="49" stopIfTrue="1" operator="notEqual">
      <formula>0</formula>
    </cfRule>
  </conditionalFormatting>
  <conditionalFormatting sqref="J109">
    <cfRule type="cellIs" dxfId="46" priority="46" stopIfTrue="1" operator="equal">
      <formula>0</formula>
    </cfRule>
    <cfRule type="cellIs" dxfId="45" priority="47" stopIfTrue="1" operator="notEqual">
      <formula>0</formula>
    </cfRule>
  </conditionalFormatting>
  <conditionalFormatting sqref="C135">
    <cfRule type="cellIs" dxfId="44" priority="45" operator="notEqual">
      <formula>0</formula>
    </cfRule>
  </conditionalFormatting>
  <conditionalFormatting sqref="J130">
    <cfRule type="cellIs" dxfId="43" priority="43" stopIfTrue="1" operator="equal">
      <formula>0</formula>
    </cfRule>
    <cfRule type="cellIs" dxfId="42" priority="44" stopIfTrue="1" operator="notEqual">
      <formula>0</formula>
    </cfRule>
  </conditionalFormatting>
  <conditionalFormatting sqref="J130">
    <cfRule type="cellIs" dxfId="41" priority="41" stopIfTrue="1" operator="equal">
      <formula>0</formula>
    </cfRule>
    <cfRule type="cellIs" dxfId="40" priority="42" stopIfTrue="1" operator="notEqual">
      <formula>0</formula>
    </cfRule>
  </conditionalFormatting>
  <conditionalFormatting sqref="C156">
    <cfRule type="cellIs" dxfId="39" priority="40" operator="notEqual">
      <formula>0</formula>
    </cfRule>
  </conditionalFormatting>
  <conditionalFormatting sqref="J151">
    <cfRule type="cellIs" dxfId="38" priority="38" stopIfTrue="1" operator="equal">
      <formula>0</formula>
    </cfRule>
    <cfRule type="cellIs" dxfId="37" priority="39" stopIfTrue="1" operator="notEqual">
      <formula>0</formula>
    </cfRule>
  </conditionalFormatting>
  <conditionalFormatting sqref="J151">
    <cfRule type="cellIs" dxfId="36" priority="36" stopIfTrue="1" operator="equal">
      <formula>0</formula>
    </cfRule>
    <cfRule type="cellIs" dxfId="35" priority="37" stopIfTrue="1" operator="notEqual">
      <formula>0</formula>
    </cfRule>
  </conditionalFormatting>
  <conditionalFormatting sqref="C177">
    <cfRule type="cellIs" dxfId="34" priority="35" operator="notEqual">
      <formula>0</formula>
    </cfRule>
  </conditionalFormatting>
  <conditionalFormatting sqref="J172">
    <cfRule type="cellIs" dxfId="33" priority="33" stopIfTrue="1" operator="equal">
      <formula>0</formula>
    </cfRule>
    <cfRule type="cellIs" dxfId="32" priority="34" stopIfTrue="1" operator="notEqual">
      <formula>0</formula>
    </cfRule>
  </conditionalFormatting>
  <conditionalFormatting sqref="J172">
    <cfRule type="cellIs" dxfId="31" priority="31" stopIfTrue="1" operator="equal">
      <formula>0</formula>
    </cfRule>
    <cfRule type="cellIs" dxfId="30" priority="32" stopIfTrue="1" operator="notEqual">
      <formula>0</formula>
    </cfRule>
  </conditionalFormatting>
  <conditionalFormatting sqref="C198">
    <cfRule type="cellIs" dxfId="29" priority="30" operator="notEqual">
      <formula>0</formula>
    </cfRule>
  </conditionalFormatting>
  <conditionalFormatting sqref="J193">
    <cfRule type="cellIs" dxfId="28" priority="28" stopIfTrue="1" operator="equal">
      <formula>0</formula>
    </cfRule>
    <cfRule type="cellIs" dxfId="27" priority="29" stopIfTrue="1" operator="notEqual">
      <formula>0</formula>
    </cfRule>
  </conditionalFormatting>
  <conditionalFormatting sqref="J193">
    <cfRule type="cellIs" dxfId="26" priority="26" stopIfTrue="1" operator="equal">
      <formula>0</formula>
    </cfRule>
    <cfRule type="cellIs" dxfId="25" priority="27" stopIfTrue="1" operator="notEqual">
      <formula>0</formula>
    </cfRule>
  </conditionalFormatting>
  <conditionalFormatting sqref="C219">
    <cfRule type="cellIs" dxfId="24" priority="25" operator="notEqual">
      <formula>0</formula>
    </cfRule>
  </conditionalFormatting>
  <conditionalFormatting sqref="J214">
    <cfRule type="cellIs" dxfId="23" priority="23" stopIfTrue="1" operator="equal">
      <formula>0</formula>
    </cfRule>
    <cfRule type="cellIs" dxfId="22" priority="24" stopIfTrue="1" operator="notEqual">
      <formula>0</formula>
    </cfRule>
  </conditionalFormatting>
  <conditionalFormatting sqref="J214">
    <cfRule type="cellIs" dxfId="21" priority="21" stopIfTrue="1" operator="equal">
      <formula>0</formula>
    </cfRule>
    <cfRule type="cellIs" dxfId="20" priority="22" stopIfTrue="1" operator="notEqual">
      <formula>0</formula>
    </cfRule>
  </conditionalFormatting>
  <conditionalFormatting sqref="C240">
    <cfRule type="cellIs" dxfId="19" priority="20" operator="notEqual">
      <formula>0</formula>
    </cfRule>
  </conditionalFormatting>
  <conditionalFormatting sqref="J235">
    <cfRule type="cellIs" dxfId="18" priority="18" stopIfTrue="1" operator="equal">
      <formula>0</formula>
    </cfRule>
    <cfRule type="cellIs" dxfId="17" priority="19" stopIfTrue="1" operator="notEqual">
      <formula>0</formula>
    </cfRule>
  </conditionalFormatting>
  <conditionalFormatting sqref="J235">
    <cfRule type="cellIs" dxfId="16" priority="16" stopIfTrue="1" operator="equal">
      <formula>0</formula>
    </cfRule>
    <cfRule type="cellIs" dxfId="15" priority="17" stopIfTrue="1" operator="notEqual">
      <formula>0</formula>
    </cfRule>
  </conditionalFormatting>
  <conditionalFormatting sqref="C261">
    <cfRule type="cellIs" dxfId="14" priority="15" operator="notEqual">
      <formula>0</formula>
    </cfRule>
  </conditionalFormatting>
  <conditionalFormatting sqref="J256">
    <cfRule type="cellIs" dxfId="13" priority="13" stopIfTrue="1" operator="equal">
      <formula>0</formula>
    </cfRule>
    <cfRule type="cellIs" dxfId="12" priority="14" stopIfTrue="1" operator="notEqual">
      <formula>0</formula>
    </cfRule>
  </conditionalFormatting>
  <conditionalFormatting sqref="J256">
    <cfRule type="cellIs" dxfId="11" priority="11" stopIfTrue="1" operator="equal">
      <formula>0</formula>
    </cfRule>
    <cfRule type="cellIs" dxfId="10" priority="12" stopIfTrue="1" operator="notEqual">
      <formula>0</formula>
    </cfRule>
  </conditionalFormatting>
  <conditionalFormatting sqref="C284">
    <cfRule type="cellIs" dxfId="9" priority="10" operator="notEqual">
      <formula>0</formula>
    </cfRule>
  </conditionalFormatting>
  <conditionalFormatting sqref="J279">
    <cfRule type="cellIs" dxfId="8" priority="8" stopIfTrue="1" operator="equal">
      <formula>0</formula>
    </cfRule>
    <cfRule type="cellIs" dxfId="7" priority="9" stopIfTrue="1" operator="notEqual">
      <formula>0</formula>
    </cfRule>
  </conditionalFormatting>
  <conditionalFormatting sqref="J279">
    <cfRule type="cellIs" dxfId="6" priority="6" stopIfTrue="1" operator="equal">
      <formula>0</formula>
    </cfRule>
    <cfRule type="cellIs" dxfId="5" priority="7" stopIfTrue="1" operator="notEqual">
      <formula>0</formula>
    </cfRule>
  </conditionalFormatting>
  <conditionalFormatting sqref="C305">
    <cfRule type="cellIs" dxfId="4" priority="5" operator="notEqual">
      <formula>0</formula>
    </cfRule>
  </conditionalFormatting>
  <conditionalFormatting sqref="J300">
    <cfRule type="cellIs" dxfId="3" priority="3" stopIfTrue="1" operator="equal">
      <formula>0</formula>
    </cfRule>
    <cfRule type="cellIs" dxfId="2" priority="4" stopIfTrue="1" operator="notEqual">
      <formula>0</formula>
    </cfRule>
  </conditionalFormatting>
  <conditionalFormatting sqref="J300">
    <cfRule type="cellIs" dxfId="1" priority="1" stopIfTrue="1" operator="equal">
      <formula>0</formula>
    </cfRule>
    <cfRule type="cellIs" dxfId="0" priority="2" stopIfTrue="1" operator="notEqual">
      <formula>0</formula>
    </cfRule>
  </conditionalFormatting>
  <printOptions gridLinesSet="0"/>
  <pageMargins left="0.5" right="0.25" top="0.92" bottom="0.5" header="0.25" footer="0.25"/>
  <pageSetup scale="45" fitToHeight="2" orientation="portrait" horizontalDpi="300" verticalDpi="300" r:id="rId1"/>
  <headerFooter alignWithMargins="0">
    <oddHeader>&amp;L&amp;12Prior Period Unrecovered Gas Costs
Washington
191000</oddHeader>
    <oddFooter>&amp;L&amp;F&amp;C&amp;A&amp;R&amp;D  &amp;T</oddFooter>
  </headerFooter>
  <customProperties>
    <customPr name="xxe4aPID" r:id="rId2"/>
  </customProperties>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1">
    <tabColor rgb="FF00CC66"/>
    <pageSetUpPr fitToPage="1"/>
  </sheetPr>
  <dimension ref="A1:U1484"/>
  <sheetViews>
    <sheetView showGridLines="0" topLeftCell="A37" zoomScale="70" zoomScaleNormal="70" workbookViewId="0">
      <selection activeCell="B67" sqref="B67"/>
    </sheetView>
  </sheetViews>
  <sheetFormatPr defaultColWidth="16" defaultRowHeight="15"/>
  <cols>
    <col min="1" max="1" width="46.28515625" style="1" customWidth="1"/>
    <col min="2" max="2" width="25.5703125" style="1" customWidth="1"/>
    <col min="3" max="3" width="25.28515625" style="1" customWidth="1"/>
    <col min="4" max="4" width="2.7109375" style="30" customWidth="1"/>
    <col min="5" max="5" width="4.28515625" style="1" customWidth="1"/>
    <col min="6" max="6" width="26.7109375" style="1" customWidth="1"/>
    <col min="7" max="7" width="19" style="1" customWidth="1"/>
    <col min="8" max="8" width="22" style="1" customWidth="1"/>
    <col min="9" max="9" width="20.42578125" style="1" customWidth="1"/>
    <col min="10" max="10" width="26.28515625" style="1" customWidth="1"/>
    <col min="11" max="11" width="21.85546875" style="1" bestFit="1" customWidth="1"/>
    <col min="12" max="12" width="23.85546875" style="1" customWidth="1"/>
    <col min="13" max="13" width="20.85546875" style="1" bestFit="1" customWidth="1"/>
    <col min="14" max="15" width="16" style="1"/>
    <col min="16" max="16" width="16.28515625" style="1" bestFit="1" customWidth="1"/>
    <col min="17" max="16384" width="16" style="1"/>
  </cols>
  <sheetData>
    <row r="1" spans="1:13" ht="16.5" thickBot="1">
      <c r="A1" s="145" t="s">
        <v>64</v>
      </c>
      <c r="B1" s="29"/>
      <c r="C1" s="529">
        <v>201701</v>
      </c>
      <c r="F1" s="530">
        <f>C1</f>
        <v>201701</v>
      </c>
      <c r="G1" s="38"/>
      <c r="H1" s="162" t="s">
        <v>69</v>
      </c>
      <c r="I1" s="126" t="s">
        <v>3</v>
      </c>
      <c r="J1" s="126" t="s">
        <v>3</v>
      </c>
      <c r="K1" s="126" t="s">
        <v>66</v>
      </c>
      <c r="L1" s="126" t="s">
        <v>66</v>
      </c>
      <c r="M1" s="38"/>
    </row>
    <row r="2" spans="1:13" ht="15.75">
      <c r="C2" s="31"/>
      <c r="F2" s="38"/>
      <c r="G2" s="38"/>
      <c r="H2" s="163" t="s">
        <v>32</v>
      </c>
      <c r="I2" s="164" t="s">
        <v>65</v>
      </c>
      <c r="J2" s="164" t="s">
        <v>65</v>
      </c>
      <c r="K2" s="164" t="s">
        <v>67</v>
      </c>
      <c r="L2" s="164" t="s">
        <v>67</v>
      </c>
      <c r="M2" s="38"/>
    </row>
    <row r="3" spans="1:13" ht="16.5" thickBot="1">
      <c r="A3" s="63" t="s">
        <v>110</v>
      </c>
      <c r="C3" s="32"/>
      <c r="D3" s="33"/>
      <c r="F3" s="50" t="s">
        <v>72</v>
      </c>
      <c r="G3" s="38"/>
      <c r="H3" s="165" t="s">
        <v>68</v>
      </c>
      <c r="I3" s="165" t="s">
        <v>35</v>
      </c>
      <c r="J3" s="165" t="s">
        <v>63</v>
      </c>
      <c r="K3" s="165" t="s">
        <v>35</v>
      </c>
      <c r="L3" s="165" t="s">
        <v>63</v>
      </c>
      <c r="M3" s="38"/>
    </row>
    <row r="4" spans="1:13" ht="15.75">
      <c r="A4" s="38" t="s">
        <v>88</v>
      </c>
      <c r="C4" s="564">
        <f>-276.44-276.44-267.52+1908.33-276.44-276.44-267.52-267.52+4598122.63</f>
        <v>4598122.6399999997</v>
      </c>
      <c r="D4" s="34"/>
      <c r="F4" s="38"/>
      <c r="G4" s="38"/>
      <c r="H4" s="11"/>
      <c r="I4" s="38"/>
      <c r="J4" s="38"/>
      <c r="L4" s="38"/>
      <c r="M4" s="38"/>
    </row>
    <row r="5" spans="1:13" ht="14.25" customHeight="1">
      <c r="A5" s="38" t="s">
        <v>31</v>
      </c>
      <c r="C5" s="564">
        <f>146396.46-1901.83</f>
        <v>144494.63</v>
      </c>
      <c r="D5" s="34"/>
      <c r="F5" s="38"/>
      <c r="G5" s="38"/>
      <c r="H5" s="11"/>
      <c r="I5" s="596">
        <v>0.70530000000000004</v>
      </c>
      <c r="J5" s="596">
        <v>0.29470000000000002</v>
      </c>
      <c r="K5" s="445">
        <f>ROUND(G45/(G45+K43),4)</f>
        <v>0.69599999999999995</v>
      </c>
      <c r="L5" s="445">
        <f>1-K5</f>
        <v>0.30400000000000005</v>
      </c>
      <c r="M5" s="38"/>
    </row>
    <row r="6" spans="1:13" ht="16.5" thickBot="1">
      <c r="A6" s="49" t="s">
        <v>30</v>
      </c>
      <c r="C6" s="565">
        <f>-2343063.08-444850-127100-142987.5-81979.5-102391.76</f>
        <v>-3242371.84</v>
      </c>
      <c r="D6" s="34"/>
      <c r="F6" s="38"/>
      <c r="G6" s="38"/>
      <c r="H6" s="38"/>
      <c r="I6" s="38"/>
      <c r="J6" s="38"/>
      <c r="K6" s="38"/>
      <c r="L6" s="38"/>
      <c r="M6" s="38"/>
    </row>
    <row r="7" spans="1:13" ht="16.5" thickBot="1">
      <c r="A7" s="66" t="s">
        <v>140</v>
      </c>
      <c r="C7" s="100">
        <f>SUM(C4:C6)</f>
        <v>1500245.4299999997</v>
      </c>
      <c r="D7" s="35"/>
      <c r="F7" s="166" t="s">
        <v>139</v>
      </c>
      <c r="G7" s="166"/>
      <c r="H7" s="125">
        <f>C34</f>
        <v>2323653.17</v>
      </c>
      <c r="I7" s="167">
        <f>H7*I5</f>
        <v>1638872.5808010001</v>
      </c>
      <c r="J7" s="167">
        <f>H7*J5</f>
        <v>684780.58919900004</v>
      </c>
      <c r="K7" s="167"/>
      <c r="L7" s="167"/>
      <c r="M7" s="38"/>
    </row>
    <row r="8" spans="1:13" ht="15.75">
      <c r="A8" s="1" t="s">
        <v>89</v>
      </c>
      <c r="C8" s="564">
        <v>252729.32</v>
      </c>
      <c r="D8" s="35"/>
      <c r="F8" s="38"/>
      <c r="G8" s="38"/>
      <c r="H8" s="168"/>
      <c r="I8" s="168"/>
      <c r="J8" s="168"/>
      <c r="K8" s="168"/>
      <c r="L8" s="168"/>
      <c r="M8" s="38"/>
    </row>
    <row r="9" spans="1:13" ht="15.75">
      <c r="A9" s="38" t="s">
        <v>90</v>
      </c>
      <c r="C9" s="564">
        <f>293.18+244.3+9064.68</f>
        <v>9602.16</v>
      </c>
      <c r="D9" s="36"/>
      <c r="F9" s="166" t="s">
        <v>119</v>
      </c>
      <c r="G9" s="38"/>
      <c r="H9" s="167">
        <f>C55</f>
        <v>11786921.919999998</v>
      </c>
      <c r="I9" s="167"/>
      <c r="J9" s="167"/>
      <c r="K9" s="167">
        <f>H9*K5</f>
        <v>8203697.6563199982</v>
      </c>
      <c r="L9" s="167">
        <f>H9*L5</f>
        <v>3583224.2636799999</v>
      </c>
      <c r="M9" s="38"/>
    </row>
    <row r="10" spans="1:13" ht="15.75">
      <c r="A10" s="49" t="s">
        <v>91</v>
      </c>
      <c r="C10" s="565">
        <v>-3418.47</v>
      </c>
      <c r="D10" s="36"/>
      <c r="F10" s="169" t="s">
        <v>44</v>
      </c>
      <c r="G10" s="38"/>
      <c r="H10" s="167">
        <f>C56</f>
        <v>25201.19</v>
      </c>
      <c r="I10" s="167"/>
      <c r="J10" s="167"/>
      <c r="K10" s="167">
        <f>H10</f>
        <v>25201.19</v>
      </c>
      <c r="L10" s="167"/>
      <c r="M10" s="38"/>
    </row>
    <row r="11" spans="1:13">
      <c r="A11" s="66" t="s">
        <v>145</v>
      </c>
      <c r="C11" s="100">
        <f>SUM(C8:C10)</f>
        <v>258913.00999999998</v>
      </c>
      <c r="D11" s="36"/>
      <c r="F11" s="169" t="s">
        <v>45</v>
      </c>
      <c r="G11" s="38"/>
      <c r="H11" s="170">
        <f>C57</f>
        <v>14094.61</v>
      </c>
      <c r="I11" s="167"/>
      <c r="J11" s="167"/>
      <c r="K11" s="170"/>
      <c r="L11" s="170">
        <f>H11</f>
        <v>14094.61</v>
      </c>
      <c r="M11" s="38"/>
    </row>
    <row r="12" spans="1:13" ht="15.75">
      <c r="A12" s="1" t="s">
        <v>165</v>
      </c>
      <c r="C12" s="564">
        <f>2021.86+182501.01</f>
        <v>184522.87</v>
      </c>
      <c r="D12" s="36"/>
      <c r="F12" s="169" t="s">
        <v>138</v>
      </c>
      <c r="G12" s="38"/>
      <c r="H12" s="167">
        <f>H9+H10+H11</f>
        <v>11826217.719999997</v>
      </c>
      <c r="I12" s="167"/>
      <c r="J12" s="167"/>
      <c r="K12" s="167">
        <f>SUM(K9:K11)</f>
        <v>8228898.8463199986</v>
      </c>
      <c r="L12" s="167">
        <f>SUM(L9:L11)</f>
        <v>3597318.8736799997</v>
      </c>
      <c r="M12" s="38"/>
    </row>
    <row r="13" spans="1:13" ht="16.5" thickBot="1">
      <c r="A13" s="49" t="s">
        <v>166</v>
      </c>
      <c r="C13" s="313">
        <v>0</v>
      </c>
      <c r="D13" s="36"/>
      <c r="F13" s="171"/>
      <c r="G13" s="172"/>
      <c r="H13" s="173"/>
      <c r="I13" s="174"/>
      <c r="J13" s="173"/>
      <c r="K13" s="168"/>
      <c r="L13" s="173"/>
      <c r="M13" s="38"/>
    </row>
    <row r="14" spans="1:13" ht="16.5" thickBot="1">
      <c r="A14" s="66" t="s">
        <v>92</v>
      </c>
      <c r="C14" s="100">
        <f>SUM(C12:C13)</f>
        <v>184522.87</v>
      </c>
      <c r="D14" s="37"/>
      <c r="F14" s="50" t="s">
        <v>69</v>
      </c>
      <c r="G14" s="175"/>
      <c r="H14" s="125">
        <f>H12+H7</f>
        <v>14149870.889999997</v>
      </c>
      <c r="I14" s="176">
        <f>SUM(I7:I13)</f>
        <v>1638872.5808010001</v>
      </c>
      <c r="J14" s="176">
        <f>SUM(J7:J13)</f>
        <v>684780.58919900004</v>
      </c>
      <c r="K14" s="176">
        <f>K12</f>
        <v>8228898.8463199986</v>
      </c>
      <c r="L14" s="176">
        <f>L12</f>
        <v>3597318.8736799997</v>
      </c>
      <c r="M14" s="38"/>
    </row>
    <row r="15" spans="1:13" ht="15.75">
      <c r="A15" s="1" t="s">
        <v>183</v>
      </c>
      <c r="C15" s="564">
        <f>3883.48+450635.15</f>
        <v>454518.63</v>
      </c>
      <c r="D15" s="36"/>
      <c r="F15" s="171"/>
      <c r="G15" s="172" t="s">
        <v>102</v>
      </c>
      <c r="H15" s="173">
        <f>H14-C60</f>
        <v>0</v>
      </c>
      <c r="I15" s="177"/>
      <c r="J15" s="173">
        <f>J7+I7-H7</f>
        <v>0</v>
      </c>
      <c r="K15" s="38"/>
      <c r="L15" s="173">
        <f>H12-K14-L14</f>
        <v>0</v>
      </c>
      <c r="M15" s="38"/>
    </row>
    <row r="16" spans="1:13" ht="15.75">
      <c r="A16" s="49" t="s">
        <v>184</v>
      </c>
      <c r="C16" s="313">
        <v>0</v>
      </c>
      <c r="D16" s="36"/>
      <c r="F16" s="178"/>
      <c r="G16" s="172"/>
      <c r="H16" s="179"/>
      <c r="I16" s="180"/>
      <c r="J16" s="179"/>
      <c r="K16" s="38"/>
      <c r="L16" s="179"/>
      <c r="M16" s="38"/>
    </row>
    <row r="17" spans="1:14" ht="15.75" thickBot="1">
      <c r="A17" s="66" t="s">
        <v>185</v>
      </c>
      <c r="C17" s="100">
        <f>SUM(C15:C16)</f>
        <v>454518.63</v>
      </c>
      <c r="D17" s="37"/>
      <c r="F17" s="171"/>
      <c r="G17" s="172"/>
      <c r="H17" s="179"/>
      <c r="I17" s="180"/>
      <c r="J17" s="183"/>
      <c r="K17" s="38"/>
      <c r="L17" s="179"/>
      <c r="M17" s="38"/>
    </row>
    <row r="18" spans="1:14" ht="16.5" thickBot="1">
      <c r="A18" s="1" t="s">
        <v>163</v>
      </c>
      <c r="C18" s="564">
        <f>9987.9+65941.54+662.28</f>
        <v>76591.719999999987</v>
      </c>
      <c r="D18" s="36"/>
      <c r="F18" s="639" t="s">
        <v>134</v>
      </c>
      <c r="G18" s="640"/>
      <c r="H18" s="640"/>
      <c r="I18" s="641"/>
      <c r="J18" s="639" t="s">
        <v>135</v>
      </c>
      <c r="K18" s="640"/>
      <c r="L18" s="640"/>
      <c r="M18" s="641"/>
    </row>
    <row r="19" spans="1:14" ht="15.75">
      <c r="A19" s="46" t="s">
        <v>164</v>
      </c>
      <c r="C19" s="565">
        <f>7465.32</f>
        <v>7465.32</v>
      </c>
      <c r="D19" s="36"/>
      <c r="F19" s="201" t="s">
        <v>108</v>
      </c>
      <c r="G19" s="164" t="s">
        <v>33</v>
      </c>
      <c r="H19" s="164" t="s">
        <v>33</v>
      </c>
      <c r="I19" s="164" t="s">
        <v>33</v>
      </c>
      <c r="J19" s="201" t="s">
        <v>108</v>
      </c>
      <c r="K19" s="164" t="s">
        <v>33</v>
      </c>
      <c r="L19" s="164" t="s">
        <v>33</v>
      </c>
      <c r="M19" s="185" t="s">
        <v>33</v>
      </c>
    </row>
    <row r="20" spans="1:14" ht="16.5" thickBot="1">
      <c r="A20" s="67" t="s">
        <v>93</v>
      </c>
      <c r="C20" s="100">
        <f>SUM(C18:C19)</f>
        <v>84057.039999999979</v>
      </c>
      <c r="D20" s="36"/>
      <c r="F20" s="195" t="s">
        <v>162</v>
      </c>
      <c r="G20" s="165" t="s">
        <v>101</v>
      </c>
      <c r="H20" s="165" t="s">
        <v>36</v>
      </c>
      <c r="I20" s="165" t="s">
        <v>34</v>
      </c>
      <c r="J20" s="195" t="s">
        <v>162</v>
      </c>
      <c r="K20" s="165" t="s">
        <v>101</v>
      </c>
      <c r="L20" s="165" t="s">
        <v>36</v>
      </c>
      <c r="M20" s="165" t="s">
        <v>34</v>
      </c>
    </row>
    <row r="21" spans="1:14" ht="15.75">
      <c r="A21" s="46" t="s">
        <v>149</v>
      </c>
      <c r="B21" s="384"/>
      <c r="C21" s="565">
        <f>1108.31+1850</f>
        <v>2958.31</v>
      </c>
      <c r="D21" s="36"/>
      <c r="F21" s="184"/>
      <c r="G21" s="12"/>
      <c r="H21" s="12"/>
      <c r="I21" s="185"/>
      <c r="J21" s="129"/>
      <c r="K21" s="13"/>
      <c r="L21" s="13"/>
      <c r="M21" s="205"/>
    </row>
    <row r="22" spans="1:14" ht="18" customHeight="1">
      <c r="A22" s="65" t="s">
        <v>149</v>
      </c>
      <c r="C22" s="100">
        <f>SUM(C21)</f>
        <v>2958.31</v>
      </c>
      <c r="D22" s="36"/>
      <c r="F22" s="199" t="s">
        <v>126</v>
      </c>
      <c r="G22" s="7"/>
      <c r="H22" s="7"/>
      <c r="I22" s="98"/>
      <c r="J22" s="199" t="s">
        <v>126</v>
      </c>
      <c r="K22" s="7"/>
      <c r="L22" s="7"/>
      <c r="M22" s="98"/>
    </row>
    <row r="23" spans="1:14" ht="15.75">
      <c r="A23" s="208" t="s">
        <v>180</v>
      </c>
      <c r="C23" s="100">
        <v>0</v>
      </c>
      <c r="D23" s="36"/>
      <c r="F23" s="200" t="s">
        <v>37</v>
      </c>
      <c r="G23" s="566">
        <v>27259641</v>
      </c>
      <c r="H23" s="599">
        <v>0.12678</v>
      </c>
      <c r="I23" s="196">
        <f t="shared" ref="I23:I31" si="0">G23*H23</f>
        <v>3455977.2859800002</v>
      </c>
      <c r="J23" s="200" t="s">
        <v>37</v>
      </c>
      <c r="K23" s="566">
        <v>12030330</v>
      </c>
      <c r="L23" s="599">
        <v>0.11330999999999999</v>
      </c>
      <c r="M23" s="196">
        <f>K23*L23</f>
        <v>1363156.6923</v>
      </c>
      <c r="N23" s="384"/>
    </row>
    <row r="24" spans="1:14" ht="15.75">
      <c r="A24" s="208" t="s">
        <v>186</v>
      </c>
      <c r="C24" s="312">
        <v>0</v>
      </c>
      <c r="D24" s="36"/>
      <c r="F24" s="200" t="s">
        <v>306</v>
      </c>
      <c r="G24" s="566">
        <v>40615</v>
      </c>
      <c r="H24" s="599">
        <v>0.12678</v>
      </c>
      <c r="I24" s="196">
        <f t="shared" si="0"/>
        <v>5149.1697000000004</v>
      </c>
      <c r="J24" s="200" t="s">
        <v>38</v>
      </c>
      <c r="K24" s="566">
        <v>3930876</v>
      </c>
      <c r="L24" s="599">
        <v>0.11330999999999999</v>
      </c>
      <c r="M24" s="196">
        <f t="shared" ref="M24:M27" si="1">K24*L24</f>
        <v>445407.55955999997</v>
      </c>
      <c r="N24" s="384"/>
    </row>
    <row r="25" spans="1:14" ht="15.75">
      <c r="A25" s="208" t="s">
        <v>189</v>
      </c>
      <c r="C25" s="314">
        <v>0</v>
      </c>
      <c r="D25" s="36"/>
      <c r="F25" s="200" t="s">
        <v>38</v>
      </c>
      <c r="G25" s="566">
        <v>8738107</v>
      </c>
      <c r="H25" s="599">
        <v>0.11865000000000001</v>
      </c>
      <c r="I25" s="196">
        <f t="shared" si="0"/>
        <v>1036776.39555</v>
      </c>
      <c r="J25" s="200" t="s">
        <v>39</v>
      </c>
      <c r="K25" s="566">
        <v>4671</v>
      </c>
      <c r="L25" s="599">
        <v>0.11330999999999999</v>
      </c>
      <c r="M25" s="196">
        <f t="shared" si="1"/>
        <v>529.27100999999993</v>
      </c>
      <c r="N25" s="384"/>
    </row>
    <row r="26" spans="1:14" ht="15.75">
      <c r="A26" s="209" t="s">
        <v>314</v>
      </c>
      <c r="C26" s="315">
        <v>0</v>
      </c>
      <c r="D26" s="36"/>
      <c r="F26" s="200" t="s">
        <v>39</v>
      </c>
      <c r="G26" s="566">
        <v>0</v>
      </c>
      <c r="H26" s="599">
        <v>0.11865000000000001</v>
      </c>
      <c r="I26" s="196">
        <f t="shared" si="0"/>
        <v>0</v>
      </c>
      <c r="J26" s="200" t="s">
        <v>40</v>
      </c>
      <c r="K26" s="262"/>
      <c r="L26" s="599">
        <v>0.11330999999999999</v>
      </c>
      <c r="M26" s="196">
        <f t="shared" si="1"/>
        <v>0</v>
      </c>
      <c r="N26" s="384"/>
    </row>
    <row r="27" spans="1:14" ht="15.75">
      <c r="A27" s="65" t="s">
        <v>96</v>
      </c>
      <c r="C27" s="100">
        <f>SUM(C23:C26)</f>
        <v>0</v>
      </c>
      <c r="D27" s="36"/>
      <c r="F27" s="200" t="s">
        <v>40</v>
      </c>
      <c r="G27" s="566">
        <v>284721</v>
      </c>
      <c r="H27" s="599">
        <v>0.11541</v>
      </c>
      <c r="I27" s="196">
        <f t="shared" si="0"/>
        <v>32859.650609999997</v>
      </c>
      <c r="J27" s="200" t="s">
        <v>41</v>
      </c>
      <c r="K27" s="262"/>
      <c r="L27" s="599">
        <v>0.11330999999999999</v>
      </c>
      <c r="M27" s="196">
        <f t="shared" si="1"/>
        <v>0</v>
      </c>
      <c r="N27" s="384"/>
    </row>
    <row r="28" spans="1:14" ht="16.5" thickBot="1">
      <c r="A28" s="210" t="s">
        <v>150</v>
      </c>
      <c r="C28" s="312">
        <v>0</v>
      </c>
      <c r="D28" s="37"/>
      <c r="F28" s="200" t="s">
        <v>41</v>
      </c>
      <c r="G28" s="566">
        <v>64203</v>
      </c>
      <c r="H28" s="599">
        <v>0.11541</v>
      </c>
      <c r="I28" s="196">
        <f t="shared" si="0"/>
        <v>7409.6682300000002</v>
      </c>
      <c r="J28" s="199" t="s">
        <v>127</v>
      </c>
      <c r="K28" s="181">
        <f>SUM(K23:K27)</f>
        <v>15965877</v>
      </c>
      <c r="L28" s="182"/>
      <c r="M28" s="197">
        <f>SUM(M23:M27)</f>
        <v>1809093.52287</v>
      </c>
      <c r="N28" s="384"/>
    </row>
    <row r="29" spans="1:14" ht="17.25" thickTop="1" thickBot="1">
      <c r="A29" s="210" t="s">
        <v>167</v>
      </c>
      <c r="B29" s="38"/>
      <c r="C29" s="312">
        <v>0</v>
      </c>
      <c r="D29" s="36"/>
      <c r="F29" s="200" t="s">
        <v>42</v>
      </c>
      <c r="G29" s="566">
        <v>0</v>
      </c>
      <c r="H29" s="599">
        <v>7.4310000000000001E-2</v>
      </c>
      <c r="I29" s="196">
        <f t="shared" si="0"/>
        <v>0</v>
      </c>
      <c r="J29" s="199"/>
      <c r="K29" s="231">
        <v>15965877</v>
      </c>
      <c r="L29" s="187" t="s">
        <v>102</v>
      </c>
      <c r="M29" s="465">
        <f>M28/K28</f>
        <v>0.11330999999999999</v>
      </c>
      <c r="N29" s="384"/>
    </row>
    <row r="30" spans="1:14" ht="16.5" thickBot="1">
      <c r="A30" s="2" t="s">
        <v>111</v>
      </c>
      <c r="C30" s="125">
        <f>C7+C11+C14+C17+C20+C22+C27+C28+C29-0.01</f>
        <v>2485215.2799999998</v>
      </c>
      <c r="D30" s="37"/>
      <c r="F30" s="200" t="s">
        <v>43</v>
      </c>
      <c r="G30" s="566">
        <v>160387</v>
      </c>
      <c r="H30" s="599">
        <v>7.4310000000000001E-2</v>
      </c>
      <c r="I30" s="196">
        <f t="shared" si="0"/>
        <v>11918.357970000001</v>
      </c>
      <c r="J30" s="200"/>
      <c r="K30" s="230">
        <f>K28-K29</f>
        <v>0</v>
      </c>
      <c r="L30" s="182"/>
      <c r="M30" s="198"/>
    </row>
    <row r="31" spans="1:14" ht="15.75">
      <c r="A31" s="1" t="s">
        <v>112</v>
      </c>
      <c r="C31" s="564">
        <v>0</v>
      </c>
      <c r="D31" s="39"/>
      <c r="F31" s="200" t="s">
        <v>74</v>
      </c>
      <c r="G31" s="566">
        <v>4261630</v>
      </c>
      <c r="H31" s="599">
        <v>5.4000000000000001E-4</v>
      </c>
      <c r="I31" s="196">
        <f t="shared" si="0"/>
        <v>2301.2802000000001</v>
      </c>
      <c r="J31" s="153"/>
      <c r="K31" s="7"/>
      <c r="L31" s="182"/>
      <c r="M31" s="198"/>
    </row>
    <row r="32" spans="1:14" ht="16.5" thickBot="1">
      <c r="A32" s="2" t="s">
        <v>116</v>
      </c>
      <c r="B32" s="2" t="s">
        <v>117</v>
      </c>
      <c r="C32" s="239">
        <f>C30+C31</f>
        <v>2485215.2799999998</v>
      </c>
      <c r="D32" s="40"/>
      <c r="F32" s="199" t="s">
        <v>127</v>
      </c>
      <c r="G32" s="181">
        <f>SUM(G23:G31)</f>
        <v>40809304</v>
      </c>
      <c r="H32" s="7"/>
      <c r="I32" s="197">
        <f>SUM(I23:I31)</f>
        <v>4552391.8082400002</v>
      </c>
      <c r="J32" s="192"/>
      <c r="K32" s="193"/>
      <c r="L32" s="7"/>
      <c r="M32" s="190"/>
    </row>
    <row r="33" spans="1:17" ht="17.25" thickTop="1" thickBot="1">
      <c r="A33" s="1" t="s">
        <v>113</v>
      </c>
      <c r="C33" s="311">
        <f>-C5-C9-C13-C16-C19</f>
        <v>-161562.11000000002</v>
      </c>
      <c r="D33" s="36"/>
      <c r="F33" s="186"/>
      <c r="G33" s="231">
        <v>40809304</v>
      </c>
      <c r="H33" s="187" t="s">
        <v>102</v>
      </c>
      <c r="I33" s="216">
        <f>I32/G32</f>
        <v>0.11155279218288065</v>
      </c>
      <c r="J33" s="192"/>
      <c r="K33" s="193"/>
      <c r="L33" s="7"/>
      <c r="M33" s="98"/>
    </row>
    <row r="34" spans="1:17" ht="16.5" thickBot="1">
      <c r="A34" s="2" t="s">
        <v>114</v>
      </c>
      <c r="C34" s="125">
        <f>SUM(C32:C33)</f>
        <v>2323653.17</v>
      </c>
      <c r="D34" s="36"/>
      <c r="F34" s="153"/>
      <c r="G34" s="230">
        <f>G32-G33</f>
        <v>0</v>
      </c>
      <c r="H34" s="7"/>
      <c r="I34" s="98"/>
      <c r="J34" s="192"/>
      <c r="K34" s="191"/>
      <c r="L34" s="7"/>
      <c r="M34" s="98"/>
    </row>
    <row r="35" spans="1:17" ht="18" customHeight="1">
      <c r="A35" s="2"/>
      <c r="C35" s="101"/>
      <c r="D35" s="36"/>
      <c r="F35" s="184"/>
      <c r="G35" s="12"/>
      <c r="H35" s="12"/>
      <c r="I35" s="185"/>
      <c r="J35" s="199" t="s">
        <v>128</v>
      </c>
      <c r="K35" s="637"/>
      <c r="L35" s="637"/>
      <c r="M35" s="638"/>
    </row>
    <row r="36" spans="1:17" ht="15.75">
      <c r="A36" s="16" t="s">
        <v>94</v>
      </c>
      <c r="B36" s="2"/>
      <c r="C36" s="100"/>
      <c r="D36" s="36"/>
      <c r="F36" s="199" t="s">
        <v>128</v>
      </c>
      <c r="G36" s="7"/>
      <c r="H36" s="7"/>
      <c r="I36" s="98"/>
      <c r="J36" s="200" t="s">
        <v>37</v>
      </c>
      <c r="K36" s="585">
        <v>12030330</v>
      </c>
      <c r="L36" s="599">
        <v>0.23895</v>
      </c>
      <c r="M36" s="196">
        <f t="shared" ref="M36:M42" si="2">K36*L36</f>
        <v>2874647.3534999997</v>
      </c>
      <c r="N36" s="384"/>
      <c r="P36" s="273"/>
      <c r="Q36" s="273"/>
    </row>
    <row r="37" spans="1:17" ht="15.75">
      <c r="A37" s="7" t="s">
        <v>129</v>
      </c>
      <c r="B37" s="86" t="s">
        <v>115</v>
      </c>
      <c r="C37" s="564">
        <f>19343086.88</f>
        <v>19343086.879999999</v>
      </c>
      <c r="D37" s="36"/>
      <c r="F37" s="200" t="s">
        <v>37</v>
      </c>
      <c r="G37" s="585">
        <v>27259641</v>
      </c>
      <c r="H37" s="599">
        <v>0.23860000000000001</v>
      </c>
      <c r="I37" s="196">
        <f t="shared" ref="I37:I44" si="3">G37*H37</f>
        <v>6504150.3426000001</v>
      </c>
      <c r="J37" s="200" t="s">
        <v>38</v>
      </c>
      <c r="K37" s="585">
        <v>3930876</v>
      </c>
      <c r="L37" s="599">
        <v>0.23895</v>
      </c>
      <c r="M37" s="196">
        <f t="shared" si="2"/>
        <v>939282.82019999996</v>
      </c>
      <c r="N37" s="384"/>
      <c r="P37" s="273"/>
      <c r="Q37" s="273"/>
    </row>
    <row r="38" spans="1:17" ht="15.75">
      <c r="A38" s="144" t="s">
        <v>14</v>
      </c>
      <c r="B38" s="86" t="s">
        <v>115</v>
      </c>
      <c r="C38" s="122">
        <v>0</v>
      </c>
      <c r="D38" s="36"/>
      <c r="F38" s="200" t="s">
        <v>306</v>
      </c>
      <c r="G38" s="585">
        <v>40615</v>
      </c>
      <c r="H38" s="599">
        <v>0.23860000000000001</v>
      </c>
      <c r="I38" s="196">
        <f t="shared" si="3"/>
        <v>9690.7389999999996</v>
      </c>
      <c r="J38" s="200" t="s">
        <v>39</v>
      </c>
      <c r="K38" s="585">
        <v>4671</v>
      </c>
      <c r="L38" s="599">
        <v>0.23895</v>
      </c>
      <c r="M38" s="196">
        <f t="shared" si="2"/>
        <v>1116.13545</v>
      </c>
      <c r="N38" s="384"/>
      <c r="P38" s="273"/>
      <c r="Q38" s="273"/>
    </row>
    <row r="39" spans="1:17" ht="15.75">
      <c r="A39" s="7" t="s">
        <v>146</v>
      </c>
      <c r="B39" s="86" t="s">
        <v>147</v>
      </c>
      <c r="C39" s="564">
        <v>-10239.61</v>
      </c>
      <c r="D39" s="36"/>
      <c r="F39" s="200" t="s">
        <v>38</v>
      </c>
      <c r="G39" s="585">
        <v>8738107</v>
      </c>
      <c r="H39" s="599">
        <v>0.23860000000000001</v>
      </c>
      <c r="I39" s="196">
        <f t="shared" si="3"/>
        <v>2084912.3302</v>
      </c>
      <c r="J39" s="200" t="s">
        <v>40</v>
      </c>
      <c r="K39" s="263">
        <f>K26</f>
        <v>0</v>
      </c>
      <c r="L39" s="599">
        <v>0.23895</v>
      </c>
      <c r="M39" s="196">
        <f t="shared" si="2"/>
        <v>0</v>
      </c>
      <c r="N39" s="384"/>
      <c r="P39" s="273"/>
      <c r="Q39" s="273"/>
    </row>
    <row r="40" spans="1:17" ht="15.75">
      <c r="A40" s="7" t="s">
        <v>131</v>
      </c>
      <c r="B40" s="86" t="s">
        <v>132</v>
      </c>
      <c r="C40" s="564">
        <v>-853032.32</v>
      </c>
      <c r="D40" s="36"/>
      <c r="F40" s="200" t="s">
        <v>39</v>
      </c>
      <c r="G40" s="585">
        <v>0</v>
      </c>
      <c r="H40" s="599">
        <v>0.23860000000000001</v>
      </c>
      <c r="I40" s="196">
        <f t="shared" si="3"/>
        <v>0</v>
      </c>
      <c r="J40" s="200" t="s">
        <v>41</v>
      </c>
      <c r="K40" s="263">
        <f>K27</f>
        <v>0</v>
      </c>
      <c r="L40" s="599">
        <v>0.23895</v>
      </c>
      <c r="M40" s="196">
        <f t="shared" si="2"/>
        <v>0</v>
      </c>
      <c r="N40" s="384"/>
      <c r="P40" s="273"/>
      <c r="Q40" s="273"/>
    </row>
    <row r="41" spans="1:17" ht="15.75">
      <c r="A41" s="7" t="s">
        <v>153</v>
      </c>
      <c r="B41" s="6" t="s">
        <v>155</v>
      </c>
      <c r="C41" s="564">
        <v>-47825.93</v>
      </c>
      <c r="D41" s="36"/>
      <c r="F41" s="200" t="s">
        <v>40</v>
      </c>
      <c r="G41" s="585">
        <v>284721</v>
      </c>
      <c r="H41" s="599">
        <v>0.23860000000000001</v>
      </c>
      <c r="I41" s="196">
        <f t="shared" si="3"/>
        <v>67934.430600000007</v>
      </c>
      <c r="J41" s="200" t="s">
        <v>42</v>
      </c>
      <c r="K41" s="262">
        <v>0</v>
      </c>
      <c r="L41" s="599">
        <v>0.23895</v>
      </c>
      <c r="M41" s="196">
        <f t="shared" si="2"/>
        <v>0</v>
      </c>
      <c r="N41" s="384"/>
      <c r="P41" s="273"/>
      <c r="Q41" s="273"/>
    </row>
    <row r="42" spans="1:17" ht="16.5" thickBot="1">
      <c r="A42" s="7" t="s">
        <v>178</v>
      </c>
      <c r="B42" s="229" t="s">
        <v>179</v>
      </c>
      <c r="C42" s="564">
        <f>1065564.73</f>
        <v>1065564.73</v>
      </c>
      <c r="D42" s="37"/>
      <c r="F42" s="200" t="s">
        <v>41</v>
      </c>
      <c r="G42" s="585">
        <v>64203</v>
      </c>
      <c r="H42" s="599">
        <v>0.23860000000000001</v>
      </c>
      <c r="I42" s="196">
        <f t="shared" si="3"/>
        <v>15318.835800000001</v>
      </c>
      <c r="J42" s="200" t="s">
        <v>43</v>
      </c>
      <c r="K42" s="264">
        <v>0</v>
      </c>
      <c r="L42" s="599">
        <v>0.23895</v>
      </c>
      <c r="M42" s="196">
        <f t="shared" si="2"/>
        <v>0</v>
      </c>
      <c r="N42" s="384"/>
      <c r="P42" s="273"/>
      <c r="Q42" s="273"/>
    </row>
    <row r="43" spans="1:17" ht="16.5" thickBot="1">
      <c r="A43" s="85" t="s">
        <v>123</v>
      </c>
      <c r="B43" s="12"/>
      <c r="C43" s="125">
        <f>SUM(C37:C42)</f>
        <v>19497553.75</v>
      </c>
      <c r="D43" s="36"/>
      <c r="F43" s="200" t="s">
        <v>42</v>
      </c>
      <c r="G43" s="585">
        <v>0</v>
      </c>
      <c r="H43" s="599">
        <v>0.23860000000000001</v>
      </c>
      <c r="I43" s="196">
        <f t="shared" si="3"/>
        <v>0</v>
      </c>
      <c r="J43" s="199" t="s">
        <v>133</v>
      </c>
      <c r="K43" s="181">
        <f>SUM(K36:K42)</f>
        <v>15965877</v>
      </c>
      <c r="L43" s="182"/>
      <c r="M43" s="197">
        <f>SUM(M36:M42)</f>
        <v>3815046.3091499996</v>
      </c>
    </row>
    <row r="44" spans="1:17" ht="16.5" thickBot="1">
      <c r="A44" s="83" t="s">
        <v>177</v>
      </c>
      <c r="B44" s="84" t="s">
        <v>120</v>
      </c>
      <c r="C44" s="564">
        <f>3027324.42-94428.01</f>
        <v>2932896.41</v>
      </c>
      <c r="D44" s="37"/>
      <c r="F44" s="200" t="s">
        <v>43</v>
      </c>
      <c r="G44" s="585">
        <v>160387</v>
      </c>
      <c r="H44" s="599">
        <v>0.23860000000000001</v>
      </c>
      <c r="I44" s="196">
        <f t="shared" si="3"/>
        <v>38268.338199999998</v>
      </c>
      <c r="J44" s="194"/>
      <c r="K44" s="232">
        <v>15965877</v>
      </c>
      <c r="L44" s="189" t="s">
        <v>102</v>
      </c>
      <c r="M44" s="217">
        <f>M43/K43</f>
        <v>0.23894999999999997</v>
      </c>
    </row>
    <row r="45" spans="1:17" ht="16.5" thickBot="1">
      <c r="A45" s="211" t="s">
        <v>168</v>
      </c>
      <c r="B45" s="6" t="s">
        <v>115</v>
      </c>
      <c r="C45" s="122">
        <v>0</v>
      </c>
      <c r="D45" s="39"/>
      <c r="F45" s="199" t="s">
        <v>133</v>
      </c>
      <c r="G45" s="181">
        <f>SUM(G37:G44)</f>
        <v>36547674</v>
      </c>
      <c r="H45" s="182"/>
      <c r="I45" s="197">
        <f>SUM(I37:I44)</f>
        <v>8720275.0164000001</v>
      </c>
      <c r="J45" s="124"/>
      <c r="K45" s="230">
        <f>K43-K44</f>
        <v>0</v>
      </c>
      <c r="L45" s="38"/>
      <c r="M45" s="124"/>
    </row>
    <row r="46" spans="1:17" ht="19.5" customHeight="1" thickTop="1" thickBot="1">
      <c r="A46" s="144" t="s">
        <v>169</v>
      </c>
      <c r="B46" s="6" t="s">
        <v>115</v>
      </c>
      <c r="C46" s="122">
        <v>0</v>
      </c>
      <c r="D46" s="40"/>
      <c r="F46" s="188"/>
      <c r="G46" s="232">
        <v>36547674</v>
      </c>
      <c r="H46" s="189" t="s">
        <v>102</v>
      </c>
      <c r="I46" s="215">
        <f>I45/G45</f>
        <v>0.23860000000000001</v>
      </c>
      <c r="J46" s="124"/>
      <c r="K46" s="230"/>
      <c r="L46" s="385"/>
      <c r="M46" s="124"/>
    </row>
    <row r="47" spans="1:17" ht="19.5" customHeight="1">
      <c r="A47" s="1" t="s">
        <v>137</v>
      </c>
      <c r="B47" s="6" t="s">
        <v>115</v>
      </c>
      <c r="C47" s="122">
        <v>0</v>
      </c>
      <c r="D47" s="36"/>
      <c r="F47" s="38"/>
      <c r="G47" s="230">
        <f>G45-G46</f>
        <v>0</v>
      </c>
      <c r="H47" s="38"/>
      <c r="I47" s="38"/>
      <c r="J47" s="124"/>
      <c r="K47" s="230"/>
      <c r="L47" s="385"/>
      <c r="M47" s="124"/>
    </row>
    <row r="48" spans="1:17" ht="16.5" thickBot="1">
      <c r="A48" s="144" t="s">
        <v>305</v>
      </c>
      <c r="B48" s="6" t="s">
        <v>115</v>
      </c>
      <c r="C48" s="564">
        <v>7000</v>
      </c>
      <c r="D48" s="36"/>
      <c r="F48" s="38"/>
      <c r="G48" s="38"/>
      <c r="H48" s="38"/>
      <c r="I48" s="38"/>
      <c r="J48" s="124"/>
      <c r="K48" s="114"/>
      <c r="L48" s="38"/>
      <c r="M48" s="68"/>
    </row>
    <row r="49" spans="1:21" ht="15.75">
      <c r="A49" s="7" t="s">
        <v>130</v>
      </c>
      <c r="B49" s="86" t="s">
        <v>152</v>
      </c>
      <c r="C49" s="564">
        <v>24405.67</v>
      </c>
      <c r="D49" s="36"/>
      <c r="F49" s="38"/>
      <c r="G49" s="114"/>
      <c r="H49" s="129" t="s">
        <v>35</v>
      </c>
      <c r="I49" s="13" t="s">
        <v>35</v>
      </c>
      <c r="J49" s="13" t="s">
        <v>63</v>
      </c>
      <c r="K49" s="127" t="s">
        <v>70</v>
      </c>
      <c r="L49" s="124"/>
      <c r="M49" s="38"/>
    </row>
    <row r="50" spans="1:21" ht="16.5" thickBot="1">
      <c r="A50" s="7" t="s">
        <v>222</v>
      </c>
      <c r="B50" s="218" t="s">
        <v>152</v>
      </c>
      <c r="C50" s="564">
        <v>3859.72</v>
      </c>
      <c r="D50" s="37"/>
      <c r="F50" s="50" t="s">
        <v>73</v>
      </c>
      <c r="G50" s="38"/>
      <c r="H50" s="130" t="s">
        <v>2</v>
      </c>
      <c r="I50" s="131" t="s">
        <v>3</v>
      </c>
      <c r="J50" s="131" t="s">
        <v>2</v>
      </c>
      <c r="K50" s="128" t="s">
        <v>3</v>
      </c>
      <c r="L50" s="38"/>
      <c r="M50" s="38"/>
    </row>
    <row r="51" spans="1:21" ht="15.75">
      <c r="A51" s="7" t="s">
        <v>309</v>
      </c>
      <c r="B51" s="452" t="s">
        <v>152</v>
      </c>
      <c r="C51" s="564">
        <v>15384.65</v>
      </c>
      <c r="D51" s="36"/>
      <c r="F51" s="38"/>
      <c r="G51" s="38"/>
      <c r="H51" s="151"/>
      <c r="I51" s="152"/>
      <c r="J51" s="152"/>
      <c r="K51" s="152"/>
      <c r="L51" s="126" t="s">
        <v>103</v>
      </c>
      <c r="M51" s="38"/>
    </row>
    <row r="52" spans="1:21" ht="15.75">
      <c r="A52" s="22" t="s">
        <v>118</v>
      </c>
      <c r="B52" s="6"/>
      <c r="C52" s="100">
        <f>-C33</f>
        <v>161562.11000000002</v>
      </c>
      <c r="D52" s="33"/>
      <c r="F52" s="38" t="s">
        <v>136</v>
      </c>
      <c r="G52" s="38"/>
      <c r="H52" s="212">
        <f>K12</f>
        <v>8228898.8463199986</v>
      </c>
      <c r="I52" s="115">
        <f>I14</f>
        <v>1638872.5808010001</v>
      </c>
      <c r="J52" s="115">
        <f>L12</f>
        <v>3597318.8736799997</v>
      </c>
      <c r="K52" s="115">
        <f>J14</f>
        <v>684780.58919900004</v>
      </c>
      <c r="L52" s="132">
        <f>SUM(H52:K52)</f>
        <v>14149870.889999997</v>
      </c>
      <c r="M52" s="38"/>
    </row>
    <row r="53" spans="1:21" ht="16.5" thickBot="1">
      <c r="A53" s="382" t="s">
        <v>124</v>
      </c>
      <c r="B53" s="473" t="s">
        <v>297</v>
      </c>
      <c r="C53" s="564">
        <f>1672102.78-7513762.87-4639080.3</f>
        <v>-10480740.390000001</v>
      </c>
      <c r="D53" s="36"/>
      <c r="F53" s="1" t="s">
        <v>109</v>
      </c>
      <c r="H53" s="212">
        <f>-I45</f>
        <v>-8720275.0164000001</v>
      </c>
      <c r="I53" s="115">
        <f>-I32</f>
        <v>-4552391.8082400002</v>
      </c>
      <c r="J53" s="115">
        <f>-M43</f>
        <v>-3815046.3091499996</v>
      </c>
      <c r="K53" s="115">
        <f>-M28</f>
        <v>-1809093.52287</v>
      </c>
      <c r="L53" s="261">
        <f>SUM(H53:K53)</f>
        <v>-18896806.656660002</v>
      </c>
    </row>
    <row r="54" spans="1:21" ht="16.5" thickBot="1">
      <c r="A54" s="1" t="s">
        <v>313</v>
      </c>
      <c r="B54" s="6" t="s">
        <v>190</v>
      </c>
      <c r="C54" s="564">
        <v>-375000</v>
      </c>
      <c r="D54" s="36"/>
      <c r="F54" s="1" t="s">
        <v>86</v>
      </c>
      <c r="H54" s="234">
        <v>0</v>
      </c>
      <c r="I54" s="235">
        <v>0</v>
      </c>
      <c r="J54" s="235">
        <v>0</v>
      </c>
      <c r="K54" s="236">
        <v>0</v>
      </c>
      <c r="L54" s="214">
        <f>SUM(L52:L53)</f>
        <v>-4746935.7666600049</v>
      </c>
    </row>
    <row r="55" spans="1:21" ht="16.5" thickBot="1">
      <c r="A55" s="82" t="s">
        <v>119</v>
      </c>
      <c r="B55" s="84"/>
      <c r="C55" s="160">
        <f>SUM(C43:C54)</f>
        <v>11786921.919999998</v>
      </c>
      <c r="D55" s="36"/>
      <c r="F55" s="1" t="s">
        <v>71</v>
      </c>
      <c r="H55" s="125">
        <f>H52+H53+H54</f>
        <v>-491376.17008000147</v>
      </c>
      <c r="I55" s="125">
        <f>I52+I53+I54</f>
        <v>-2913519.2274390003</v>
      </c>
      <c r="J55" s="125">
        <f>J52+J53+J54</f>
        <v>-217727.43546999991</v>
      </c>
      <c r="K55" s="125">
        <f>K52+K53+K54</f>
        <v>-1124312.9336709999</v>
      </c>
      <c r="L55" s="47">
        <f>SUM(H55:K55)</f>
        <v>-4746935.7666600011</v>
      </c>
    </row>
    <row r="56" spans="1:21" ht="17.25" thickTop="1" thickBot="1">
      <c r="A56" s="1" t="s">
        <v>121</v>
      </c>
      <c r="B56" s="6" t="s">
        <v>115</v>
      </c>
      <c r="C56" s="564">
        <v>25201.19</v>
      </c>
      <c r="D56" s="36"/>
      <c r="F56" s="240" t="s">
        <v>181</v>
      </c>
      <c r="H56" s="1" t="s">
        <v>173</v>
      </c>
      <c r="I56" s="5">
        <f>SUM(H55:I55)</f>
        <v>-3404895.3975190017</v>
      </c>
      <c r="J56" s="15" t="s">
        <v>174</v>
      </c>
      <c r="K56" s="1">
        <f>SUM(J55:K55)</f>
        <v>-1342040.3691409999</v>
      </c>
      <c r="L56" s="213">
        <f>ROUND(L54-L55,3)</f>
        <v>0</v>
      </c>
      <c r="T56" s="42"/>
    </row>
    <row r="57" spans="1:21" ht="16.5" thickTop="1">
      <c r="A57" s="1" t="s">
        <v>122</v>
      </c>
      <c r="B57" s="6" t="s">
        <v>115</v>
      </c>
      <c r="C57" s="564">
        <v>14094.61</v>
      </c>
      <c r="D57" s="36"/>
      <c r="F57" s="397" t="s">
        <v>181</v>
      </c>
      <c r="H57" s="96"/>
    </row>
    <row r="58" spans="1:21" ht="16.5" thickBot="1">
      <c r="A58" s="2" t="s">
        <v>125</v>
      </c>
      <c r="B58" s="2"/>
      <c r="C58" s="160">
        <f>SUM(C55:C57)</f>
        <v>11826217.719999997</v>
      </c>
      <c r="D58" s="36"/>
      <c r="F58" s="397" t="s">
        <v>182</v>
      </c>
      <c r="H58" s="157"/>
      <c r="I58" s="120"/>
      <c r="J58" s="120"/>
      <c r="K58" s="204"/>
      <c r="L58" s="120"/>
    </row>
    <row r="59" spans="1:21" ht="17.25" thickTop="1" thickBot="1">
      <c r="A59" s="2"/>
      <c r="C59" s="101"/>
      <c r="D59" s="36"/>
      <c r="F59" s="546" t="s">
        <v>304</v>
      </c>
      <c r="G59" s="547" t="str">
        <f>IF(OR(AND(I56&gt;0,K56&gt;0),AND(I56&lt;0,K56&lt;0)),"OK","ERROR")</f>
        <v>OK</v>
      </c>
      <c r="H59" s="386" t="s">
        <v>295</v>
      </c>
      <c r="I59" s="387"/>
    </row>
    <row r="60" spans="1:21" ht="16.5" thickBot="1">
      <c r="A60" s="9"/>
      <c r="B60" s="9" t="s">
        <v>95</v>
      </c>
      <c r="C60" s="125">
        <f>C58+C34</f>
        <v>14149870.889999997</v>
      </c>
      <c r="D60" s="36"/>
      <c r="H60" s="318" t="s">
        <v>175</v>
      </c>
      <c r="I60" s="319" t="s">
        <v>176</v>
      </c>
      <c r="J60" s="5"/>
    </row>
    <row r="61" spans="1:21" ht="16.5" thickBot="1">
      <c r="A61" s="2"/>
      <c r="B61" s="9" t="s">
        <v>160</v>
      </c>
      <c r="C61" s="350">
        <v>14149870.890000001</v>
      </c>
      <c r="D61" s="37"/>
      <c r="H61" s="349" t="e">
        <f>SUM(#REF!,#REF!,#REF!,#REF!,#REF!,#REF!)</f>
        <v>#REF!</v>
      </c>
      <c r="I61" s="449" t="e">
        <f>SUM(#REF!,#REF!,#REF!,#REF!,#REF!,#REF!)</f>
        <v>#REF!</v>
      </c>
      <c r="J61" s="1">
        <f>H53+I53+J53+K53</f>
        <v>-18896806.656660002</v>
      </c>
    </row>
    <row r="62" spans="1:21" ht="15.75">
      <c r="A62" s="9"/>
      <c r="B62" s="9" t="s">
        <v>159</v>
      </c>
      <c r="C62" s="257">
        <f>ROUND(C60-C61,2)</f>
        <v>0</v>
      </c>
      <c r="G62" s="5"/>
      <c r="I62" s="135" t="e">
        <f>H61-I61</f>
        <v>#REF!</v>
      </c>
      <c r="N62" s="5"/>
      <c r="O62" s="5"/>
      <c r="P62" s="21"/>
    </row>
    <row r="63" spans="1:21" ht="15.75">
      <c r="A63" s="44"/>
      <c r="C63" s="351"/>
      <c r="D63" s="36"/>
      <c r="G63" s="384"/>
      <c r="H63" s="384"/>
      <c r="I63" s="384"/>
      <c r="J63" s="384"/>
      <c r="S63" s="6"/>
    </row>
    <row r="64" spans="1:21" ht="15.75">
      <c r="A64" s="44"/>
      <c r="C64" s="8"/>
      <c r="D64" s="43"/>
      <c r="G64" s="384"/>
      <c r="H64" s="384"/>
      <c r="I64" s="384"/>
      <c r="J64" s="384"/>
      <c r="N64" s="22"/>
      <c r="U64" s="2"/>
    </row>
    <row r="65" spans="1:21" ht="15.75">
      <c r="A65" s="2"/>
      <c r="C65" s="8"/>
      <c r="D65" s="36"/>
      <c r="G65" s="384"/>
      <c r="H65" s="384"/>
      <c r="I65" s="384"/>
      <c r="J65" s="384"/>
      <c r="N65" s="22"/>
      <c r="S65" s="23"/>
    </row>
    <row r="66" spans="1:21">
      <c r="C66" s="100"/>
      <c r="D66" s="36"/>
      <c r="G66" s="384"/>
      <c r="H66" s="96"/>
      <c r="I66" s="384"/>
      <c r="J66" s="384"/>
      <c r="N66" s="22"/>
      <c r="S66" s="24"/>
    </row>
    <row r="67" spans="1:21">
      <c r="D67" s="36"/>
      <c r="G67" s="384"/>
      <c r="H67" s="384"/>
      <c r="I67" s="384"/>
      <c r="J67" s="384"/>
      <c r="N67" s="22"/>
      <c r="S67" s="25"/>
    </row>
    <row r="68" spans="1:21">
      <c r="D68" s="36"/>
      <c r="G68" s="384"/>
      <c r="H68" s="384"/>
      <c r="I68" s="384"/>
      <c r="J68" s="384"/>
      <c r="N68" s="22"/>
      <c r="S68" s="24"/>
    </row>
    <row r="69" spans="1:21">
      <c r="D69" s="37"/>
      <c r="G69" s="384"/>
      <c r="H69" s="384"/>
      <c r="I69" s="384"/>
      <c r="J69" s="384"/>
      <c r="N69" s="22"/>
    </row>
    <row r="70" spans="1:21">
      <c r="D70" s="36"/>
      <c r="G70" s="384"/>
      <c r="H70" s="384"/>
      <c r="I70" s="384"/>
      <c r="J70" s="384"/>
      <c r="N70" s="22"/>
      <c r="S70" s="26"/>
    </row>
    <row r="71" spans="1:21">
      <c r="D71" s="36"/>
      <c r="G71" s="384"/>
      <c r="H71" s="384"/>
      <c r="I71" s="384"/>
      <c r="J71" s="384"/>
    </row>
    <row r="72" spans="1:21">
      <c r="D72" s="36"/>
      <c r="G72" s="384"/>
      <c r="H72" s="384"/>
      <c r="I72" s="384"/>
      <c r="J72" s="384"/>
    </row>
    <row r="73" spans="1:21">
      <c r="D73" s="45"/>
      <c r="S73" s="27"/>
    </row>
    <row r="74" spans="1:21">
      <c r="R74" s="6"/>
      <c r="S74" s="6"/>
      <c r="T74" s="6"/>
    </row>
    <row r="76" spans="1:21">
      <c r="U76" s="28"/>
    </row>
    <row r="1476" spans="3:3">
      <c r="C1476" s="1">
        <v>-2130</v>
      </c>
    </row>
    <row r="1484" spans="3:3">
      <c r="C1484" s="1">
        <f>7004298-2130</f>
        <v>7002168</v>
      </c>
    </row>
  </sheetData>
  <mergeCells count="3">
    <mergeCell ref="K35:M35"/>
    <mergeCell ref="J18:M18"/>
    <mergeCell ref="F18:I18"/>
  </mergeCells>
  <phoneticPr fontId="0" type="noConversion"/>
  <conditionalFormatting sqref="C62 L56 I62">
    <cfRule type="cellIs" dxfId="312" priority="27" stopIfTrue="1" operator="equal">
      <formula>0</formula>
    </cfRule>
    <cfRule type="cellIs" dxfId="311" priority="28" stopIfTrue="1" operator="notEqual">
      <formula>0</formula>
    </cfRule>
  </conditionalFormatting>
  <conditionalFormatting sqref="G34 G47 K30 K45:K47">
    <cfRule type="cellIs" dxfId="310" priority="20" operator="notEqual">
      <formula>0</formula>
    </cfRule>
  </conditionalFormatting>
  <conditionalFormatting sqref="C62">
    <cfRule type="cellIs" dxfId="309" priority="14" stopIfTrue="1" operator="equal">
      <formula>0</formula>
    </cfRule>
    <cfRule type="cellIs" dxfId="308" priority="15" stopIfTrue="1" operator="notEqual">
      <formula>0</formula>
    </cfRule>
  </conditionalFormatting>
  <conditionalFormatting sqref="K30">
    <cfRule type="cellIs" dxfId="307" priority="13" operator="notEqual">
      <formula>0</formula>
    </cfRule>
  </conditionalFormatting>
  <conditionalFormatting sqref="G59">
    <cfRule type="cellIs" dxfId="306" priority="2" operator="equal">
      <formula>"ERROR"</formula>
    </cfRule>
  </conditionalFormatting>
  <conditionalFormatting sqref="G59">
    <cfRule type="cellIs" dxfId="305" priority="1" operator="equal">
      <formula>"ERROR"</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customProperties>
    <customPr name="xxe4aPID" r:id="rId2"/>
  </customProperties>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7">
    <tabColor rgb="FF00CC66"/>
    <pageSetUpPr fitToPage="1"/>
  </sheetPr>
  <dimension ref="A1:U1484"/>
  <sheetViews>
    <sheetView showGridLines="0" topLeftCell="A31" zoomScale="70" zoomScaleNormal="70" workbookViewId="0">
      <selection activeCell="B67" sqref="B67"/>
    </sheetView>
  </sheetViews>
  <sheetFormatPr defaultColWidth="16" defaultRowHeight="15"/>
  <cols>
    <col min="1" max="1" width="44.85546875" style="384" customWidth="1"/>
    <col min="2" max="2" width="25.5703125" style="384" customWidth="1"/>
    <col min="3" max="3" width="25.28515625" style="384" customWidth="1"/>
    <col min="4" max="4" width="2.7109375" style="30" customWidth="1"/>
    <col min="5" max="5" width="4.28515625" style="384" customWidth="1"/>
    <col min="6" max="6" width="26.7109375" style="384" customWidth="1"/>
    <col min="7" max="7" width="19" style="384" customWidth="1"/>
    <col min="8" max="8" width="22" style="384" customWidth="1"/>
    <col min="9" max="9" width="20.42578125" style="384" customWidth="1"/>
    <col min="10" max="10" width="26.28515625" style="384" customWidth="1"/>
    <col min="11" max="11" width="21.85546875" style="384" bestFit="1" customWidth="1"/>
    <col min="12" max="12" width="23.85546875" style="384" customWidth="1"/>
    <col min="13" max="13" width="20.85546875" style="384" bestFit="1" customWidth="1"/>
    <col min="14" max="14" width="16" style="384"/>
    <col min="15" max="16" width="16.28515625" style="384" bestFit="1" customWidth="1"/>
    <col min="17" max="16384" width="16" style="384"/>
  </cols>
  <sheetData>
    <row r="1" spans="1:13" ht="16.5" thickBot="1">
      <c r="A1" s="145" t="s">
        <v>64</v>
      </c>
      <c r="B1" s="29"/>
      <c r="C1" s="530">
        <f>Jan!C1+1</f>
        <v>201702</v>
      </c>
      <c r="F1" s="530">
        <f>C1</f>
        <v>201702</v>
      </c>
      <c r="G1" s="385"/>
      <c r="H1" s="162" t="s">
        <v>69</v>
      </c>
      <c r="I1" s="126" t="s">
        <v>3</v>
      </c>
      <c r="J1" s="126" t="s">
        <v>3</v>
      </c>
      <c r="K1" s="126" t="s">
        <v>66</v>
      </c>
      <c r="L1" s="126" t="s">
        <v>66</v>
      </c>
      <c r="M1" s="385"/>
    </row>
    <row r="2" spans="1:13" ht="15.75">
      <c r="C2" s="31"/>
      <c r="F2" s="385"/>
      <c r="G2" s="385"/>
      <c r="H2" s="163" t="s">
        <v>32</v>
      </c>
      <c r="I2" s="164" t="s">
        <v>65</v>
      </c>
      <c r="J2" s="164" t="s">
        <v>65</v>
      </c>
      <c r="K2" s="164" t="s">
        <v>67</v>
      </c>
      <c r="L2" s="164" t="s">
        <v>67</v>
      </c>
      <c r="M2" s="385"/>
    </row>
    <row r="3" spans="1:13" ht="16.5" thickBot="1">
      <c r="A3" s="63" t="s">
        <v>110</v>
      </c>
      <c r="C3" s="32"/>
      <c r="D3" s="33"/>
      <c r="F3" s="50" t="s">
        <v>72</v>
      </c>
      <c r="G3" s="385"/>
      <c r="H3" s="165" t="s">
        <v>68</v>
      </c>
      <c r="I3" s="165" t="s">
        <v>35</v>
      </c>
      <c r="J3" s="165" t="s">
        <v>63</v>
      </c>
      <c r="K3" s="165" t="s">
        <v>35</v>
      </c>
      <c r="L3" s="165" t="s">
        <v>63</v>
      </c>
      <c r="M3" s="385"/>
    </row>
    <row r="4" spans="1:13" ht="15.75">
      <c r="A4" s="385" t="s">
        <v>88</v>
      </c>
      <c r="C4" s="564">
        <f>4153143.02</f>
        <v>4153143.02</v>
      </c>
      <c r="D4" s="34"/>
      <c r="F4" s="385"/>
      <c r="G4" s="385"/>
      <c r="H4" s="11"/>
      <c r="I4" s="385"/>
      <c r="J4" s="385"/>
      <c r="L4" s="385"/>
      <c r="M4" s="385"/>
    </row>
    <row r="5" spans="1:13" ht="14.25" customHeight="1">
      <c r="A5" s="385" t="s">
        <v>31</v>
      </c>
      <c r="C5" s="564">
        <f>96376.73-660.78</f>
        <v>95715.95</v>
      </c>
      <c r="D5" s="34"/>
      <c r="F5" s="385"/>
      <c r="G5" s="385"/>
      <c r="H5" s="11"/>
      <c r="I5" s="596">
        <v>0.70530000000000004</v>
      </c>
      <c r="J5" s="596">
        <v>0.29470000000000002</v>
      </c>
      <c r="K5" s="445">
        <f>ROUND(G45/(G45+K43),4)</f>
        <v>0.70730000000000004</v>
      </c>
      <c r="L5" s="445">
        <f>1-K5</f>
        <v>0.29269999999999996</v>
      </c>
      <c r="M5" s="385"/>
    </row>
    <row r="6" spans="1:13" ht="16.5" thickBot="1">
      <c r="A6" s="49" t="s">
        <v>30</v>
      </c>
      <c r="C6" s="565">
        <f>-74046-92482.88-2116315.04-401800-114800-129150</f>
        <v>-2928593.92</v>
      </c>
      <c r="D6" s="34"/>
      <c r="F6" s="385"/>
      <c r="G6" s="385"/>
      <c r="H6" s="385"/>
      <c r="I6" s="385"/>
      <c r="J6" s="385"/>
      <c r="K6" s="385"/>
      <c r="L6" s="385"/>
      <c r="M6" s="385"/>
    </row>
    <row r="7" spans="1:13" ht="16.5" thickBot="1">
      <c r="A7" s="66" t="s">
        <v>140</v>
      </c>
      <c r="C7" s="100">
        <f>SUM(C4:C6)</f>
        <v>1320265.0499999998</v>
      </c>
      <c r="D7" s="35"/>
      <c r="F7" s="166" t="s">
        <v>139</v>
      </c>
      <c r="G7" s="166"/>
      <c r="H7" s="125">
        <f>C34</f>
        <v>2128840.1299999994</v>
      </c>
      <c r="I7" s="167">
        <f>H7*I5</f>
        <v>1501470.9436889996</v>
      </c>
      <c r="J7" s="167">
        <f>H7*J5</f>
        <v>627369.18631099991</v>
      </c>
      <c r="K7" s="167"/>
      <c r="L7" s="167"/>
      <c r="M7" s="385"/>
    </row>
    <row r="8" spans="1:13" ht="15.75">
      <c r="A8" s="384" t="s">
        <v>89</v>
      </c>
      <c r="C8" s="564">
        <f>228271.63</f>
        <v>228271.63</v>
      </c>
      <c r="D8" s="35"/>
      <c r="F8" s="385"/>
      <c r="G8" s="385"/>
      <c r="H8" s="168"/>
      <c r="I8" s="168"/>
      <c r="J8" s="168"/>
      <c r="K8" s="168"/>
      <c r="L8" s="168"/>
      <c r="M8" s="385"/>
    </row>
    <row r="9" spans="1:13" ht="15.75">
      <c r="A9" s="385" t="s">
        <v>90</v>
      </c>
      <c r="C9" s="564">
        <f>198.93+8119.25</f>
        <v>8318.18</v>
      </c>
      <c r="D9" s="36"/>
      <c r="F9" s="166" t="s">
        <v>119</v>
      </c>
      <c r="G9" s="385"/>
      <c r="H9" s="167">
        <f>C55</f>
        <v>8714199.4400000013</v>
      </c>
      <c r="I9" s="167"/>
      <c r="J9" s="167"/>
      <c r="K9" s="167">
        <f>H9*K5</f>
        <v>6163553.2639120016</v>
      </c>
      <c r="L9" s="167">
        <f>H9*L5</f>
        <v>2550646.1760880002</v>
      </c>
      <c r="M9" s="385"/>
    </row>
    <row r="10" spans="1:13" ht="15.75">
      <c r="A10" s="49" t="s">
        <v>91</v>
      </c>
      <c r="C10" s="565">
        <v>-3087.64</v>
      </c>
      <c r="D10" s="36"/>
      <c r="F10" s="169" t="s">
        <v>44</v>
      </c>
      <c r="G10" s="385"/>
      <c r="H10" s="167">
        <f>C56</f>
        <v>84716.23</v>
      </c>
      <c r="I10" s="167"/>
      <c r="J10" s="167"/>
      <c r="K10" s="167">
        <f>H10</f>
        <v>84716.23</v>
      </c>
      <c r="L10" s="167"/>
      <c r="M10" s="385"/>
    </row>
    <row r="11" spans="1:13">
      <c r="A11" s="66" t="s">
        <v>145</v>
      </c>
      <c r="C11" s="100">
        <f>SUM(C8:C10)</f>
        <v>233502.16999999998</v>
      </c>
      <c r="D11" s="36"/>
      <c r="F11" s="169" t="s">
        <v>45</v>
      </c>
      <c r="G11" s="385"/>
      <c r="H11" s="170">
        <f>C57</f>
        <v>38399.410000000003</v>
      </c>
      <c r="I11" s="167"/>
      <c r="J11" s="167"/>
      <c r="K11" s="170"/>
      <c r="L11" s="170">
        <f>H11</f>
        <v>38399.410000000003</v>
      </c>
      <c r="M11" s="385"/>
    </row>
    <row r="12" spans="1:13" ht="15.75">
      <c r="A12" s="384" t="s">
        <v>165</v>
      </c>
      <c r="C12" s="564">
        <f>178605.37-2492.27</f>
        <v>176113.1</v>
      </c>
      <c r="D12" s="36"/>
      <c r="F12" s="169" t="s">
        <v>138</v>
      </c>
      <c r="G12" s="385"/>
      <c r="H12" s="167">
        <f>H9+H10+H11</f>
        <v>8837315.0800000019</v>
      </c>
      <c r="I12" s="167"/>
      <c r="J12" s="167"/>
      <c r="K12" s="167">
        <f>SUM(K9:K11)</f>
        <v>6248269.4939120021</v>
      </c>
      <c r="L12" s="167">
        <f>SUM(L9:L11)</f>
        <v>2589045.5860880003</v>
      </c>
      <c r="M12" s="385"/>
    </row>
    <row r="13" spans="1:13" ht="16.5" thickBot="1">
      <c r="A13" s="49" t="s">
        <v>166</v>
      </c>
      <c r="C13" s="313">
        <v>0</v>
      </c>
      <c r="D13" s="36"/>
      <c r="F13" s="171"/>
      <c r="G13" s="172"/>
      <c r="H13" s="173"/>
      <c r="I13" s="174"/>
      <c r="J13" s="173"/>
      <c r="K13" s="168"/>
      <c r="L13" s="173"/>
      <c r="M13" s="385"/>
    </row>
    <row r="14" spans="1:13" ht="16.5" thickBot="1">
      <c r="A14" s="66" t="s">
        <v>92</v>
      </c>
      <c r="C14" s="100">
        <f>SUM(C12:C13)</f>
        <v>176113.1</v>
      </c>
      <c r="D14" s="37"/>
      <c r="F14" s="50" t="s">
        <v>69</v>
      </c>
      <c r="G14" s="175"/>
      <c r="H14" s="125">
        <f>H12+H7</f>
        <v>10966155.210000001</v>
      </c>
      <c r="I14" s="176">
        <f>SUM(I7:I13)</f>
        <v>1501470.9436889996</v>
      </c>
      <c r="J14" s="176">
        <f>SUM(J7:J13)</f>
        <v>627369.18631099991</v>
      </c>
      <c r="K14" s="176">
        <f>K12</f>
        <v>6248269.4939120021</v>
      </c>
      <c r="L14" s="176">
        <f>L12</f>
        <v>2589045.5860880003</v>
      </c>
      <c r="M14" s="385"/>
    </row>
    <row r="15" spans="1:13" ht="15.75">
      <c r="A15" s="384" t="s">
        <v>183</v>
      </c>
      <c r="C15" s="564">
        <f>441015.98-6270.12</f>
        <v>434745.86</v>
      </c>
      <c r="D15" s="36"/>
      <c r="F15" s="171"/>
      <c r="G15" s="172" t="s">
        <v>102</v>
      </c>
      <c r="H15" s="173">
        <f>H14-C60</f>
        <v>0</v>
      </c>
      <c r="I15" s="177"/>
      <c r="J15" s="173">
        <f>J7+I7-H7</f>
        <v>0</v>
      </c>
      <c r="K15" s="385"/>
      <c r="L15" s="173">
        <f>H12-K14-L14</f>
        <v>0</v>
      </c>
      <c r="M15" s="385"/>
    </row>
    <row r="16" spans="1:13" ht="15.75">
      <c r="A16" s="49" t="s">
        <v>184</v>
      </c>
      <c r="C16" s="313">
        <v>0</v>
      </c>
      <c r="D16" s="36"/>
      <c r="F16" s="178"/>
      <c r="G16" s="172"/>
      <c r="H16" s="179"/>
      <c r="I16" s="180"/>
      <c r="J16" s="179"/>
      <c r="K16" s="385"/>
      <c r="L16" s="179"/>
      <c r="M16" s="385"/>
    </row>
    <row r="17" spans="1:13" ht="15.75" thickBot="1">
      <c r="A17" s="66" t="s">
        <v>185</v>
      </c>
      <c r="C17" s="100">
        <f>SUM(C15:C16)</f>
        <v>434745.86</v>
      </c>
      <c r="D17" s="37"/>
      <c r="F17" s="171"/>
      <c r="G17" s="172"/>
      <c r="H17" s="179"/>
      <c r="I17" s="180"/>
      <c r="J17" s="183"/>
      <c r="K17" s="385"/>
      <c r="L17" s="179"/>
      <c r="M17" s="385"/>
    </row>
    <row r="18" spans="1:13" ht="16.5" thickBot="1">
      <c r="A18" s="384" t="s">
        <v>163</v>
      </c>
      <c r="C18" s="564">
        <f>9774.7+64533.97-990.25</f>
        <v>73318.42</v>
      </c>
      <c r="D18" s="36"/>
      <c r="F18" s="639" t="s">
        <v>134</v>
      </c>
      <c r="G18" s="640"/>
      <c r="H18" s="640"/>
      <c r="I18" s="641"/>
      <c r="J18" s="639" t="s">
        <v>135</v>
      </c>
      <c r="K18" s="640"/>
      <c r="L18" s="640"/>
      <c r="M18" s="641"/>
    </row>
    <row r="19" spans="1:13" ht="15.75">
      <c r="A19" s="46" t="s">
        <v>164</v>
      </c>
      <c r="C19" s="565">
        <v>3763.45</v>
      </c>
      <c r="D19" s="36"/>
      <c r="F19" s="201" t="s">
        <v>108</v>
      </c>
      <c r="G19" s="164" t="s">
        <v>33</v>
      </c>
      <c r="H19" s="164" t="s">
        <v>33</v>
      </c>
      <c r="I19" s="164" t="s">
        <v>33</v>
      </c>
      <c r="J19" s="201" t="s">
        <v>108</v>
      </c>
      <c r="K19" s="164" t="s">
        <v>33</v>
      </c>
      <c r="L19" s="164" t="s">
        <v>33</v>
      </c>
      <c r="M19" s="185" t="s">
        <v>33</v>
      </c>
    </row>
    <row r="20" spans="1:13" ht="16.5" thickBot="1">
      <c r="A20" s="67" t="s">
        <v>93</v>
      </c>
      <c r="C20" s="100">
        <f>SUM(C18:C19)</f>
        <v>77081.87</v>
      </c>
      <c r="D20" s="36"/>
      <c r="F20" s="195" t="s">
        <v>162</v>
      </c>
      <c r="G20" s="165" t="s">
        <v>101</v>
      </c>
      <c r="H20" s="165" t="s">
        <v>36</v>
      </c>
      <c r="I20" s="165" t="s">
        <v>34</v>
      </c>
      <c r="J20" s="195" t="s">
        <v>162</v>
      </c>
      <c r="K20" s="165" t="s">
        <v>101</v>
      </c>
      <c r="L20" s="165" t="s">
        <v>36</v>
      </c>
      <c r="M20" s="165" t="s">
        <v>34</v>
      </c>
    </row>
    <row r="21" spans="1:13" ht="15.75">
      <c r="A21" s="46" t="s">
        <v>149</v>
      </c>
      <c r="C21" s="565">
        <f>1850+2008.09</f>
        <v>3858.09</v>
      </c>
      <c r="D21" s="36"/>
      <c r="F21" s="184"/>
      <c r="G21" s="12"/>
      <c r="H21" s="12"/>
      <c r="I21" s="185"/>
      <c r="J21" s="129"/>
      <c r="K21" s="13"/>
      <c r="L21" s="13"/>
      <c r="M21" s="205"/>
    </row>
    <row r="22" spans="1:13" ht="18" customHeight="1">
      <c r="A22" s="65" t="s">
        <v>149</v>
      </c>
      <c r="C22" s="100">
        <f>SUM(C21)</f>
        <v>3858.09</v>
      </c>
      <c r="D22" s="36"/>
      <c r="F22" s="199" t="s">
        <v>126</v>
      </c>
      <c r="G22" s="7"/>
      <c r="H22" s="7"/>
      <c r="I22" s="98"/>
      <c r="J22" s="199" t="s">
        <v>126</v>
      </c>
      <c r="K22" s="7"/>
      <c r="L22" s="7"/>
      <c r="M22" s="98"/>
    </row>
    <row r="23" spans="1:13" ht="15.75">
      <c r="A23" s="208" t="s">
        <v>180</v>
      </c>
      <c r="C23" s="100">
        <v>0</v>
      </c>
      <c r="D23" s="36"/>
      <c r="F23" s="200" t="s">
        <v>37</v>
      </c>
      <c r="G23" s="566">
        <v>19157522</v>
      </c>
      <c r="H23" s="599">
        <v>0.12678</v>
      </c>
      <c r="I23" s="196">
        <f t="shared" ref="I23:I31" si="0">G23*H23</f>
        <v>2428790.6391600003</v>
      </c>
      <c r="J23" s="200" t="s">
        <v>37</v>
      </c>
      <c r="K23" s="566">
        <v>8205105</v>
      </c>
      <c r="L23" s="599">
        <v>0.11330999999999999</v>
      </c>
      <c r="M23" s="196">
        <f>K23*L23</f>
        <v>929720.44754999992</v>
      </c>
    </row>
    <row r="24" spans="1:13" ht="15.75">
      <c r="A24" s="208" t="s">
        <v>186</v>
      </c>
      <c r="C24" s="312">
        <v>0</v>
      </c>
      <c r="D24" s="36"/>
      <c r="F24" s="200" t="s">
        <v>306</v>
      </c>
      <c r="G24" s="566">
        <v>29103</v>
      </c>
      <c r="H24" s="599">
        <v>0.12678</v>
      </c>
      <c r="I24" s="196">
        <f t="shared" si="0"/>
        <v>3689.6783399999999</v>
      </c>
      <c r="J24" s="200" t="s">
        <v>38</v>
      </c>
      <c r="K24" s="566">
        <v>2972280</v>
      </c>
      <c r="L24" s="599">
        <v>0.11330999999999999</v>
      </c>
      <c r="M24" s="196">
        <f t="shared" ref="M24:M27" si="1">K24*L24</f>
        <v>336789.04680000001</v>
      </c>
    </row>
    <row r="25" spans="1:13" ht="15.75">
      <c r="A25" s="208" t="s">
        <v>189</v>
      </c>
      <c r="C25" s="314">
        <v>0</v>
      </c>
      <c r="D25" s="36"/>
      <c r="F25" s="200" t="s">
        <v>38</v>
      </c>
      <c r="G25" s="566">
        <v>7258148</v>
      </c>
      <c r="H25" s="599">
        <v>0.11865000000000001</v>
      </c>
      <c r="I25" s="196">
        <f t="shared" si="0"/>
        <v>861179.26020000002</v>
      </c>
      <c r="J25" s="200" t="s">
        <v>39</v>
      </c>
      <c r="K25" s="566">
        <v>10876</v>
      </c>
      <c r="L25" s="599">
        <v>0.11330999999999999</v>
      </c>
      <c r="M25" s="196">
        <f t="shared" si="1"/>
        <v>1232.3595599999999</v>
      </c>
    </row>
    <row r="26" spans="1:13" ht="15.75">
      <c r="A26" s="209" t="s">
        <v>188</v>
      </c>
      <c r="C26" s="315">
        <v>0</v>
      </c>
      <c r="D26" s="36"/>
      <c r="F26" s="200" t="s">
        <v>39</v>
      </c>
      <c r="G26" s="566">
        <v>0</v>
      </c>
      <c r="H26" s="599">
        <v>0.11865000000000001</v>
      </c>
      <c r="I26" s="196">
        <f t="shared" si="0"/>
        <v>0</v>
      </c>
      <c r="J26" s="200" t="s">
        <v>40</v>
      </c>
      <c r="K26" s="566">
        <v>0</v>
      </c>
      <c r="L26" s="599">
        <v>0.11330999999999999</v>
      </c>
      <c r="M26" s="196">
        <f t="shared" si="1"/>
        <v>0</v>
      </c>
    </row>
    <row r="27" spans="1:13" ht="15.75">
      <c r="A27" s="65" t="s">
        <v>96</v>
      </c>
      <c r="C27" s="100">
        <f>SUM(C23:C26)</f>
        <v>0</v>
      </c>
      <c r="D27" s="36"/>
      <c r="F27" s="200" t="s">
        <v>40</v>
      </c>
      <c r="G27" s="566">
        <v>399264</v>
      </c>
      <c r="H27" s="599">
        <v>0.11541</v>
      </c>
      <c r="I27" s="196">
        <f t="shared" si="0"/>
        <v>46079.058239999998</v>
      </c>
      <c r="J27" s="200" t="s">
        <v>41</v>
      </c>
      <c r="K27" s="566">
        <v>0</v>
      </c>
      <c r="L27" s="599">
        <v>0.11330999999999999</v>
      </c>
      <c r="M27" s="196">
        <f t="shared" si="1"/>
        <v>0</v>
      </c>
    </row>
    <row r="28" spans="1:13" ht="16.5" thickBot="1">
      <c r="A28" s="210" t="s">
        <v>150</v>
      </c>
      <c r="C28" s="312">
        <v>0</v>
      </c>
      <c r="D28" s="37"/>
      <c r="F28" s="200" t="s">
        <v>41</v>
      </c>
      <c r="G28" s="566">
        <v>55333</v>
      </c>
      <c r="H28" s="599">
        <v>0.11541</v>
      </c>
      <c r="I28" s="196">
        <f t="shared" si="0"/>
        <v>6385.98153</v>
      </c>
      <c r="J28" s="199" t="s">
        <v>127</v>
      </c>
      <c r="K28" s="181">
        <f>SUM(K23:K27)</f>
        <v>11188261</v>
      </c>
      <c r="L28" s="182"/>
      <c r="M28" s="197">
        <f>SUM(M23:M27)</f>
        <v>1267741.8539099998</v>
      </c>
    </row>
    <row r="29" spans="1:13" ht="17.25" thickTop="1" thickBot="1">
      <c r="A29" s="210" t="s">
        <v>167</v>
      </c>
      <c r="B29" s="385"/>
      <c r="C29" s="312">
        <v>0</v>
      </c>
      <c r="D29" s="36"/>
      <c r="F29" s="200" t="s">
        <v>42</v>
      </c>
      <c r="G29" s="566">
        <v>0</v>
      </c>
      <c r="H29" s="599">
        <v>7.4310000000000001E-2</v>
      </c>
      <c r="I29" s="196">
        <f t="shared" si="0"/>
        <v>0</v>
      </c>
      <c r="J29" s="199"/>
      <c r="K29" s="231">
        <v>11188261</v>
      </c>
      <c r="L29" s="187" t="s">
        <v>102</v>
      </c>
      <c r="M29" s="465">
        <f>M28/K28</f>
        <v>0.11330999999999998</v>
      </c>
    </row>
    <row r="30" spans="1:13" ht="16.5" thickBot="1">
      <c r="A30" s="2" t="s">
        <v>111</v>
      </c>
      <c r="C30" s="125">
        <f>C7+C11+C14+C17+C20+C22+C27+C28+C29</f>
        <v>2245566.1399999997</v>
      </c>
      <c r="D30" s="37"/>
      <c r="F30" s="200" t="s">
        <v>43</v>
      </c>
      <c r="G30" s="566">
        <v>131982</v>
      </c>
      <c r="H30" s="599">
        <v>7.4310000000000001E-2</v>
      </c>
      <c r="I30" s="196">
        <f t="shared" si="0"/>
        <v>9807.5824200000006</v>
      </c>
      <c r="J30" s="200"/>
      <c r="K30" s="230">
        <f>K28-K29</f>
        <v>0</v>
      </c>
      <c r="L30" s="182"/>
      <c r="M30" s="198"/>
    </row>
    <row r="31" spans="1:13" ht="15.75">
      <c r="A31" s="384" t="s">
        <v>112</v>
      </c>
      <c r="C31" s="564">
        <v>-8928.43</v>
      </c>
      <c r="D31" s="39"/>
      <c r="F31" s="200" t="s">
        <v>74</v>
      </c>
      <c r="G31" s="566">
        <v>3513623</v>
      </c>
      <c r="H31" s="599">
        <v>5.4000000000000001E-4</v>
      </c>
      <c r="I31" s="196">
        <f t="shared" si="0"/>
        <v>1897.3564200000001</v>
      </c>
      <c r="J31" s="153"/>
      <c r="K31" s="7"/>
      <c r="L31" s="182"/>
      <c r="M31" s="198"/>
    </row>
    <row r="32" spans="1:13" ht="16.5" thickBot="1">
      <c r="A32" s="2" t="s">
        <v>116</v>
      </c>
      <c r="B32" s="2" t="s">
        <v>117</v>
      </c>
      <c r="C32" s="583">
        <f>C30+C31</f>
        <v>2236637.7099999995</v>
      </c>
      <c r="D32" s="40"/>
      <c r="F32" s="199" t="s">
        <v>127</v>
      </c>
      <c r="G32" s="181">
        <f>SUM(G23:G31)</f>
        <v>30544975</v>
      </c>
      <c r="H32" s="7"/>
      <c r="I32" s="197">
        <f>SUM(I23:I31)</f>
        <v>3357829.5563100004</v>
      </c>
      <c r="J32" s="192"/>
      <c r="K32" s="193"/>
      <c r="L32" s="7"/>
      <c r="M32" s="190"/>
    </row>
    <row r="33" spans="1:17" ht="17.25" thickTop="1" thickBot="1">
      <c r="A33" s="384" t="s">
        <v>113</v>
      </c>
      <c r="C33" s="311">
        <f>-C5-C9-C13-C16-C19</f>
        <v>-107797.58</v>
      </c>
      <c r="D33" s="36"/>
      <c r="F33" s="186"/>
      <c r="G33" s="231">
        <v>30544975</v>
      </c>
      <c r="H33" s="187" t="s">
        <v>102</v>
      </c>
      <c r="I33" s="216">
        <f>I32/G32</f>
        <v>0.10993066965384651</v>
      </c>
      <c r="J33" s="192"/>
      <c r="K33" s="193"/>
      <c r="L33" s="7"/>
      <c r="M33" s="98"/>
    </row>
    <row r="34" spans="1:17" ht="16.5" thickBot="1">
      <c r="A34" s="2" t="s">
        <v>114</v>
      </c>
      <c r="C34" s="125">
        <f>SUM(C32:C33)</f>
        <v>2128840.1299999994</v>
      </c>
      <c r="D34" s="36"/>
      <c r="F34" s="153"/>
      <c r="G34" s="230">
        <f>G32-G33</f>
        <v>0</v>
      </c>
      <c r="H34" s="7"/>
      <c r="I34" s="98"/>
      <c r="J34" s="192"/>
      <c r="K34" s="191"/>
      <c r="L34" s="7"/>
      <c r="M34" s="98"/>
    </row>
    <row r="35" spans="1:17" ht="18" customHeight="1">
      <c r="A35" s="2"/>
      <c r="C35" s="101"/>
      <c r="D35" s="36"/>
      <c r="F35" s="184"/>
      <c r="G35" s="12"/>
      <c r="H35" s="12"/>
      <c r="I35" s="185"/>
      <c r="J35" s="199" t="s">
        <v>128</v>
      </c>
      <c r="K35" s="637"/>
      <c r="L35" s="637"/>
      <c r="M35" s="638"/>
    </row>
    <row r="36" spans="1:17" ht="15.75">
      <c r="A36" s="16" t="s">
        <v>94</v>
      </c>
      <c r="B36" s="2"/>
      <c r="C36" s="100"/>
      <c r="D36" s="36"/>
      <c r="F36" s="199" t="s">
        <v>128</v>
      </c>
      <c r="G36" s="7"/>
      <c r="H36" s="7"/>
      <c r="I36" s="98"/>
      <c r="J36" s="200" t="s">
        <v>37</v>
      </c>
      <c r="K36" s="585">
        <f>K23</f>
        <v>8205105</v>
      </c>
      <c r="L36" s="599">
        <v>0.23895</v>
      </c>
      <c r="M36" s="196">
        <f t="shared" ref="M36:M42" si="2">K36*L36</f>
        <v>1960609.83975</v>
      </c>
      <c r="P36" s="273"/>
      <c r="Q36" s="273"/>
    </row>
    <row r="37" spans="1:17" ht="15.75">
      <c r="A37" s="7" t="s">
        <v>129</v>
      </c>
      <c r="B37" s="535" t="s">
        <v>115</v>
      </c>
      <c r="C37" s="564">
        <v>10130075.869999999</v>
      </c>
      <c r="D37" s="36"/>
      <c r="F37" s="200" t="s">
        <v>37</v>
      </c>
      <c r="G37" s="585">
        <v>19157522</v>
      </c>
      <c r="H37" s="599">
        <v>0.23860000000000001</v>
      </c>
      <c r="I37" s="196">
        <f t="shared" ref="I37:I44" si="3">G37*H37</f>
        <v>4570984.7492000004</v>
      </c>
      <c r="J37" s="200" t="s">
        <v>38</v>
      </c>
      <c r="K37" s="585">
        <f>K24</f>
        <v>2972280</v>
      </c>
      <c r="L37" s="599">
        <v>0.23895</v>
      </c>
      <c r="M37" s="196">
        <f t="shared" si="2"/>
        <v>710226.30599999998</v>
      </c>
      <c r="P37" s="273"/>
      <c r="Q37" s="273"/>
    </row>
    <row r="38" spans="1:17" ht="15.75">
      <c r="A38" s="144" t="s">
        <v>14</v>
      </c>
      <c r="B38" s="535" t="s">
        <v>115</v>
      </c>
      <c r="C38" s="122">
        <v>0</v>
      </c>
      <c r="D38" s="36"/>
      <c r="F38" s="200" t="s">
        <v>306</v>
      </c>
      <c r="G38" s="585">
        <v>29103</v>
      </c>
      <c r="H38" s="599">
        <v>0.23860000000000001</v>
      </c>
      <c r="I38" s="196">
        <f t="shared" si="3"/>
        <v>6943.9758000000002</v>
      </c>
      <c r="J38" s="200" t="s">
        <v>39</v>
      </c>
      <c r="K38" s="585">
        <f>K25</f>
        <v>10876</v>
      </c>
      <c r="L38" s="599">
        <v>0.23895</v>
      </c>
      <c r="M38" s="196">
        <f t="shared" si="2"/>
        <v>2598.8202000000001</v>
      </c>
      <c r="P38" s="273"/>
      <c r="Q38" s="273"/>
    </row>
    <row r="39" spans="1:17" ht="15.75">
      <c r="A39" s="7" t="s">
        <v>146</v>
      </c>
      <c r="B39" s="535" t="s">
        <v>147</v>
      </c>
      <c r="C39" s="564">
        <v>-96409.49</v>
      </c>
      <c r="D39" s="36"/>
      <c r="F39" s="200" t="s">
        <v>38</v>
      </c>
      <c r="G39" s="585">
        <v>7258148</v>
      </c>
      <c r="H39" s="599">
        <v>0.23860000000000001</v>
      </c>
      <c r="I39" s="196">
        <f t="shared" si="3"/>
        <v>1731794.1128</v>
      </c>
      <c r="J39" s="200" t="s">
        <v>40</v>
      </c>
      <c r="K39" s="585">
        <f>K26</f>
        <v>0</v>
      </c>
      <c r="L39" s="599">
        <v>0.23895</v>
      </c>
      <c r="M39" s="196">
        <f t="shared" si="2"/>
        <v>0</v>
      </c>
      <c r="P39" s="273"/>
      <c r="Q39" s="273"/>
    </row>
    <row r="40" spans="1:17" ht="15.75">
      <c r="A40" s="7" t="s">
        <v>131</v>
      </c>
      <c r="B40" s="535" t="s">
        <v>132</v>
      </c>
      <c r="C40" s="564">
        <v>697370.8</v>
      </c>
      <c r="D40" s="36"/>
      <c r="F40" s="200" t="s">
        <v>39</v>
      </c>
      <c r="G40" s="585">
        <f t="shared" ref="G40:G43" si="4">G26</f>
        <v>0</v>
      </c>
      <c r="H40" s="599">
        <v>0.23860000000000001</v>
      </c>
      <c r="I40" s="196">
        <f t="shared" si="3"/>
        <v>0</v>
      </c>
      <c r="J40" s="200" t="s">
        <v>41</v>
      </c>
      <c r="K40" s="585">
        <f>K27</f>
        <v>0</v>
      </c>
      <c r="L40" s="599">
        <v>0.23895</v>
      </c>
      <c r="M40" s="196">
        <f t="shared" si="2"/>
        <v>0</v>
      </c>
      <c r="P40" s="273"/>
      <c r="Q40" s="273"/>
    </row>
    <row r="41" spans="1:17" ht="15.75">
      <c r="A41" s="7" t="s">
        <v>153</v>
      </c>
      <c r="B41" s="6" t="s">
        <v>155</v>
      </c>
      <c r="C41" s="564">
        <v>41212.58</v>
      </c>
      <c r="D41" s="36"/>
      <c r="F41" s="200" t="s">
        <v>40</v>
      </c>
      <c r="G41" s="585">
        <v>399264</v>
      </c>
      <c r="H41" s="599">
        <v>0.23860000000000001</v>
      </c>
      <c r="I41" s="196">
        <f t="shared" si="3"/>
        <v>95264.390400000004</v>
      </c>
      <c r="J41" s="200" t="s">
        <v>42</v>
      </c>
      <c r="K41" s="566">
        <v>0</v>
      </c>
      <c r="L41" s="599">
        <v>0.23895</v>
      </c>
      <c r="M41" s="196">
        <f t="shared" si="2"/>
        <v>0</v>
      </c>
      <c r="P41" s="273"/>
      <c r="Q41" s="273"/>
    </row>
    <row r="42" spans="1:17" ht="16.5" thickBot="1">
      <c r="A42" s="7" t="s">
        <v>178</v>
      </c>
      <c r="B42" s="535" t="s">
        <v>179</v>
      </c>
      <c r="C42" s="564">
        <v>723815.09</v>
      </c>
      <c r="D42" s="37"/>
      <c r="F42" s="200" t="s">
        <v>41</v>
      </c>
      <c r="G42" s="585">
        <v>55333</v>
      </c>
      <c r="H42" s="599">
        <v>0.23860000000000001</v>
      </c>
      <c r="I42" s="196">
        <f t="shared" si="3"/>
        <v>13202.453800000001</v>
      </c>
      <c r="J42" s="200" t="s">
        <v>43</v>
      </c>
      <c r="K42" s="586">
        <v>0</v>
      </c>
      <c r="L42" s="599">
        <v>0.23895</v>
      </c>
      <c r="M42" s="196">
        <f t="shared" si="2"/>
        <v>0</v>
      </c>
      <c r="P42" s="273"/>
      <c r="Q42" s="273"/>
    </row>
    <row r="43" spans="1:17" ht="16.5" thickBot="1">
      <c r="A43" s="85" t="s">
        <v>123</v>
      </c>
      <c r="B43" s="12"/>
      <c r="C43" s="125">
        <f>SUM(C37:C42)</f>
        <v>11496064.85</v>
      </c>
      <c r="D43" s="36"/>
      <c r="F43" s="200" t="s">
        <v>42</v>
      </c>
      <c r="G43" s="585">
        <f t="shared" si="4"/>
        <v>0</v>
      </c>
      <c r="H43" s="599">
        <v>0.23860000000000001</v>
      </c>
      <c r="I43" s="196">
        <f t="shared" si="3"/>
        <v>0</v>
      </c>
      <c r="J43" s="199" t="s">
        <v>133</v>
      </c>
      <c r="K43" s="181">
        <f>SUM(K36:K42)</f>
        <v>11188261</v>
      </c>
      <c r="L43" s="182"/>
      <c r="M43" s="197">
        <f>SUM(M36:M42)</f>
        <v>2673434.9659500001</v>
      </c>
    </row>
    <row r="44" spans="1:17" ht="16.5" thickBot="1">
      <c r="A44" s="83" t="s">
        <v>177</v>
      </c>
      <c r="B44" s="84" t="s">
        <v>120</v>
      </c>
      <c r="C44" s="564">
        <f>-349445.97+2637264.49+2036.6</f>
        <v>2289855.1200000006</v>
      </c>
      <c r="D44" s="37"/>
      <c r="F44" s="200" t="s">
        <v>43</v>
      </c>
      <c r="G44" s="585">
        <v>131982</v>
      </c>
      <c r="H44" s="599">
        <v>0.23860000000000001</v>
      </c>
      <c r="I44" s="196">
        <f t="shared" si="3"/>
        <v>31490.905200000001</v>
      </c>
      <c r="J44" s="194"/>
      <c r="K44" s="232">
        <v>11188261</v>
      </c>
      <c r="L44" s="189" t="s">
        <v>102</v>
      </c>
      <c r="M44" s="217">
        <f>M43/K43</f>
        <v>0.23895</v>
      </c>
    </row>
    <row r="45" spans="1:17" ht="16.5" thickBot="1">
      <c r="A45" s="211" t="s">
        <v>168</v>
      </c>
      <c r="B45" s="6" t="s">
        <v>115</v>
      </c>
      <c r="C45" s="122">
        <v>0</v>
      </c>
      <c r="D45" s="39"/>
      <c r="F45" s="199" t="s">
        <v>133</v>
      </c>
      <c r="G45" s="181">
        <f>SUM(G37:G44)</f>
        <v>27031352</v>
      </c>
      <c r="H45" s="182"/>
      <c r="I45" s="197">
        <f>SUM(I37:I44)</f>
        <v>6449680.5872000009</v>
      </c>
      <c r="J45" s="85"/>
      <c r="K45" s="230">
        <f>K43-K44</f>
        <v>0</v>
      </c>
      <c r="L45" s="187"/>
      <c r="M45" s="560"/>
    </row>
    <row r="46" spans="1:17" ht="19.5" customHeight="1" thickTop="1" thickBot="1">
      <c r="A46" s="144" t="s">
        <v>169</v>
      </c>
      <c r="B46" s="6" t="s">
        <v>115</v>
      </c>
      <c r="C46" s="122">
        <v>0</v>
      </c>
      <c r="D46" s="40"/>
      <c r="F46" s="188"/>
      <c r="G46" s="232">
        <v>27031352</v>
      </c>
      <c r="H46" s="189" t="s">
        <v>102</v>
      </c>
      <c r="I46" s="215">
        <f>I45/G45</f>
        <v>0.23860000000000003</v>
      </c>
      <c r="J46" s="85"/>
      <c r="K46" s="231"/>
      <c r="L46" s="187"/>
      <c r="M46" s="560"/>
    </row>
    <row r="47" spans="1:17" ht="15.75">
      <c r="A47" s="384" t="s">
        <v>137</v>
      </c>
      <c r="B47" s="6" t="s">
        <v>115</v>
      </c>
      <c r="C47" s="122">
        <v>0</v>
      </c>
      <c r="D47" s="36"/>
      <c r="F47" s="385"/>
      <c r="G47" s="230">
        <f>G45-G46</f>
        <v>0</v>
      </c>
      <c r="H47" s="385"/>
      <c r="I47" s="385"/>
      <c r="J47" s="124"/>
      <c r="K47" s="230"/>
      <c r="L47" s="385"/>
      <c r="M47" s="124"/>
    </row>
    <row r="48" spans="1:17" ht="16.5" thickBot="1">
      <c r="A48" s="144" t="s">
        <v>305</v>
      </c>
      <c r="B48" s="6" t="s">
        <v>115</v>
      </c>
      <c r="C48" s="564">
        <v>7000</v>
      </c>
      <c r="D48" s="36"/>
      <c r="F48" s="385"/>
      <c r="G48" s="385"/>
      <c r="H48" s="385"/>
      <c r="I48" s="385"/>
      <c r="J48" s="124"/>
      <c r="K48" s="114"/>
      <c r="L48" s="385"/>
      <c r="M48" s="68"/>
    </row>
    <row r="49" spans="1:21" ht="15.75">
      <c r="A49" s="7" t="s">
        <v>130</v>
      </c>
      <c r="B49" s="535" t="s">
        <v>152</v>
      </c>
      <c r="C49" s="564">
        <v>27793.919999999998</v>
      </c>
      <c r="D49" s="36"/>
      <c r="F49" s="385"/>
      <c r="G49" s="114"/>
      <c r="H49" s="129" t="s">
        <v>35</v>
      </c>
      <c r="I49" s="13" t="s">
        <v>35</v>
      </c>
      <c r="J49" s="13" t="s">
        <v>63</v>
      </c>
      <c r="K49" s="127" t="s">
        <v>70</v>
      </c>
      <c r="L49" s="124"/>
      <c r="M49" s="385"/>
    </row>
    <row r="50" spans="1:21" ht="16.5" thickBot="1">
      <c r="A50" s="7" t="s">
        <v>222</v>
      </c>
      <c r="B50" s="535" t="s">
        <v>152</v>
      </c>
      <c r="C50" s="564">
        <v>5264.82</v>
      </c>
      <c r="D50" s="37"/>
      <c r="F50" s="50" t="s">
        <v>73</v>
      </c>
      <c r="G50" s="385"/>
      <c r="H50" s="130" t="s">
        <v>2</v>
      </c>
      <c r="I50" s="131" t="s">
        <v>3</v>
      </c>
      <c r="J50" s="131" t="s">
        <v>2</v>
      </c>
      <c r="K50" s="128" t="s">
        <v>3</v>
      </c>
      <c r="L50" s="385"/>
      <c r="M50" s="385"/>
    </row>
    <row r="51" spans="1:21" ht="15.75">
      <c r="A51" s="7" t="s">
        <v>309</v>
      </c>
      <c r="B51" s="535" t="s">
        <v>152</v>
      </c>
      <c r="C51" s="564">
        <v>13341.55</v>
      </c>
      <c r="D51" s="36"/>
      <c r="F51" s="385"/>
      <c r="G51" s="385"/>
      <c r="H51" s="151"/>
      <c r="I51" s="152"/>
      <c r="J51" s="152"/>
      <c r="K51" s="152"/>
      <c r="L51" s="126" t="s">
        <v>103</v>
      </c>
      <c r="M51" s="385"/>
    </row>
    <row r="52" spans="1:21" ht="15.75">
      <c r="A52" s="22" t="s">
        <v>118</v>
      </c>
      <c r="B52" s="6"/>
      <c r="C52" s="584">
        <f>-C33</f>
        <v>107797.58</v>
      </c>
      <c r="D52" s="33"/>
      <c r="F52" s="385" t="s">
        <v>136</v>
      </c>
      <c r="G52" s="385"/>
      <c r="H52" s="212">
        <f>K12</f>
        <v>6248269.4939120021</v>
      </c>
      <c r="I52" s="115">
        <f>I14</f>
        <v>1501470.9436889996</v>
      </c>
      <c r="J52" s="115">
        <f>L12</f>
        <v>2589045.5860880003</v>
      </c>
      <c r="K52" s="115">
        <f>J14</f>
        <v>627369.18631099991</v>
      </c>
      <c r="L52" s="132">
        <f>SUM(H52:K52)</f>
        <v>10966155.210000001</v>
      </c>
      <c r="M52" s="385"/>
    </row>
    <row r="53" spans="1:21" ht="16.5" thickBot="1">
      <c r="A53" s="382" t="s">
        <v>124</v>
      </c>
      <c r="B53" s="473" t="s">
        <v>297</v>
      </c>
      <c r="C53" s="564">
        <f>143797.5-2735388.45-2266327.45</f>
        <v>-4857918.4000000004</v>
      </c>
      <c r="D53" s="36"/>
      <c r="F53" s="384" t="s">
        <v>109</v>
      </c>
      <c r="H53" s="212">
        <f>-I45</f>
        <v>-6449680.5872000009</v>
      </c>
      <c r="I53" s="115">
        <f>-I32</f>
        <v>-3357829.5563100004</v>
      </c>
      <c r="J53" s="115">
        <f>-M43</f>
        <v>-2673434.9659500001</v>
      </c>
      <c r="K53" s="115">
        <f>-M28</f>
        <v>-1267741.8539099998</v>
      </c>
      <c r="L53" s="261">
        <f>SUM(H53:K53)</f>
        <v>-13748686.963369999</v>
      </c>
    </row>
    <row r="54" spans="1:21" ht="16.5" thickBot="1">
      <c r="A54" s="384" t="s">
        <v>313</v>
      </c>
      <c r="B54" s="6" t="s">
        <v>190</v>
      </c>
      <c r="C54" s="564">
        <v>-375000</v>
      </c>
      <c r="D54" s="36"/>
      <c r="F54" s="384" t="s">
        <v>86</v>
      </c>
      <c r="H54" s="234">
        <v>0</v>
      </c>
      <c r="I54" s="235">
        <v>0</v>
      </c>
      <c r="J54" s="235">
        <v>0</v>
      </c>
      <c r="K54" s="236">
        <v>0</v>
      </c>
      <c r="L54" s="214">
        <f>SUM(L52:L53)</f>
        <v>-2782531.7533699982</v>
      </c>
    </row>
    <row r="55" spans="1:21" ht="16.5" thickBot="1">
      <c r="A55" s="82" t="s">
        <v>119</v>
      </c>
      <c r="B55" s="84"/>
      <c r="C55" s="160">
        <f>SUM(C43:C54)</f>
        <v>8714199.4400000013</v>
      </c>
      <c r="D55" s="36"/>
      <c r="F55" s="384" t="s">
        <v>71</v>
      </c>
      <c r="H55" s="125">
        <f>IFERROR(H52+H53+H54,0)</f>
        <v>-201411.09328799881</v>
      </c>
      <c r="I55" s="125">
        <f>I52+I53+I54</f>
        <v>-1856358.6126210007</v>
      </c>
      <c r="J55" s="125">
        <f>IFERROR(J52+J53+J54,0)</f>
        <v>-84389.379861999769</v>
      </c>
      <c r="K55" s="125">
        <f>K52+K53+K54</f>
        <v>-640372.66759899992</v>
      </c>
      <c r="L55" s="47">
        <f>SUM(H55:K55)</f>
        <v>-2782531.7533699991</v>
      </c>
    </row>
    <row r="56" spans="1:21" ht="17.25" thickTop="1" thickBot="1">
      <c r="A56" s="384" t="s">
        <v>121</v>
      </c>
      <c r="B56" s="6" t="s">
        <v>115</v>
      </c>
      <c r="C56" s="564">
        <f>84716.23</f>
        <v>84716.23</v>
      </c>
      <c r="D56" s="36"/>
      <c r="F56" s="240" t="s">
        <v>181</v>
      </c>
      <c r="H56" s="384" t="s">
        <v>173</v>
      </c>
      <c r="I56" s="5">
        <f>SUM(H55:I55)</f>
        <v>-2057769.7059089995</v>
      </c>
      <c r="J56" s="15" t="s">
        <v>174</v>
      </c>
      <c r="K56" s="384">
        <f>SUM(J55:K55)</f>
        <v>-724762.04746099969</v>
      </c>
      <c r="L56" s="213">
        <f>ROUND(L54-L55,3)</f>
        <v>0</v>
      </c>
      <c r="T56" s="42"/>
    </row>
    <row r="57" spans="1:21" ht="16.5" thickTop="1">
      <c r="A57" s="384" t="s">
        <v>122</v>
      </c>
      <c r="B57" s="6" t="s">
        <v>115</v>
      </c>
      <c r="C57" s="564">
        <f>38399.41</f>
        <v>38399.410000000003</v>
      </c>
      <c r="D57" s="36"/>
      <c r="F57" s="397" t="s">
        <v>181</v>
      </c>
      <c r="H57" s="96"/>
    </row>
    <row r="58" spans="1:21" ht="16.5" thickBot="1">
      <c r="A58" s="2" t="s">
        <v>125</v>
      </c>
      <c r="B58" s="2"/>
      <c r="C58" s="160">
        <f>SUM(C55:C57)</f>
        <v>8837315.0800000019</v>
      </c>
      <c r="D58" s="36"/>
      <c r="F58" s="397" t="s">
        <v>182</v>
      </c>
      <c r="H58" s="157"/>
      <c r="I58" s="120"/>
      <c r="J58" s="120"/>
      <c r="K58" s="204"/>
      <c r="L58" s="120"/>
    </row>
    <row r="59" spans="1:21" ht="17.25" thickTop="1" thickBot="1">
      <c r="A59" s="2"/>
      <c r="C59" s="101"/>
      <c r="D59" s="36"/>
      <c r="F59" s="546" t="s">
        <v>304</v>
      </c>
      <c r="G59" s="547" t="str">
        <f>IF(OR(AND(I56&gt;0,K56&gt;0),AND(I56&lt;0,K56&lt;0)),"OK","ERROR")</f>
        <v>OK</v>
      </c>
      <c r="H59" s="386" t="s">
        <v>295</v>
      </c>
      <c r="I59" s="387"/>
    </row>
    <row r="60" spans="1:21" ht="16.5" thickBot="1">
      <c r="A60" s="9"/>
      <c r="B60" s="9" t="s">
        <v>95</v>
      </c>
      <c r="C60" s="125">
        <f>C58+C34</f>
        <v>10966155.210000001</v>
      </c>
      <c r="D60" s="36"/>
      <c r="H60" s="318" t="s">
        <v>175</v>
      </c>
      <c r="I60" s="319" t="s">
        <v>176</v>
      </c>
      <c r="J60" s="5"/>
    </row>
    <row r="61" spans="1:21" ht="16.5" thickBot="1">
      <c r="A61" s="2"/>
      <c r="B61" s="9" t="s">
        <v>160</v>
      </c>
      <c r="C61" s="587">
        <v>10966155.210000001</v>
      </c>
      <c r="D61" s="37"/>
      <c r="H61" s="349" t="e">
        <f>SUM(#REF!,#REF!,#REF!,#REF!,#REF!,#REF!)</f>
        <v>#REF!</v>
      </c>
      <c r="I61" s="449" t="e">
        <f>SUM(#REF!,#REF!,#REF!,#REF!,#REF!,#REF!)</f>
        <v>#REF!</v>
      </c>
      <c r="J61" s="384">
        <f>H53+I53+J53+K53</f>
        <v>-13748686.963369999</v>
      </c>
    </row>
    <row r="62" spans="1:21" ht="15.75">
      <c r="A62" s="9"/>
      <c r="B62" s="9" t="s">
        <v>159</v>
      </c>
      <c r="C62" s="257">
        <f>ROUND(C60-C61,2)</f>
        <v>0</v>
      </c>
      <c r="G62" s="5"/>
      <c r="I62" s="338" t="e">
        <f>H61-I61</f>
        <v>#REF!</v>
      </c>
      <c r="N62" s="5"/>
      <c r="O62" s="5"/>
      <c r="P62" s="21"/>
    </row>
    <row r="63" spans="1:21" ht="15.75">
      <c r="A63" s="44"/>
      <c r="C63" s="351"/>
      <c r="D63" s="36"/>
      <c r="S63" s="6"/>
    </row>
    <row r="64" spans="1:21" ht="15.75">
      <c r="A64" s="44"/>
      <c r="C64" s="8"/>
      <c r="D64" s="43"/>
      <c r="N64" s="22"/>
      <c r="U64" s="2"/>
    </row>
    <row r="65" spans="1:21" ht="15.75">
      <c r="A65" s="2"/>
      <c r="C65" s="8"/>
      <c r="D65" s="36"/>
      <c r="N65" s="22"/>
      <c r="S65" s="23"/>
    </row>
    <row r="66" spans="1:21">
      <c r="C66" s="100"/>
      <c r="D66" s="36"/>
      <c r="H66" s="96"/>
      <c r="N66" s="22"/>
      <c r="S66" s="24"/>
    </row>
    <row r="67" spans="1:21">
      <c r="D67" s="36"/>
      <c r="N67" s="22"/>
      <c r="S67" s="25"/>
    </row>
    <row r="68" spans="1:21">
      <c r="D68" s="36"/>
      <c r="N68" s="22"/>
      <c r="S68" s="24"/>
    </row>
    <row r="69" spans="1:21">
      <c r="D69" s="37"/>
      <c r="N69" s="22"/>
    </row>
    <row r="70" spans="1:21">
      <c r="D70" s="36"/>
      <c r="N70" s="22"/>
      <c r="S70" s="26"/>
    </row>
    <row r="71" spans="1:21">
      <c r="D71" s="36"/>
    </row>
    <row r="72" spans="1:21">
      <c r="D72" s="36"/>
    </row>
    <row r="73" spans="1:21">
      <c r="D73" s="45"/>
      <c r="S73" s="27"/>
    </row>
    <row r="74" spans="1:21">
      <c r="R74" s="6"/>
      <c r="S74" s="6"/>
      <c r="T74" s="6"/>
    </row>
    <row r="76" spans="1:21">
      <c r="U76" s="28"/>
    </row>
    <row r="1476" spans="3:3">
      <c r="C1476" s="384">
        <v>-2130</v>
      </c>
    </row>
    <row r="1484" spans="3:3">
      <c r="C1484" s="384">
        <f>7004298-2130</f>
        <v>7002168</v>
      </c>
    </row>
  </sheetData>
  <mergeCells count="3">
    <mergeCell ref="F18:I18"/>
    <mergeCell ref="J18:M18"/>
    <mergeCell ref="K35:M35"/>
  </mergeCells>
  <conditionalFormatting sqref="C62 L56 I62">
    <cfRule type="cellIs" dxfId="304" priority="9" stopIfTrue="1" operator="equal">
      <formula>0</formula>
    </cfRule>
    <cfRule type="cellIs" dxfId="303" priority="10" stopIfTrue="1" operator="notEqual">
      <formula>0</formula>
    </cfRule>
  </conditionalFormatting>
  <conditionalFormatting sqref="G34 G47 K30 K47">
    <cfRule type="cellIs" dxfId="302" priority="8" operator="notEqual">
      <formula>0</formula>
    </cfRule>
  </conditionalFormatting>
  <conditionalFormatting sqref="C62">
    <cfRule type="cellIs" dxfId="301" priority="6" stopIfTrue="1" operator="equal">
      <formula>0</formula>
    </cfRule>
    <cfRule type="cellIs" dxfId="300" priority="7" stopIfTrue="1" operator="notEqual">
      <formula>0</formula>
    </cfRule>
  </conditionalFormatting>
  <conditionalFormatting sqref="K30">
    <cfRule type="cellIs" dxfId="299" priority="5" operator="notEqual">
      <formula>0</formula>
    </cfRule>
  </conditionalFormatting>
  <conditionalFormatting sqref="G59">
    <cfRule type="cellIs" dxfId="298" priority="4" operator="equal">
      <formula>"""ERROR"""</formula>
    </cfRule>
  </conditionalFormatting>
  <conditionalFormatting sqref="G59">
    <cfRule type="cellIs" dxfId="297" priority="3" operator="equal">
      <formula>"ERROR"</formula>
    </cfRule>
  </conditionalFormatting>
  <conditionalFormatting sqref="G59">
    <cfRule type="cellIs" dxfId="296" priority="2" operator="equal">
      <formula>"ERROR"</formula>
    </cfRule>
  </conditionalFormatting>
  <conditionalFormatting sqref="K45">
    <cfRule type="cellIs" dxfId="295" priority="1" operator="notEqual">
      <formula>0</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customProperties>
    <customPr name="xxe4aPID" r:id="rId2"/>
  </customProperties>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8">
    <tabColor rgb="FF00CC66"/>
    <pageSetUpPr fitToPage="1"/>
  </sheetPr>
  <dimension ref="A1:U1484"/>
  <sheetViews>
    <sheetView showGridLines="0" topLeftCell="A28" zoomScale="70" zoomScaleNormal="70" workbookViewId="0">
      <selection activeCell="B67" sqref="B67"/>
    </sheetView>
  </sheetViews>
  <sheetFormatPr defaultColWidth="16" defaultRowHeight="15"/>
  <cols>
    <col min="1" max="1" width="44.85546875" style="384" customWidth="1"/>
    <col min="2" max="2" width="25.5703125" style="384" customWidth="1"/>
    <col min="3" max="3" width="25.28515625" style="384" customWidth="1"/>
    <col min="4" max="4" width="2.7109375" style="30" customWidth="1"/>
    <col min="5" max="5" width="4.28515625" style="384" customWidth="1"/>
    <col min="6" max="6" width="26.7109375" style="384" customWidth="1"/>
    <col min="7" max="7" width="19" style="384" customWidth="1"/>
    <col min="8" max="8" width="22" style="384" customWidth="1"/>
    <col min="9" max="9" width="20.42578125" style="384" customWidth="1"/>
    <col min="10" max="10" width="26.28515625" style="384" customWidth="1"/>
    <col min="11" max="11" width="21.85546875" style="384" bestFit="1" customWidth="1"/>
    <col min="12" max="12" width="23.85546875" style="384" customWidth="1"/>
    <col min="13" max="13" width="20.85546875" style="384" bestFit="1" customWidth="1"/>
    <col min="14" max="15" width="16" style="384"/>
    <col min="16" max="16" width="16.28515625" style="384" bestFit="1" customWidth="1"/>
    <col min="17" max="16384" width="16" style="384"/>
  </cols>
  <sheetData>
    <row r="1" spans="1:13" ht="16.5" thickBot="1">
      <c r="A1" s="145" t="s">
        <v>64</v>
      </c>
      <c r="B1" s="29"/>
      <c r="C1" s="530">
        <f>Feb!C1+1</f>
        <v>201703</v>
      </c>
      <c r="F1" s="530">
        <f>C1</f>
        <v>201703</v>
      </c>
      <c r="G1" s="385"/>
      <c r="H1" s="162" t="s">
        <v>69</v>
      </c>
      <c r="I1" s="126" t="s">
        <v>3</v>
      </c>
      <c r="J1" s="126" t="s">
        <v>3</v>
      </c>
      <c r="K1" s="126" t="s">
        <v>66</v>
      </c>
      <c r="L1" s="126" t="s">
        <v>66</v>
      </c>
      <c r="M1" s="385"/>
    </row>
    <row r="2" spans="1:13" ht="15.75">
      <c r="C2" s="31"/>
      <c r="F2" s="385"/>
      <c r="G2" s="385"/>
      <c r="H2" s="163" t="s">
        <v>32</v>
      </c>
      <c r="I2" s="164" t="s">
        <v>65</v>
      </c>
      <c r="J2" s="164" t="s">
        <v>65</v>
      </c>
      <c r="K2" s="164" t="s">
        <v>67</v>
      </c>
      <c r="L2" s="164" t="s">
        <v>67</v>
      </c>
      <c r="M2" s="385"/>
    </row>
    <row r="3" spans="1:13" ht="16.5" thickBot="1">
      <c r="A3" s="63" t="s">
        <v>110</v>
      </c>
      <c r="C3" s="32"/>
      <c r="D3" s="33"/>
      <c r="F3" s="50" t="s">
        <v>72</v>
      </c>
      <c r="G3" s="385"/>
      <c r="H3" s="165" t="s">
        <v>68</v>
      </c>
      <c r="I3" s="165" t="s">
        <v>35</v>
      </c>
      <c r="J3" s="165" t="s">
        <v>63</v>
      </c>
      <c r="K3" s="165" t="s">
        <v>35</v>
      </c>
      <c r="L3" s="165" t="s">
        <v>63</v>
      </c>
      <c r="M3" s="385"/>
    </row>
    <row r="4" spans="1:13" ht="15.75">
      <c r="A4" s="385" t="s">
        <v>88</v>
      </c>
      <c r="C4" s="573">
        <f>4598122.63</f>
        <v>4598122.63</v>
      </c>
      <c r="D4" s="34"/>
      <c r="F4" s="385"/>
      <c r="G4" s="385"/>
      <c r="H4" s="11"/>
      <c r="I4" s="385"/>
      <c r="J4" s="385"/>
      <c r="L4" s="385"/>
      <c r="M4" s="385"/>
    </row>
    <row r="5" spans="1:13" ht="14.25" customHeight="1">
      <c r="A5" s="385" t="s">
        <v>31</v>
      </c>
      <c r="C5" s="573">
        <f>-312.87+73985.42</f>
        <v>73672.55</v>
      </c>
      <c r="D5" s="34"/>
      <c r="F5" s="385"/>
      <c r="G5" s="385"/>
      <c r="H5" s="11"/>
      <c r="I5" s="596">
        <v>0.70530000000000004</v>
      </c>
      <c r="J5" s="596">
        <v>0.29470000000000002</v>
      </c>
      <c r="K5" s="445">
        <f>ROUND(G45/(G45+K43),4)</f>
        <v>0.68079999999999996</v>
      </c>
      <c r="L5" s="445">
        <f>1-K5</f>
        <v>0.31920000000000004</v>
      </c>
      <c r="M5" s="385"/>
    </row>
    <row r="6" spans="1:13" ht="16.5" thickBot="1">
      <c r="A6" s="49" t="s">
        <v>30</v>
      </c>
      <c r="C6" s="574">
        <f>-81979.5-102391.76-2343063.08-444850-127100-142987.5</f>
        <v>-3242371.84</v>
      </c>
      <c r="D6" s="34"/>
      <c r="F6" s="385"/>
      <c r="G6" s="385"/>
      <c r="H6" s="385"/>
      <c r="I6" s="385"/>
      <c r="J6" s="385"/>
      <c r="K6" s="385"/>
      <c r="L6" s="385"/>
      <c r="M6" s="385"/>
    </row>
    <row r="7" spans="1:13" ht="16.5" thickBot="1">
      <c r="A7" s="66" t="s">
        <v>140</v>
      </c>
      <c r="C7" s="100">
        <f>SUM(C4:C6)</f>
        <v>1429423.3399999999</v>
      </c>
      <c r="D7" s="35"/>
      <c r="F7" s="166" t="s">
        <v>139</v>
      </c>
      <c r="G7" s="166"/>
      <c r="H7" s="125">
        <f>C34</f>
        <v>2297443.3099999996</v>
      </c>
      <c r="I7" s="167">
        <f>H7*I5</f>
        <v>1620386.7665429998</v>
      </c>
      <c r="J7" s="167">
        <f>H7*J5</f>
        <v>677056.54345699993</v>
      </c>
      <c r="K7" s="167"/>
      <c r="L7" s="167"/>
      <c r="M7" s="385"/>
    </row>
    <row r="8" spans="1:13" ht="15.75">
      <c r="A8" s="384" t="s">
        <v>89</v>
      </c>
      <c r="C8" s="573">
        <f>252729.32</f>
        <v>252729.32</v>
      </c>
      <c r="D8" s="35"/>
      <c r="F8" s="385"/>
      <c r="G8" s="385"/>
      <c r="H8" s="168"/>
      <c r="I8" s="168"/>
      <c r="J8" s="168"/>
      <c r="K8" s="168"/>
      <c r="L8" s="168"/>
      <c r="M8" s="385"/>
    </row>
    <row r="9" spans="1:13" ht="15.75">
      <c r="A9" s="385" t="s">
        <v>90</v>
      </c>
      <c r="C9" s="573">
        <f>8377.64</f>
        <v>8377.64</v>
      </c>
      <c r="D9" s="36"/>
      <c r="F9" s="166" t="s">
        <v>119</v>
      </c>
      <c r="G9" s="385"/>
      <c r="H9" s="167">
        <f>C55</f>
        <v>6248823.6599999983</v>
      </c>
      <c r="I9" s="167"/>
      <c r="J9" s="167"/>
      <c r="K9" s="167">
        <f>H9*K5</f>
        <v>4254199.1477279989</v>
      </c>
      <c r="L9" s="167">
        <f>H9*L5</f>
        <v>1994624.5122719996</v>
      </c>
      <c r="M9" s="385"/>
    </row>
    <row r="10" spans="1:13" ht="15.75">
      <c r="A10" s="49" t="s">
        <v>91</v>
      </c>
      <c r="C10" s="574">
        <f>-3418.47</f>
        <v>-3418.47</v>
      </c>
      <c r="D10" s="36"/>
      <c r="F10" s="169" t="s">
        <v>44</v>
      </c>
      <c r="G10" s="385"/>
      <c r="H10" s="167">
        <f>C56</f>
        <v>-75592.070000000007</v>
      </c>
      <c r="I10" s="167"/>
      <c r="J10" s="167"/>
      <c r="K10" s="167">
        <f>H10</f>
        <v>-75592.070000000007</v>
      </c>
      <c r="L10" s="167"/>
      <c r="M10" s="385"/>
    </row>
    <row r="11" spans="1:13">
      <c r="A11" s="66" t="s">
        <v>145</v>
      </c>
      <c r="C11" s="100">
        <f>SUM(C8:C10)</f>
        <v>257688.49000000002</v>
      </c>
      <c r="D11" s="36"/>
      <c r="F11" s="169" t="s">
        <v>45</v>
      </c>
      <c r="G11" s="385"/>
      <c r="H11" s="170">
        <f>C57</f>
        <v>-34696.86</v>
      </c>
      <c r="I11" s="167"/>
      <c r="J11" s="167"/>
      <c r="K11" s="170"/>
      <c r="L11" s="170">
        <f>H11</f>
        <v>-34696.86</v>
      </c>
      <c r="M11" s="385"/>
    </row>
    <row r="12" spans="1:13" ht="15.75">
      <c r="A12" s="384" t="s">
        <v>165</v>
      </c>
      <c r="C12" s="573">
        <f>178747.89+206.23</f>
        <v>178954.12000000002</v>
      </c>
      <c r="D12" s="36"/>
      <c r="F12" s="169" t="s">
        <v>138</v>
      </c>
      <c r="G12" s="385"/>
      <c r="H12" s="167">
        <f>H9+H10+H11</f>
        <v>6138534.7299999977</v>
      </c>
      <c r="I12" s="167"/>
      <c r="J12" s="167"/>
      <c r="K12" s="167">
        <f>SUM(K9:K11)</f>
        <v>4178607.0777279991</v>
      </c>
      <c r="L12" s="167">
        <f>SUM(L9:L11)</f>
        <v>1959927.6522719995</v>
      </c>
      <c r="M12" s="385"/>
    </row>
    <row r="13" spans="1:13" ht="16.5" thickBot="1">
      <c r="A13" s="49" t="s">
        <v>166</v>
      </c>
      <c r="C13" s="559">
        <v>0</v>
      </c>
      <c r="D13" s="36"/>
      <c r="F13" s="171"/>
      <c r="G13" s="172"/>
      <c r="H13" s="173"/>
      <c r="I13" s="174"/>
      <c r="J13" s="173"/>
      <c r="K13" s="168"/>
      <c r="L13" s="173"/>
      <c r="M13" s="385"/>
    </row>
    <row r="14" spans="1:13" ht="16.5" thickBot="1">
      <c r="A14" s="66" t="s">
        <v>92</v>
      </c>
      <c r="C14" s="100">
        <f>SUM(C12:C13)</f>
        <v>178954.12000000002</v>
      </c>
      <c r="D14" s="37"/>
      <c r="F14" s="50" t="s">
        <v>69</v>
      </c>
      <c r="G14" s="175"/>
      <c r="H14" s="125">
        <f>H12+H7</f>
        <v>8435978.0399999972</v>
      </c>
      <c r="I14" s="176">
        <f>SUM(I7:I13)</f>
        <v>1620386.7665429998</v>
      </c>
      <c r="J14" s="176">
        <f>SUM(J7:J13)</f>
        <v>677056.54345699993</v>
      </c>
      <c r="K14" s="176">
        <f>K12</f>
        <v>4178607.0777279991</v>
      </c>
      <c r="L14" s="176">
        <f>L12</f>
        <v>1959927.6522719995</v>
      </c>
      <c r="M14" s="385"/>
    </row>
    <row r="15" spans="1:13" ht="15.75">
      <c r="A15" s="384" t="s">
        <v>183</v>
      </c>
      <c r="C15" s="573">
        <f>441286.46-81.42-81.42+576.98</f>
        <v>441700.60000000003</v>
      </c>
      <c r="D15" s="36"/>
      <c r="F15" s="171"/>
      <c r="G15" s="172" t="s">
        <v>102</v>
      </c>
      <c r="H15" s="173">
        <f>H14-C60</f>
        <v>0</v>
      </c>
      <c r="I15" s="177"/>
      <c r="J15" s="173">
        <f>J7+I7-H7</f>
        <v>0</v>
      </c>
      <c r="K15" s="385"/>
      <c r="L15" s="173">
        <f>H12-K14-L14</f>
        <v>0</v>
      </c>
      <c r="M15" s="385"/>
    </row>
    <row r="16" spans="1:13" ht="15.75">
      <c r="A16" s="49" t="s">
        <v>184</v>
      </c>
      <c r="C16" s="559">
        <v>0</v>
      </c>
      <c r="D16" s="36"/>
      <c r="F16" s="178"/>
      <c r="G16" s="172"/>
      <c r="H16" s="179"/>
      <c r="I16" s="180"/>
      <c r="J16" s="179"/>
      <c r="K16" s="385"/>
      <c r="L16" s="179"/>
      <c r="M16" s="385"/>
    </row>
    <row r="17" spans="1:13" ht="15.75" thickBot="1">
      <c r="A17" s="66" t="s">
        <v>185</v>
      </c>
      <c r="C17" s="100">
        <f>SUM(C15:C16)</f>
        <v>441700.60000000003</v>
      </c>
      <c r="D17" s="37"/>
      <c r="F17" s="171"/>
      <c r="G17" s="172"/>
      <c r="H17" s="179"/>
      <c r="I17" s="180"/>
      <c r="J17" s="183"/>
      <c r="K17" s="385"/>
      <c r="L17" s="179"/>
      <c r="M17" s="385"/>
    </row>
    <row r="18" spans="1:13" ht="16.5" thickBot="1">
      <c r="A18" s="384" t="s">
        <v>163</v>
      </c>
      <c r="C18" s="573">
        <f>64585.46+9782.5+1039.47</f>
        <v>75407.429999999993</v>
      </c>
      <c r="D18" s="36"/>
      <c r="F18" s="639" t="s">
        <v>134</v>
      </c>
      <c r="G18" s="640"/>
      <c r="H18" s="640"/>
      <c r="I18" s="641"/>
      <c r="J18" s="639" t="s">
        <v>135</v>
      </c>
      <c r="K18" s="640"/>
      <c r="L18" s="640"/>
      <c r="M18" s="641"/>
    </row>
    <row r="19" spans="1:13" ht="15.75">
      <c r="A19" s="46" t="s">
        <v>164</v>
      </c>
      <c r="C19" s="574">
        <f>2133.72</f>
        <v>2133.7199999999998</v>
      </c>
      <c r="D19" s="36"/>
      <c r="F19" s="201" t="s">
        <v>108</v>
      </c>
      <c r="G19" s="164" t="s">
        <v>33</v>
      </c>
      <c r="H19" s="164" t="s">
        <v>33</v>
      </c>
      <c r="I19" s="164" t="s">
        <v>33</v>
      </c>
      <c r="J19" s="201" t="s">
        <v>108</v>
      </c>
      <c r="K19" s="164" t="s">
        <v>33</v>
      </c>
      <c r="L19" s="164" t="s">
        <v>33</v>
      </c>
      <c r="M19" s="185" t="s">
        <v>33</v>
      </c>
    </row>
    <row r="20" spans="1:13" ht="16.5" thickBot="1">
      <c r="A20" s="67" t="s">
        <v>93</v>
      </c>
      <c r="C20" s="100">
        <f>SUM(C18:C19)</f>
        <v>77541.149999999994</v>
      </c>
      <c r="D20" s="36"/>
      <c r="F20" s="195" t="s">
        <v>162</v>
      </c>
      <c r="G20" s="165" t="s">
        <v>101</v>
      </c>
      <c r="H20" s="165" t="s">
        <v>36</v>
      </c>
      <c r="I20" s="165" t="s">
        <v>34</v>
      </c>
      <c r="J20" s="195" t="s">
        <v>162</v>
      </c>
      <c r="K20" s="165" t="s">
        <v>101</v>
      </c>
      <c r="L20" s="165" t="s">
        <v>36</v>
      </c>
      <c r="M20" s="165" t="s">
        <v>34</v>
      </c>
    </row>
    <row r="21" spans="1:13" ht="15.75">
      <c r="A21" s="46" t="s">
        <v>149</v>
      </c>
      <c r="C21" s="574">
        <f>1850+2540.8</f>
        <v>4390.8</v>
      </c>
      <c r="D21" s="36"/>
      <c r="F21" s="184"/>
      <c r="G21" s="12"/>
      <c r="H21" s="12"/>
      <c r="I21" s="185"/>
      <c r="J21" s="129"/>
      <c r="K21" s="13"/>
      <c r="L21" s="13"/>
      <c r="M21" s="205"/>
    </row>
    <row r="22" spans="1:13" ht="18" customHeight="1">
      <c r="A22" s="65" t="s">
        <v>149</v>
      </c>
      <c r="C22" s="100">
        <f>SUM(C21)</f>
        <v>4390.8</v>
      </c>
      <c r="D22" s="36"/>
      <c r="F22" s="199" t="s">
        <v>126</v>
      </c>
      <c r="G22" s="7"/>
      <c r="H22" s="7"/>
      <c r="I22" s="98"/>
      <c r="J22" s="199" t="s">
        <v>126</v>
      </c>
      <c r="K22" s="7"/>
      <c r="L22" s="7"/>
      <c r="M22" s="98"/>
    </row>
    <row r="23" spans="1:13" ht="15.75">
      <c r="A23" s="208" t="s">
        <v>180</v>
      </c>
      <c r="C23" s="100">
        <v>0</v>
      </c>
      <c r="D23" s="36"/>
      <c r="F23" s="200" t="s">
        <v>37</v>
      </c>
      <c r="G23" s="566">
        <v>14316138</v>
      </c>
      <c r="H23" s="599">
        <v>0.12678</v>
      </c>
      <c r="I23" s="196">
        <f t="shared" ref="I23:I31" si="0">G23*H23</f>
        <v>1814999.9756400001</v>
      </c>
      <c r="J23" s="200" t="s">
        <v>37</v>
      </c>
      <c r="K23" s="566">
        <v>7018804</v>
      </c>
      <c r="L23" s="599">
        <v>0.11330999999999999</v>
      </c>
      <c r="M23" s="196">
        <f>K23*L23</f>
        <v>795300.68123999995</v>
      </c>
    </row>
    <row r="24" spans="1:13" ht="15.75">
      <c r="A24" s="208" t="s">
        <v>186</v>
      </c>
      <c r="C24" s="122">
        <v>0</v>
      </c>
      <c r="D24" s="36"/>
      <c r="F24" s="200" t="s">
        <v>306</v>
      </c>
      <c r="G24" s="566">
        <v>22738</v>
      </c>
      <c r="H24" s="599">
        <v>0.12678</v>
      </c>
      <c r="I24" s="196">
        <f t="shared" si="0"/>
        <v>2882.7236400000002</v>
      </c>
      <c r="J24" s="200" t="s">
        <v>38</v>
      </c>
      <c r="K24" s="566">
        <v>2558534</v>
      </c>
      <c r="L24" s="599">
        <v>0.11330999999999999</v>
      </c>
      <c r="M24" s="196">
        <f t="shared" ref="M24:M27" si="1">K24*L24</f>
        <v>289907.48754</v>
      </c>
    </row>
    <row r="25" spans="1:13" ht="15.75">
      <c r="A25" s="208" t="s">
        <v>189</v>
      </c>
      <c r="C25" s="561">
        <v>0</v>
      </c>
      <c r="D25" s="36"/>
      <c r="F25" s="200" t="s">
        <v>38</v>
      </c>
      <c r="G25" s="566">
        <v>5603968</v>
      </c>
      <c r="H25" s="599">
        <v>0.11865000000000001</v>
      </c>
      <c r="I25" s="196">
        <f t="shared" si="0"/>
        <v>664910.80320000008</v>
      </c>
      <c r="J25" s="200" t="s">
        <v>39</v>
      </c>
      <c r="K25" s="566">
        <v>2902</v>
      </c>
      <c r="L25" s="599">
        <v>0.11330999999999999</v>
      </c>
      <c r="M25" s="196">
        <f t="shared" si="1"/>
        <v>328.82561999999996</v>
      </c>
    </row>
    <row r="26" spans="1:13" ht="15.75">
      <c r="A26" s="209" t="s">
        <v>188</v>
      </c>
      <c r="C26" s="562">
        <v>0</v>
      </c>
      <c r="D26" s="36"/>
      <c r="F26" s="200" t="s">
        <v>39</v>
      </c>
      <c r="G26" s="566">
        <v>0</v>
      </c>
      <c r="H26" s="599">
        <v>0.11865000000000001</v>
      </c>
      <c r="I26" s="196">
        <f t="shared" si="0"/>
        <v>0</v>
      </c>
      <c r="J26" s="200" t="s">
        <v>40</v>
      </c>
      <c r="K26" s="262"/>
      <c r="L26" s="599">
        <v>0.11330999999999999</v>
      </c>
      <c r="M26" s="196">
        <f t="shared" si="1"/>
        <v>0</v>
      </c>
    </row>
    <row r="27" spans="1:13" ht="15.75">
      <c r="A27" s="65" t="s">
        <v>96</v>
      </c>
      <c r="C27" s="100">
        <f>SUM(C23:C26)</f>
        <v>0</v>
      </c>
      <c r="D27" s="36"/>
      <c r="F27" s="200" t="s">
        <v>40</v>
      </c>
      <c r="G27" s="566">
        <v>334116</v>
      </c>
      <c r="H27" s="599">
        <v>0.11541</v>
      </c>
      <c r="I27" s="196">
        <f t="shared" si="0"/>
        <v>38560.327559999998</v>
      </c>
      <c r="J27" s="200" t="s">
        <v>41</v>
      </c>
      <c r="K27" s="262"/>
      <c r="L27" s="599">
        <v>0.11330999999999999</v>
      </c>
      <c r="M27" s="196">
        <f t="shared" si="1"/>
        <v>0</v>
      </c>
    </row>
    <row r="28" spans="1:13" ht="16.5" thickBot="1">
      <c r="A28" s="210" t="s">
        <v>150</v>
      </c>
      <c r="C28" s="312">
        <v>0</v>
      </c>
      <c r="D28" s="37"/>
      <c r="F28" s="200" t="s">
        <v>41</v>
      </c>
      <c r="G28" s="566">
        <v>53363</v>
      </c>
      <c r="H28" s="599">
        <v>0.11541</v>
      </c>
      <c r="I28" s="196">
        <f t="shared" si="0"/>
        <v>6158.6238299999995</v>
      </c>
      <c r="J28" s="199" t="s">
        <v>127</v>
      </c>
      <c r="K28" s="181">
        <f>SUM(K23:K27)</f>
        <v>9580240</v>
      </c>
      <c r="L28" s="182"/>
      <c r="M28" s="197">
        <f>SUM(M23:M27)</f>
        <v>1085536.9944</v>
      </c>
    </row>
    <row r="29" spans="1:13" ht="17.25" thickTop="1" thickBot="1">
      <c r="A29" s="210" t="s">
        <v>167</v>
      </c>
      <c r="B29" s="385"/>
      <c r="C29" s="312">
        <v>0</v>
      </c>
      <c r="D29" s="36"/>
      <c r="F29" s="200" t="s">
        <v>42</v>
      </c>
      <c r="G29" s="566">
        <v>0</v>
      </c>
      <c r="H29" s="599">
        <v>7.4310000000000001E-2</v>
      </c>
      <c r="I29" s="196">
        <f t="shared" si="0"/>
        <v>0</v>
      </c>
      <c r="J29" s="199"/>
      <c r="K29" s="231">
        <v>9580240</v>
      </c>
      <c r="L29" s="187" t="s">
        <v>102</v>
      </c>
      <c r="M29" s="465">
        <f>M28/K28</f>
        <v>0.11330999999999999</v>
      </c>
    </row>
    <row r="30" spans="1:13" ht="16.5" thickBot="1">
      <c r="A30" s="2" t="s">
        <v>111</v>
      </c>
      <c r="C30" s="125">
        <f>C7+C11+C14+C17+C20+C22+C27+C28+C29</f>
        <v>2389698.4999999995</v>
      </c>
      <c r="D30" s="37"/>
      <c r="F30" s="200" t="s">
        <v>43</v>
      </c>
      <c r="G30" s="566">
        <v>102871</v>
      </c>
      <c r="H30" s="599">
        <v>7.4310000000000001E-2</v>
      </c>
      <c r="I30" s="196">
        <f t="shared" si="0"/>
        <v>7644.3440099999998</v>
      </c>
      <c r="J30" s="200"/>
      <c r="K30" s="230">
        <f>K28-K29</f>
        <v>0</v>
      </c>
      <c r="L30" s="182"/>
      <c r="M30" s="198"/>
    </row>
    <row r="31" spans="1:13" ht="15.75">
      <c r="A31" s="384" t="s">
        <v>112</v>
      </c>
      <c r="C31" s="564">
        <f>-8071.28</f>
        <v>-8071.28</v>
      </c>
      <c r="D31" s="39"/>
      <c r="F31" s="200" t="s">
        <v>74</v>
      </c>
      <c r="G31" s="566">
        <v>3381923</v>
      </c>
      <c r="H31" s="599">
        <v>5.4000000000000001E-4</v>
      </c>
      <c r="I31" s="196">
        <f t="shared" si="0"/>
        <v>1826.2384200000001</v>
      </c>
      <c r="J31" s="153"/>
      <c r="K31" s="7"/>
      <c r="L31" s="182"/>
      <c r="M31" s="198"/>
    </row>
    <row r="32" spans="1:13" ht="16.5" thickBot="1">
      <c r="A32" s="2" t="s">
        <v>116</v>
      </c>
      <c r="B32" s="2" t="s">
        <v>117</v>
      </c>
      <c r="C32" s="576">
        <f>C30+C31</f>
        <v>2381627.2199999997</v>
      </c>
      <c r="D32" s="40"/>
      <c r="F32" s="199" t="s">
        <v>127</v>
      </c>
      <c r="G32" s="181">
        <f>SUM(G23:G31)</f>
        <v>23815117</v>
      </c>
      <c r="H32" s="7"/>
      <c r="I32" s="197">
        <f>SUM(I23:I31)</f>
        <v>2536983.0363000003</v>
      </c>
      <c r="J32" s="192"/>
      <c r="K32" s="193"/>
      <c r="L32" s="7"/>
      <c r="M32" s="190"/>
    </row>
    <row r="33" spans="1:17" ht="17.25" thickTop="1" thickBot="1">
      <c r="A33" s="384" t="s">
        <v>113</v>
      </c>
      <c r="C33" s="311">
        <f>-C5-C9-C13-C16-C19</f>
        <v>-84183.91</v>
      </c>
      <c r="D33" s="36"/>
      <c r="F33" s="186"/>
      <c r="G33" s="231">
        <v>23815117</v>
      </c>
      <c r="H33" s="187" t="s">
        <v>102</v>
      </c>
      <c r="I33" s="216">
        <f>I32/G32</f>
        <v>0.10652826254433267</v>
      </c>
      <c r="J33" s="192"/>
      <c r="K33" s="193"/>
      <c r="L33" s="7"/>
      <c r="M33" s="98"/>
    </row>
    <row r="34" spans="1:17" ht="16.5" thickBot="1">
      <c r="A34" s="2" t="s">
        <v>114</v>
      </c>
      <c r="C34" s="125">
        <f>SUM(C32:C33)</f>
        <v>2297443.3099999996</v>
      </c>
      <c r="D34" s="36"/>
      <c r="F34" s="153"/>
      <c r="G34" s="230">
        <f>G32-G33</f>
        <v>0</v>
      </c>
      <c r="H34" s="7"/>
      <c r="I34" s="98"/>
      <c r="J34" s="192"/>
      <c r="K34" s="191"/>
      <c r="L34" s="7"/>
      <c r="M34" s="98"/>
    </row>
    <row r="35" spans="1:17" ht="18" customHeight="1">
      <c r="A35" s="2"/>
      <c r="C35" s="101"/>
      <c r="D35" s="36"/>
      <c r="F35" s="184"/>
      <c r="G35" s="12"/>
      <c r="H35" s="12"/>
      <c r="I35" s="185"/>
      <c r="J35" s="199" t="s">
        <v>128</v>
      </c>
      <c r="K35" s="637"/>
      <c r="L35" s="637"/>
      <c r="M35" s="638"/>
    </row>
    <row r="36" spans="1:17" ht="15.75">
      <c r="A36" s="16" t="s">
        <v>94</v>
      </c>
      <c r="B36" s="2"/>
      <c r="C36" s="100"/>
      <c r="D36" s="36"/>
      <c r="F36" s="199" t="s">
        <v>128</v>
      </c>
      <c r="G36" s="7"/>
      <c r="H36" s="7"/>
      <c r="I36" s="98"/>
      <c r="J36" s="200" t="s">
        <v>37</v>
      </c>
      <c r="K36" s="585">
        <f>K23</f>
        <v>7018804</v>
      </c>
      <c r="L36" s="599">
        <v>0.23895</v>
      </c>
      <c r="M36" s="196">
        <f t="shared" ref="M36:M42" si="2">K36*L36</f>
        <v>1677143.2157999999</v>
      </c>
      <c r="P36" s="273"/>
      <c r="Q36" s="273"/>
    </row>
    <row r="37" spans="1:17" ht="15.75">
      <c r="A37" s="7" t="s">
        <v>129</v>
      </c>
      <c r="B37" s="535" t="s">
        <v>115</v>
      </c>
      <c r="C37" s="564">
        <f>9074120.32</f>
        <v>9074120.3200000003</v>
      </c>
      <c r="D37" s="36"/>
      <c r="F37" s="200" t="s">
        <v>37</v>
      </c>
      <c r="G37" s="585">
        <f>G23</f>
        <v>14316138</v>
      </c>
      <c r="H37" s="599">
        <v>0.23860000000000001</v>
      </c>
      <c r="I37" s="196">
        <f t="shared" ref="I37:I44" si="3">G37*H37</f>
        <v>3415830.5268000001</v>
      </c>
      <c r="J37" s="200" t="s">
        <v>38</v>
      </c>
      <c r="K37" s="585">
        <f>K24</f>
        <v>2558534</v>
      </c>
      <c r="L37" s="599">
        <v>0.23895</v>
      </c>
      <c r="M37" s="196">
        <f t="shared" si="2"/>
        <v>611361.69929999998</v>
      </c>
      <c r="P37" s="273"/>
      <c r="Q37" s="273"/>
    </row>
    <row r="38" spans="1:17" ht="15.75">
      <c r="A38" s="144" t="s">
        <v>14</v>
      </c>
      <c r="B38" s="535" t="s">
        <v>115</v>
      </c>
      <c r="C38" s="122">
        <v>0</v>
      </c>
      <c r="D38" s="36"/>
      <c r="F38" s="200" t="s">
        <v>306</v>
      </c>
      <c r="G38" s="585">
        <f>G24</f>
        <v>22738</v>
      </c>
      <c r="H38" s="599">
        <v>0.23860000000000001</v>
      </c>
      <c r="I38" s="196">
        <f t="shared" si="3"/>
        <v>5425.2867999999999</v>
      </c>
      <c r="J38" s="200" t="s">
        <v>39</v>
      </c>
      <c r="K38" s="585">
        <f>K25</f>
        <v>2902</v>
      </c>
      <c r="L38" s="599">
        <v>0.23895</v>
      </c>
      <c r="M38" s="196">
        <f t="shared" si="2"/>
        <v>693.43290000000002</v>
      </c>
      <c r="P38" s="273"/>
      <c r="Q38" s="273"/>
    </row>
    <row r="39" spans="1:17" ht="15.75">
      <c r="A39" s="7" t="s">
        <v>146</v>
      </c>
      <c r="B39" s="535" t="s">
        <v>147</v>
      </c>
      <c r="C39" s="564">
        <v>-65215.32</v>
      </c>
      <c r="D39" s="36"/>
      <c r="F39" s="200" t="s">
        <v>38</v>
      </c>
      <c r="G39" s="585">
        <f t="shared" ref="G39:G44" si="4">G25</f>
        <v>5603968</v>
      </c>
      <c r="H39" s="599">
        <v>0.23860000000000001</v>
      </c>
      <c r="I39" s="196">
        <f t="shared" si="3"/>
        <v>1337106.7648</v>
      </c>
      <c r="J39" s="200" t="s">
        <v>40</v>
      </c>
      <c r="K39" s="585">
        <f>K26</f>
        <v>0</v>
      </c>
      <c r="L39" s="599">
        <v>0.23895</v>
      </c>
      <c r="M39" s="196">
        <f t="shared" si="2"/>
        <v>0</v>
      </c>
      <c r="P39" s="273"/>
      <c r="Q39" s="273"/>
    </row>
    <row r="40" spans="1:17" ht="15.75">
      <c r="A40" s="7" t="s">
        <v>131</v>
      </c>
      <c r="B40" s="535" t="s">
        <v>132</v>
      </c>
      <c r="C40" s="564">
        <v>1546674.48</v>
      </c>
      <c r="D40" s="36"/>
      <c r="F40" s="200" t="s">
        <v>39</v>
      </c>
      <c r="G40" s="585">
        <f t="shared" si="4"/>
        <v>0</v>
      </c>
      <c r="H40" s="599">
        <v>0.23860000000000001</v>
      </c>
      <c r="I40" s="196">
        <f t="shared" si="3"/>
        <v>0</v>
      </c>
      <c r="J40" s="200" t="s">
        <v>41</v>
      </c>
      <c r="K40" s="585">
        <f>K27</f>
        <v>0</v>
      </c>
      <c r="L40" s="599">
        <v>0.23895</v>
      </c>
      <c r="M40" s="196">
        <f t="shared" si="2"/>
        <v>0</v>
      </c>
      <c r="P40" s="273"/>
      <c r="Q40" s="273"/>
    </row>
    <row r="41" spans="1:17" ht="15.75">
      <c r="A41" s="7" t="s">
        <v>153</v>
      </c>
      <c r="B41" s="6" t="s">
        <v>155</v>
      </c>
      <c r="C41" s="564">
        <v>-36628.71</v>
      </c>
      <c r="D41" s="36"/>
      <c r="F41" s="200" t="s">
        <v>40</v>
      </c>
      <c r="G41" s="585">
        <f t="shared" si="4"/>
        <v>334116</v>
      </c>
      <c r="H41" s="599">
        <v>0.23860000000000001</v>
      </c>
      <c r="I41" s="196">
        <f t="shared" si="3"/>
        <v>79720.077600000004</v>
      </c>
      <c r="J41" s="200" t="s">
        <v>42</v>
      </c>
      <c r="K41" s="566">
        <v>0</v>
      </c>
      <c r="L41" s="599">
        <v>0.23895</v>
      </c>
      <c r="M41" s="196">
        <f t="shared" si="2"/>
        <v>0</v>
      </c>
      <c r="P41" s="273"/>
      <c r="Q41" s="273"/>
    </row>
    <row r="42" spans="1:17" ht="16.5" thickBot="1">
      <c r="A42" s="7" t="s">
        <v>178</v>
      </c>
      <c r="B42" s="535" t="s">
        <v>179</v>
      </c>
      <c r="C42" s="564">
        <v>454092.34</v>
      </c>
      <c r="D42" s="37"/>
      <c r="F42" s="200" t="s">
        <v>41</v>
      </c>
      <c r="G42" s="585">
        <f t="shared" si="4"/>
        <v>53363</v>
      </c>
      <c r="H42" s="599">
        <v>0.23860000000000001</v>
      </c>
      <c r="I42" s="196">
        <f t="shared" si="3"/>
        <v>12732.4118</v>
      </c>
      <c r="J42" s="200" t="s">
        <v>43</v>
      </c>
      <c r="K42" s="586">
        <v>0</v>
      </c>
      <c r="L42" s="599">
        <v>0.23895</v>
      </c>
      <c r="M42" s="196">
        <f t="shared" si="2"/>
        <v>0</v>
      </c>
      <c r="P42" s="273"/>
      <c r="Q42" s="273"/>
    </row>
    <row r="43" spans="1:17" ht="16.5" thickBot="1">
      <c r="A43" s="85" t="s">
        <v>123</v>
      </c>
      <c r="B43" s="12"/>
      <c r="C43" s="125">
        <f>SUM(C37:C42)</f>
        <v>10973043.109999999</v>
      </c>
      <c r="D43" s="36"/>
      <c r="F43" s="200" t="s">
        <v>42</v>
      </c>
      <c r="G43" s="585">
        <f t="shared" si="4"/>
        <v>0</v>
      </c>
      <c r="H43" s="599">
        <v>0.23860000000000001</v>
      </c>
      <c r="I43" s="196">
        <f t="shared" si="3"/>
        <v>0</v>
      </c>
      <c r="J43" s="199" t="s">
        <v>133</v>
      </c>
      <c r="K43" s="181">
        <f>SUM(K36:K42)</f>
        <v>9580240</v>
      </c>
      <c r="L43" s="182"/>
      <c r="M43" s="197">
        <f>SUM(M36:M42)</f>
        <v>2289198.3479999998</v>
      </c>
    </row>
    <row r="44" spans="1:17" ht="16.5" thickBot="1">
      <c r="A44" s="83" t="s">
        <v>177</v>
      </c>
      <c r="B44" s="84" t="s">
        <v>120</v>
      </c>
      <c r="C44" s="564">
        <f>-263325.46+1279478.31-27464.41+173423.4</f>
        <v>1162111.8400000001</v>
      </c>
      <c r="D44" s="37"/>
      <c r="F44" s="200" t="s">
        <v>43</v>
      </c>
      <c r="G44" s="585">
        <f t="shared" si="4"/>
        <v>102871</v>
      </c>
      <c r="H44" s="599">
        <v>0.23860000000000001</v>
      </c>
      <c r="I44" s="196">
        <f t="shared" si="3"/>
        <v>24545.0206</v>
      </c>
      <c r="J44" s="194"/>
      <c r="K44" s="232">
        <v>9580240</v>
      </c>
      <c r="L44" s="189" t="s">
        <v>102</v>
      </c>
      <c r="M44" s="217">
        <f>M43/K43</f>
        <v>0.23894999999999997</v>
      </c>
    </row>
    <row r="45" spans="1:17" ht="16.5" thickBot="1">
      <c r="A45" s="211" t="s">
        <v>168</v>
      </c>
      <c r="B45" s="6" t="s">
        <v>115</v>
      </c>
      <c r="C45" s="122">
        <v>0</v>
      </c>
      <c r="D45" s="39"/>
      <c r="F45" s="199" t="s">
        <v>133</v>
      </c>
      <c r="G45" s="181">
        <f>SUM(G37:G44)</f>
        <v>20433194</v>
      </c>
      <c r="H45" s="182"/>
      <c r="I45" s="197">
        <f>SUM(I37:I44)</f>
        <v>4875360.0884000007</v>
      </c>
      <c r="J45" s="85"/>
      <c r="K45" s="231"/>
      <c r="L45" s="187"/>
      <c r="M45" s="560"/>
    </row>
    <row r="46" spans="1:17" ht="19.5" customHeight="1" thickTop="1" thickBot="1">
      <c r="A46" s="144" t="s">
        <v>169</v>
      </c>
      <c r="B46" s="6" t="s">
        <v>115</v>
      </c>
      <c r="C46" s="122">
        <v>0</v>
      </c>
      <c r="D46" s="40"/>
      <c r="F46" s="188"/>
      <c r="G46" s="232">
        <v>20433194</v>
      </c>
      <c r="H46" s="189" t="s">
        <v>102</v>
      </c>
      <c r="I46" s="215">
        <f>I45/G45</f>
        <v>0.23860000000000003</v>
      </c>
      <c r="J46" s="85"/>
      <c r="K46" s="231"/>
      <c r="L46" s="187"/>
      <c r="M46" s="560"/>
    </row>
    <row r="47" spans="1:17" ht="19.5" customHeight="1">
      <c r="A47" s="384" t="s">
        <v>137</v>
      </c>
      <c r="B47" s="6" t="s">
        <v>115</v>
      </c>
      <c r="C47" s="564">
        <v>-10462.91</v>
      </c>
      <c r="D47" s="36"/>
      <c r="F47" s="385"/>
      <c r="G47" s="230">
        <f>G45-G46</f>
        <v>0</v>
      </c>
      <c r="H47" s="385"/>
      <c r="I47" s="385"/>
      <c r="J47" s="124"/>
      <c r="K47" s="230">
        <f>K43-K44</f>
        <v>0</v>
      </c>
      <c r="L47" s="385"/>
      <c r="M47" s="124"/>
    </row>
    <row r="48" spans="1:17" ht="16.5" thickBot="1">
      <c r="A48" s="144" t="s">
        <v>220</v>
      </c>
      <c r="B48" s="6" t="s">
        <v>115</v>
      </c>
      <c r="C48" s="564">
        <v>7000</v>
      </c>
      <c r="D48" s="36"/>
      <c r="F48" s="385"/>
      <c r="G48" s="385"/>
      <c r="H48" s="385"/>
      <c r="I48" s="385"/>
      <c r="J48" s="124"/>
      <c r="K48" s="114"/>
      <c r="L48" s="385"/>
      <c r="M48" s="68"/>
    </row>
    <row r="49" spans="1:21" ht="15.75">
      <c r="A49" s="7" t="s">
        <v>130</v>
      </c>
      <c r="B49" s="535" t="s">
        <v>152</v>
      </c>
      <c r="C49" s="564">
        <v>28664.94</v>
      </c>
      <c r="D49" s="36"/>
      <c r="F49" s="385"/>
      <c r="G49" s="114"/>
      <c r="H49" s="129" t="s">
        <v>35</v>
      </c>
      <c r="I49" s="13" t="s">
        <v>35</v>
      </c>
      <c r="J49" s="13" t="s">
        <v>63</v>
      </c>
      <c r="K49" s="127" t="s">
        <v>70</v>
      </c>
      <c r="L49" s="124"/>
      <c r="M49" s="385"/>
    </row>
    <row r="50" spans="1:21" ht="16.5" thickBot="1">
      <c r="A50" s="7" t="s">
        <v>222</v>
      </c>
      <c r="B50" s="535" t="s">
        <v>152</v>
      </c>
      <c r="C50" s="564">
        <v>1810.65</v>
      </c>
      <c r="D50" s="37"/>
      <c r="F50" s="50" t="s">
        <v>73</v>
      </c>
      <c r="G50" s="385"/>
      <c r="H50" s="130" t="s">
        <v>2</v>
      </c>
      <c r="I50" s="131" t="s">
        <v>3</v>
      </c>
      <c r="J50" s="131" t="s">
        <v>2</v>
      </c>
      <c r="K50" s="128" t="s">
        <v>3</v>
      </c>
      <c r="L50" s="385"/>
      <c r="M50" s="385"/>
    </row>
    <row r="51" spans="1:21" ht="15.75">
      <c r="A51" s="7" t="s">
        <v>309</v>
      </c>
      <c r="B51" s="535" t="s">
        <v>152</v>
      </c>
      <c r="C51" s="564">
        <v>8007.93</v>
      </c>
      <c r="D51" s="36"/>
      <c r="F51" s="385"/>
      <c r="G51" s="385"/>
      <c r="H51" s="151"/>
      <c r="I51" s="152"/>
      <c r="J51" s="152"/>
      <c r="K51" s="152"/>
      <c r="L51" s="126" t="s">
        <v>103</v>
      </c>
      <c r="M51" s="385"/>
    </row>
    <row r="52" spans="1:21" ht="15.75">
      <c r="A52" s="22" t="s">
        <v>118</v>
      </c>
      <c r="B52" s="6"/>
      <c r="C52" s="100">
        <f>-C33</f>
        <v>84183.91</v>
      </c>
      <c r="D52" s="33"/>
      <c r="F52" s="385" t="s">
        <v>136</v>
      </c>
      <c r="G52" s="385"/>
      <c r="H52" s="212">
        <f>K12</f>
        <v>4178607.0777279991</v>
      </c>
      <c r="I52" s="115">
        <f>I14</f>
        <v>1620386.7665429998</v>
      </c>
      <c r="J52" s="115">
        <f>L12</f>
        <v>1959927.6522719995</v>
      </c>
      <c r="K52" s="115">
        <f>J14</f>
        <v>677056.54345699993</v>
      </c>
      <c r="L52" s="132">
        <f>SUM(H52:K52)</f>
        <v>8435978.0399999972</v>
      </c>
      <c r="M52" s="385"/>
    </row>
    <row r="53" spans="1:21" ht="16.5" thickBot="1">
      <c r="A53" s="382" t="s">
        <v>124</v>
      </c>
      <c r="B53" s="473" t="s">
        <v>297</v>
      </c>
      <c r="C53" s="564">
        <f>-593705.04-3489345.06-1547485.71</f>
        <v>-5630535.8100000005</v>
      </c>
      <c r="D53" s="36"/>
      <c r="F53" s="384" t="s">
        <v>109</v>
      </c>
      <c r="H53" s="212">
        <f>-I45</f>
        <v>-4875360.0884000007</v>
      </c>
      <c r="I53" s="115">
        <f>-I32</f>
        <v>-2536983.0363000003</v>
      </c>
      <c r="J53" s="115">
        <f>-M43</f>
        <v>-2289198.3479999998</v>
      </c>
      <c r="K53" s="115">
        <f>-M28</f>
        <v>-1085536.9944</v>
      </c>
      <c r="L53" s="261">
        <f>SUM(H53:K53)</f>
        <v>-10787078.4671</v>
      </c>
    </row>
    <row r="54" spans="1:21" ht="16.5" thickBot="1">
      <c r="A54" s="384" t="s">
        <v>313</v>
      </c>
      <c r="B54" s="6" t="s">
        <v>190</v>
      </c>
      <c r="C54" s="564">
        <v>-375000</v>
      </c>
      <c r="D54" s="36"/>
      <c r="F54" s="384" t="s">
        <v>86</v>
      </c>
      <c r="H54" s="234">
        <v>0</v>
      </c>
      <c r="I54" s="235">
        <v>0</v>
      </c>
      <c r="J54" s="235">
        <v>0</v>
      </c>
      <c r="K54" s="236">
        <v>0</v>
      </c>
      <c r="L54" s="214">
        <f>SUM(L52:L53)</f>
        <v>-2351100.4271000028</v>
      </c>
    </row>
    <row r="55" spans="1:21" ht="16.5" thickBot="1">
      <c r="A55" s="82" t="s">
        <v>119</v>
      </c>
      <c r="B55" s="84"/>
      <c r="C55" s="160">
        <f>SUM(C43:C54)</f>
        <v>6248823.6599999983</v>
      </c>
      <c r="D55" s="36"/>
      <c r="F55" s="384" t="s">
        <v>71</v>
      </c>
      <c r="H55" s="125">
        <f>IFERROR(H52+H53+H54,0)</f>
        <v>-696753.01067200163</v>
      </c>
      <c r="I55" s="125">
        <f>I52+I53+I54</f>
        <v>-916596.2697570005</v>
      </c>
      <c r="J55" s="125">
        <f>IFERROR(J52+J53+J54,0)</f>
        <v>-329270.69572800025</v>
      </c>
      <c r="K55" s="125">
        <f>K52+K53+K54</f>
        <v>-408480.45094300003</v>
      </c>
      <c r="L55" s="47">
        <f>SUM(H55:K55)</f>
        <v>-2351100.4271000023</v>
      </c>
    </row>
    <row r="56" spans="1:21" ht="17.25" thickTop="1" thickBot="1">
      <c r="A56" s="384" t="s">
        <v>121</v>
      </c>
      <c r="B56" s="6" t="s">
        <v>115</v>
      </c>
      <c r="C56" s="564">
        <v>-75592.070000000007</v>
      </c>
      <c r="D56" s="36"/>
      <c r="F56" s="240" t="s">
        <v>181</v>
      </c>
      <c r="H56" s="384" t="s">
        <v>173</v>
      </c>
      <c r="I56" s="5">
        <f>SUM(H55:I55)</f>
        <v>-1613349.2804290021</v>
      </c>
      <c r="J56" s="15" t="s">
        <v>174</v>
      </c>
      <c r="K56" s="384">
        <f>SUM(J55:K55)</f>
        <v>-737751.14667100029</v>
      </c>
      <c r="L56" s="213">
        <f>ROUND(L54-L55,3)</f>
        <v>0</v>
      </c>
      <c r="T56" s="42"/>
    </row>
    <row r="57" spans="1:21" ht="16.5" thickTop="1">
      <c r="A57" s="384" t="s">
        <v>122</v>
      </c>
      <c r="B57" s="6" t="s">
        <v>115</v>
      </c>
      <c r="C57" s="564">
        <v>-34696.86</v>
      </c>
      <c r="D57" s="36"/>
      <c r="F57" s="397" t="s">
        <v>181</v>
      </c>
      <c r="H57" s="96"/>
    </row>
    <row r="58" spans="1:21" ht="16.5" thickBot="1">
      <c r="A58" s="2" t="s">
        <v>125</v>
      </c>
      <c r="B58" s="2"/>
      <c r="C58" s="160">
        <f>SUM(C55:C57)</f>
        <v>6138534.7299999977</v>
      </c>
      <c r="D58" s="36"/>
      <c r="F58" s="397" t="s">
        <v>182</v>
      </c>
      <c r="H58" s="157"/>
      <c r="I58" s="120"/>
      <c r="J58" s="120"/>
      <c r="K58" s="204"/>
      <c r="L58" s="120"/>
    </row>
    <row r="59" spans="1:21" ht="17.25" thickTop="1" thickBot="1">
      <c r="A59" s="2"/>
      <c r="C59" s="101"/>
      <c r="D59" s="36"/>
      <c r="F59" s="546" t="s">
        <v>304</v>
      </c>
      <c r="G59" s="547" t="str">
        <f>IF(OR(AND(I56&gt;0,K56&gt;0),AND(I56&lt;0,K56&lt;0)),"OK","ERROR")</f>
        <v>OK</v>
      </c>
      <c r="H59" s="386" t="s">
        <v>295</v>
      </c>
      <c r="I59" s="387"/>
    </row>
    <row r="60" spans="1:21" ht="16.5" thickBot="1">
      <c r="A60" s="9"/>
      <c r="B60" s="9" t="s">
        <v>95</v>
      </c>
      <c r="C60" s="125">
        <f>C58+C34</f>
        <v>8435978.0399999972</v>
      </c>
      <c r="D60" s="36"/>
      <c r="H60" s="318" t="s">
        <v>175</v>
      </c>
      <c r="I60" s="319" t="s">
        <v>176</v>
      </c>
      <c r="J60" s="5"/>
    </row>
    <row r="61" spans="1:21" ht="16.5" thickBot="1">
      <c r="A61" s="2"/>
      <c r="B61" s="9" t="s">
        <v>160</v>
      </c>
      <c r="C61" s="350">
        <v>8435978.0399999991</v>
      </c>
      <c r="D61" s="37"/>
      <c r="H61" s="349" t="e">
        <f>SUM(#REF!,#REF!,#REF!,#REF!,#REF!,#REF!)</f>
        <v>#REF!</v>
      </c>
      <c r="I61" s="449" t="e">
        <f>SUM(#REF!,#REF!,#REF!,#REF!,#REF!,#REF!)</f>
        <v>#REF!</v>
      </c>
      <c r="J61" s="384">
        <f>H53+I53+J53+K53</f>
        <v>-10787078.4671</v>
      </c>
    </row>
    <row r="62" spans="1:21" ht="15.75">
      <c r="A62" s="9"/>
      <c r="B62" s="9" t="s">
        <v>159</v>
      </c>
      <c r="C62" s="257">
        <f>ROUND(C60-C61,2)</f>
        <v>0</v>
      </c>
      <c r="G62" s="5"/>
      <c r="I62" s="338" t="e">
        <f>H61-I61</f>
        <v>#REF!</v>
      </c>
      <c r="N62" s="5"/>
      <c r="O62" s="5"/>
      <c r="P62" s="21"/>
    </row>
    <row r="63" spans="1:21" ht="15.75">
      <c r="A63" s="44"/>
      <c r="C63" s="351"/>
      <c r="D63" s="36"/>
      <c r="S63" s="6"/>
    </row>
    <row r="64" spans="1:21" ht="15.75">
      <c r="A64" s="44"/>
      <c r="C64" s="8"/>
      <c r="D64" s="43"/>
      <c r="N64" s="22"/>
      <c r="U64" s="2"/>
    </row>
    <row r="65" spans="1:21" ht="15.75">
      <c r="A65" s="2"/>
      <c r="C65" s="8"/>
      <c r="D65" s="36"/>
      <c r="N65" s="22"/>
      <c r="S65" s="23"/>
    </row>
    <row r="66" spans="1:21">
      <c r="C66" s="100"/>
      <c r="D66" s="36"/>
      <c r="H66" s="96"/>
      <c r="N66" s="22"/>
      <c r="S66" s="24"/>
    </row>
    <row r="67" spans="1:21">
      <c r="D67" s="36"/>
      <c r="N67" s="22"/>
      <c r="S67" s="25"/>
    </row>
    <row r="68" spans="1:21">
      <c r="D68" s="36"/>
      <c r="N68" s="22"/>
      <c r="S68" s="24"/>
    </row>
    <row r="69" spans="1:21">
      <c r="D69" s="37"/>
      <c r="N69" s="22"/>
    </row>
    <row r="70" spans="1:21">
      <c r="D70" s="36"/>
      <c r="N70" s="22"/>
      <c r="S70" s="26"/>
    </row>
    <row r="71" spans="1:21">
      <c r="D71" s="36"/>
    </row>
    <row r="72" spans="1:21">
      <c r="D72" s="36"/>
    </row>
    <row r="73" spans="1:21">
      <c r="D73" s="45"/>
      <c r="S73" s="27"/>
    </row>
    <row r="74" spans="1:21">
      <c r="R74" s="6"/>
      <c r="S74" s="6"/>
      <c r="T74" s="6"/>
    </row>
    <row r="76" spans="1:21">
      <c r="U76" s="28"/>
    </row>
    <row r="1476" spans="3:3">
      <c r="C1476" s="384">
        <v>-2130</v>
      </c>
    </row>
    <row r="1484" spans="3:3">
      <c r="C1484" s="384">
        <f>7004298-2130</f>
        <v>7002168</v>
      </c>
    </row>
  </sheetData>
  <mergeCells count="3">
    <mergeCell ref="F18:I18"/>
    <mergeCell ref="J18:M18"/>
    <mergeCell ref="K35:M35"/>
  </mergeCells>
  <conditionalFormatting sqref="C62 L56 I62">
    <cfRule type="cellIs" dxfId="294" priority="8" stopIfTrue="1" operator="equal">
      <formula>0</formula>
    </cfRule>
    <cfRule type="cellIs" dxfId="293" priority="9" stopIfTrue="1" operator="notEqual">
      <formula>0</formula>
    </cfRule>
  </conditionalFormatting>
  <conditionalFormatting sqref="G34 G47 K30 K47">
    <cfRule type="cellIs" dxfId="292" priority="7" operator="notEqual">
      <formula>0</formula>
    </cfRule>
  </conditionalFormatting>
  <conditionalFormatting sqref="C62">
    <cfRule type="cellIs" dxfId="291" priority="5" stopIfTrue="1" operator="equal">
      <formula>0</formula>
    </cfRule>
    <cfRule type="cellIs" dxfId="290" priority="6" stopIfTrue="1" operator="notEqual">
      <formula>0</formula>
    </cfRule>
  </conditionalFormatting>
  <conditionalFormatting sqref="K30">
    <cfRule type="cellIs" dxfId="289" priority="4" operator="notEqual">
      <formula>0</formula>
    </cfRule>
  </conditionalFormatting>
  <conditionalFormatting sqref="G59">
    <cfRule type="cellIs" dxfId="288" priority="3" operator="equal">
      <formula>"""ERROR"""</formula>
    </cfRule>
  </conditionalFormatting>
  <conditionalFormatting sqref="G59">
    <cfRule type="cellIs" dxfId="287" priority="2" operator="equal">
      <formula>"ERROR"</formula>
    </cfRule>
  </conditionalFormatting>
  <conditionalFormatting sqref="G59">
    <cfRule type="cellIs" dxfId="286" priority="1" operator="equal">
      <formula>"ERROR"</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customProperties>
    <customPr name="xxe4aPID" r:id="rId2"/>
  </customProperties>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9">
    <tabColor rgb="FF00CC66"/>
    <pageSetUpPr fitToPage="1"/>
  </sheetPr>
  <dimension ref="A1:U1484"/>
  <sheetViews>
    <sheetView showGridLines="0" topLeftCell="A31" zoomScale="70" zoomScaleNormal="70" workbookViewId="0">
      <selection activeCell="B67" sqref="B67"/>
    </sheetView>
  </sheetViews>
  <sheetFormatPr defaultColWidth="16" defaultRowHeight="15"/>
  <cols>
    <col min="1" max="1" width="44.85546875" style="384" customWidth="1"/>
    <col min="2" max="2" width="25.5703125" style="384" customWidth="1"/>
    <col min="3" max="3" width="25.28515625" style="384" customWidth="1"/>
    <col min="4" max="4" width="2.7109375" style="30" customWidth="1"/>
    <col min="5" max="5" width="4.28515625" style="384" customWidth="1"/>
    <col min="6" max="6" width="26.7109375" style="384" customWidth="1"/>
    <col min="7" max="7" width="19" style="384" customWidth="1"/>
    <col min="8" max="8" width="22" style="384" customWidth="1"/>
    <col min="9" max="9" width="20.42578125" style="384" customWidth="1"/>
    <col min="10" max="10" width="26.28515625" style="384" customWidth="1"/>
    <col min="11" max="11" width="21.85546875" style="384" bestFit="1" customWidth="1"/>
    <col min="12" max="12" width="23.85546875" style="384" customWidth="1"/>
    <col min="13" max="13" width="20.85546875" style="384" bestFit="1" customWidth="1"/>
    <col min="14" max="15" width="16" style="384"/>
    <col min="16" max="16" width="16.28515625" style="384" bestFit="1" customWidth="1"/>
    <col min="17" max="16384" width="16" style="384"/>
  </cols>
  <sheetData>
    <row r="1" spans="1:13" ht="16.5" thickBot="1">
      <c r="A1" s="145" t="s">
        <v>64</v>
      </c>
      <c r="B1" s="29"/>
      <c r="C1" s="530">
        <f>Mar!C1+1</f>
        <v>201704</v>
      </c>
      <c r="F1" s="530">
        <f>C1</f>
        <v>201704</v>
      </c>
      <c r="G1" s="385"/>
      <c r="H1" s="162" t="s">
        <v>69</v>
      </c>
      <c r="I1" s="126" t="s">
        <v>3</v>
      </c>
      <c r="J1" s="126" t="s">
        <v>3</v>
      </c>
      <c r="K1" s="126" t="s">
        <v>66</v>
      </c>
      <c r="L1" s="126" t="s">
        <v>66</v>
      </c>
      <c r="M1" s="385"/>
    </row>
    <row r="2" spans="1:13" ht="15.75">
      <c r="C2" s="31"/>
      <c r="F2" s="385"/>
      <c r="G2" s="385"/>
      <c r="H2" s="163" t="s">
        <v>32</v>
      </c>
      <c r="I2" s="164" t="s">
        <v>65</v>
      </c>
      <c r="J2" s="164" t="s">
        <v>65</v>
      </c>
      <c r="K2" s="164" t="s">
        <v>67</v>
      </c>
      <c r="L2" s="164" t="s">
        <v>67</v>
      </c>
      <c r="M2" s="385"/>
    </row>
    <row r="3" spans="1:13" ht="16.5" thickBot="1">
      <c r="A3" s="63" t="s">
        <v>110</v>
      </c>
      <c r="C3" s="32"/>
      <c r="D3" s="33"/>
      <c r="F3" s="50" t="s">
        <v>72</v>
      </c>
      <c r="G3" s="385"/>
      <c r="H3" s="165" t="s">
        <v>68</v>
      </c>
      <c r="I3" s="165" t="s">
        <v>35</v>
      </c>
      <c r="J3" s="165" t="s">
        <v>63</v>
      </c>
      <c r="K3" s="165" t="s">
        <v>35</v>
      </c>
      <c r="L3" s="165" t="s">
        <v>63</v>
      </c>
      <c r="M3" s="385"/>
    </row>
    <row r="4" spans="1:13" ht="15.75">
      <c r="A4" s="385" t="s">
        <v>88</v>
      </c>
      <c r="C4" s="573">
        <f>4449796.09</f>
        <v>4449796.09</v>
      </c>
      <c r="D4" s="34"/>
      <c r="F4" s="385"/>
      <c r="G4" s="385"/>
      <c r="H4" s="11"/>
      <c r="I4" s="385"/>
      <c r="J4" s="385"/>
      <c r="L4" s="385"/>
      <c r="M4" s="385"/>
    </row>
    <row r="5" spans="1:13" ht="14.25" customHeight="1">
      <c r="A5" s="385" t="s">
        <v>31</v>
      </c>
      <c r="C5" s="573">
        <f>79305.26-2.34-268.09</f>
        <v>79034.83</v>
      </c>
      <c r="D5" s="34"/>
      <c r="F5" s="385"/>
      <c r="G5" s="385"/>
      <c r="H5" s="11"/>
      <c r="I5" s="596">
        <v>0.70530000000000004</v>
      </c>
      <c r="J5" s="596">
        <v>0.29470000000000002</v>
      </c>
      <c r="K5" s="445">
        <f>ROUND(G45/(G45+K43),4)</f>
        <v>0.67689999999999995</v>
      </c>
      <c r="L5" s="445">
        <f>1-K5</f>
        <v>0.32310000000000005</v>
      </c>
      <c r="M5" s="385"/>
    </row>
    <row r="6" spans="1:13" ht="16.5" thickBot="1">
      <c r="A6" s="49" t="s">
        <v>30</v>
      </c>
      <c r="C6" s="574">
        <f>-2267480.4-430500-123000-138375-79335-99088.8</f>
        <v>-3137779.1999999997</v>
      </c>
      <c r="D6" s="34"/>
      <c r="F6" s="385"/>
      <c r="G6" s="385"/>
      <c r="H6" s="385"/>
      <c r="I6" s="385"/>
      <c r="J6" s="385"/>
      <c r="K6" s="385"/>
      <c r="L6" s="385"/>
      <c r="M6" s="385"/>
    </row>
    <row r="7" spans="1:13" ht="16.5" thickBot="1">
      <c r="A7" s="66" t="s">
        <v>140</v>
      </c>
      <c r="C7" s="100">
        <f>SUM(C4:C6)</f>
        <v>1391051.7200000002</v>
      </c>
      <c r="D7" s="35"/>
      <c r="F7" s="166" t="s">
        <v>139</v>
      </c>
      <c r="G7" s="166"/>
      <c r="H7" s="125">
        <f>C34</f>
        <v>2157588.0500000007</v>
      </c>
      <c r="I7" s="167">
        <f>H7*I5</f>
        <v>1521746.8516650007</v>
      </c>
      <c r="J7" s="167">
        <f>H7*J5</f>
        <v>635841.19833500031</v>
      </c>
      <c r="K7" s="167"/>
      <c r="L7" s="167"/>
      <c r="M7" s="385"/>
    </row>
    <row r="8" spans="1:13" ht="15.75">
      <c r="A8" s="384" t="s">
        <v>89</v>
      </c>
      <c r="C8" s="573">
        <v>185334.94</v>
      </c>
      <c r="D8" s="35"/>
      <c r="F8" s="385"/>
      <c r="G8" s="385"/>
      <c r="H8" s="168"/>
      <c r="I8" s="168"/>
      <c r="J8" s="168"/>
      <c r="K8" s="168"/>
      <c r="L8" s="168"/>
      <c r="M8" s="385"/>
    </row>
    <row r="9" spans="1:13" ht="15.75">
      <c r="A9" s="385" t="s">
        <v>90</v>
      </c>
      <c r="C9" s="573">
        <f>6318.34+153.7</f>
        <v>6472.04</v>
      </c>
      <c r="D9" s="36"/>
      <c r="F9" s="166" t="s">
        <v>119</v>
      </c>
      <c r="G9" s="385"/>
      <c r="H9" s="167">
        <f>C55</f>
        <v>3514160.1999999983</v>
      </c>
      <c r="I9" s="167"/>
      <c r="J9" s="167"/>
      <c r="K9" s="167">
        <f>H9*K5</f>
        <v>2378735.0393799986</v>
      </c>
      <c r="L9" s="167">
        <f>H9*L5</f>
        <v>1135425.1606199997</v>
      </c>
      <c r="M9" s="385"/>
    </row>
    <row r="10" spans="1:13" ht="15.75">
      <c r="A10" s="49" t="s">
        <v>91</v>
      </c>
      <c r="C10" s="574">
        <f>-3308.2</f>
        <v>-3308.2</v>
      </c>
      <c r="D10" s="36"/>
      <c r="F10" s="169" t="s">
        <v>44</v>
      </c>
      <c r="G10" s="385"/>
      <c r="H10" s="167">
        <f>C56</f>
        <v>70287.94</v>
      </c>
      <c r="I10" s="167"/>
      <c r="J10" s="167"/>
      <c r="K10" s="167">
        <f>H10</f>
        <v>70287.94</v>
      </c>
      <c r="L10" s="167"/>
      <c r="M10" s="385"/>
    </row>
    <row r="11" spans="1:13">
      <c r="A11" s="66" t="s">
        <v>145</v>
      </c>
      <c r="C11" s="100">
        <f>SUM(C8:C10)</f>
        <v>188498.78</v>
      </c>
      <c r="D11" s="36"/>
      <c r="F11" s="169" t="s">
        <v>45</v>
      </c>
      <c r="G11" s="385"/>
      <c r="H11" s="170">
        <f>C57</f>
        <v>31458.61</v>
      </c>
      <c r="I11" s="167"/>
      <c r="J11" s="167"/>
      <c r="K11" s="170"/>
      <c r="L11" s="170">
        <f>H11</f>
        <v>31458.61</v>
      </c>
      <c r="M11" s="385"/>
    </row>
    <row r="12" spans="1:13" ht="15.75">
      <c r="A12" s="384" t="s">
        <v>165</v>
      </c>
      <c r="C12" s="573">
        <f>173973.36-2925.51</f>
        <v>171047.84999999998</v>
      </c>
      <c r="D12" s="36"/>
      <c r="F12" s="169" t="s">
        <v>138</v>
      </c>
      <c r="G12" s="385"/>
      <c r="H12" s="167">
        <f>H9+H10+H11</f>
        <v>3615906.7499999981</v>
      </c>
      <c r="I12" s="167"/>
      <c r="J12" s="167"/>
      <c r="K12" s="167">
        <f>SUM(K9:K11)</f>
        <v>2449022.9793799985</v>
      </c>
      <c r="L12" s="167">
        <f>SUM(L9:L11)</f>
        <v>1166883.7706199999</v>
      </c>
      <c r="M12" s="385"/>
    </row>
    <row r="13" spans="1:13" ht="16.5" thickBot="1">
      <c r="A13" s="49" t="s">
        <v>166</v>
      </c>
      <c r="C13" s="313">
        <v>0</v>
      </c>
      <c r="D13" s="36"/>
      <c r="F13" s="171"/>
      <c r="G13" s="172"/>
      <c r="H13" s="173"/>
      <c r="I13" s="174"/>
      <c r="J13" s="173"/>
      <c r="K13" s="168"/>
      <c r="L13" s="173"/>
      <c r="M13" s="385"/>
    </row>
    <row r="14" spans="1:13" ht="16.5" thickBot="1">
      <c r="A14" s="66" t="s">
        <v>92</v>
      </c>
      <c r="C14" s="100">
        <f>SUM(C12:C13)</f>
        <v>171047.84999999998</v>
      </c>
      <c r="D14" s="37"/>
      <c r="F14" s="50" t="s">
        <v>69</v>
      </c>
      <c r="G14" s="175"/>
      <c r="H14" s="125">
        <f>H12+H7</f>
        <v>5773494.7999999989</v>
      </c>
      <c r="I14" s="176">
        <f>SUM(I7:I13)</f>
        <v>1521746.8516650007</v>
      </c>
      <c r="J14" s="176">
        <f>SUM(J7:J13)</f>
        <v>635841.19833500031</v>
      </c>
      <c r="K14" s="176">
        <f>K12</f>
        <v>2449022.9793799985</v>
      </c>
      <c r="L14" s="176">
        <f>L12</f>
        <v>1166883.7706199999</v>
      </c>
      <c r="M14" s="385"/>
    </row>
    <row r="15" spans="1:13" ht="15.75">
      <c r="A15" s="384" t="s">
        <v>183</v>
      </c>
      <c r="C15" s="573">
        <f>-7222.98+429499.28</f>
        <v>422276.30000000005</v>
      </c>
      <c r="D15" s="36"/>
      <c r="F15" s="171"/>
      <c r="G15" s="172" t="s">
        <v>102</v>
      </c>
      <c r="H15" s="173">
        <f>H14-C60</f>
        <v>0</v>
      </c>
      <c r="I15" s="177"/>
      <c r="J15" s="173">
        <f>J7+I7-H7</f>
        <v>0</v>
      </c>
      <c r="K15" s="385"/>
      <c r="L15" s="173">
        <f>H12-K14-L14</f>
        <v>0</v>
      </c>
      <c r="M15" s="385"/>
    </row>
    <row r="16" spans="1:13" ht="15.75">
      <c r="A16" s="49" t="s">
        <v>184</v>
      </c>
      <c r="C16" s="313">
        <v>0</v>
      </c>
      <c r="D16" s="36"/>
      <c r="F16" s="178"/>
      <c r="G16" s="172"/>
      <c r="H16" s="179"/>
      <c r="I16" s="180"/>
      <c r="J16" s="179"/>
      <c r="K16" s="385"/>
      <c r="L16" s="179"/>
      <c r="M16" s="385"/>
    </row>
    <row r="17" spans="1:13" ht="15.75" thickBot="1">
      <c r="A17" s="66" t="s">
        <v>185</v>
      </c>
      <c r="C17" s="100">
        <f>SUM(C15:C16)</f>
        <v>422276.30000000005</v>
      </c>
      <c r="D17" s="37"/>
      <c r="F17" s="171"/>
      <c r="G17" s="172"/>
      <c r="H17" s="179"/>
      <c r="I17" s="180"/>
      <c r="J17" s="183"/>
      <c r="K17" s="385"/>
      <c r="L17" s="179"/>
      <c r="M17" s="385"/>
    </row>
    <row r="18" spans="1:13" ht="16.5" thickBot="1">
      <c r="A18" s="384" t="s">
        <v>163</v>
      </c>
      <c r="C18" s="573">
        <f>9521.2-1214.19+59136.08</f>
        <v>67443.09</v>
      </c>
      <c r="D18" s="36"/>
      <c r="F18" s="639" t="s">
        <v>134</v>
      </c>
      <c r="G18" s="640"/>
      <c r="H18" s="640"/>
      <c r="I18" s="641"/>
      <c r="J18" s="639" t="s">
        <v>135</v>
      </c>
      <c r="K18" s="640"/>
      <c r="L18" s="640"/>
      <c r="M18" s="641"/>
    </row>
    <row r="19" spans="1:13" ht="15.75">
      <c r="A19" s="46" t="s">
        <v>164</v>
      </c>
      <c r="C19" s="574">
        <f>3314.65</f>
        <v>3314.65</v>
      </c>
      <c r="D19" s="36"/>
      <c r="F19" s="201" t="s">
        <v>108</v>
      </c>
      <c r="G19" s="164" t="s">
        <v>33</v>
      </c>
      <c r="H19" s="164" t="s">
        <v>33</v>
      </c>
      <c r="I19" s="164" t="s">
        <v>33</v>
      </c>
      <c r="J19" s="201" t="s">
        <v>108</v>
      </c>
      <c r="K19" s="164" t="s">
        <v>33</v>
      </c>
      <c r="L19" s="164" t="s">
        <v>33</v>
      </c>
      <c r="M19" s="185" t="s">
        <v>33</v>
      </c>
    </row>
    <row r="20" spans="1:13" ht="16.5" thickBot="1">
      <c r="A20" s="67" t="s">
        <v>93</v>
      </c>
      <c r="C20" s="100">
        <f>SUM(C18:C19)</f>
        <v>70757.739999999991</v>
      </c>
      <c r="D20" s="36"/>
      <c r="F20" s="195" t="s">
        <v>162</v>
      </c>
      <c r="G20" s="165" t="s">
        <v>101</v>
      </c>
      <c r="H20" s="165" t="s">
        <v>36</v>
      </c>
      <c r="I20" s="165" t="s">
        <v>34</v>
      </c>
      <c r="J20" s="195" t="s">
        <v>162</v>
      </c>
      <c r="K20" s="165" t="s">
        <v>101</v>
      </c>
      <c r="L20" s="165" t="s">
        <v>36</v>
      </c>
      <c r="M20" s="165" t="s">
        <v>34</v>
      </c>
    </row>
    <row r="21" spans="1:13" ht="15.75">
      <c r="A21" s="46" t="s">
        <v>149</v>
      </c>
      <c r="C21" s="574">
        <f>1850+927.18</f>
        <v>2777.18</v>
      </c>
      <c r="D21" s="36"/>
      <c r="F21" s="184"/>
      <c r="G21" s="12"/>
      <c r="H21" s="12"/>
      <c r="I21" s="185"/>
      <c r="J21" s="129"/>
      <c r="K21" s="13"/>
      <c r="L21" s="13"/>
      <c r="M21" s="205"/>
    </row>
    <row r="22" spans="1:13" ht="18" customHeight="1">
      <c r="A22" s="65" t="s">
        <v>149</v>
      </c>
      <c r="C22" s="100">
        <f>SUM(C21)</f>
        <v>2777.18</v>
      </c>
      <c r="D22" s="36"/>
      <c r="F22" s="199" t="s">
        <v>126</v>
      </c>
      <c r="G22" s="7"/>
      <c r="H22" s="7"/>
      <c r="I22" s="98"/>
      <c r="J22" s="199" t="s">
        <v>126</v>
      </c>
      <c r="K22" s="7"/>
      <c r="L22" s="7"/>
      <c r="M22" s="98"/>
    </row>
    <row r="23" spans="1:13" ht="15.75">
      <c r="A23" s="208" t="s">
        <v>180</v>
      </c>
      <c r="C23" s="100">
        <v>0</v>
      </c>
      <c r="D23" s="36"/>
      <c r="F23" s="200" t="s">
        <v>37</v>
      </c>
      <c r="G23" s="566">
        <v>9641125</v>
      </c>
      <c r="H23" s="599">
        <v>0.12678</v>
      </c>
      <c r="I23" s="196">
        <f t="shared" ref="I23:I31" si="0">G23*H23</f>
        <v>1222301.8275000001</v>
      </c>
      <c r="J23" s="200" t="s">
        <v>37</v>
      </c>
      <c r="K23" s="566">
        <v>4807641</v>
      </c>
      <c r="L23" s="599">
        <v>0.11330999999999999</v>
      </c>
      <c r="M23" s="196">
        <f>K23*L23</f>
        <v>544753.80171000003</v>
      </c>
    </row>
    <row r="24" spans="1:13" ht="15.75">
      <c r="A24" s="208" t="s">
        <v>186</v>
      </c>
      <c r="C24" s="312">
        <v>0</v>
      </c>
      <c r="D24" s="36"/>
      <c r="F24" s="200" t="s">
        <v>306</v>
      </c>
      <c r="G24" s="566">
        <v>15697</v>
      </c>
      <c r="H24" s="599">
        <v>0.12678</v>
      </c>
      <c r="I24" s="196">
        <f t="shared" si="0"/>
        <v>1990.06566</v>
      </c>
      <c r="J24" s="200" t="s">
        <v>38</v>
      </c>
      <c r="K24" s="566">
        <v>1910087</v>
      </c>
      <c r="L24" s="599">
        <v>0.11330999999999999</v>
      </c>
      <c r="M24" s="196">
        <f t="shared" ref="M24:M27" si="1">K24*L24</f>
        <v>216431.95796999999</v>
      </c>
    </row>
    <row r="25" spans="1:13" ht="15.75">
      <c r="A25" s="208" t="s">
        <v>189</v>
      </c>
      <c r="C25" s="314">
        <v>0</v>
      </c>
      <c r="D25" s="36"/>
      <c r="F25" s="200" t="s">
        <v>38</v>
      </c>
      <c r="G25" s="566">
        <v>4021494</v>
      </c>
      <c r="H25" s="599">
        <v>0.11865000000000001</v>
      </c>
      <c r="I25" s="196">
        <f t="shared" si="0"/>
        <v>477150.26310000004</v>
      </c>
      <c r="J25" s="200" t="s">
        <v>39</v>
      </c>
      <c r="K25" s="566">
        <v>7675</v>
      </c>
      <c r="L25" s="599">
        <v>0.11330999999999999</v>
      </c>
      <c r="M25" s="196">
        <f t="shared" si="1"/>
        <v>869.65424999999993</v>
      </c>
    </row>
    <row r="26" spans="1:13" ht="15.75">
      <c r="A26" s="209" t="s">
        <v>188</v>
      </c>
      <c r="C26" s="315">
        <v>0</v>
      </c>
      <c r="D26" s="36"/>
      <c r="F26" s="200" t="s">
        <v>39</v>
      </c>
      <c r="G26" s="566">
        <v>0</v>
      </c>
      <c r="H26" s="599">
        <v>0.11865000000000001</v>
      </c>
      <c r="I26" s="196">
        <f t="shared" si="0"/>
        <v>0</v>
      </c>
      <c r="J26" s="200" t="s">
        <v>40</v>
      </c>
      <c r="K26" s="566">
        <v>0</v>
      </c>
      <c r="L26" s="599">
        <v>0.11330999999999999</v>
      </c>
      <c r="M26" s="196">
        <f t="shared" si="1"/>
        <v>0</v>
      </c>
    </row>
    <row r="27" spans="1:13" ht="15.75">
      <c r="A27" s="65" t="s">
        <v>96</v>
      </c>
      <c r="C27" s="100">
        <f>SUM(C23:C26)</f>
        <v>0</v>
      </c>
      <c r="D27" s="36"/>
      <c r="F27" s="200" t="s">
        <v>40</v>
      </c>
      <c r="G27" s="566">
        <v>288026</v>
      </c>
      <c r="H27" s="599">
        <v>0.11541</v>
      </c>
      <c r="I27" s="196">
        <f t="shared" si="0"/>
        <v>33241.08066</v>
      </c>
      <c r="J27" s="200" t="s">
        <v>41</v>
      </c>
      <c r="K27" s="566">
        <v>0</v>
      </c>
      <c r="L27" s="599">
        <v>0.11330999999999999</v>
      </c>
      <c r="M27" s="196">
        <f t="shared" si="1"/>
        <v>0</v>
      </c>
    </row>
    <row r="28" spans="1:13" ht="16.5" thickBot="1">
      <c r="A28" s="210" t="s">
        <v>150</v>
      </c>
      <c r="C28" s="312">
        <v>0</v>
      </c>
      <c r="D28" s="37"/>
      <c r="F28" s="200" t="s">
        <v>41</v>
      </c>
      <c r="G28" s="566">
        <v>35134</v>
      </c>
      <c r="H28" s="599">
        <v>0.11541</v>
      </c>
      <c r="I28" s="196">
        <f t="shared" si="0"/>
        <v>4054.8149399999998</v>
      </c>
      <c r="J28" s="199" t="s">
        <v>127</v>
      </c>
      <c r="K28" s="181">
        <f>SUM(K23:K27)</f>
        <v>6725403</v>
      </c>
      <c r="L28" s="182"/>
      <c r="M28" s="197">
        <f>SUM(M23:M27)</f>
        <v>762055.41393000004</v>
      </c>
    </row>
    <row r="29" spans="1:13" ht="17.25" thickTop="1" thickBot="1">
      <c r="A29" s="210" t="s">
        <v>167</v>
      </c>
      <c r="B29" s="385"/>
      <c r="C29" s="312">
        <v>0</v>
      </c>
      <c r="D29" s="36"/>
      <c r="F29" s="200" t="s">
        <v>42</v>
      </c>
      <c r="G29" s="566">
        <v>0</v>
      </c>
      <c r="H29" s="599">
        <v>7.4310000000000001E-2</v>
      </c>
      <c r="I29" s="196">
        <f t="shared" si="0"/>
        <v>0</v>
      </c>
      <c r="J29" s="199"/>
      <c r="K29" s="231">
        <v>6725403</v>
      </c>
      <c r="L29" s="187" t="s">
        <v>102</v>
      </c>
      <c r="M29" s="465">
        <f>M28/K28</f>
        <v>0.11331000000000001</v>
      </c>
    </row>
    <row r="30" spans="1:13" ht="16.5" thickBot="1">
      <c r="A30" s="2" t="s">
        <v>111</v>
      </c>
      <c r="C30" s="125">
        <f>C7+C11+C14+C17+C20+C22+C27+C28+C29</f>
        <v>2246409.5700000008</v>
      </c>
      <c r="D30" s="37"/>
      <c r="F30" s="200" t="s">
        <v>43</v>
      </c>
      <c r="G30" s="566">
        <v>88850</v>
      </c>
      <c r="H30" s="599">
        <v>7.4310000000000001E-2</v>
      </c>
      <c r="I30" s="196">
        <f t="shared" si="0"/>
        <v>6602.4435000000003</v>
      </c>
      <c r="J30" s="200"/>
      <c r="K30" s="230">
        <f>K28-K29</f>
        <v>0</v>
      </c>
      <c r="L30" s="182"/>
      <c r="M30" s="198"/>
    </row>
    <row r="31" spans="1:13" ht="15.75">
      <c r="A31" s="384" t="s">
        <v>112</v>
      </c>
      <c r="C31" s="564">
        <v>0</v>
      </c>
      <c r="D31" s="39"/>
      <c r="F31" s="200" t="s">
        <v>74</v>
      </c>
      <c r="G31" s="566">
        <v>2868630</v>
      </c>
      <c r="H31" s="599">
        <v>5.4000000000000001E-4</v>
      </c>
      <c r="I31" s="196">
        <f t="shared" si="0"/>
        <v>1549.0602000000001</v>
      </c>
      <c r="J31" s="153"/>
      <c r="K31" s="7"/>
      <c r="L31" s="182"/>
      <c r="M31" s="198"/>
    </row>
    <row r="32" spans="1:13" ht="16.5" thickBot="1">
      <c r="A32" s="2" t="s">
        <v>116</v>
      </c>
      <c r="B32" s="2" t="s">
        <v>117</v>
      </c>
      <c r="C32" s="576">
        <f>C30+C31</f>
        <v>2246409.5700000008</v>
      </c>
      <c r="D32" s="40"/>
      <c r="F32" s="199" t="s">
        <v>127</v>
      </c>
      <c r="G32" s="181">
        <f>SUM(G23:G31)</f>
        <v>16958956</v>
      </c>
      <c r="H32" s="7"/>
      <c r="I32" s="197">
        <f>SUM(I23:I31)</f>
        <v>1746889.5555600002</v>
      </c>
      <c r="J32" s="192"/>
      <c r="K32" s="193"/>
      <c r="L32" s="7"/>
      <c r="M32" s="190"/>
    </row>
    <row r="33" spans="1:17" ht="17.25" thickTop="1" thickBot="1">
      <c r="A33" s="384" t="s">
        <v>113</v>
      </c>
      <c r="C33" s="311">
        <f>-C5-C9-C13-C16-C19</f>
        <v>-88821.51999999999</v>
      </c>
      <c r="D33" s="36"/>
      <c r="F33" s="186"/>
      <c r="G33" s="231">
        <v>16958956</v>
      </c>
      <c r="H33" s="187" t="s">
        <v>102</v>
      </c>
      <c r="I33" s="216">
        <f>I32/G32</f>
        <v>0.10300690417263894</v>
      </c>
      <c r="J33" s="192"/>
      <c r="K33" s="193"/>
      <c r="L33" s="7"/>
      <c r="M33" s="98"/>
    </row>
    <row r="34" spans="1:17" ht="16.5" thickBot="1">
      <c r="A34" s="2" t="s">
        <v>114</v>
      </c>
      <c r="C34" s="125">
        <f>SUM(C32:C33)</f>
        <v>2157588.0500000007</v>
      </c>
      <c r="D34" s="36"/>
      <c r="F34" s="153"/>
      <c r="G34" s="230">
        <f>G32-G33</f>
        <v>0</v>
      </c>
      <c r="H34" s="7"/>
      <c r="I34" s="98"/>
      <c r="J34" s="192"/>
      <c r="K34" s="191"/>
      <c r="L34" s="7"/>
      <c r="M34" s="98"/>
    </row>
    <row r="35" spans="1:17" ht="18" customHeight="1">
      <c r="A35" s="2"/>
      <c r="C35" s="101"/>
      <c r="D35" s="36"/>
      <c r="F35" s="184"/>
      <c r="G35" s="12"/>
      <c r="H35" s="12"/>
      <c r="I35" s="185"/>
      <c r="J35" s="199" t="s">
        <v>128</v>
      </c>
      <c r="K35" s="637"/>
      <c r="L35" s="637"/>
      <c r="M35" s="638"/>
    </row>
    <row r="36" spans="1:17" ht="15.75">
      <c r="A36" s="16" t="s">
        <v>94</v>
      </c>
      <c r="B36" s="2"/>
      <c r="C36" s="100"/>
      <c r="D36" s="36"/>
      <c r="F36" s="199" t="s">
        <v>128</v>
      </c>
      <c r="G36" s="7"/>
      <c r="H36" s="7"/>
      <c r="I36" s="98"/>
      <c r="J36" s="200" t="s">
        <v>37</v>
      </c>
      <c r="K36" s="585">
        <f>K23</f>
        <v>4807641</v>
      </c>
      <c r="L36" s="599">
        <v>0.23895</v>
      </c>
      <c r="M36" s="196">
        <f t="shared" ref="M36:M42" si="2">K36*L36</f>
        <v>1148785.8169499999</v>
      </c>
      <c r="P36" s="273"/>
      <c r="Q36" s="273"/>
    </row>
    <row r="37" spans="1:17" ht="15.75">
      <c r="A37" s="7" t="s">
        <v>129</v>
      </c>
      <c r="B37" s="535" t="s">
        <v>115</v>
      </c>
      <c r="C37" s="564">
        <v>9356409.9399999995</v>
      </c>
      <c r="D37" s="36"/>
      <c r="F37" s="200" t="s">
        <v>37</v>
      </c>
      <c r="G37" s="585">
        <f>G23</f>
        <v>9641125</v>
      </c>
      <c r="H37" s="599">
        <v>0.23860000000000001</v>
      </c>
      <c r="I37" s="196">
        <f t="shared" ref="I37:I44" si="3">G37*H37</f>
        <v>2300372.4250000003</v>
      </c>
      <c r="J37" s="200" t="s">
        <v>38</v>
      </c>
      <c r="K37" s="585">
        <f>K24</f>
        <v>1910087</v>
      </c>
      <c r="L37" s="599">
        <v>0.23895</v>
      </c>
      <c r="M37" s="196">
        <f t="shared" si="2"/>
        <v>456415.28865</v>
      </c>
      <c r="P37" s="273"/>
      <c r="Q37" s="273"/>
    </row>
    <row r="38" spans="1:17" ht="15.75">
      <c r="A38" s="144" t="s">
        <v>14</v>
      </c>
      <c r="B38" s="535" t="s">
        <v>115</v>
      </c>
      <c r="C38" s="573"/>
      <c r="D38" s="36"/>
      <c r="F38" s="200" t="s">
        <v>306</v>
      </c>
      <c r="G38" s="585">
        <f>G24</f>
        <v>15697</v>
      </c>
      <c r="H38" s="599">
        <v>0.23860000000000001</v>
      </c>
      <c r="I38" s="196">
        <f t="shared" si="3"/>
        <v>3745.3042</v>
      </c>
      <c r="J38" s="200" t="s">
        <v>39</v>
      </c>
      <c r="K38" s="585">
        <f>K25</f>
        <v>7675</v>
      </c>
      <c r="L38" s="599">
        <v>0.23895</v>
      </c>
      <c r="M38" s="196">
        <f t="shared" si="2"/>
        <v>1833.9412499999999</v>
      </c>
      <c r="P38" s="273"/>
      <c r="Q38" s="273"/>
    </row>
    <row r="39" spans="1:17" ht="15.75">
      <c r="A39" s="7" t="s">
        <v>146</v>
      </c>
      <c r="B39" s="535" t="s">
        <v>147</v>
      </c>
      <c r="C39" s="564">
        <v>-41723.83</v>
      </c>
      <c r="D39" s="36"/>
      <c r="F39" s="200" t="s">
        <v>38</v>
      </c>
      <c r="G39" s="585">
        <f t="shared" ref="G39:G44" si="4">G25</f>
        <v>4021494</v>
      </c>
      <c r="H39" s="599">
        <v>0.23860000000000001</v>
      </c>
      <c r="I39" s="196">
        <f t="shared" si="3"/>
        <v>959528.46840000001</v>
      </c>
      <c r="J39" s="200" t="s">
        <v>40</v>
      </c>
      <c r="K39" s="585">
        <f>K26</f>
        <v>0</v>
      </c>
      <c r="L39" s="599">
        <v>0.23895</v>
      </c>
      <c r="M39" s="196">
        <f t="shared" si="2"/>
        <v>0</v>
      </c>
      <c r="P39" s="273"/>
      <c r="Q39" s="273"/>
    </row>
    <row r="40" spans="1:17" ht="15.75">
      <c r="A40" s="7" t="s">
        <v>131</v>
      </c>
      <c r="B40" s="535" t="s">
        <v>132</v>
      </c>
      <c r="C40" s="564">
        <v>180549.6</v>
      </c>
      <c r="D40" s="36"/>
      <c r="F40" s="200" t="s">
        <v>39</v>
      </c>
      <c r="G40" s="585">
        <f t="shared" si="4"/>
        <v>0</v>
      </c>
      <c r="H40" s="599">
        <v>0.23860000000000001</v>
      </c>
      <c r="I40" s="196">
        <f t="shared" si="3"/>
        <v>0</v>
      </c>
      <c r="J40" s="200" t="s">
        <v>41</v>
      </c>
      <c r="K40" s="585">
        <f>K27</f>
        <v>0</v>
      </c>
      <c r="L40" s="599">
        <v>0.23895</v>
      </c>
      <c r="M40" s="196">
        <f t="shared" si="2"/>
        <v>0</v>
      </c>
      <c r="P40" s="273"/>
      <c r="Q40" s="273"/>
    </row>
    <row r="41" spans="1:17" ht="15.75">
      <c r="A41" s="7" t="s">
        <v>153</v>
      </c>
      <c r="B41" s="6" t="s">
        <v>155</v>
      </c>
      <c r="C41" s="564">
        <v>112268.62</v>
      </c>
      <c r="D41" s="36"/>
      <c r="F41" s="200" t="s">
        <v>40</v>
      </c>
      <c r="G41" s="585">
        <f t="shared" si="4"/>
        <v>288026</v>
      </c>
      <c r="H41" s="599">
        <v>0.23860000000000001</v>
      </c>
      <c r="I41" s="196">
        <f t="shared" si="3"/>
        <v>68723.003599999996</v>
      </c>
      <c r="J41" s="200" t="s">
        <v>42</v>
      </c>
      <c r="K41" s="566">
        <v>0</v>
      </c>
      <c r="L41" s="599">
        <v>0.23895</v>
      </c>
      <c r="M41" s="196">
        <f t="shared" si="2"/>
        <v>0</v>
      </c>
      <c r="P41" s="273"/>
      <c r="Q41" s="273"/>
    </row>
    <row r="42" spans="1:17" ht="16.5" thickBot="1">
      <c r="A42" s="7" t="s">
        <v>178</v>
      </c>
      <c r="B42" s="535" t="s">
        <v>179</v>
      </c>
      <c r="C42" s="564">
        <v>875984.83</v>
      </c>
      <c r="D42" s="37"/>
      <c r="F42" s="200" t="s">
        <v>41</v>
      </c>
      <c r="G42" s="585">
        <f t="shared" si="4"/>
        <v>35134</v>
      </c>
      <c r="H42" s="599">
        <v>0.23860000000000001</v>
      </c>
      <c r="I42" s="196">
        <f t="shared" si="3"/>
        <v>8382.9724000000006</v>
      </c>
      <c r="J42" s="200" t="s">
        <v>43</v>
      </c>
      <c r="K42" s="586">
        <v>0</v>
      </c>
      <c r="L42" s="599">
        <v>0.23895</v>
      </c>
      <c r="M42" s="196">
        <f t="shared" si="2"/>
        <v>0</v>
      </c>
      <c r="P42" s="273"/>
      <c r="Q42" s="273"/>
    </row>
    <row r="43" spans="1:17" ht="16.5" thickBot="1">
      <c r="A43" s="85" t="s">
        <v>123</v>
      </c>
      <c r="B43" s="12"/>
      <c r="C43" s="125">
        <f>SUM(C37:C42)</f>
        <v>10483489.159999998</v>
      </c>
      <c r="D43" s="36"/>
      <c r="F43" s="200" t="s">
        <v>42</v>
      </c>
      <c r="G43" s="585">
        <f t="shared" si="4"/>
        <v>0</v>
      </c>
      <c r="H43" s="599">
        <v>0.23860000000000001</v>
      </c>
      <c r="I43" s="196">
        <f t="shared" si="3"/>
        <v>0</v>
      </c>
      <c r="J43" s="199" t="s">
        <v>133</v>
      </c>
      <c r="K43" s="181">
        <f>SUM(K36:K42)</f>
        <v>6725403</v>
      </c>
      <c r="L43" s="182"/>
      <c r="M43" s="197">
        <f>SUM(M36:M42)</f>
        <v>1607035.0468499998</v>
      </c>
    </row>
    <row r="44" spans="1:17" ht="16.5" thickBot="1">
      <c r="A44" s="83" t="s">
        <v>177</v>
      </c>
      <c r="B44" s="84" t="s">
        <v>120</v>
      </c>
      <c r="C44" s="564">
        <f>-2840374.66+449101.41-36226.26+36348.14</f>
        <v>-2391151.3699999996</v>
      </c>
      <c r="D44" s="37"/>
      <c r="F44" s="200" t="s">
        <v>43</v>
      </c>
      <c r="G44" s="585">
        <f t="shared" si="4"/>
        <v>88850</v>
      </c>
      <c r="H44" s="599">
        <v>0.23860000000000001</v>
      </c>
      <c r="I44" s="196">
        <f t="shared" si="3"/>
        <v>21199.61</v>
      </c>
      <c r="J44" s="194"/>
      <c r="K44" s="232">
        <v>6725403</v>
      </c>
      <c r="L44" s="189" t="s">
        <v>102</v>
      </c>
      <c r="M44" s="217">
        <f>M43/K43</f>
        <v>0.23894999999999997</v>
      </c>
    </row>
    <row r="45" spans="1:17" ht="16.5" thickBot="1">
      <c r="A45" s="211" t="s">
        <v>168</v>
      </c>
      <c r="B45" s="6" t="s">
        <v>115</v>
      </c>
      <c r="C45" s="573">
        <v>0</v>
      </c>
      <c r="D45" s="39"/>
      <c r="F45" s="199" t="s">
        <v>133</v>
      </c>
      <c r="G45" s="181">
        <f>SUM(G37:G44)</f>
        <v>14090326</v>
      </c>
      <c r="H45" s="182"/>
      <c r="I45" s="197">
        <f>SUM(I37:I44)</f>
        <v>3361951.7836000002</v>
      </c>
      <c r="J45" s="85"/>
      <c r="K45" s="230">
        <f>K43-K44</f>
        <v>0</v>
      </c>
      <c r="L45" s="187"/>
      <c r="M45" s="560"/>
    </row>
    <row r="46" spans="1:17" ht="19.5" customHeight="1" thickTop="1" thickBot="1">
      <c r="A46" s="144" t="s">
        <v>169</v>
      </c>
      <c r="B46" s="6" t="s">
        <v>115</v>
      </c>
      <c r="C46" s="573">
        <v>0</v>
      </c>
      <c r="D46" s="40"/>
      <c r="F46" s="188"/>
      <c r="G46" s="232">
        <v>14090326</v>
      </c>
      <c r="H46" s="189" t="s">
        <v>102</v>
      </c>
      <c r="I46" s="215">
        <f>I45/G45</f>
        <v>0.23860000000000001</v>
      </c>
      <c r="J46" s="85"/>
      <c r="K46" s="231"/>
      <c r="L46" s="187"/>
      <c r="M46" s="560"/>
    </row>
    <row r="47" spans="1:17" ht="19.5" customHeight="1">
      <c r="A47" s="384" t="s">
        <v>137</v>
      </c>
      <c r="B47" s="6" t="s">
        <v>115</v>
      </c>
      <c r="C47" s="564">
        <v>0</v>
      </c>
      <c r="D47" s="36"/>
      <c r="F47" s="385"/>
      <c r="G47" s="230">
        <f>G45-G46</f>
        <v>0</v>
      </c>
      <c r="H47" s="385"/>
      <c r="I47" s="385"/>
      <c r="J47" s="124"/>
      <c r="K47" s="230"/>
      <c r="L47" s="385"/>
      <c r="M47" s="124"/>
    </row>
    <row r="48" spans="1:17" ht="16.5" thickBot="1">
      <c r="A48" s="144" t="s">
        <v>305</v>
      </c>
      <c r="B48" s="6" t="s">
        <v>115</v>
      </c>
      <c r="C48" s="564">
        <v>7000</v>
      </c>
      <c r="D48" s="36"/>
      <c r="F48" s="385"/>
      <c r="G48" s="385"/>
      <c r="H48" s="385"/>
      <c r="I48" s="385"/>
      <c r="J48" s="124"/>
      <c r="K48" s="114"/>
      <c r="L48" s="385"/>
      <c r="M48" s="68"/>
    </row>
    <row r="49" spans="1:21" ht="15.75">
      <c r="A49" s="7" t="s">
        <v>130</v>
      </c>
      <c r="B49" s="535" t="s">
        <v>152</v>
      </c>
      <c r="C49" s="564">
        <v>28969.96</v>
      </c>
      <c r="D49" s="36"/>
      <c r="F49" s="385"/>
      <c r="G49" s="114"/>
      <c r="H49" s="129" t="s">
        <v>35</v>
      </c>
      <c r="I49" s="13" t="s">
        <v>35</v>
      </c>
      <c r="J49" s="13" t="s">
        <v>63</v>
      </c>
      <c r="K49" s="127" t="s">
        <v>70</v>
      </c>
      <c r="L49" s="124"/>
      <c r="M49" s="385"/>
    </row>
    <row r="50" spans="1:21" ht="16.5" thickBot="1">
      <c r="A50" s="7" t="s">
        <v>222</v>
      </c>
      <c r="B50" s="535" t="s">
        <v>152</v>
      </c>
      <c r="C50" s="564">
        <v>1083.8900000000001</v>
      </c>
      <c r="D50" s="37"/>
      <c r="F50" s="50" t="s">
        <v>73</v>
      </c>
      <c r="G50" s="385"/>
      <c r="H50" s="130" t="s">
        <v>2</v>
      </c>
      <c r="I50" s="131" t="s">
        <v>3</v>
      </c>
      <c r="J50" s="131" t="s">
        <v>2</v>
      </c>
      <c r="K50" s="128" t="s">
        <v>3</v>
      </c>
      <c r="L50" s="385"/>
      <c r="M50" s="385"/>
    </row>
    <row r="51" spans="1:21" ht="15.75">
      <c r="A51" s="7" t="s">
        <v>309</v>
      </c>
      <c r="B51" s="535" t="s">
        <v>152</v>
      </c>
      <c r="C51" s="564">
        <v>7091.91</v>
      </c>
      <c r="D51" s="36"/>
      <c r="F51" s="385"/>
      <c r="G51" s="385"/>
      <c r="H51" s="151"/>
      <c r="I51" s="152"/>
      <c r="J51" s="152"/>
      <c r="K51" s="152"/>
      <c r="L51" s="126" t="s">
        <v>103</v>
      </c>
      <c r="M51" s="385"/>
    </row>
    <row r="52" spans="1:21" ht="15.75">
      <c r="A52" s="22" t="s">
        <v>118</v>
      </c>
      <c r="B52" s="6"/>
      <c r="C52" s="603">
        <f>-C33</f>
        <v>88821.51999999999</v>
      </c>
      <c r="D52" s="33"/>
      <c r="F52" s="385" t="s">
        <v>136</v>
      </c>
      <c r="G52" s="385"/>
      <c r="H52" s="212">
        <f>K12</f>
        <v>2449022.9793799985</v>
      </c>
      <c r="I52" s="115">
        <f>I14</f>
        <v>1521746.8516650007</v>
      </c>
      <c r="J52" s="115">
        <f>L12</f>
        <v>1166883.7706199999</v>
      </c>
      <c r="K52" s="115">
        <f>J14</f>
        <v>635841.19833500031</v>
      </c>
      <c r="L52" s="132">
        <f>SUM(H52:K52)</f>
        <v>5773494.7999999989</v>
      </c>
      <c r="M52" s="385"/>
    </row>
    <row r="53" spans="1:21" ht="16.5" thickBot="1">
      <c r="A53" s="382" t="s">
        <v>124</v>
      </c>
      <c r="B53" s="473" t="s">
        <v>297</v>
      </c>
      <c r="C53" s="564">
        <f>-2861255.56-27114.75-1447774.56</f>
        <v>-4336144.87</v>
      </c>
      <c r="D53" s="36"/>
      <c r="F53" s="384" t="s">
        <v>109</v>
      </c>
      <c r="H53" s="212">
        <f>-I45</f>
        <v>-3361951.7836000002</v>
      </c>
      <c r="I53" s="115">
        <f>-I32</f>
        <v>-1746889.5555600002</v>
      </c>
      <c r="J53" s="115">
        <f>-M43</f>
        <v>-1607035.0468499998</v>
      </c>
      <c r="K53" s="115">
        <f>-M28</f>
        <v>-762055.41393000004</v>
      </c>
      <c r="L53" s="261">
        <f>SUM(H53:K53)</f>
        <v>-7477931.7999400003</v>
      </c>
    </row>
    <row r="54" spans="1:21" ht="16.5" thickBot="1">
      <c r="A54" s="384" t="s">
        <v>313</v>
      </c>
      <c r="B54" s="6" t="s">
        <v>190</v>
      </c>
      <c r="C54" s="564">
        <v>-375000</v>
      </c>
      <c r="D54" s="36"/>
      <c r="F54" s="384" t="s">
        <v>86</v>
      </c>
      <c r="H54" s="234">
        <v>0</v>
      </c>
      <c r="I54" s="235">
        <v>0</v>
      </c>
      <c r="J54" s="235">
        <v>0</v>
      </c>
      <c r="K54" s="236">
        <v>0</v>
      </c>
      <c r="L54" s="214">
        <f>SUM(L52:L53)</f>
        <v>-1704436.9999400014</v>
      </c>
    </row>
    <row r="55" spans="1:21" ht="16.5" thickBot="1">
      <c r="A55" s="82" t="s">
        <v>119</v>
      </c>
      <c r="B55" s="84"/>
      <c r="C55" s="160">
        <f>SUM(C43:C54)</f>
        <v>3514160.1999999983</v>
      </c>
      <c r="D55" s="36"/>
      <c r="F55" s="384" t="s">
        <v>71</v>
      </c>
      <c r="H55" s="125">
        <f>IFERROR(H52+H53+H54,0)</f>
        <v>-912928.80422000168</v>
      </c>
      <c r="I55" s="125">
        <f>I52+I53+I54</f>
        <v>-225142.70389499958</v>
      </c>
      <c r="J55" s="125">
        <f>IFERROR(J52+J53+J54,0)</f>
        <v>-440151.27622999996</v>
      </c>
      <c r="K55" s="125">
        <f>K52+K53+K54</f>
        <v>-126214.21559499972</v>
      </c>
      <c r="L55" s="47">
        <f>SUM(H55:K55)</f>
        <v>-1704436.9999400009</v>
      </c>
    </row>
    <row r="56" spans="1:21" ht="17.25" thickTop="1" thickBot="1">
      <c r="A56" s="384" t="s">
        <v>121</v>
      </c>
      <c r="B56" s="6" t="s">
        <v>115</v>
      </c>
      <c r="C56" s="564">
        <v>70287.94</v>
      </c>
      <c r="D56" s="36"/>
      <c r="F56" s="240" t="s">
        <v>181</v>
      </c>
      <c r="H56" s="384" t="s">
        <v>173</v>
      </c>
      <c r="I56" s="5">
        <f>SUM(H55:I55)</f>
        <v>-1138071.5081150013</v>
      </c>
      <c r="J56" s="15" t="s">
        <v>174</v>
      </c>
      <c r="K56" s="384">
        <f>SUM(J55:K55)</f>
        <v>-566365.49182499968</v>
      </c>
      <c r="L56" s="213">
        <f>ROUND(L54-L55,3)</f>
        <v>0</v>
      </c>
      <c r="T56" s="42"/>
    </row>
    <row r="57" spans="1:21" ht="16.5" thickTop="1">
      <c r="A57" s="384" t="s">
        <v>122</v>
      </c>
      <c r="B57" s="6" t="s">
        <v>115</v>
      </c>
      <c r="C57" s="564">
        <v>31458.61</v>
      </c>
      <c r="D57" s="36"/>
      <c r="F57" s="397" t="s">
        <v>181</v>
      </c>
      <c r="H57" s="96"/>
    </row>
    <row r="58" spans="1:21" ht="16.5" thickBot="1">
      <c r="A58" s="2" t="s">
        <v>125</v>
      </c>
      <c r="B58" s="2"/>
      <c r="C58" s="160">
        <f>SUM(C55:C57)</f>
        <v>3615906.7499999981</v>
      </c>
      <c r="D58" s="36"/>
      <c r="F58" s="397" t="s">
        <v>182</v>
      </c>
      <c r="H58" s="157"/>
      <c r="I58" s="120"/>
      <c r="J58" s="120"/>
      <c r="K58" s="204"/>
      <c r="L58" s="120"/>
    </row>
    <row r="59" spans="1:21" ht="17.25" thickTop="1" thickBot="1">
      <c r="A59" s="2"/>
      <c r="C59" s="101"/>
      <c r="D59" s="36"/>
      <c r="F59" s="546" t="s">
        <v>304</v>
      </c>
      <c r="G59" s="547" t="str">
        <f>IF(OR(AND(I56&gt;0,K56&gt;0),AND(I56&lt;0,K56&lt;0)),"OK","ERROR")</f>
        <v>OK</v>
      </c>
      <c r="H59" s="386" t="s">
        <v>295</v>
      </c>
      <c r="I59" s="387"/>
    </row>
    <row r="60" spans="1:21" ht="16.5" thickBot="1">
      <c r="A60" s="9"/>
      <c r="B60" s="9" t="s">
        <v>95</v>
      </c>
      <c r="C60" s="125">
        <f>C58+C34</f>
        <v>5773494.7999999989</v>
      </c>
      <c r="D60" s="36"/>
      <c r="H60" s="318" t="s">
        <v>175</v>
      </c>
      <c r="I60" s="319" t="s">
        <v>176</v>
      </c>
      <c r="J60" s="5"/>
    </row>
    <row r="61" spans="1:21" ht="16.5" thickBot="1">
      <c r="A61" s="2"/>
      <c r="B61" s="9" t="s">
        <v>160</v>
      </c>
      <c r="C61" s="587">
        <v>5773494.7999999998</v>
      </c>
      <c r="D61" s="37"/>
      <c r="H61" s="349" t="e">
        <f>SUM(#REF!,#REF!,#REF!,#REF!,#REF!,#REF!)</f>
        <v>#REF!</v>
      </c>
      <c r="I61" s="449" t="e">
        <f>SUM(#REF!,#REF!,#REF!,#REF!,#REF!,#REF!)</f>
        <v>#REF!</v>
      </c>
      <c r="J61" s="384">
        <f>H53+I53+J53+K53</f>
        <v>-7477931.7999400003</v>
      </c>
    </row>
    <row r="62" spans="1:21" ht="15.75">
      <c r="A62" s="9"/>
      <c r="B62" s="9" t="s">
        <v>159</v>
      </c>
      <c r="C62" s="257">
        <f>ROUND(C60-C61,2)</f>
        <v>0</v>
      </c>
      <c r="G62" s="5"/>
      <c r="I62" s="338" t="e">
        <f>H61-I61</f>
        <v>#REF!</v>
      </c>
      <c r="N62" s="5"/>
      <c r="O62" s="5"/>
      <c r="P62" s="21"/>
    </row>
    <row r="63" spans="1:21" ht="15.75">
      <c r="A63" s="44"/>
      <c r="C63" s="351"/>
      <c r="D63" s="36"/>
      <c r="S63" s="6"/>
    </row>
    <row r="64" spans="1:21" ht="15.75">
      <c r="A64" s="44"/>
      <c r="C64" s="8"/>
      <c r="D64" s="43"/>
      <c r="N64" s="22"/>
      <c r="U64" s="2"/>
    </row>
    <row r="65" spans="1:21" ht="15.75">
      <c r="A65" s="2"/>
      <c r="C65" s="8"/>
      <c r="D65" s="36"/>
      <c r="N65" s="22"/>
      <c r="S65" s="23"/>
    </row>
    <row r="66" spans="1:21">
      <c r="C66" s="100"/>
      <c r="D66" s="36"/>
      <c r="N66" s="22"/>
      <c r="S66" s="24"/>
    </row>
    <row r="67" spans="1:21">
      <c r="D67" s="36"/>
      <c r="N67" s="22"/>
      <c r="S67" s="25"/>
    </row>
    <row r="68" spans="1:21">
      <c r="D68" s="36"/>
      <c r="N68" s="22"/>
      <c r="S68" s="24"/>
    </row>
    <row r="69" spans="1:21">
      <c r="D69" s="37"/>
      <c r="N69" s="22"/>
    </row>
    <row r="70" spans="1:21">
      <c r="D70" s="36"/>
      <c r="N70" s="22"/>
      <c r="S70" s="26"/>
    </row>
    <row r="71" spans="1:21">
      <c r="D71" s="36"/>
    </row>
    <row r="72" spans="1:21">
      <c r="D72" s="36"/>
    </row>
    <row r="73" spans="1:21">
      <c r="D73" s="45"/>
      <c r="S73" s="27"/>
    </row>
    <row r="74" spans="1:21">
      <c r="R74" s="6"/>
      <c r="S74" s="6"/>
      <c r="T74" s="6"/>
    </row>
    <row r="76" spans="1:21">
      <c r="U76" s="28"/>
    </row>
    <row r="1476" spans="3:3">
      <c r="C1476" s="384">
        <v>-2130</v>
      </c>
    </row>
    <row r="1484" spans="3:3">
      <c r="C1484" s="384">
        <f>7004298-2130</f>
        <v>7002168</v>
      </c>
    </row>
  </sheetData>
  <mergeCells count="3">
    <mergeCell ref="F18:I18"/>
    <mergeCell ref="J18:M18"/>
    <mergeCell ref="K35:M35"/>
  </mergeCells>
  <conditionalFormatting sqref="C62 L56 I62">
    <cfRule type="cellIs" dxfId="285" priority="9" stopIfTrue="1" operator="equal">
      <formula>0</formula>
    </cfRule>
    <cfRule type="cellIs" dxfId="284" priority="10" stopIfTrue="1" operator="notEqual">
      <formula>0</formula>
    </cfRule>
  </conditionalFormatting>
  <conditionalFormatting sqref="G34 G47 K30 K47">
    <cfRule type="cellIs" dxfId="283" priority="8" operator="notEqual">
      <formula>0</formula>
    </cfRule>
  </conditionalFormatting>
  <conditionalFormatting sqref="C62">
    <cfRule type="cellIs" dxfId="282" priority="6" stopIfTrue="1" operator="equal">
      <formula>0</formula>
    </cfRule>
    <cfRule type="cellIs" dxfId="281" priority="7" stopIfTrue="1" operator="notEqual">
      <formula>0</formula>
    </cfRule>
  </conditionalFormatting>
  <conditionalFormatting sqref="K30">
    <cfRule type="cellIs" dxfId="280" priority="5" operator="notEqual">
      <formula>0</formula>
    </cfRule>
  </conditionalFormatting>
  <conditionalFormatting sqref="G59">
    <cfRule type="cellIs" dxfId="279" priority="4" operator="equal">
      <formula>"""ERROR"""</formula>
    </cfRule>
  </conditionalFormatting>
  <conditionalFormatting sqref="G59">
    <cfRule type="cellIs" dxfId="278" priority="3" operator="equal">
      <formula>"ERROR"</formula>
    </cfRule>
  </conditionalFormatting>
  <conditionalFormatting sqref="G59">
    <cfRule type="cellIs" dxfId="277" priority="2" operator="equal">
      <formula>"ERROR"</formula>
    </cfRule>
  </conditionalFormatting>
  <conditionalFormatting sqref="K45">
    <cfRule type="cellIs" dxfId="276" priority="1" operator="notEqual">
      <formula>0</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customProperties>
    <customPr name="xxe4aPID" r:id="rId2"/>
  </customProperties>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10">
    <tabColor rgb="FF00CC66"/>
    <pageSetUpPr fitToPage="1"/>
  </sheetPr>
  <dimension ref="A1:U1485"/>
  <sheetViews>
    <sheetView showGridLines="0" topLeftCell="A40" zoomScale="70" zoomScaleNormal="70" workbookViewId="0">
      <selection activeCell="B67" sqref="B67"/>
    </sheetView>
  </sheetViews>
  <sheetFormatPr defaultColWidth="16" defaultRowHeight="15"/>
  <cols>
    <col min="1" max="1" width="44.85546875" style="384" customWidth="1"/>
    <col min="2" max="2" width="25.5703125" style="384" customWidth="1"/>
    <col min="3" max="3" width="25.28515625" style="384" customWidth="1"/>
    <col min="4" max="4" width="2.7109375" style="30" customWidth="1"/>
    <col min="5" max="5" width="4.28515625" style="384" customWidth="1"/>
    <col min="6" max="6" width="26.7109375" style="384" customWidth="1"/>
    <col min="7" max="7" width="19" style="384" customWidth="1"/>
    <col min="8" max="8" width="22" style="384" customWidth="1"/>
    <col min="9" max="9" width="20.42578125" style="384" customWidth="1"/>
    <col min="10" max="10" width="26.28515625" style="384" customWidth="1"/>
    <col min="11" max="11" width="21.85546875" style="384" bestFit="1" customWidth="1"/>
    <col min="12" max="12" width="23.85546875" style="384" customWidth="1"/>
    <col min="13" max="13" width="20.85546875" style="384" bestFit="1" customWidth="1"/>
    <col min="14" max="15" width="16" style="384"/>
    <col min="16" max="16" width="16.28515625" style="384" bestFit="1" customWidth="1"/>
    <col min="17" max="16384" width="16" style="384"/>
  </cols>
  <sheetData>
    <row r="1" spans="1:13" ht="16.5" thickBot="1">
      <c r="A1" s="145" t="s">
        <v>64</v>
      </c>
      <c r="B1" s="29"/>
      <c r="C1" s="530">
        <f>Apr!C1+1</f>
        <v>201705</v>
      </c>
      <c r="F1" s="530">
        <f>C1</f>
        <v>201705</v>
      </c>
      <c r="G1" s="385"/>
      <c r="H1" s="162" t="s">
        <v>69</v>
      </c>
      <c r="I1" s="126" t="s">
        <v>3</v>
      </c>
      <c r="J1" s="126" t="s">
        <v>3</v>
      </c>
      <c r="K1" s="126" t="s">
        <v>66</v>
      </c>
      <c r="L1" s="126" t="s">
        <v>66</v>
      </c>
      <c r="M1" s="385"/>
    </row>
    <row r="2" spans="1:13" ht="15.75">
      <c r="C2" s="31"/>
      <c r="F2" s="385"/>
      <c r="G2" s="385"/>
      <c r="H2" s="163" t="s">
        <v>32</v>
      </c>
      <c r="I2" s="164" t="s">
        <v>65</v>
      </c>
      <c r="J2" s="164" t="s">
        <v>65</v>
      </c>
      <c r="K2" s="164" t="s">
        <v>67</v>
      </c>
      <c r="L2" s="164" t="s">
        <v>67</v>
      </c>
      <c r="M2" s="385"/>
    </row>
    <row r="3" spans="1:13" ht="16.5" thickBot="1">
      <c r="A3" s="63" t="s">
        <v>110</v>
      </c>
      <c r="C3" s="32"/>
      <c r="D3" s="33"/>
      <c r="F3" s="50" t="s">
        <v>72</v>
      </c>
      <c r="G3" s="385"/>
      <c r="H3" s="165" t="s">
        <v>68</v>
      </c>
      <c r="I3" s="165" t="s">
        <v>35</v>
      </c>
      <c r="J3" s="165" t="s">
        <v>63</v>
      </c>
      <c r="K3" s="165" t="s">
        <v>35</v>
      </c>
      <c r="L3" s="165" t="s">
        <v>63</v>
      </c>
      <c r="M3" s="385"/>
    </row>
    <row r="4" spans="1:13" ht="15.75">
      <c r="A4" s="385" t="s">
        <v>88</v>
      </c>
      <c r="C4" s="564">
        <v>4598122.63</v>
      </c>
      <c r="D4" s="34"/>
      <c r="F4" s="385"/>
      <c r="G4" s="385"/>
      <c r="H4" s="11"/>
      <c r="I4" s="385"/>
      <c r="J4" s="385"/>
      <c r="L4" s="385"/>
      <c r="M4" s="385"/>
    </row>
    <row r="5" spans="1:13" ht="14.25" customHeight="1">
      <c r="A5" s="385" t="s">
        <v>31</v>
      </c>
      <c r="C5" s="564">
        <v>91385.34</v>
      </c>
      <c r="D5" s="34"/>
      <c r="F5" s="385"/>
      <c r="G5" s="385"/>
      <c r="H5" s="11"/>
      <c r="I5" s="596">
        <v>0.70530000000000004</v>
      </c>
      <c r="J5" s="596">
        <v>0.29470000000000002</v>
      </c>
      <c r="K5" s="445">
        <f>ROUND(G45/(G45+K43),4)</f>
        <v>0.66269999999999996</v>
      </c>
      <c r="L5" s="445">
        <f>1-K5</f>
        <v>0.33730000000000004</v>
      </c>
      <c r="M5" s="385"/>
    </row>
    <row r="6" spans="1:13" ht="16.5" thickBot="1">
      <c r="A6" s="49" t="s">
        <v>30</v>
      </c>
      <c r="C6" s="565">
        <f>-2343063.08-444850-127100-142987.5-81979.5-102391.76</f>
        <v>-3242371.84</v>
      </c>
      <c r="D6" s="34"/>
      <c r="F6" s="385"/>
      <c r="G6" s="385"/>
      <c r="H6" s="385"/>
      <c r="I6" s="385"/>
      <c r="J6" s="385"/>
      <c r="K6" s="385"/>
      <c r="L6" s="385"/>
      <c r="M6" s="385"/>
    </row>
    <row r="7" spans="1:13" ht="16.5" thickBot="1">
      <c r="A7" s="66" t="s">
        <v>140</v>
      </c>
      <c r="C7" s="100">
        <f>SUM(C4:C6)</f>
        <v>1447136.13</v>
      </c>
      <c r="D7" s="35"/>
      <c r="F7" s="166" t="s">
        <v>139</v>
      </c>
      <c r="G7" s="166"/>
      <c r="H7" s="125">
        <f>C34</f>
        <v>2218045.21</v>
      </c>
      <c r="I7" s="167">
        <f>H7*I5</f>
        <v>1564387.2866130001</v>
      </c>
      <c r="J7" s="167">
        <f>H7*J5</f>
        <v>653657.92338699999</v>
      </c>
      <c r="K7" s="167"/>
      <c r="L7" s="167"/>
      <c r="M7" s="385"/>
    </row>
    <row r="8" spans="1:13" ht="15.75">
      <c r="A8" s="384" t="s">
        <v>89</v>
      </c>
      <c r="C8" s="564">
        <f>191512.75</f>
        <v>191512.75</v>
      </c>
      <c r="D8" s="35"/>
      <c r="F8" s="385"/>
      <c r="G8" s="385"/>
      <c r="H8" s="168"/>
      <c r="I8" s="168"/>
      <c r="J8" s="168"/>
      <c r="K8" s="168"/>
      <c r="L8" s="168"/>
      <c r="M8" s="385"/>
    </row>
    <row r="9" spans="1:13" ht="15.75">
      <c r="A9" s="385" t="s">
        <v>90</v>
      </c>
      <c r="C9" s="564">
        <f>28.67+6237.62-244.2</f>
        <v>6022.09</v>
      </c>
      <c r="D9" s="36"/>
      <c r="F9" s="166" t="s">
        <v>119</v>
      </c>
      <c r="G9" s="385"/>
      <c r="H9" s="167">
        <f>C56</f>
        <v>2256068.79</v>
      </c>
      <c r="I9" s="167"/>
      <c r="J9" s="167"/>
      <c r="K9" s="167">
        <f>H9*K5</f>
        <v>1495096.7871329999</v>
      </c>
      <c r="L9" s="167">
        <f>H9*L5</f>
        <v>760972.00286700006</v>
      </c>
      <c r="M9" s="385"/>
    </row>
    <row r="10" spans="1:13" ht="15.75">
      <c r="A10" s="49" t="s">
        <v>91</v>
      </c>
      <c r="C10" s="565">
        <v>-3418.47</v>
      </c>
      <c r="D10" s="36"/>
      <c r="F10" s="169" t="s">
        <v>44</v>
      </c>
      <c r="G10" s="385"/>
      <c r="H10" s="167">
        <f>C57</f>
        <v>-121291.31</v>
      </c>
      <c r="I10" s="167"/>
      <c r="J10" s="167"/>
      <c r="K10" s="167">
        <f>H10</f>
        <v>-121291.31</v>
      </c>
      <c r="L10" s="167"/>
      <c r="M10" s="385"/>
    </row>
    <row r="11" spans="1:13">
      <c r="A11" s="66" t="s">
        <v>145</v>
      </c>
      <c r="C11" s="100">
        <f>SUM(C8:C10)</f>
        <v>194116.37</v>
      </c>
      <c r="D11" s="36"/>
      <c r="F11" s="169" t="s">
        <v>45</v>
      </c>
      <c r="G11" s="385"/>
      <c r="H11" s="170">
        <f>C58</f>
        <v>-59843.79</v>
      </c>
      <c r="I11" s="167"/>
      <c r="J11" s="167"/>
      <c r="K11" s="170"/>
      <c r="L11" s="170">
        <f>H11</f>
        <v>-59843.79</v>
      </c>
      <c r="M11" s="385"/>
    </row>
    <row r="12" spans="1:13" ht="15.75">
      <c r="A12" s="384" t="s">
        <v>165</v>
      </c>
      <c r="C12" s="564">
        <f>2499.4+175992.44</f>
        <v>178491.84</v>
      </c>
      <c r="D12" s="36"/>
      <c r="F12" s="169" t="s">
        <v>138</v>
      </c>
      <c r="G12" s="385"/>
      <c r="H12" s="167">
        <f>H9+H10+H11</f>
        <v>2074933.69</v>
      </c>
      <c r="I12" s="167"/>
      <c r="J12" s="167"/>
      <c r="K12" s="167">
        <f>SUM(K9:K11)</f>
        <v>1373805.4771329998</v>
      </c>
      <c r="L12" s="167">
        <f>SUM(L9:L11)</f>
        <v>701128.21286700002</v>
      </c>
      <c r="M12" s="385"/>
    </row>
    <row r="13" spans="1:13" ht="16.5" thickBot="1">
      <c r="A13" s="49" t="s">
        <v>166</v>
      </c>
      <c r="C13" s="313">
        <v>0</v>
      </c>
      <c r="D13" s="36"/>
      <c r="F13" s="171"/>
      <c r="G13" s="172"/>
      <c r="H13" s="173"/>
      <c r="I13" s="174"/>
      <c r="J13" s="173"/>
      <c r="K13" s="168"/>
      <c r="L13" s="173"/>
      <c r="M13" s="385"/>
    </row>
    <row r="14" spans="1:13" ht="16.5" thickBot="1">
      <c r="A14" s="66" t="s">
        <v>92</v>
      </c>
      <c r="C14" s="100">
        <f>SUM(C12:C13)</f>
        <v>178491.84</v>
      </c>
      <c r="D14" s="37"/>
      <c r="F14" s="50" t="s">
        <v>69</v>
      </c>
      <c r="G14" s="175"/>
      <c r="H14" s="125">
        <f>H12+H7</f>
        <v>4292978.9000000004</v>
      </c>
      <c r="I14" s="176">
        <f>SUM(I7:I13)</f>
        <v>1564387.2866130001</v>
      </c>
      <c r="J14" s="176">
        <f>SUM(J7:J13)</f>
        <v>653657.92338699999</v>
      </c>
      <c r="K14" s="176">
        <f>K12</f>
        <v>1373805.4771329998</v>
      </c>
      <c r="L14" s="176">
        <f>L12</f>
        <v>701128.21286700002</v>
      </c>
      <c r="M14" s="385"/>
    </row>
    <row r="15" spans="1:13" ht="15.75">
      <c r="A15" s="384" t="s">
        <v>183</v>
      </c>
      <c r="C15" s="564">
        <f>434483.91+6169.92</f>
        <v>440653.82999999996</v>
      </c>
      <c r="D15" s="36"/>
      <c r="F15" s="171"/>
      <c r="G15" s="172" t="s">
        <v>102</v>
      </c>
      <c r="H15" s="173">
        <f>H14-C61</f>
        <v>0</v>
      </c>
      <c r="I15" s="177"/>
      <c r="J15" s="173">
        <f>J7+I7-H7</f>
        <v>0</v>
      </c>
      <c r="K15" s="385"/>
      <c r="L15" s="173">
        <f>H12-K14-L14</f>
        <v>0</v>
      </c>
      <c r="M15" s="385"/>
    </row>
    <row r="16" spans="1:13" ht="15.75">
      <c r="A16" s="49" t="s">
        <v>184</v>
      </c>
      <c r="C16" s="313">
        <v>0</v>
      </c>
      <c r="D16" s="36"/>
      <c r="F16" s="178"/>
      <c r="G16" s="172"/>
      <c r="H16" s="179"/>
      <c r="I16" s="180"/>
      <c r="J16" s="179"/>
      <c r="K16" s="385"/>
      <c r="L16" s="179"/>
      <c r="M16" s="385"/>
    </row>
    <row r="17" spans="1:13" ht="15.75" thickBot="1">
      <c r="A17" s="66" t="s">
        <v>185</v>
      </c>
      <c r="C17" s="100">
        <f>SUM(C15:C16)</f>
        <v>440653.82999999996</v>
      </c>
      <c r="D17" s="37"/>
      <c r="F17" s="171"/>
      <c r="G17" s="172"/>
      <c r="H17" s="179"/>
      <c r="I17" s="180"/>
      <c r="J17" s="183"/>
      <c r="K17" s="385"/>
      <c r="L17" s="179"/>
      <c r="M17" s="385"/>
    </row>
    <row r="18" spans="1:13" ht="16.5" thickBot="1">
      <c r="A18" s="384" t="s">
        <v>163</v>
      </c>
      <c r="C18" s="564">
        <f>9631.7+59822.39+986.36</f>
        <v>70440.45</v>
      </c>
      <c r="D18" s="36"/>
      <c r="F18" s="639" t="s">
        <v>134</v>
      </c>
      <c r="G18" s="640"/>
      <c r="H18" s="640"/>
      <c r="I18" s="641"/>
      <c r="J18" s="639" t="s">
        <v>135</v>
      </c>
      <c r="K18" s="640"/>
      <c r="L18" s="640"/>
      <c r="M18" s="641"/>
    </row>
    <row r="19" spans="1:13" ht="15.75">
      <c r="A19" s="46" t="s">
        <v>164</v>
      </c>
      <c r="C19" s="565">
        <v>275.20999999999998</v>
      </c>
      <c r="D19" s="36"/>
      <c r="F19" s="201" t="s">
        <v>108</v>
      </c>
      <c r="G19" s="164" t="s">
        <v>33</v>
      </c>
      <c r="H19" s="164" t="s">
        <v>33</v>
      </c>
      <c r="I19" s="164" t="s">
        <v>33</v>
      </c>
      <c r="J19" s="201" t="s">
        <v>108</v>
      </c>
      <c r="K19" s="164" t="s">
        <v>33</v>
      </c>
      <c r="L19" s="164" t="s">
        <v>33</v>
      </c>
      <c r="M19" s="185" t="s">
        <v>33</v>
      </c>
    </row>
    <row r="20" spans="1:13" ht="16.5" thickBot="1">
      <c r="A20" s="67" t="s">
        <v>93</v>
      </c>
      <c r="C20" s="100">
        <f>SUM(C18:C19)</f>
        <v>70715.66</v>
      </c>
      <c r="D20" s="36"/>
      <c r="F20" s="195" t="s">
        <v>162</v>
      </c>
      <c r="G20" s="165" t="s">
        <v>101</v>
      </c>
      <c r="H20" s="165" t="s">
        <v>36</v>
      </c>
      <c r="I20" s="165" t="s">
        <v>34</v>
      </c>
      <c r="J20" s="195" t="s">
        <v>162</v>
      </c>
      <c r="K20" s="165" t="s">
        <v>101</v>
      </c>
      <c r="L20" s="165" t="s">
        <v>36</v>
      </c>
      <c r="M20" s="165" t="s">
        <v>34</v>
      </c>
    </row>
    <row r="21" spans="1:13" ht="15.75">
      <c r="A21" s="46" t="s">
        <v>149</v>
      </c>
      <c r="C21" s="565">
        <f>1850+346.41</f>
        <v>2196.41</v>
      </c>
      <c r="D21" s="36"/>
      <c r="F21" s="184"/>
      <c r="G21" s="12"/>
      <c r="H21" s="12"/>
      <c r="I21" s="185"/>
      <c r="J21" s="129"/>
      <c r="K21" s="13"/>
      <c r="L21" s="13"/>
      <c r="M21" s="205"/>
    </row>
    <row r="22" spans="1:13" ht="18" customHeight="1">
      <c r="A22" s="65" t="s">
        <v>149</v>
      </c>
      <c r="C22" s="100">
        <f>SUM(C21)</f>
        <v>2196.41</v>
      </c>
      <c r="D22" s="36"/>
      <c r="F22" s="199" t="s">
        <v>126</v>
      </c>
      <c r="G22" s="7"/>
      <c r="H22" s="7"/>
      <c r="I22" s="98"/>
      <c r="J22" s="199" t="s">
        <v>126</v>
      </c>
      <c r="K22" s="7"/>
      <c r="L22" s="7"/>
      <c r="M22" s="98"/>
    </row>
    <row r="23" spans="1:13" ht="15.75">
      <c r="A23" s="208" t="s">
        <v>180</v>
      </c>
      <c r="C23" s="100">
        <v>0</v>
      </c>
      <c r="D23" s="36"/>
      <c r="F23" s="200" t="s">
        <v>37</v>
      </c>
      <c r="G23" s="566">
        <v>4941679</v>
      </c>
      <c r="H23" s="599">
        <v>0.12678</v>
      </c>
      <c r="I23" s="196">
        <f t="shared" ref="I23:I31" si="0">G23*H23</f>
        <v>626506.06362000003</v>
      </c>
      <c r="J23" s="200" t="s">
        <v>37</v>
      </c>
      <c r="K23" s="566">
        <v>2613793</v>
      </c>
      <c r="L23" s="599">
        <v>0.11330999999999999</v>
      </c>
      <c r="M23" s="196">
        <f>K23*L23</f>
        <v>296168.88483</v>
      </c>
    </row>
    <row r="24" spans="1:13" ht="15.75">
      <c r="A24" s="208" t="s">
        <v>186</v>
      </c>
      <c r="C24" s="312">
        <v>0</v>
      </c>
      <c r="D24" s="36"/>
      <c r="F24" s="200" t="s">
        <v>306</v>
      </c>
      <c r="G24" s="566">
        <v>8078</v>
      </c>
      <c r="H24" s="599">
        <v>0.12678</v>
      </c>
      <c r="I24" s="196">
        <f t="shared" si="0"/>
        <v>1024.1288400000001</v>
      </c>
      <c r="J24" s="200" t="s">
        <v>38</v>
      </c>
      <c r="K24" s="566">
        <v>1315495</v>
      </c>
      <c r="L24" s="599">
        <v>0.11330999999999999</v>
      </c>
      <c r="M24" s="196">
        <f t="shared" ref="M24:M27" si="1">K24*L24</f>
        <v>149058.73845</v>
      </c>
    </row>
    <row r="25" spans="1:13" ht="15.75">
      <c r="A25" s="208" t="s">
        <v>189</v>
      </c>
      <c r="C25" s="314">
        <v>0</v>
      </c>
      <c r="D25" s="36"/>
      <c r="F25" s="200" t="s">
        <v>38</v>
      </c>
      <c r="G25" s="566">
        <v>2425238</v>
      </c>
      <c r="H25" s="599">
        <v>0.11865000000000001</v>
      </c>
      <c r="I25" s="196">
        <f t="shared" si="0"/>
        <v>287754.48869999999</v>
      </c>
      <c r="J25" s="200" t="s">
        <v>39</v>
      </c>
      <c r="K25" s="566">
        <v>29168</v>
      </c>
      <c r="L25" s="599">
        <v>0.11330999999999999</v>
      </c>
      <c r="M25" s="196">
        <f t="shared" si="1"/>
        <v>3305.0260799999996</v>
      </c>
    </row>
    <row r="26" spans="1:13" ht="15.75">
      <c r="A26" s="209" t="s">
        <v>188</v>
      </c>
      <c r="C26" s="315">
        <v>0</v>
      </c>
      <c r="D26" s="36"/>
      <c r="F26" s="200" t="s">
        <v>39</v>
      </c>
      <c r="G26" s="566">
        <v>0</v>
      </c>
      <c r="H26" s="599">
        <v>0.11865000000000001</v>
      </c>
      <c r="I26" s="196">
        <f t="shared" si="0"/>
        <v>0</v>
      </c>
      <c r="J26" s="200" t="s">
        <v>40</v>
      </c>
      <c r="K26" s="566">
        <v>0</v>
      </c>
      <c r="L26" s="599">
        <v>0.11330999999999999</v>
      </c>
      <c r="M26" s="196">
        <f t="shared" si="1"/>
        <v>0</v>
      </c>
    </row>
    <row r="27" spans="1:13" ht="15.75">
      <c r="A27" s="65" t="s">
        <v>96</v>
      </c>
      <c r="C27" s="100">
        <f>SUM(C23:C26)</f>
        <v>0</v>
      </c>
      <c r="D27" s="36"/>
      <c r="F27" s="200" t="s">
        <v>40</v>
      </c>
      <c r="G27" s="566">
        <v>302382</v>
      </c>
      <c r="H27" s="599">
        <v>0.11541</v>
      </c>
      <c r="I27" s="196">
        <f t="shared" si="0"/>
        <v>34897.906620000002</v>
      </c>
      <c r="J27" s="200" t="s">
        <v>41</v>
      </c>
      <c r="K27" s="566">
        <v>0</v>
      </c>
      <c r="L27" s="599">
        <v>0.11330999999999999</v>
      </c>
      <c r="M27" s="196">
        <f t="shared" si="1"/>
        <v>0</v>
      </c>
    </row>
    <row r="28" spans="1:13" ht="16.5" thickBot="1">
      <c r="A28" s="210" t="s">
        <v>150</v>
      </c>
      <c r="C28" s="312">
        <v>0</v>
      </c>
      <c r="D28" s="37"/>
      <c r="F28" s="200" t="s">
        <v>41</v>
      </c>
      <c r="G28" s="566">
        <v>29064</v>
      </c>
      <c r="H28" s="599">
        <v>0.11541</v>
      </c>
      <c r="I28" s="196">
        <f t="shared" si="0"/>
        <v>3354.2762400000001</v>
      </c>
      <c r="J28" s="199" t="s">
        <v>127</v>
      </c>
      <c r="K28" s="181">
        <f>SUM(K23:K27)</f>
        <v>3958456</v>
      </c>
      <c r="L28" s="182"/>
      <c r="M28" s="197">
        <f>SUM(M23:M27)</f>
        <v>448532.64935999998</v>
      </c>
    </row>
    <row r="29" spans="1:13" ht="17.25" thickTop="1" thickBot="1">
      <c r="A29" s="210" t="s">
        <v>167</v>
      </c>
      <c r="B29" s="385"/>
      <c r="C29" s="312">
        <v>0</v>
      </c>
      <c r="D29" s="36"/>
      <c r="F29" s="200" t="s">
        <v>42</v>
      </c>
      <c r="G29" s="566">
        <v>0</v>
      </c>
      <c r="H29" s="599">
        <v>7.4310000000000001E-2</v>
      </c>
      <c r="I29" s="196">
        <f t="shared" si="0"/>
        <v>0</v>
      </c>
      <c r="J29" s="199"/>
      <c r="K29" s="231">
        <v>3958456</v>
      </c>
      <c r="L29" s="187" t="s">
        <v>102</v>
      </c>
      <c r="M29" s="465">
        <f>M28/K28</f>
        <v>0.11330999999999999</v>
      </c>
    </row>
    <row r="30" spans="1:13" ht="16.5" thickBot="1">
      <c r="A30" s="2" t="s">
        <v>111</v>
      </c>
      <c r="C30" s="125">
        <f>C7+C11+C14+C17+C20+C22+C27+C28+C29</f>
        <v>2333310.2400000002</v>
      </c>
      <c r="D30" s="37"/>
      <c r="F30" s="200" t="s">
        <v>43</v>
      </c>
      <c r="G30" s="566">
        <v>71877</v>
      </c>
      <c r="H30" s="599">
        <v>7.4310000000000001E-2</v>
      </c>
      <c r="I30" s="196">
        <f t="shared" si="0"/>
        <v>5341.1798699999999</v>
      </c>
      <c r="J30" s="200"/>
      <c r="K30" s="230">
        <f>K28-K29</f>
        <v>0</v>
      </c>
      <c r="L30" s="182"/>
      <c r="M30" s="198"/>
    </row>
    <row r="31" spans="1:13" ht="15.75">
      <c r="A31" s="384" t="s">
        <v>112</v>
      </c>
      <c r="C31" s="564">
        <v>-17582.39</v>
      </c>
      <c r="D31" s="39"/>
      <c r="F31" s="200" t="s">
        <v>74</v>
      </c>
      <c r="G31" s="566">
        <v>2501903</v>
      </c>
      <c r="H31" s="599">
        <v>5.4000000000000001E-4</v>
      </c>
      <c r="I31" s="196">
        <f t="shared" si="0"/>
        <v>1351.0276200000001</v>
      </c>
      <c r="J31" s="153"/>
      <c r="K31" s="7"/>
      <c r="L31" s="182"/>
      <c r="M31" s="198"/>
    </row>
    <row r="32" spans="1:13" ht="16.5" thickBot="1">
      <c r="A32" s="2" t="s">
        <v>116</v>
      </c>
      <c r="B32" s="2" t="s">
        <v>117</v>
      </c>
      <c r="C32" s="583">
        <f>C30+C31</f>
        <v>2315727.85</v>
      </c>
      <c r="D32" s="40"/>
      <c r="F32" s="199" t="s">
        <v>127</v>
      </c>
      <c r="G32" s="181">
        <f>SUM(G23:G31)</f>
        <v>10280221</v>
      </c>
      <c r="H32" s="7"/>
      <c r="I32" s="197">
        <f>SUM(I23:I31)</f>
        <v>960229.07151000004</v>
      </c>
      <c r="J32" s="192"/>
      <c r="K32" s="193"/>
      <c r="L32" s="7"/>
      <c r="M32" s="190"/>
    </row>
    <row r="33" spans="1:17" ht="17.25" thickTop="1" thickBot="1">
      <c r="A33" s="384" t="s">
        <v>113</v>
      </c>
      <c r="C33" s="583">
        <f>-C5-C9-C13-C16-C19</f>
        <v>-97682.64</v>
      </c>
      <c r="D33" s="36"/>
      <c r="F33" s="186"/>
      <c r="G33" s="231">
        <v>10280221</v>
      </c>
      <c r="H33" s="187" t="s">
        <v>102</v>
      </c>
      <c r="I33" s="216">
        <f>I32/G32</f>
        <v>9.3405489192304333E-2</v>
      </c>
      <c r="J33" s="192"/>
      <c r="K33" s="193"/>
      <c r="L33" s="7"/>
      <c r="M33" s="98"/>
    </row>
    <row r="34" spans="1:17" ht="16.5" thickBot="1">
      <c r="A34" s="2" t="s">
        <v>114</v>
      </c>
      <c r="C34" s="125">
        <f>SUM(C32:C33)</f>
        <v>2218045.21</v>
      </c>
      <c r="D34" s="36"/>
      <c r="F34" s="153"/>
      <c r="G34" s="230">
        <f>G32-G33</f>
        <v>0</v>
      </c>
      <c r="H34" s="7"/>
      <c r="I34" s="98"/>
      <c r="J34" s="192"/>
      <c r="K34" s="191"/>
      <c r="L34" s="7"/>
      <c r="M34" s="98"/>
    </row>
    <row r="35" spans="1:17" ht="18" customHeight="1">
      <c r="A35" s="2"/>
      <c r="C35" s="101"/>
      <c r="D35" s="36"/>
      <c r="F35" s="184"/>
      <c r="G35" s="12"/>
      <c r="H35" s="12"/>
      <c r="I35" s="185"/>
      <c r="J35" s="199" t="s">
        <v>128</v>
      </c>
      <c r="K35" s="637"/>
      <c r="L35" s="637"/>
      <c r="M35" s="638"/>
    </row>
    <row r="36" spans="1:17" ht="15.75">
      <c r="A36" s="16" t="s">
        <v>94</v>
      </c>
      <c r="B36" s="2"/>
      <c r="C36" s="100"/>
      <c r="D36" s="36"/>
      <c r="F36" s="199" t="s">
        <v>128</v>
      </c>
      <c r="G36" s="7"/>
      <c r="H36" s="7"/>
      <c r="I36" s="98"/>
      <c r="J36" s="200" t="s">
        <v>37</v>
      </c>
      <c r="K36" s="585">
        <f>K23</f>
        <v>2613793</v>
      </c>
      <c r="L36" s="599">
        <v>0.23895</v>
      </c>
      <c r="M36" s="196">
        <f t="shared" ref="M36:M42" si="2">K36*L36</f>
        <v>624565.83735000005</v>
      </c>
      <c r="P36" s="273"/>
      <c r="Q36" s="273"/>
    </row>
    <row r="37" spans="1:17" ht="15.75">
      <c r="A37" s="7" t="s">
        <v>129</v>
      </c>
      <c r="B37" s="535" t="s">
        <v>115</v>
      </c>
      <c r="C37" s="564">
        <v>11437837.800000001</v>
      </c>
      <c r="D37" s="36"/>
      <c r="F37" s="200" t="s">
        <v>37</v>
      </c>
      <c r="G37" s="585">
        <f>G23</f>
        <v>4941679</v>
      </c>
      <c r="H37" s="599">
        <v>0.23860000000000001</v>
      </c>
      <c r="I37" s="196">
        <f t="shared" ref="I37:I44" si="3">G37*H37</f>
        <v>1179084.6094</v>
      </c>
      <c r="J37" s="200" t="s">
        <v>38</v>
      </c>
      <c r="K37" s="585">
        <f>K24</f>
        <v>1315495</v>
      </c>
      <c r="L37" s="599">
        <v>0.23895</v>
      </c>
      <c r="M37" s="196">
        <f t="shared" si="2"/>
        <v>314337.53025000001</v>
      </c>
      <c r="P37" s="273"/>
      <c r="Q37" s="273"/>
    </row>
    <row r="38" spans="1:17" ht="15.75">
      <c r="A38" s="144" t="s">
        <v>14</v>
      </c>
      <c r="B38" s="535" t="s">
        <v>115</v>
      </c>
      <c r="C38" s="122"/>
      <c r="D38" s="36"/>
      <c r="F38" s="200" t="s">
        <v>306</v>
      </c>
      <c r="G38" s="585">
        <f>G24</f>
        <v>8078</v>
      </c>
      <c r="H38" s="599">
        <v>0.23860000000000001</v>
      </c>
      <c r="I38" s="196">
        <f t="shared" si="3"/>
        <v>1927.4108000000001</v>
      </c>
      <c r="J38" s="200" t="s">
        <v>39</v>
      </c>
      <c r="K38" s="585">
        <f>K25</f>
        <v>29168</v>
      </c>
      <c r="L38" s="599">
        <v>0.23895</v>
      </c>
      <c r="M38" s="196">
        <f t="shared" si="2"/>
        <v>6969.6935999999996</v>
      </c>
      <c r="P38" s="273"/>
      <c r="Q38" s="273"/>
    </row>
    <row r="39" spans="1:17" ht="15.75">
      <c r="A39" s="7" t="s">
        <v>146</v>
      </c>
      <c r="B39" s="535" t="s">
        <v>147</v>
      </c>
      <c r="C39" s="564">
        <f>-43054.17</f>
        <v>-43054.17</v>
      </c>
      <c r="D39" s="36"/>
      <c r="F39" s="200" t="s">
        <v>38</v>
      </c>
      <c r="G39" s="585">
        <f t="shared" ref="G39:G44" si="4">G25</f>
        <v>2425238</v>
      </c>
      <c r="H39" s="599">
        <v>0.23860000000000001</v>
      </c>
      <c r="I39" s="196">
        <f t="shared" si="3"/>
        <v>578661.7868</v>
      </c>
      <c r="J39" s="200" t="s">
        <v>40</v>
      </c>
      <c r="K39" s="585">
        <f>K26</f>
        <v>0</v>
      </c>
      <c r="L39" s="599">
        <v>0.23895</v>
      </c>
      <c r="M39" s="196">
        <f t="shared" si="2"/>
        <v>0</v>
      </c>
      <c r="P39" s="273"/>
      <c r="Q39" s="273"/>
    </row>
    <row r="40" spans="1:17" ht="15.75">
      <c r="A40" s="7" t="s">
        <v>131</v>
      </c>
      <c r="B40" s="535" t="s">
        <v>132</v>
      </c>
      <c r="C40" s="564">
        <v>-32552.85</v>
      </c>
      <c r="D40" s="36"/>
      <c r="F40" s="200" t="s">
        <v>39</v>
      </c>
      <c r="G40" s="585">
        <f t="shared" si="4"/>
        <v>0</v>
      </c>
      <c r="H40" s="599">
        <v>0.23860000000000001</v>
      </c>
      <c r="I40" s="196">
        <f t="shared" si="3"/>
        <v>0</v>
      </c>
      <c r="J40" s="200" t="s">
        <v>41</v>
      </c>
      <c r="K40" s="585">
        <f>K27</f>
        <v>0</v>
      </c>
      <c r="L40" s="599">
        <v>0.23895</v>
      </c>
      <c r="M40" s="196">
        <f t="shared" si="2"/>
        <v>0</v>
      </c>
      <c r="P40" s="273"/>
      <c r="Q40" s="273"/>
    </row>
    <row r="41" spans="1:17" ht="15.75">
      <c r="A41" s="7" t="s">
        <v>153</v>
      </c>
      <c r="B41" s="6" t="s">
        <v>155</v>
      </c>
      <c r="C41" s="564">
        <f>-122764.98</f>
        <v>-122764.98</v>
      </c>
      <c r="D41" s="36"/>
      <c r="F41" s="200" t="s">
        <v>40</v>
      </c>
      <c r="G41" s="585">
        <f t="shared" si="4"/>
        <v>302382</v>
      </c>
      <c r="H41" s="599">
        <v>0.23860000000000001</v>
      </c>
      <c r="I41" s="196">
        <f t="shared" si="3"/>
        <v>72148.345199999996</v>
      </c>
      <c r="J41" s="200" t="s">
        <v>42</v>
      </c>
      <c r="K41" s="566">
        <v>0</v>
      </c>
      <c r="L41" s="599">
        <v>0.23895</v>
      </c>
      <c r="M41" s="196">
        <f t="shared" si="2"/>
        <v>0</v>
      </c>
      <c r="P41" s="273"/>
      <c r="Q41" s="273"/>
    </row>
    <row r="42" spans="1:17" ht="16.5" thickBot="1">
      <c r="A42" s="7" t="s">
        <v>178</v>
      </c>
      <c r="B42" s="535" t="s">
        <v>179</v>
      </c>
      <c r="C42" s="564">
        <v>1383448.91</v>
      </c>
      <c r="D42" s="37"/>
      <c r="F42" s="200" t="s">
        <v>41</v>
      </c>
      <c r="G42" s="585">
        <f t="shared" si="4"/>
        <v>29064</v>
      </c>
      <c r="H42" s="599">
        <v>0.23860000000000001</v>
      </c>
      <c r="I42" s="196">
        <f t="shared" si="3"/>
        <v>6934.6704</v>
      </c>
      <c r="J42" s="200" t="s">
        <v>43</v>
      </c>
      <c r="K42" s="586">
        <v>0</v>
      </c>
      <c r="L42" s="599">
        <v>0.23895</v>
      </c>
      <c r="M42" s="196">
        <f t="shared" si="2"/>
        <v>0</v>
      </c>
      <c r="P42" s="273"/>
      <c r="Q42" s="273"/>
    </row>
    <row r="43" spans="1:17" ht="16.5" thickBot="1">
      <c r="A43" s="85" t="s">
        <v>123</v>
      </c>
      <c r="B43" s="12"/>
      <c r="C43" s="125">
        <f>SUM(C37:C42)</f>
        <v>12622914.710000001</v>
      </c>
      <c r="D43" s="36"/>
      <c r="F43" s="200" t="s">
        <v>42</v>
      </c>
      <c r="G43" s="585">
        <f t="shared" si="4"/>
        <v>0</v>
      </c>
      <c r="H43" s="599">
        <v>0.23860000000000001</v>
      </c>
      <c r="I43" s="196">
        <f t="shared" si="3"/>
        <v>0</v>
      </c>
      <c r="J43" s="199" t="s">
        <v>133</v>
      </c>
      <c r="K43" s="181">
        <f>SUM(K36:K42)</f>
        <v>3958456</v>
      </c>
      <c r="L43" s="182"/>
      <c r="M43" s="197">
        <f>SUM(M36:M42)</f>
        <v>945873.0612</v>
      </c>
    </row>
    <row r="44" spans="1:17" ht="16.5" thickBot="1">
      <c r="A44" s="83" t="s">
        <v>177</v>
      </c>
      <c r="B44" s="84" t="s">
        <v>120</v>
      </c>
      <c r="C44" s="564">
        <f>-5928843.18+16336.32+1475.13</f>
        <v>-5911031.7299999995</v>
      </c>
      <c r="D44" s="37"/>
      <c r="F44" s="200" t="s">
        <v>43</v>
      </c>
      <c r="G44" s="585">
        <f t="shared" si="4"/>
        <v>71877</v>
      </c>
      <c r="H44" s="599">
        <v>0.23860000000000001</v>
      </c>
      <c r="I44" s="196">
        <f t="shared" si="3"/>
        <v>17149.852200000001</v>
      </c>
      <c r="J44" s="194"/>
      <c r="K44" s="232">
        <v>3958456</v>
      </c>
      <c r="L44" s="189" t="s">
        <v>102</v>
      </c>
      <c r="M44" s="217">
        <f>M43/K43</f>
        <v>0.23895</v>
      </c>
    </row>
    <row r="45" spans="1:17" ht="16.5" thickBot="1">
      <c r="A45" s="211" t="s">
        <v>168</v>
      </c>
      <c r="B45" s="6" t="s">
        <v>115</v>
      </c>
      <c r="C45" s="122">
        <v>0</v>
      </c>
      <c r="D45" s="39"/>
      <c r="F45" s="199" t="s">
        <v>133</v>
      </c>
      <c r="G45" s="181">
        <f>SUM(G37:G44)</f>
        <v>7778318</v>
      </c>
      <c r="H45" s="182"/>
      <c r="I45" s="197">
        <f>SUM(I37:I44)</f>
        <v>1855906.6748000002</v>
      </c>
      <c r="J45" s="85"/>
      <c r="K45" s="231"/>
      <c r="L45" s="187"/>
      <c r="M45" s="560"/>
    </row>
    <row r="46" spans="1:17" ht="19.5" customHeight="1" thickTop="1" thickBot="1">
      <c r="A46" s="144" t="s">
        <v>169</v>
      </c>
      <c r="B46" s="6" t="s">
        <v>115</v>
      </c>
      <c r="C46" s="122">
        <v>0</v>
      </c>
      <c r="D46" s="40"/>
      <c r="F46" s="188"/>
      <c r="G46" s="232">
        <v>7778318</v>
      </c>
      <c r="H46" s="189" t="s">
        <v>102</v>
      </c>
      <c r="I46" s="215">
        <f>I45/G45</f>
        <v>0.23860000000000001</v>
      </c>
      <c r="J46" s="85"/>
      <c r="K46" s="231"/>
      <c r="L46" s="187"/>
      <c r="M46" s="560"/>
    </row>
    <row r="47" spans="1:17" ht="19.5" customHeight="1">
      <c r="A47" s="384" t="s">
        <v>137</v>
      </c>
      <c r="B47" s="6" t="s">
        <v>115</v>
      </c>
      <c r="C47" s="122"/>
      <c r="D47" s="36"/>
      <c r="F47" s="385"/>
      <c r="G47" s="230">
        <f>G45-G46</f>
        <v>0</v>
      </c>
      <c r="H47" s="385"/>
      <c r="I47" s="385"/>
      <c r="J47" s="124"/>
      <c r="K47" s="230">
        <f>K43-K44</f>
        <v>0</v>
      </c>
      <c r="L47" s="385"/>
      <c r="M47" s="124"/>
    </row>
    <row r="48" spans="1:17" ht="16.5" thickBot="1">
      <c r="A48" s="144" t="s">
        <v>305</v>
      </c>
      <c r="B48" s="6" t="s">
        <v>115</v>
      </c>
      <c r="C48" s="564">
        <v>7000</v>
      </c>
      <c r="D48" s="36"/>
      <c r="F48" s="385"/>
      <c r="G48" s="385"/>
      <c r="H48" s="385"/>
      <c r="I48" s="385"/>
      <c r="J48" s="124"/>
      <c r="K48" s="114"/>
      <c r="L48" s="385"/>
      <c r="M48" s="68"/>
    </row>
    <row r="49" spans="1:21" ht="15.75">
      <c r="A49" s="7" t="s">
        <v>130</v>
      </c>
      <c r="B49" s="535" t="s">
        <v>152</v>
      </c>
      <c r="C49" s="564">
        <v>24679.43</v>
      </c>
      <c r="D49" s="36"/>
      <c r="F49" s="385"/>
      <c r="G49" s="114"/>
      <c r="H49" s="129" t="s">
        <v>35</v>
      </c>
      <c r="I49" s="13" t="s">
        <v>35</v>
      </c>
      <c r="J49" s="13" t="s">
        <v>63</v>
      </c>
      <c r="K49" s="127" t="s">
        <v>70</v>
      </c>
      <c r="L49" s="124"/>
      <c r="M49" s="385"/>
    </row>
    <row r="50" spans="1:21" ht="16.5" thickBot="1">
      <c r="A50" s="7" t="s">
        <v>222</v>
      </c>
      <c r="B50" s="535" t="s">
        <v>152</v>
      </c>
      <c r="C50" s="564">
        <v>754.97</v>
      </c>
      <c r="D50" s="37"/>
      <c r="F50" s="50" t="s">
        <v>73</v>
      </c>
      <c r="G50" s="385"/>
      <c r="H50" s="130" t="s">
        <v>2</v>
      </c>
      <c r="I50" s="131" t="s">
        <v>3</v>
      </c>
      <c r="J50" s="131" t="s">
        <v>2</v>
      </c>
      <c r="K50" s="128" t="s">
        <v>3</v>
      </c>
      <c r="L50" s="385"/>
      <c r="M50" s="385"/>
    </row>
    <row r="51" spans="1:21" ht="15.75">
      <c r="A51" s="7" t="s">
        <v>309</v>
      </c>
      <c r="B51" s="535" t="s">
        <v>152</v>
      </c>
      <c r="C51" s="564">
        <v>5383.39</v>
      </c>
      <c r="D51" s="36"/>
      <c r="F51" s="385"/>
      <c r="G51" s="385"/>
      <c r="H51" s="151"/>
      <c r="I51" s="152"/>
      <c r="J51" s="152"/>
      <c r="K51" s="152"/>
      <c r="L51" s="126" t="s">
        <v>103</v>
      </c>
      <c r="M51" s="385"/>
    </row>
    <row r="52" spans="1:21" ht="15.75">
      <c r="A52" s="22" t="s">
        <v>118</v>
      </c>
      <c r="B52" s="6"/>
      <c r="C52" s="584">
        <f>-C33</f>
        <v>97682.64</v>
      </c>
      <c r="D52" s="33"/>
      <c r="F52" s="385" t="s">
        <v>136</v>
      </c>
      <c r="G52" s="385"/>
      <c r="H52" s="212">
        <f>K12</f>
        <v>1373805.4771329998</v>
      </c>
      <c r="I52" s="115">
        <f>I14</f>
        <v>1564387.2866130001</v>
      </c>
      <c r="J52" s="115">
        <f>L12</f>
        <v>701128.21286700002</v>
      </c>
      <c r="K52" s="115">
        <f>J14</f>
        <v>653657.92338699999</v>
      </c>
      <c r="L52" s="132">
        <f>SUM(H52:K52)</f>
        <v>4292978.9000000004</v>
      </c>
      <c r="M52" s="385"/>
    </row>
    <row r="53" spans="1:21" ht="16.5" thickBot="1">
      <c r="A53" s="385" t="s">
        <v>316</v>
      </c>
      <c r="B53" s="604" t="s">
        <v>317</v>
      </c>
      <c r="C53" s="564">
        <f>94701.61</f>
        <v>94701.61</v>
      </c>
      <c r="D53" s="33"/>
      <c r="F53" s="384" t="s">
        <v>109</v>
      </c>
      <c r="H53" s="212">
        <f>-I45</f>
        <v>-1855906.6748000002</v>
      </c>
      <c r="I53" s="115">
        <f>-I32</f>
        <v>-960229.07151000004</v>
      </c>
      <c r="J53" s="115">
        <f>-M43</f>
        <v>-945873.0612</v>
      </c>
      <c r="K53" s="115">
        <f>-M28</f>
        <v>-448532.64935999998</v>
      </c>
      <c r="L53" s="261">
        <f>SUM(H53:K53)</f>
        <v>-4210541.4568699999</v>
      </c>
    </row>
    <row r="54" spans="1:21" ht="16.5" thickBot="1">
      <c r="A54" s="382" t="s">
        <v>124</v>
      </c>
      <c r="B54" s="473" t="s">
        <v>297</v>
      </c>
      <c r="C54" s="564">
        <f>32697.23-2581922.56-1761790.9</f>
        <v>-4311016.2300000004</v>
      </c>
      <c r="D54" s="36"/>
      <c r="F54" s="384" t="s">
        <v>86</v>
      </c>
      <c r="H54" s="234">
        <v>0</v>
      </c>
      <c r="I54" s="235">
        <v>0</v>
      </c>
      <c r="J54" s="235">
        <v>0</v>
      </c>
      <c r="K54" s="236">
        <v>0</v>
      </c>
      <c r="L54" s="214">
        <f>SUM(L52:L53)</f>
        <v>82437.443130000494</v>
      </c>
    </row>
    <row r="55" spans="1:21" ht="16.5" thickBot="1">
      <c r="A55" s="384" t="s">
        <v>313</v>
      </c>
      <c r="B55" s="6" t="s">
        <v>190</v>
      </c>
      <c r="C55" s="564">
        <v>-375000</v>
      </c>
      <c r="D55" s="36"/>
      <c r="F55" s="384" t="s">
        <v>71</v>
      </c>
      <c r="H55" s="125">
        <f>IFERROR(H52+H53+H54,0)</f>
        <v>-482101.19766700035</v>
      </c>
      <c r="I55" s="125">
        <f>I52+I53+I54</f>
        <v>604158.21510300005</v>
      </c>
      <c r="J55" s="125">
        <f>IFERROR(J52+J53+J54,0)</f>
        <v>-244744.84833299997</v>
      </c>
      <c r="K55" s="125">
        <f>K52+K53+K54</f>
        <v>205125.27402700001</v>
      </c>
      <c r="L55" s="47">
        <f>SUM(H55:K55)</f>
        <v>82437.443129999738</v>
      </c>
    </row>
    <row r="56" spans="1:21" ht="16.5" thickBot="1">
      <c r="A56" s="82" t="s">
        <v>119</v>
      </c>
      <c r="B56" s="84"/>
      <c r="C56" s="160">
        <f>SUM(C43:C55)</f>
        <v>2256068.79</v>
      </c>
      <c r="D56" s="36"/>
      <c r="F56" s="240" t="s">
        <v>181</v>
      </c>
      <c r="H56" s="384" t="s">
        <v>173</v>
      </c>
      <c r="I56" s="5">
        <f>SUM(H55:I55)</f>
        <v>122057.0174359997</v>
      </c>
      <c r="J56" s="15" t="s">
        <v>174</v>
      </c>
      <c r="K56" s="384">
        <f>SUM(J55:K55)</f>
        <v>-39619.574305999966</v>
      </c>
      <c r="L56" s="213">
        <f>ROUND(L54-L55,3)</f>
        <v>0</v>
      </c>
      <c r="T56" s="42"/>
    </row>
    <row r="57" spans="1:21" ht="16.5" thickTop="1">
      <c r="A57" s="384" t="s">
        <v>121</v>
      </c>
      <c r="B57" s="6" t="s">
        <v>115</v>
      </c>
      <c r="C57" s="564">
        <v>-121291.31</v>
      </c>
      <c r="D57" s="36"/>
      <c r="F57" s="397" t="s">
        <v>181</v>
      </c>
      <c r="H57" s="96"/>
    </row>
    <row r="58" spans="1:21" ht="16.5" thickBot="1">
      <c r="A58" s="384" t="s">
        <v>122</v>
      </c>
      <c r="B58" s="6" t="s">
        <v>115</v>
      </c>
      <c r="C58" s="564">
        <v>-59843.79</v>
      </c>
      <c r="D58" s="36"/>
      <c r="F58" s="397" t="s">
        <v>182</v>
      </c>
      <c r="H58" s="157"/>
      <c r="I58" s="120"/>
      <c r="J58" s="120"/>
      <c r="K58" s="204"/>
      <c r="L58" s="120"/>
    </row>
    <row r="59" spans="1:21" ht="16.5" thickBot="1">
      <c r="A59" s="2" t="s">
        <v>125</v>
      </c>
      <c r="B59" s="2"/>
      <c r="C59" s="160">
        <f>SUM(C56:C58)</f>
        <v>2074933.69</v>
      </c>
      <c r="D59" s="36"/>
      <c r="F59" s="546" t="s">
        <v>304</v>
      </c>
      <c r="G59" s="547" t="str">
        <f>IF(OR(AND(I56&gt;0,K56&gt;0),AND(I56&lt;0,K56&lt;0)),"OK","ERROR")</f>
        <v>ERROR</v>
      </c>
      <c r="H59" s="386" t="s">
        <v>295</v>
      </c>
      <c r="I59" s="387"/>
    </row>
    <row r="60" spans="1:21" ht="17.25" thickTop="1" thickBot="1">
      <c r="A60" s="2"/>
      <c r="C60" s="101"/>
      <c r="D60" s="36"/>
      <c r="H60" s="318" t="s">
        <v>175</v>
      </c>
      <c r="I60" s="319" t="s">
        <v>176</v>
      </c>
      <c r="J60" s="5"/>
    </row>
    <row r="61" spans="1:21" ht="16.5" thickBot="1">
      <c r="A61" s="9"/>
      <c r="B61" s="9" t="s">
        <v>95</v>
      </c>
      <c r="C61" s="125">
        <f>C59+C34</f>
        <v>4292978.9000000004</v>
      </c>
      <c r="D61" s="36"/>
      <c r="H61" s="349" t="e">
        <f>SUM(#REF!,#REF!,#REF!,#REF!,#REF!,#REF!)</f>
        <v>#REF!</v>
      </c>
      <c r="I61" s="449" t="e">
        <f>SUM(#REF!,#REF!,#REF!,#REF!,#REF!,#REF!)</f>
        <v>#REF!</v>
      </c>
      <c r="J61" s="384">
        <f>H53+I53+J53+K53</f>
        <v>-4210541.4568699999</v>
      </c>
    </row>
    <row r="62" spans="1:21" ht="15.75">
      <c r="A62" s="2"/>
      <c r="B62" s="9" t="s">
        <v>160</v>
      </c>
      <c r="C62" s="350">
        <v>4292978.9000000004</v>
      </c>
      <c r="D62" s="37"/>
      <c r="G62" s="5"/>
      <c r="I62" s="338" t="e">
        <f>H61-I61</f>
        <v>#REF!</v>
      </c>
      <c r="N62" s="5"/>
      <c r="O62" s="5"/>
      <c r="P62" s="21"/>
    </row>
    <row r="63" spans="1:21" ht="15.75">
      <c r="A63" s="9"/>
      <c r="B63" s="9" t="s">
        <v>159</v>
      </c>
      <c r="C63" s="257">
        <f>ROUND(C61-C62,2)</f>
        <v>0</v>
      </c>
      <c r="S63" s="6"/>
    </row>
    <row r="64" spans="1:21" ht="15.75">
      <c r="A64" s="44"/>
      <c r="C64" s="351"/>
      <c r="D64" s="36"/>
      <c r="N64" s="22"/>
      <c r="U64" s="2"/>
    </row>
    <row r="65" spans="1:21" ht="15.75">
      <c r="A65" s="44"/>
      <c r="C65" s="8"/>
      <c r="D65" s="43"/>
      <c r="N65" s="22"/>
      <c r="S65" s="23"/>
    </row>
    <row r="66" spans="1:21" ht="15.75">
      <c r="A66" s="2"/>
      <c r="C66" s="8"/>
      <c r="D66" s="36"/>
      <c r="N66" s="22"/>
      <c r="S66" s="24"/>
    </row>
    <row r="67" spans="1:21">
      <c r="C67" s="100"/>
      <c r="D67" s="36"/>
      <c r="N67" s="22"/>
      <c r="S67" s="25"/>
    </row>
    <row r="68" spans="1:21">
      <c r="D68" s="36"/>
      <c r="N68" s="22"/>
      <c r="S68" s="24"/>
    </row>
    <row r="69" spans="1:21">
      <c r="D69" s="36"/>
      <c r="N69" s="22"/>
    </row>
    <row r="70" spans="1:21">
      <c r="D70" s="37"/>
      <c r="N70" s="22"/>
      <c r="S70" s="26"/>
    </row>
    <row r="71" spans="1:21">
      <c r="D71" s="36"/>
    </row>
    <row r="72" spans="1:21">
      <c r="D72" s="36"/>
    </row>
    <row r="73" spans="1:21">
      <c r="D73" s="36"/>
      <c r="S73" s="27"/>
    </row>
    <row r="74" spans="1:21">
      <c r="D74" s="45"/>
      <c r="R74" s="6"/>
      <c r="S74" s="6"/>
      <c r="T74" s="6"/>
    </row>
    <row r="76" spans="1:21">
      <c r="U76" s="28"/>
    </row>
    <row r="1477" spans="3:3">
      <c r="C1477" s="384">
        <v>-2130</v>
      </c>
    </row>
    <row r="1485" spans="3:3">
      <c r="C1485" s="384">
        <f>7004298-2130</f>
        <v>7002168</v>
      </c>
    </row>
  </sheetData>
  <mergeCells count="3">
    <mergeCell ref="F18:I18"/>
    <mergeCell ref="J18:M18"/>
    <mergeCell ref="K35:M35"/>
  </mergeCells>
  <conditionalFormatting sqref="C63 L56 I62">
    <cfRule type="cellIs" dxfId="275" priority="7" stopIfTrue="1" operator="equal">
      <formula>0</formula>
    </cfRule>
    <cfRule type="cellIs" dxfId="274" priority="8" stopIfTrue="1" operator="notEqual">
      <formula>0</formula>
    </cfRule>
  </conditionalFormatting>
  <conditionalFormatting sqref="G34 G47 K30 K47">
    <cfRule type="cellIs" dxfId="273" priority="6" operator="notEqual">
      <formula>0</formula>
    </cfRule>
  </conditionalFormatting>
  <conditionalFormatting sqref="C63">
    <cfRule type="cellIs" dxfId="272" priority="4" stopIfTrue="1" operator="equal">
      <formula>0</formula>
    </cfRule>
    <cfRule type="cellIs" dxfId="271" priority="5" stopIfTrue="1" operator="notEqual">
      <formula>0</formula>
    </cfRule>
  </conditionalFormatting>
  <conditionalFormatting sqref="K30">
    <cfRule type="cellIs" dxfId="270" priority="3" operator="notEqual">
      <formula>0</formula>
    </cfRule>
  </conditionalFormatting>
  <conditionalFormatting sqref="G59">
    <cfRule type="cellIs" dxfId="269" priority="2" operator="equal">
      <formula>"ERROR"</formula>
    </cfRule>
  </conditionalFormatting>
  <conditionalFormatting sqref="G59">
    <cfRule type="cellIs" dxfId="268" priority="1" operator="equal">
      <formula>"ERROR"</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customProperties>
    <customPr name="xxe4aPID" r:id="rId2"/>
  </customProperties>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11">
    <tabColor rgb="FF00CC66"/>
    <pageSetUpPr fitToPage="1"/>
  </sheetPr>
  <dimension ref="A1:U1485"/>
  <sheetViews>
    <sheetView showGridLines="0" topLeftCell="A31" zoomScale="70" zoomScaleNormal="70" workbookViewId="0">
      <selection activeCell="B67" sqref="B67"/>
    </sheetView>
  </sheetViews>
  <sheetFormatPr defaultColWidth="16" defaultRowHeight="15"/>
  <cols>
    <col min="1" max="1" width="44.85546875" style="384" customWidth="1"/>
    <col min="2" max="2" width="25.5703125" style="384" customWidth="1"/>
    <col min="3" max="3" width="25.28515625" style="384" customWidth="1"/>
    <col min="4" max="4" width="2.7109375" style="30" customWidth="1"/>
    <col min="5" max="5" width="4.28515625" style="384" customWidth="1"/>
    <col min="6" max="6" width="26.7109375" style="384" customWidth="1"/>
    <col min="7" max="7" width="19" style="384" customWidth="1"/>
    <col min="8" max="8" width="22" style="384" customWidth="1"/>
    <col min="9" max="9" width="20.42578125" style="384" customWidth="1"/>
    <col min="10" max="10" width="26.28515625" style="384" customWidth="1"/>
    <col min="11" max="11" width="21.85546875" style="384" bestFit="1" customWidth="1"/>
    <col min="12" max="12" width="23.85546875" style="384" customWidth="1"/>
    <col min="13" max="13" width="20.85546875" style="384" bestFit="1" customWidth="1"/>
    <col min="14" max="15" width="16" style="384"/>
    <col min="16" max="16" width="16.28515625" style="384" bestFit="1" customWidth="1"/>
    <col min="17" max="16384" width="16" style="384"/>
  </cols>
  <sheetData>
    <row r="1" spans="1:13" ht="16.5" thickBot="1">
      <c r="A1" s="145" t="s">
        <v>64</v>
      </c>
      <c r="B1" s="29"/>
      <c r="C1" s="530">
        <f>May!C1+1</f>
        <v>201706</v>
      </c>
      <c r="F1" s="530">
        <f>C1</f>
        <v>201706</v>
      </c>
      <c r="G1" s="385"/>
      <c r="H1" s="162" t="s">
        <v>69</v>
      </c>
      <c r="I1" s="126" t="s">
        <v>3</v>
      </c>
      <c r="J1" s="126" t="s">
        <v>3</v>
      </c>
      <c r="K1" s="126" t="s">
        <v>66</v>
      </c>
      <c r="L1" s="126" t="s">
        <v>66</v>
      </c>
      <c r="M1" s="385"/>
    </row>
    <row r="2" spans="1:13" ht="15.75">
      <c r="C2" s="31"/>
      <c r="F2" s="385"/>
      <c r="G2" s="385"/>
      <c r="H2" s="163" t="s">
        <v>32</v>
      </c>
      <c r="I2" s="164" t="s">
        <v>65</v>
      </c>
      <c r="J2" s="164" t="s">
        <v>65</v>
      </c>
      <c r="K2" s="164" t="s">
        <v>67</v>
      </c>
      <c r="L2" s="164" t="s">
        <v>67</v>
      </c>
      <c r="M2" s="385"/>
    </row>
    <row r="3" spans="1:13" ht="16.5" thickBot="1">
      <c r="A3" s="63" t="s">
        <v>110</v>
      </c>
      <c r="C3" s="32"/>
      <c r="D3" s="33"/>
      <c r="F3" s="50" t="s">
        <v>72</v>
      </c>
      <c r="G3" s="385"/>
      <c r="H3" s="165" t="s">
        <v>68</v>
      </c>
      <c r="I3" s="165" t="s">
        <v>35</v>
      </c>
      <c r="J3" s="165" t="s">
        <v>63</v>
      </c>
      <c r="K3" s="165" t="s">
        <v>35</v>
      </c>
      <c r="L3" s="165" t="s">
        <v>63</v>
      </c>
      <c r="M3" s="385"/>
    </row>
    <row r="4" spans="1:13" ht="15.75">
      <c r="A4" s="385" t="s">
        <v>88</v>
      </c>
      <c r="C4" s="564">
        <f>4449796.09</f>
        <v>4449796.09</v>
      </c>
      <c r="D4" s="34"/>
      <c r="F4" s="385"/>
      <c r="G4" s="385"/>
      <c r="H4" s="11"/>
      <c r="I4" s="385"/>
      <c r="J4" s="385"/>
      <c r="L4" s="385"/>
      <c r="M4" s="385"/>
    </row>
    <row r="5" spans="1:13" ht="14.25" customHeight="1">
      <c r="A5" s="385" t="s">
        <v>31</v>
      </c>
      <c r="C5" s="564">
        <f>65499.83-6.51+2.96</f>
        <v>65496.28</v>
      </c>
      <c r="D5" s="34"/>
      <c r="F5" s="385"/>
      <c r="G5" s="385"/>
      <c r="H5" s="11"/>
      <c r="I5" s="596">
        <v>0.70530000000000004</v>
      </c>
      <c r="J5" s="596">
        <v>0.29470000000000002</v>
      </c>
      <c r="K5" s="445">
        <f>ROUND(G45/(G45+K43),4)</f>
        <v>0.6472</v>
      </c>
      <c r="L5" s="445">
        <f>1-K5</f>
        <v>0.3528</v>
      </c>
      <c r="M5" s="385"/>
    </row>
    <row r="6" spans="1:13" ht="16.5" thickBot="1">
      <c r="A6" s="49" t="s">
        <v>30</v>
      </c>
      <c r="C6" s="565">
        <f>-2267480.4-430500-123000-138375-79335-99088.8</f>
        <v>-3137779.1999999997</v>
      </c>
      <c r="D6" s="34"/>
      <c r="F6" s="385"/>
      <c r="G6" s="385"/>
      <c r="H6" s="385"/>
      <c r="I6" s="385"/>
      <c r="J6" s="385"/>
      <c r="K6" s="385"/>
      <c r="L6" s="385"/>
      <c r="M6" s="385"/>
    </row>
    <row r="7" spans="1:13" ht="16.5" thickBot="1">
      <c r="A7" s="66" t="s">
        <v>140</v>
      </c>
      <c r="C7" s="100">
        <f>SUM(C4:C6)</f>
        <v>1377513.1700000004</v>
      </c>
      <c r="D7" s="35"/>
      <c r="F7" s="166" t="s">
        <v>139</v>
      </c>
      <c r="G7" s="166"/>
      <c r="H7" s="125">
        <f>C34</f>
        <v>2182997.4600000004</v>
      </c>
      <c r="I7" s="167">
        <f>H7*I5</f>
        <v>1539668.1085380004</v>
      </c>
      <c r="J7" s="167">
        <f>H7*J5</f>
        <v>643329.35146200017</v>
      </c>
      <c r="K7" s="167"/>
      <c r="L7" s="167"/>
      <c r="M7" s="385"/>
    </row>
    <row r="8" spans="1:13" ht="15.75">
      <c r="A8" s="384" t="s">
        <v>89</v>
      </c>
      <c r="C8" s="564">
        <f>185334.94</f>
        <v>185334.94</v>
      </c>
      <c r="D8" s="35"/>
      <c r="F8" s="385"/>
      <c r="G8" s="385"/>
      <c r="H8" s="168"/>
      <c r="I8" s="168"/>
      <c r="J8" s="168"/>
      <c r="K8" s="168"/>
      <c r="L8" s="168"/>
      <c r="M8" s="385"/>
    </row>
    <row r="9" spans="1:13" ht="15.75">
      <c r="A9" s="385" t="s">
        <v>90</v>
      </c>
      <c r="C9" s="564">
        <f>4289.37</f>
        <v>4289.37</v>
      </c>
      <c r="D9" s="36"/>
      <c r="F9" s="166" t="s">
        <v>119</v>
      </c>
      <c r="G9" s="385"/>
      <c r="H9" s="167">
        <f>C56</f>
        <v>720702.23999999836</v>
      </c>
      <c r="I9" s="167"/>
      <c r="J9" s="167"/>
      <c r="K9" s="167">
        <f>H9*K5</f>
        <v>466438.48972799891</v>
      </c>
      <c r="L9" s="167">
        <f>H9*L5</f>
        <v>254263.75027199942</v>
      </c>
      <c r="M9" s="385"/>
    </row>
    <row r="10" spans="1:13" ht="15.75">
      <c r="A10" s="49" t="s">
        <v>91</v>
      </c>
      <c r="C10" s="565">
        <f>-3308.2</f>
        <v>-3308.2</v>
      </c>
      <c r="D10" s="36"/>
      <c r="F10" s="169" t="s">
        <v>44</v>
      </c>
      <c r="G10" s="385"/>
      <c r="H10" s="167">
        <f>C57</f>
        <v>94937.33</v>
      </c>
      <c r="I10" s="167"/>
      <c r="J10" s="167"/>
      <c r="K10" s="167">
        <f>H10</f>
        <v>94937.33</v>
      </c>
      <c r="L10" s="167"/>
      <c r="M10" s="385"/>
    </row>
    <row r="11" spans="1:13">
      <c r="A11" s="66" t="s">
        <v>145</v>
      </c>
      <c r="C11" s="100">
        <f>SUM(C8:C10)</f>
        <v>186316.11</v>
      </c>
      <c r="D11" s="36"/>
      <c r="F11" s="169" t="s">
        <v>45</v>
      </c>
      <c r="G11" s="385"/>
      <c r="H11" s="170">
        <f>C58</f>
        <v>44793.22</v>
      </c>
      <c r="I11" s="167"/>
      <c r="J11" s="167"/>
      <c r="K11" s="170"/>
      <c r="L11" s="170">
        <f>H11</f>
        <v>44793.22</v>
      </c>
      <c r="M11" s="385"/>
    </row>
    <row r="12" spans="1:13" ht="15.75">
      <c r="A12" s="384" t="s">
        <v>165</v>
      </c>
      <c r="C12" s="564">
        <f>183284.87+3233.85</f>
        <v>186518.72</v>
      </c>
      <c r="D12" s="36"/>
      <c r="F12" s="169" t="s">
        <v>138</v>
      </c>
      <c r="G12" s="385"/>
      <c r="H12" s="167">
        <f>H9+H10+H11</f>
        <v>860432.78999999829</v>
      </c>
      <c r="I12" s="167"/>
      <c r="J12" s="167"/>
      <c r="K12" s="167">
        <f>SUM(K9:K11)</f>
        <v>561375.81972799893</v>
      </c>
      <c r="L12" s="167">
        <f>SUM(L9:L11)</f>
        <v>299056.97027199942</v>
      </c>
      <c r="M12" s="385"/>
    </row>
    <row r="13" spans="1:13" ht="16.5" thickBot="1">
      <c r="A13" s="49" t="s">
        <v>166</v>
      </c>
      <c r="C13" s="559">
        <v>0</v>
      </c>
      <c r="D13" s="36"/>
      <c r="F13" s="171"/>
      <c r="G13" s="172"/>
      <c r="H13" s="173"/>
      <c r="I13" s="174"/>
      <c r="J13" s="173"/>
      <c r="K13" s="168"/>
      <c r="L13" s="173"/>
      <c r="M13" s="385"/>
    </row>
    <row r="14" spans="1:13" ht="16.5" thickBot="1">
      <c r="A14" s="66" t="s">
        <v>92</v>
      </c>
      <c r="C14" s="100">
        <f>SUM(C12:C13)</f>
        <v>186518.72</v>
      </c>
      <c r="D14" s="37"/>
      <c r="F14" s="50" t="s">
        <v>69</v>
      </c>
      <c r="G14" s="175"/>
      <c r="H14" s="125">
        <f>H12+H7</f>
        <v>3043430.2499999986</v>
      </c>
      <c r="I14" s="176">
        <f>SUM(I7:I13)</f>
        <v>1539668.1085380004</v>
      </c>
      <c r="J14" s="176">
        <f>SUM(J7:J13)</f>
        <v>643329.35146200017</v>
      </c>
      <c r="K14" s="176">
        <f>K12</f>
        <v>561375.81972799893</v>
      </c>
      <c r="L14" s="176">
        <f>L12</f>
        <v>299056.97027199942</v>
      </c>
      <c r="M14" s="385"/>
    </row>
    <row r="15" spans="1:13" ht="15.75">
      <c r="A15" s="384" t="s">
        <v>183</v>
      </c>
      <c r="C15" s="564">
        <f>428276.65+7983.61</f>
        <v>436260.26</v>
      </c>
      <c r="D15" s="36"/>
      <c r="F15" s="171"/>
      <c r="G15" s="172" t="s">
        <v>102</v>
      </c>
      <c r="H15" s="173">
        <f>H14-C61</f>
        <v>0</v>
      </c>
      <c r="I15" s="177"/>
      <c r="J15" s="173">
        <f>J7+I7-H7</f>
        <v>0</v>
      </c>
      <c r="K15" s="385"/>
      <c r="L15" s="173">
        <f>H12-K14-L14</f>
        <v>0</v>
      </c>
      <c r="M15" s="385"/>
    </row>
    <row r="16" spans="1:13" ht="15.75">
      <c r="A16" s="49" t="s">
        <v>184</v>
      </c>
      <c r="C16" s="559">
        <v>0</v>
      </c>
      <c r="D16" s="36"/>
      <c r="F16" s="178"/>
      <c r="G16" s="172"/>
      <c r="H16" s="179"/>
      <c r="I16" s="180"/>
      <c r="J16" s="179"/>
      <c r="K16" s="385"/>
      <c r="L16" s="179"/>
      <c r="M16" s="385"/>
    </row>
    <row r="17" spans="1:13" ht="15.75" thickBot="1">
      <c r="A17" s="66" t="s">
        <v>185</v>
      </c>
      <c r="C17" s="100">
        <f>SUM(C15:C16)</f>
        <v>436260.26</v>
      </c>
      <c r="D17" s="37"/>
      <c r="F17" s="171"/>
      <c r="G17" s="172"/>
      <c r="H17" s="179"/>
      <c r="I17" s="180"/>
      <c r="J17" s="183"/>
      <c r="K17" s="385"/>
      <c r="L17" s="179"/>
      <c r="M17" s="385"/>
    </row>
    <row r="18" spans="1:13" ht="16.5" thickBot="1">
      <c r="A18" s="384" t="s">
        <v>163</v>
      </c>
      <c r="C18" s="564">
        <f>62301.2+10030.8+806.32</f>
        <v>73138.320000000007</v>
      </c>
      <c r="D18" s="36"/>
      <c r="F18" s="639" t="s">
        <v>134</v>
      </c>
      <c r="G18" s="640"/>
      <c r="H18" s="640"/>
      <c r="I18" s="641"/>
      <c r="J18" s="639" t="s">
        <v>135</v>
      </c>
      <c r="K18" s="640"/>
      <c r="L18" s="640"/>
      <c r="M18" s="641"/>
    </row>
    <row r="19" spans="1:13" ht="15.75">
      <c r="A19" s="46" t="s">
        <v>164</v>
      </c>
      <c r="C19" s="559">
        <v>0</v>
      </c>
      <c r="D19" s="36"/>
      <c r="F19" s="201" t="s">
        <v>108</v>
      </c>
      <c r="G19" s="164" t="s">
        <v>33</v>
      </c>
      <c r="H19" s="164" t="s">
        <v>33</v>
      </c>
      <c r="I19" s="164" t="s">
        <v>33</v>
      </c>
      <c r="J19" s="201" t="s">
        <v>108</v>
      </c>
      <c r="K19" s="164" t="s">
        <v>33</v>
      </c>
      <c r="L19" s="164" t="s">
        <v>33</v>
      </c>
      <c r="M19" s="185" t="s">
        <v>33</v>
      </c>
    </row>
    <row r="20" spans="1:13" ht="16.5" thickBot="1">
      <c r="A20" s="67" t="s">
        <v>93</v>
      </c>
      <c r="C20" s="100">
        <f>SUM(C18:C19)</f>
        <v>73138.320000000007</v>
      </c>
      <c r="D20" s="36"/>
      <c r="F20" s="195" t="s">
        <v>162</v>
      </c>
      <c r="G20" s="165" t="s">
        <v>101</v>
      </c>
      <c r="H20" s="165" t="s">
        <v>36</v>
      </c>
      <c r="I20" s="165" t="s">
        <v>34</v>
      </c>
      <c r="J20" s="195" t="s">
        <v>162</v>
      </c>
      <c r="K20" s="165" t="s">
        <v>101</v>
      </c>
      <c r="L20" s="165" t="s">
        <v>36</v>
      </c>
      <c r="M20" s="165" t="s">
        <v>34</v>
      </c>
    </row>
    <row r="21" spans="1:13" ht="15.75">
      <c r="A21" s="46" t="s">
        <v>149</v>
      </c>
      <c r="C21" s="565">
        <f>1850+98.89</f>
        <v>1948.89</v>
      </c>
      <c r="D21" s="36"/>
      <c r="F21" s="184"/>
      <c r="G21" s="12"/>
      <c r="H21" s="12"/>
      <c r="I21" s="185"/>
      <c r="J21" s="129"/>
      <c r="K21" s="13"/>
      <c r="L21" s="13"/>
      <c r="M21" s="205"/>
    </row>
    <row r="22" spans="1:13" ht="18" customHeight="1">
      <c r="A22" s="65" t="s">
        <v>149</v>
      </c>
      <c r="C22" s="100">
        <f>SUM(C21)</f>
        <v>1948.89</v>
      </c>
      <c r="D22" s="36"/>
      <c r="F22" s="199" t="s">
        <v>126</v>
      </c>
      <c r="G22" s="7"/>
      <c r="H22" s="7"/>
      <c r="I22" s="98"/>
      <c r="J22" s="199" t="s">
        <v>126</v>
      </c>
      <c r="K22" s="7"/>
      <c r="L22" s="7"/>
      <c r="M22" s="98"/>
    </row>
    <row r="23" spans="1:13" ht="15.75">
      <c r="A23" s="208" t="s">
        <v>180</v>
      </c>
      <c r="C23" s="100">
        <v>0</v>
      </c>
      <c r="D23" s="36"/>
      <c r="F23" s="200" t="s">
        <v>37</v>
      </c>
      <c r="G23" s="566">
        <v>2542069</v>
      </c>
      <c r="H23" s="599">
        <v>0.12678</v>
      </c>
      <c r="I23" s="196">
        <f>G23*H23</f>
        <v>322283.50782</v>
      </c>
      <c r="J23" s="200" t="s">
        <v>37</v>
      </c>
      <c r="K23" s="566">
        <v>1233197</v>
      </c>
      <c r="L23" s="599">
        <v>0.11330999999999999</v>
      </c>
      <c r="M23" s="196">
        <f>K23*L23</f>
        <v>139733.55207000001</v>
      </c>
    </row>
    <row r="24" spans="1:13" ht="15.75">
      <c r="A24" s="208" t="s">
        <v>186</v>
      </c>
      <c r="C24" s="312">
        <v>0</v>
      </c>
      <c r="D24" s="36"/>
      <c r="F24" s="200" t="s">
        <v>306</v>
      </c>
      <c r="G24" s="566">
        <v>3619</v>
      </c>
      <c r="H24" s="599">
        <v>0.12678</v>
      </c>
      <c r="I24" s="196">
        <f t="shared" ref="I24:I31" si="0">G24*H24</f>
        <v>458.81682000000001</v>
      </c>
      <c r="J24" s="200" t="s">
        <v>38</v>
      </c>
      <c r="K24" s="566">
        <v>1319570</v>
      </c>
      <c r="L24" s="599">
        <v>0.11330999999999999</v>
      </c>
      <c r="M24" s="196">
        <f t="shared" ref="M24:M27" si="1">K24*L24</f>
        <v>149520.4767</v>
      </c>
    </row>
    <row r="25" spans="1:13" ht="15.75">
      <c r="A25" s="208" t="s">
        <v>189</v>
      </c>
      <c r="C25" s="314">
        <v>0</v>
      </c>
      <c r="D25" s="36"/>
      <c r="F25" s="200" t="s">
        <v>38</v>
      </c>
      <c r="G25" s="566">
        <v>1878375</v>
      </c>
      <c r="H25" s="599">
        <v>0.11865000000000001</v>
      </c>
      <c r="I25" s="196">
        <f t="shared" si="0"/>
        <v>222869.19375000001</v>
      </c>
      <c r="J25" s="200" t="s">
        <v>39</v>
      </c>
      <c r="K25" s="566">
        <v>55493</v>
      </c>
      <c r="L25" s="599">
        <v>0.11330999999999999</v>
      </c>
      <c r="M25" s="196">
        <f t="shared" si="1"/>
        <v>6287.91183</v>
      </c>
    </row>
    <row r="26" spans="1:13" ht="15.75">
      <c r="A26" s="209" t="s">
        <v>188</v>
      </c>
      <c r="C26" s="315">
        <v>0</v>
      </c>
      <c r="D26" s="36"/>
      <c r="F26" s="200" t="s">
        <v>39</v>
      </c>
      <c r="G26" s="566">
        <v>0</v>
      </c>
      <c r="H26" s="599">
        <v>0.11865000000000001</v>
      </c>
      <c r="I26" s="196">
        <f t="shared" si="0"/>
        <v>0</v>
      </c>
      <c r="J26" s="200" t="s">
        <v>40</v>
      </c>
      <c r="K26" s="566">
        <v>0</v>
      </c>
      <c r="L26" s="599">
        <v>0.11330999999999999</v>
      </c>
      <c r="M26" s="196">
        <f t="shared" si="1"/>
        <v>0</v>
      </c>
    </row>
    <row r="27" spans="1:13" ht="15.75">
      <c r="A27" s="65" t="s">
        <v>96</v>
      </c>
      <c r="C27" s="100">
        <f>SUM(C23:C26)</f>
        <v>0</v>
      </c>
      <c r="D27" s="36"/>
      <c r="F27" s="200" t="s">
        <v>40</v>
      </c>
      <c r="G27" s="566">
        <v>289055</v>
      </c>
      <c r="H27" s="599">
        <v>0.11541</v>
      </c>
      <c r="I27" s="196">
        <f t="shared" si="0"/>
        <v>33359.837549999997</v>
      </c>
      <c r="J27" s="200" t="s">
        <v>41</v>
      </c>
      <c r="K27" s="566">
        <v>0</v>
      </c>
      <c r="L27" s="599">
        <v>0.11330999999999999</v>
      </c>
      <c r="M27" s="196">
        <f t="shared" si="1"/>
        <v>0</v>
      </c>
    </row>
    <row r="28" spans="1:13" ht="16.5" thickBot="1">
      <c r="A28" s="210" t="s">
        <v>150</v>
      </c>
      <c r="C28" s="312">
        <v>0</v>
      </c>
      <c r="D28" s="37"/>
      <c r="F28" s="200" t="s">
        <v>41</v>
      </c>
      <c r="G28" s="566">
        <v>17666</v>
      </c>
      <c r="H28" s="599">
        <v>0.11541</v>
      </c>
      <c r="I28" s="196">
        <f t="shared" si="0"/>
        <v>2038.8330599999999</v>
      </c>
      <c r="J28" s="199" t="s">
        <v>127</v>
      </c>
      <c r="K28" s="181">
        <f>SUM(K23:K27)</f>
        <v>2608260</v>
      </c>
      <c r="L28" s="182"/>
      <c r="M28" s="197">
        <f>SUM(M23:M27)</f>
        <v>295541.94059999997</v>
      </c>
    </row>
    <row r="29" spans="1:13" ht="17.25" thickTop="1" thickBot="1">
      <c r="A29" s="210" t="s">
        <v>167</v>
      </c>
      <c r="B29" s="385"/>
      <c r="C29" s="312">
        <v>0</v>
      </c>
      <c r="D29" s="36"/>
      <c r="F29" s="200" t="s">
        <v>42</v>
      </c>
      <c r="G29" s="566">
        <v>0</v>
      </c>
      <c r="H29" s="599">
        <v>7.4310000000000001E-2</v>
      </c>
      <c r="I29" s="196">
        <f t="shared" si="0"/>
        <v>0</v>
      </c>
      <c r="J29" s="199"/>
      <c r="K29" s="231">
        <v>2608260</v>
      </c>
      <c r="L29" s="187" t="s">
        <v>102</v>
      </c>
      <c r="M29" s="465">
        <f>M28/K28</f>
        <v>0.11330999999999999</v>
      </c>
    </row>
    <row r="30" spans="1:13" ht="16.5" thickBot="1">
      <c r="A30" s="2" t="s">
        <v>111</v>
      </c>
      <c r="C30" s="125">
        <f>C7+C11+C14+C17+C20+C22+C27+C28+C29</f>
        <v>2261695.4700000002</v>
      </c>
      <c r="D30" s="37"/>
      <c r="F30" s="200" t="s">
        <v>43</v>
      </c>
      <c r="G30" s="566">
        <v>53882</v>
      </c>
      <c r="H30" s="599">
        <v>7.4310000000000001E-2</v>
      </c>
      <c r="I30" s="196">
        <f t="shared" si="0"/>
        <v>4003.9714199999999</v>
      </c>
      <c r="J30" s="200"/>
      <c r="K30" s="230">
        <f>K28-K29</f>
        <v>0</v>
      </c>
      <c r="L30" s="182"/>
      <c r="M30" s="198"/>
    </row>
    <row r="31" spans="1:13" ht="15.75">
      <c r="A31" s="384" t="s">
        <v>112</v>
      </c>
      <c r="C31" s="564">
        <f>-8912.36</f>
        <v>-8912.36</v>
      </c>
      <c r="D31" s="39"/>
      <c r="F31" s="200" t="s">
        <v>74</v>
      </c>
      <c r="G31" s="566">
        <v>2531843</v>
      </c>
      <c r="H31" s="599">
        <v>5.4000000000000001E-4</v>
      </c>
      <c r="I31" s="196">
        <f t="shared" si="0"/>
        <v>1367.1952200000001</v>
      </c>
      <c r="J31" s="153"/>
      <c r="K31" s="7"/>
      <c r="L31" s="182"/>
      <c r="M31" s="198"/>
    </row>
    <row r="32" spans="1:13" ht="16.5" thickBot="1">
      <c r="A32" s="2" t="s">
        <v>116</v>
      </c>
      <c r="B32" s="2" t="s">
        <v>117</v>
      </c>
      <c r="C32" s="239">
        <f>C30+C31</f>
        <v>2252783.1100000003</v>
      </c>
      <c r="D32" s="40"/>
      <c r="F32" s="199" t="s">
        <v>127</v>
      </c>
      <c r="G32" s="181">
        <f>SUM(G23:G31)</f>
        <v>7316509</v>
      </c>
      <c r="H32" s="7"/>
      <c r="I32" s="197">
        <f>SUM(I23:I31)</f>
        <v>586381.35563999985</v>
      </c>
      <c r="J32" s="192"/>
      <c r="K32" s="193"/>
      <c r="L32" s="7"/>
      <c r="M32" s="190"/>
    </row>
    <row r="33" spans="1:17" ht="17.25" thickTop="1" thickBot="1">
      <c r="A33" s="384" t="s">
        <v>113</v>
      </c>
      <c r="C33" s="311">
        <f>-C5-C9-C13-C16-C19</f>
        <v>-69785.649999999994</v>
      </c>
      <c r="D33" s="36"/>
      <c r="F33" s="186"/>
      <c r="G33" s="231">
        <v>7316509</v>
      </c>
      <c r="H33" s="187" t="s">
        <v>102</v>
      </c>
      <c r="I33" s="216">
        <f>I32/G32</f>
        <v>8.0144964714729372E-2</v>
      </c>
      <c r="J33" s="192"/>
      <c r="K33" s="193"/>
      <c r="L33" s="7"/>
      <c r="M33" s="98"/>
    </row>
    <row r="34" spans="1:17" ht="16.5" thickBot="1">
      <c r="A34" s="2" t="s">
        <v>114</v>
      </c>
      <c r="C34" s="125">
        <f>SUM(C32:C33)</f>
        <v>2182997.4600000004</v>
      </c>
      <c r="D34" s="36"/>
      <c r="F34" s="153"/>
      <c r="G34" s="230">
        <f>G32-G33</f>
        <v>0</v>
      </c>
      <c r="H34" s="7"/>
      <c r="I34" s="98"/>
      <c r="J34" s="192"/>
      <c r="K34" s="191"/>
      <c r="L34" s="7"/>
      <c r="M34" s="98"/>
    </row>
    <row r="35" spans="1:17" ht="18" customHeight="1">
      <c r="A35" s="2"/>
      <c r="C35" s="101"/>
      <c r="D35" s="36"/>
      <c r="F35" s="184"/>
      <c r="G35" s="12"/>
      <c r="H35" s="12"/>
      <c r="I35" s="185"/>
      <c r="J35" s="199" t="s">
        <v>128</v>
      </c>
      <c r="K35" s="637"/>
      <c r="L35" s="637"/>
      <c r="M35" s="638"/>
    </row>
    <row r="36" spans="1:17" ht="15.75">
      <c r="A36" s="16" t="s">
        <v>94</v>
      </c>
      <c r="B36" s="2"/>
      <c r="C36" s="100"/>
      <c r="D36" s="36"/>
      <c r="F36" s="199" t="s">
        <v>128</v>
      </c>
      <c r="G36" s="7"/>
      <c r="H36" s="7"/>
      <c r="I36" s="98"/>
      <c r="J36" s="200" t="s">
        <v>37</v>
      </c>
      <c r="K36" s="585">
        <f>K23</f>
        <v>1233197</v>
      </c>
      <c r="L36" s="599">
        <v>0.23895</v>
      </c>
      <c r="M36" s="196">
        <f t="shared" ref="M36:M42" si="2">K36*L36</f>
        <v>294672.42314999999</v>
      </c>
      <c r="P36" s="273"/>
      <c r="Q36" s="273"/>
    </row>
    <row r="37" spans="1:17" ht="15.75">
      <c r="A37" s="7" t="s">
        <v>129</v>
      </c>
      <c r="B37" s="535" t="s">
        <v>115</v>
      </c>
      <c r="C37" s="564">
        <v>9114751.2899999991</v>
      </c>
      <c r="D37" s="36"/>
      <c r="F37" s="200" t="s">
        <v>37</v>
      </c>
      <c r="G37" s="585">
        <f>G23</f>
        <v>2542069</v>
      </c>
      <c r="H37" s="599">
        <v>0.23860000000000001</v>
      </c>
      <c r="I37" s="196">
        <f t="shared" ref="I37:I44" si="3">G37*H37</f>
        <v>606537.66339999996</v>
      </c>
      <c r="J37" s="200" t="s">
        <v>38</v>
      </c>
      <c r="K37" s="585">
        <f>K24</f>
        <v>1319570</v>
      </c>
      <c r="L37" s="599">
        <v>0.23895</v>
      </c>
      <c r="M37" s="196">
        <f t="shared" si="2"/>
        <v>315311.25150000001</v>
      </c>
      <c r="P37" s="273"/>
      <c r="Q37" s="273"/>
    </row>
    <row r="38" spans="1:17" ht="15.75">
      <c r="A38" s="144" t="s">
        <v>14</v>
      </c>
      <c r="B38" s="535" t="s">
        <v>115</v>
      </c>
      <c r="C38" s="564">
        <v>0</v>
      </c>
      <c r="D38" s="36"/>
      <c r="F38" s="200" t="s">
        <v>306</v>
      </c>
      <c r="G38" s="585">
        <f>G24</f>
        <v>3619</v>
      </c>
      <c r="H38" s="599">
        <v>0.23860000000000001</v>
      </c>
      <c r="I38" s="196">
        <f t="shared" si="3"/>
        <v>863.49340000000007</v>
      </c>
      <c r="J38" s="200" t="s">
        <v>39</v>
      </c>
      <c r="K38" s="585">
        <f>K25</f>
        <v>55493</v>
      </c>
      <c r="L38" s="599">
        <v>0.23895</v>
      </c>
      <c r="M38" s="196">
        <f t="shared" si="2"/>
        <v>13260.05235</v>
      </c>
      <c r="P38" s="273"/>
      <c r="Q38" s="273"/>
    </row>
    <row r="39" spans="1:17" ht="15.75">
      <c r="A39" s="7" t="s">
        <v>146</v>
      </c>
      <c r="B39" s="535" t="s">
        <v>147</v>
      </c>
      <c r="C39" s="564">
        <v>-35272.519999999997</v>
      </c>
      <c r="D39" s="36"/>
      <c r="F39" s="200" t="s">
        <v>38</v>
      </c>
      <c r="G39" s="585">
        <f t="shared" ref="G39:G44" si="4">G25</f>
        <v>1878375</v>
      </c>
      <c r="H39" s="599">
        <v>0.23860000000000001</v>
      </c>
      <c r="I39" s="196">
        <f t="shared" si="3"/>
        <v>448180.27500000002</v>
      </c>
      <c r="J39" s="200" t="s">
        <v>40</v>
      </c>
      <c r="K39" s="585">
        <f>K26</f>
        <v>0</v>
      </c>
      <c r="L39" s="599">
        <v>0.23895</v>
      </c>
      <c r="M39" s="196">
        <f t="shared" si="2"/>
        <v>0</v>
      </c>
      <c r="P39" s="273"/>
      <c r="Q39" s="273"/>
    </row>
    <row r="40" spans="1:17" ht="15.75">
      <c r="A40" s="7" t="s">
        <v>131</v>
      </c>
      <c r="B40" s="535" t="s">
        <v>132</v>
      </c>
      <c r="C40" s="564">
        <v>-296417.55</v>
      </c>
      <c r="D40" s="36"/>
      <c r="F40" s="200" t="s">
        <v>39</v>
      </c>
      <c r="G40" s="585">
        <f t="shared" si="4"/>
        <v>0</v>
      </c>
      <c r="H40" s="599">
        <v>0.23860000000000001</v>
      </c>
      <c r="I40" s="196">
        <f t="shared" si="3"/>
        <v>0</v>
      </c>
      <c r="J40" s="200" t="s">
        <v>41</v>
      </c>
      <c r="K40" s="585">
        <f>K27</f>
        <v>0</v>
      </c>
      <c r="L40" s="599">
        <v>0.23895</v>
      </c>
      <c r="M40" s="196">
        <f t="shared" si="2"/>
        <v>0</v>
      </c>
      <c r="P40" s="273"/>
      <c r="Q40" s="273"/>
    </row>
    <row r="41" spans="1:17" ht="15.75">
      <c r="A41" s="7" t="s">
        <v>153</v>
      </c>
      <c r="B41" s="6" t="s">
        <v>155</v>
      </c>
      <c r="C41" s="564">
        <v>-76044.240000000005</v>
      </c>
      <c r="D41" s="36"/>
      <c r="F41" s="200" t="s">
        <v>40</v>
      </c>
      <c r="G41" s="585">
        <f t="shared" si="4"/>
        <v>289055</v>
      </c>
      <c r="H41" s="599">
        <v>0.23860000000000001</v>
      </c>
      <c r="I41" s="196">
        <f t="shared" si="3"/>
        <v>68968.523000000001</v>
      </c>
      <c r="J41" s="200" t="s">
        <v>42</v>
      </c>
      <c r="K41" s="566">
        <v>0</v>
      </c>
      <c r="L41" s="599">
        <v>0.23895</v>
      </c>
      <c r="M41" s="196">
        <f t="shared" si="2"/>
        <v>0</v>
      </c>
      <c r="P41" s="273"/>
      <c r="Q41" s="273"/>
    </row>
    <row r="42" spans="1:17" ht="16.5" thickBot="1">
      <c r="A42" s="7" t="s">
        <v>178</v>
      </c>
      <c r="B42" s="535" t="s">
        <v>179</v>
      </c>
      <c r="C42" s="564">
        <v>978495.27</v>
      </c>
      <c r="D42" s="37"/>
      <c r="F42" s="200" t="s">
        <v>41</v>
      </c>
      <c r="G42" s="585">
        <f t="shared" si="4"/>
        <v>17666</v>
      </c>
      <c r="H42" s="599">
        <v>0.23860000000000001</v>
      </c>
      <c r="I42" s="196">
        <f t="shared" si="3"/>
        <v>4215.1076000000003</v>
      </c>
      <c r="J42" s="200" t="s">
        <v>43</v>
      </c>
      <c r="K42" s="586">
        <v>0</v>
      </c>
      <c r="L42" s="599">
        <v>0.23895</v>
      </c>
      <c r="M42" s="196">
        <f t="shared" si="2"/>
        <v>0</v>
      </c>
      <c r="P42" s="273"/>
      <c r="Q42" s="273"/>
    </row>
    <row r="43" spans="1:17" ht="16.5" thickBot="1">
      <c r="A43" s="85" t="s">
        <v>123</v>
      </c>
      <c r="B43" s="12"/>
      <c r="C43" s="125">
        <f>SUM(C37:C42)</f>
        <v>9685512.2499999981</v>
      </c>
      <c r="D43" s="36"/>
      <c r="F43" s="200" t="s">
        <v>42</v>
      </c>
      <c r="G43" s="585">
        <f t="shared" si="4"/>
        <v>0</v>
      </c>
      <c r="H43" s="599">
        <v>0.23860000000000001</v>
      </c>
      <c r="I43" s="196">
        <f t="shared" si="3"/>
        <v>0</v>
      </c>
      <c r="J43" s="199" t="s">
        <v>133</v>
      </c>
      <c r="K43" s="181">
        <f>SUM(K36:K42)</f>
        <v>2608260</v>
      </c>
      <c r="L43" s="182"/>
      <c r="M43" s="197">
        <f>SUM(M36:M42)</f>
        <v>623243.72699999996</v>
      </c>
    </row>
    <row r="44" spans="1:17" ht="16.5" thickBot="1">
      <c r="A44" s="83" t="s">
        <v>177</v>
      </c>
      <c r="B44" s="84" t="s">
        <v>120</v>
      </c>
      <c r="C44" s="564">
        <f>-4479530.18+1084985.05+10055.88</f>
        <v>-3384489.25</v>
      </c>
      <c r="D44" s="37"/>
      <c r="F44" s="200" t="s">
        <v>43</v>
      </c>
      <c r="G44" s="585">
        <f t="shared" si="4"/>
        <v>53882</v>
      </c>
      <c r="H44" s="599">
        <v>0.23860000000000001</v>
      </c>
      <c r="I44" s="196">
        <f t="shared" si="3"/>
        <v>12856.245200000001</v>
      </c>
      <c r="J44" s="194"/>
      <c r="K44" s="232">
        <v>2608260</v>
      </c>
      <c r="L44" s="189" t="s">
        <v>102</v>
      </c>
      <c r="M44" s="217">
        <f>M43/K43</f>
        <v>0.23895</v>
      </c>
    </row>
    <row r="45" spans="1:17" ht="16.5" thickBot="1">
      <c r="A45" s="211" t="s">
        <v>168</v>
      </c>
      <c r="B45" s="6" t="s">
        <v>115</v>
      </c>
      <c r="C45" s="122">
        <v>0</v>
      </c>
      <c r="D45" s="39"/>
      <c r="F45" s="199" t="s">
        <v>133</v>
      </c>
      <c r="G45" s="181">
        <f>SUM(G37:G44)</f>
        <v>4784666</v>
      </c>
      <c r="H45" s="182"/>
      <c r="I45" s="197">
        <f>SUM(I37:I44)</f>
        <v>1141621.3075999999</v>
      </c>
      <c r="J45" s="85"/>
      <c r="K45" s="231"/>
      <c r="L45" s="187"/>
      <c r="M45" s="560"/>
    </row>
    <row r="46" spans="1:17" ht="19.5" customHeight="1" thickTop="1" thickBot="1">
      <c r="A46" s="144" t="s">
        <v>169</v>
      </c>
      <c r="B46" s="6" t="s">
        <v>115</v>
      </c>
      <c r="C46" s="122">
        <v>0</v>
      </c>
      <c r="D46" s="40"/>
      <c r="F46" s="188"/>
      <c r="G46" s="232">
        <v>4784666</v>
      </c>
      <c r="H46" s="189" t="s">
        <v>102</v>
      </c>
      <c r="I46" s="215">
        <f>I45/G45</f>
        <v>0.23859999999999998</v>
      </c>
      <c r="J46" s="85"/>
      <c r="K46" s="231"/>
      <c r="L46" s="187"/>
      <c r="M46" s="560"/>
    </row>
    <row r="47" spans="1:17" ht="19.5" customHeight="1">
      <c r="A47" s="384" t="s">
        <v>137</v>
      </c>
      <c r="B47" s="6" t="s">
        <v>115</v>
      </c>
      <c r="C47" s="564">
        <v>21755.06</v>
      </c>
      <c r="D47" s="36"/>
      <c r="F47" s="385"/>
      <c r="G47" s="230">
        <f>G45-G46</f>
        <v>0</v>
      </c>
      <c r="H47" s="385"/>
      <c r="I47" s="385"/>
      <c r="J47" s="124"/>
      <c r="K47" s="230">
        <f>K43-K44</f>
        <v>0</v>
      </c>
      <c r="L47" s="385"/>
      <c r="M47" s="124"/>
    </row>
    <row r="48" spans="1:17" ht="16.5" thickBot="1">
      <c r="A48" s="144" t="s">
        <v>305</v>
      </c>
      <c r="B48" s="6" t="s">
        <v>115</v>
      </c>
      <c r="C48" s="564">
        <v>7000</v>
      </c>
      <c r="D48" s="36"/>
      <c r="F48" s="385"/>
      <c r="G48" s="385"/>
      <c r="H48" s="385"/>
      <c r="I48" s="385"/>
      <c r="J48" s="124"/>
      <c r="K48" s="114"/>
      <c r="L48" s="385"/>
      <c r="M48" s="68"/>
    </row>
    <row r="49" spans="1:21" ht="15.75">
      <c r="A49" s="7" t="s">
        <v>130</v>
      </c>
      <c r="B49" s="535" t="s">
        <v>152</v>
      </c>
      <c r="C49" s="564">
        <v>20134.36</v>
      </c>
      <c r="D49" s="36"/>
      <c r="F49" s="385"/>
      <c r="G49" s="114"/>
      <c r="H49" s="129" t="s">
        <v>35</v>
      </c>
      <c r="I49" s="13" t="s">
        <v>35</v>
      </c>
      <c r="J49" s="13" t="s">
        <v>63</v>
      </c>
      <c r="K49" s="127" t="s">
        <v>70</v>
      </c>
      <c r="L49" s="124"/>
      <c r="M49" s="385"/>
    </row>
    <row r="50" spans="1:21" ht="16.5" thickBot="1">
      <c r="A50" s="7" t="s">
        <v>222</v>
      </c>
      <c r="B50" s="535" t="s">
        <v>152</v>
      </c>
      <c r="C50" s="564">
        <v>1106.52</v>
      </c>
      <c r="D50" s="37"/>
      <c r="F50" s="50" t="s">
        <v>73</v>
      </c>
      <c r="G50" s="385"/>
      <c r="H50" s="130" t="s">
        <v>2</v>
      </c>
      <c r="I50" s="131" t="s">
        <v>3</v>
      </c>
      <c r="J50" s="131" t="s">
        <v>2</v>
      </c>
      <c r="K50" s="128" t="s">
        <v>3</v>
      </c>
      <c r="L50" s="385"/>
      <c r="M50" s="385"/>
    </row>
    <row r="51" spans="1:21" ht="15.75">
      <c r="A51" s="7" t="s">
        <v>309</v>
      </c>
      <c r="B51" s="535" t="s">
        <v>152</v>
      </c>
      <c r="C51" s="564">
        <v>6943.44</v>
      </c>
      <c r="D51" s="36"/>
      <c r="F51" s="385"/>
      <c r="G51" s="385"/>
      <c r="H51" s="151"/>
      <c r="I51" s="152"/>
      <c r="J51" s="152"/>
      <c r="K51" s="152"/>
      <c r="L51" s="126" t="s">
        <v>103</v>
      </c>
      <c r="M51" s="385"/>
    </row>
    <row r="52" spans="1:21" ht="15.75">
      <c r="A52" s="169" t="s">
        <v>118</v>
      </c>
      <c r="B52" s="606"/>
      <c r="C52" s="584">
        <f>-C33</f>
        <v>69785.649999999994</v>
      </c>
      <c r="D52" s="33"/>
      <c r="F52" s="385" t="s">
        <v>136</v>
      </c>
      <c r="G52" s="385"/>
      <c r="H52" s="212">
        <f>K12</f>
        <v>561375.81972799893</v>
      </c>
      <c r="I52" s="115">
        <f>I14</f>
        <v>1539668.1085380004</v>
      </c>
      <c r="J52" s="115">
        <f>L12</f>
        <v>299056.97027199942</v>
      </c>
      <c r="K52" s="115">
        <f>J14</f>
        <v>643329.35146200017</v>
      </c>
      <c r="L52" s="132">
        <f>SUM(H52:K52)</f>
        <v>3043430.2499999986</v>
      </c>
      <c r="M52" s="385"/>
    </row>
    <row r="53" spans="1:21" ht="16.5" thickBot="1">
      <c r="A53" s="385" t="s">
        <v>316</v>
      </c>
      <c r="B53" s="605" t="s">
        <v>317</v>
      </c>
      <c r="C53" s="564">
        <v>15372.09</v>
      </c>
      <c r="D53" s="33"/>
      <c r="F53" s="384" t="s">
        <v>109</v>
      </c>
      <c r="H53" s="212">
        <f>-I45</f>
        <v>-1141621.3075999999</v>
      </c>
      <c r="I53" s="115">
        <f>-I32</f>
        <v>-586381.35563999985</v>
      </c>
      <c r="J53" s="115">
        <f>-M43</f>
        <v>-623243.72699999996</v>
      </c>
      <c r="K53" s="115">
        <f>-M28</f>
        <v>-295541.94059999997</v>
      </c>
      <c r="L53" s="261">
        <f>SUM(H53:K53)</f>
        <v>-2646788.3308399995</v>
      </c>
    </row>
    <row r="54" spans="1:21" ht="16.5" thickBot="1">
      <c r="A54" s="382" t="s">
        <v>124</v>
      </c>
      <c r="B54" s="473" t="s">
        <v>297</v>
      </c>
      <c r="C54" s="564">
        <f>150582.75-3901605.45-1596395.18</f>
        <v>-5347417.88</v>
      </c>
      <c r="D54" s="36"/>
      <c r="F54" s="384" t="s">
        <v>86</v>
      </c>
      <c r="H54" s="234">
        <v>0</v>
      </c>
      <c r="I54" s="235">
        <v>0</v>
      </c>
      <c r="J54" s="235">
        <v>0</v>
      </c>
      <c r="K54" s="236">
        <v>0</v>
      </c>
      <c r="L54" s="214">
        <f>SUM(L52:L53)</f>
        <v>396641.91915999912</v>
      </c>
    </row>
    <row r="55" spans="1:21" ht="16.5" thickBot="1">
      <c r="A55" s="384" t="s">
        <v>313</v>
      </c>
      <c r="B55" s="6" t="s">
        <v>190</v>
      </c>
      <c r="C55" s="564">
        <v>-375000</v>
      </c>
      <c r="D55" s="36"/>
      <c r="F55" s="384" t="s">
        <v>71</v>
      </c>
      <c r="H55" s="125">
        <f>IFERROR(H52+H53+H54,0)</f>
        <v>-580245.48787200102</v>
      </c>
      <c r="I55" s="125">
        <f>I52+I53+I54</f>
        <v>953286.75289800053</v>
      </c>
      <c r="J55" s="125">
        <f>IFERROR(J52+J53+J54,0)</f>
        <v>-324186.75672800053</v>
      </c>
      <c r="K55" s="125">
        <f>K52+K53+K54</f>
        <v>347787.41086200019</v>
      </c>
      <c r="L55" s="47">
        <f>SUM(H55:K55)</f>
        <v>396641.91915999918</v>
      </c>
    </row>
    <row r="56" spans="1:21" ht="16.5" thickBot="1">
      <c r="A56" s="82" t="s">
        <v>119</v>
      </c>
      <c r="B56" s="84"/>
      <c r="C56" s="160">
        <f>SUM(C43:C55)</f>
        <v>720702.23999999836</v>
      </c>
      <c r="D56" s="36"/>
      <c r="F56" s="240" t="s">
        <v>181</v>
      </c>
      <c r="H56" s="384" t="s">
        <v>173</v>
      </c>
      <c r="I56" s="5">
        <f>SUM(H55:I55)</f>
        <v>373041.26502599951</v>
      </c>
      <c r="J56" s="15" t="s">
        <v>174</v>
      </c>
      <c r="K56" s="384">
        <f>SUM(J55:K55)</f>
        <v>23600.654133999662</v>
      </c>
      <c r="L56" s="213">
        <f>ROUND(L54-L55,3)</f>
        <v>0</v>
      </c>
      <c r="T56" s="42"/>
    </row>
    <row r="57" spans="1:21" ht="16.5" thickTop="1">
      <c r="A57" s="384" t="s">
        <v>121</v>
      </c>
      <c r="B57" s="6" t="s">
        <v>115</v>
      </c>
      <c r="C57" s="564">
        <v>94937.33</v>
      </c>
      <c r="D57" s="36"/>
      <c r="F57" s="397"/>
      <c r="H57" s="96"/>
    </row>
    <row r="58" spans="1:21" ht="16.5" thickBot="1">
      <c r="A58" s="384" t="s">
        <v>122</v>
      </c>
      <c r="B58" s="6" t="s">
        <v>115</v>
      </c>
      <c r="C58" s="564">
        <v>44793.22</v>
      </c>
      <c r="D58" s="36"/>
      <c r="F58" s="397"/>
      <c r="H58" s="157"/>
      <c r="I58" s="120"/>
      <c r="J58" s="120"/>
      <c r="K58" s="204"/>
      <c r="L58" s="120"/>
    </row>
    <row r="59" spans="1:21" ht="16.5" thickBot="1">
      <c r="A59" s="2" t="s">
        <v>125</v>
      </c>
      <c r="B59" s="2"/>
      <c r="C59" s="160">
        <f>SUM(C56:C58)</f>
        <v>860432.78999999829</v>
      </c>
      <c r="D59" s="36"/>
      <c r="F59" s="546"/>
      <c r="G59" s="547" t="str">
        <f>IF(OR(AND(I56&gt;0,K56&gt;0),AND(I56&lt;0,K56&lt;0)),"OK","ERROR")</f>
        <v>OK</v>
      </c>
      <c r="H59" s="386" t="s">
        <v>295</v>
      </c>
      <c r="I59" s="387"/>
    </row>
    <row r="60" spans="1:21" ht="17.25" thickTop="1" thickBot="1">
      <c r="A60" s="2"/>
      <c r="C60" s="101"/>
      <c r="D60" s="36"/>
      <c r="H60" s="318" t="s">
        <v>175</v>
      </c>
      <c r="I60" s="319" t="s">
        <v>176</v>
      </c>
      <c r="J60" s="5"/>
    </row>
    <row r="61" spans="1:21" ht="16.5" thickBot="1">
      <c r="A61" s="9"/>
      <c r="B61" s="9" t="s">
        <v>95</v>
      </c>
      <c r="C61" s="125">
        <f>C59+C34</f>
        <v>3043430.2499999986</v>
      </c>
      <c r="D61" s="36"/>
      <c r="H61" s="349" t="e">
        <f>SUM(#REF!,#REF!,#REF!,#REF!,#REF!,#REF!)</f>
        <v>#REF!</v>
      </c>
      <c r="I61" s="449" t="e">
        <f>SUM(#REF!,#REF!,#REF!,#REF!,#REF!,#REF!)</f>
        <v>#REF!</v>
      </c>
      <c r="J61" s="384">
        <f>H53+I53+J53+K53</f>
        <v>-2646788.3308399995</v>
      </c>
    </row>
    <row r="62" spans="1:21" ht="15.75">
      <c r="A62" s="2"/>
      <c r="B62" s="9" t="s">
        <v>160</v>
      </c>
      <c r="C62" s="563">
        <v>3043430.25</v>
      </c>
      <c r="D62" s="37"/>
      <c r="G62" s="5"/>
      <c r="I62" s="338" t="e">
        <f>H61-I61</f>
        <v>#REF!</v>
      </c>
      <c r="N62" s="5"/>
      <c r="O62" s="5"/>
      <c r="P62" s="21"/>
    </row>
    <row r="63" spans="1:21" ht="15.75">
      <c r="A63" s="9"/>
      <c r="B63" s="9" t="s">
        <v>159</v>
      </c>
      <c r="C63" s="257">
        <f>ROUND(C61-C62,2)</f>
        <v>0</v>
      </c>
      <c r="S63" s="6"/>
    </row>
    <row r="64" spans="1:21" ht="15.75">
      <c r="A64" s="44"/>
      <c r="C64" s="351"/>
      <c r="D64" s="36"/>
      <c r="N64" s="22"/>
      <c r="U64" s="2"/>
    </row>
    <row r="65" spans="1:21" ht="15.75">
      <c r="A65" s="44"/>
      <c r="C65" s="8"/>
      <c r="D65" s="43"/>
      <c r="N65" s="22"/>
      <c r="S65" s="23"/>
    </row>
    <row r="66" spans="1:21" ht="15.75">
      <c r="A66" s="2"/>
      <c r="C66" s="8"/>
      <c r="D66" s="36"/>
      <c r="N66" s="22"/>
      <c r="S66" s="24"/>
    </row>
    <row r="67" spans="1:21">
      <c r="C67" s="100"/>
      <c r="D67" s="36"/>
      <c r="N67" s="22"/>
      <c r="S67" s="25"/>
    </row>
    <row r="68" spans="1:21">
      <c r="D68" s="36"/>
      <c r="N68" s="22"/>
      <c r="S68" s="24"/>
    </row>
    <row r="69" spans="1:21">
      <c r="D69" s="36"/>
      <c r="N69" s="22"/>
    </row>
    <row r="70" spans="1:21">
      <c r="D70" s="37"/>
      <c r="N70" s="22"/>
      <c r="S70" s="26"/>
    </row>
    <row r="71" spans="1:21">
      <c r="D71" s="36"/>
    </row>
    <row r="72" spans="1:21">
      <c r="D72" s="36"/>
    </row>
    <row r="73" spans="1:21">
      <c r="D73" s="36"/>
      <c r="S73" s="27"/>
    </row>
    <row r="74" spans="1:21">
      <c r="D74" s="45"/>
      <c r="R74" s="6"/>
      <c r="S74" s="6"/>
      <c r="T74" s="6"/>
    </row>
    <row r="76" spans="1:21">
      <c r="U76" s="28"/>
    </row>
    <row r="1477" spans="3:3">
      <c r="C1477" s="384">
        <v>-2130</v>
      </c>
    </row>
    <row r="1485" spans="3:3">
      <c r="C1485" s="384">
        <f>7004298-2130</f>
        <v>7002168</v>
      </c>
    </row>
  </sheetData>
  <mergeCells count="3">
    <mergeCell ref="F18:I18"/>
    <mergeCell ref="J18:M18"/>
    <mergeCell ref="K35:M35"/>
  </mergeCells>
  <conditionalFormatting sqref="C63 L56 I62">
    <cfRule type="cellIs" dxfId="267" priority="7" stopIfTrue="1" operator="equal">
      <formula>0</formula>
    </cfRule>
    <cfRule type="cellIs" dxfId="266" priority="8" stopIfTrue="1" operator="notEqual">
      <formula>0</formula>
    </cfRule>
  </conditionalFormatting>
  <conditionalFormatting sqref="G34 G47 K30 K47">
    <cfRule type="cellIs" dxfId="265" priority="6" operator="notEqual">
      <formula>0</formula>
    </cfRule>
  </conditionalFormatting>
  <conditionalFormatting sqref="C63">
    <cfRule type="cellIs" dxfId="264" priority="4" stopIfTrue="1" operator="equal">
      <formula>0</formula>
    </cfRule>
    <cfRule type="cellIs" dxfId="263" priority="5" stopIfTrue="1" operator="notEqual">
      <formula>0</formula>
    </cfRule>
  </conditionalFormatting>
  <conditionalFormatting sqref="K30">
    <cfRule type="cellIs" dxfId="262" priority="3" operator="notEqual">
      <formula>0</formula>
    </cfRule>
  </conditionalFormatting>
  <conditionalFormatting sqref="G59">
    <cfRule type="cellIs" dxfId="261" priority="2" operator="equal">
      <formula>"ERROR"</formula>
    </cfRule>
  </conditionalFormatting>
  <conditionalFormatting sqref="G59">
    <cfRule type="cellIs" dxfId="260" priority="1" operator="equal">
      <formula>"ERROR"</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customProperties>
    <customPr name="xxe4aPID" r:id="rId2"/>
  </customProperties>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12">
    <tabColor rgb="FF00CC66"/>
    <pageSetUpPr fitToPage="1"/>
  </sheetPr>
  <dimension ref="A1:U1485"/>
  <sheetViews>
    <sheetView showGridLines="0" topLeftCell="A43" zoomScale="70" zoomScaleNormal="70" workbookViewId="0">
      <selection activeCell="B67" sqref="B67"/>
    </sheetView>
  </sheetViews>
  <sheetFormatPr defaultColWidth="16" defaultRowHeight="15"/>
  <cols>
    <col min="1" max="1" width="44.85546875" style="384" customWidth="1"/>
    <col min="2" max="2" width="25.5703125" style="384" customWidth="1"/>
    <col min="3" max="3" width="25.28515625" style="384" customWidth="1"/>
    <col min="4" max="4" width="2.7109375" style="30" customWidth="1"/>
    <col min="5" max="5" width="4.28515625" style="384" customWidth="1"/>
    <col min="6" max="6" width="26.7109375" style="384" customWidth="1"/>
    <col min="7" max="7" width="19" style="384" customWidth="1"/>
    <col min="8" max="8" width="22" style="384" customWidth="1"/>
    <col min="9" max="9" width="20.42578125" style="384" customWidth="1"/>
    <col min="10" max="10" width="26.28515625" style="384" customWidth="1"/>
    <col min="11" max="11" width="21.85546875" style="384" bestFit="1" customWidth="1"/>
    <col min="12" max="12" width="23.85546875" style="384" customWidth="1"/>
    <col min="13" max="13" width="20.85546875" style="384" bestFit="1" customWidth="1"/>
    <col min="14" max="15" width="16" style="384"/>
    <col min="16" max="16" width="16.28515625" style="384" bestFit="1" customWidth="1"/>
    <col min="17" max="16384" width="16" style="384"/>
  </cols>
  <sheetData>
    <row r="1" spans="1:13" ht="16.5" thickBot="1">
      <c r="A1" s="145" t="s">
        <v>64</v>
      </c>
      <c r="B1" s="29"/>
      <c r="C1" s="530">
        <f>Jun!C1+1</f>
        <v>201707</v>
      </c>
      <c r="F1" s="530">
        <f>C1</f>
        <v>201707</v>
      </c>
      <c r="G1" s="385"/>
      <c r="H1" s="162" t="s">
        <v>69</v>
      </c>
      <c r="I1" s="126" t="s">
        <v>3</v>
      </c>
      <c r="J1" s="126" t="s">
        <v>3</v>
      </c>
      <c r="K1" s="126" t="s">
        <v>66</v>
      </c>
      <c r="L1" s="126" t="s">
        <v>66</v>
      </c>
      <c r="M1" s="385"/>
    </row>
    <row r="2" spans="1:13" ht="15.75">
      <c r="C2" s="31"/>
      <c r="F2" s="385"/>
      <c r="G2" s="385"/>
      <c r="H2" s="163" t="s">
        <v>32</v>
      </c>
      <c r="I2" s="164" t="s">
        <v>65</v>
      </c>
      <c r="J2" s="164" t="s">
        <v>65</v>
      </c>
      <c r="K2" s="164" t="s">
        <v>67</v>
      </c>
      <c r="L2" s="164" t="s">
        <v>67</v>
      </c>
      <c r="M2" s="385"/>
    </row>
    <row r="3" spans="1:13" ht="16.5" thickBot="1">
      <c r="A3" s="63" t="s">
        <v>110</v>
      </c>
      <c r="C3" s="32"/>
      <c r="D3" s="33"/>
      <c r="F3" s="50" t="s">
        <v>72</v>
      </c>
      <c r="G3" s="385"/>
      <c r="H3" s="165" t="s">
        <v>68</v>
      </c>
      <c r="I3" s="165" t="s">
        <v>35</v>
      </c>
      <c r="J3" s="165" t="s">
        <v>63</v>
      </c>
      <c r="K3" s="165" t="s">
        <v>35</v>
      </c>
      <c r="L3" s="165" t="s">
        <v>63</v>
      </c>
      <c r="M3" s="385"/>
    </row>
    <row r="4" spans="1:13" ht="15.75">
      <c r="A4" s="385" t="s">
        <v>88</v>
      </c>
      <c r="C4" s="564">
        <f>4598122.63</f>
        <v>4598122.63</v>
      </c>
      <c r="D4" s="34"/>
      <c r="F4" s="385"/>
      <c r="G4" s="385"/>
      <c r="H4" s="11"/>
      <c r="I4" s="385"/>
      <c r="J4" s="385"/>
      <c r="L4" s="385"/>
      <c r="M4" s="385"/>
    </row>
    <row r="5" spans="1:13" ht="14.25" customHeight="1">
      <c r="A5" s="385" t="s">
        <v>31</v>
      </c>
      <c r="C5" s="564">
        <f>44463.08-6.51</f>
        <v>44456.57</v>
      </c>
      <c r="D5" s="34"/>
      <c r="F5" s="385"/>
      <c r="G5" s="385"/>
      <c r="H5" s="11"/>
      <c r="I5" s="596">
        <v>0.70530000000000004</v>
      </c>
      <c r="J5" s="596">
        <v>0.29470000000000002</v>
      </c>
      <c r="K5" s="445">
        <f>ROUND(G45/(G45+K43),4)</f>
        <v>0.65149999999999997</v>
      </c>
      <c r="L5" s="445">
        <f>1-K5</f>
        <v>0.34850000000000003</v>
      </c>
      <c r="M5" s="385"/>
    </row>
    <row r="6" spans="1:13" ht="16.5" thickBot="1">
      <c r="A6" s="49" t="s">
        <v>30</v>
      </c>
      <c r="C6" s="565">
        <f>-2343063.08-444850-127100-142987.5-81979.5-102391.76</f>
        <v>-3242371.84</v>
      </c>
      <c r="D6" s="34"/>
      <c r="F6" s="385"/>
      <c r="G6" s="385"/>
      <c r="H6" s="385"/>
      <c r="I6" s="385"/>
      <c r="J6" s="385"/>
      <c r="K6" s="385"/>
      <c r="L6" s="385"/>
      <c r="M6" s="385"/>
    </row>
    <row r="7" spans="1:13" ht="16.5" thickBot="1">
      <c r="A7" s="66" t="s">
        <v>140</v>
      </c>
      <c r="C7" s="100">
        <f>SUM(C4:C6)</f>
        <v>1400207.3600000003</v>
      </c>
      <c r="D7" s="35"/>
      <c r="F7" s="166" t="s">
        <v>139</v>
      </c>
      <c r="G7" s="166"/>
      <c r="H7" s="125">
        <f>C34</f>
        <v>2278810.6300000004</v>
      </c>
      <c r="I7" s="167">
        <f>H7*I5</f>
        <v>1607245.1373390004</v>
      </c>
      <c r="J7" s="167">
        <f>H7*J5</f>
        <v>671565.49266100011</v>
      </c>
      <c r="K7" s="167"/>
      <c r="L7" s="167"/>
      <c r="M7" s="385"/>
    </row>
    <row r="8" spans="1:13" ht="15.75">
      <c r="A8" s="384" t="s">
        <v>89</v>
      </c>
      <c r="C8" s="564">
        <f>191512.75</f>
        <v>191512.75</v>
      </c>
      <c r="D8" s="35"/>
      <c r="F8" s="385"/>
      <c r="G8" s="385"/>
      <c r="H8" s="168"/>
      <c r="I8" s="168"/>
      <c r="J8" s="168"/>
      <c r="K8" s="168"/>
      <c r="L8" s="168"/>
      <c r="M8" s="385"/>
    </row>
    <row r="9" spans="1:13" ht="15.75">
      <c r="A9" s="385" t="s">
        <v>90</v>
      </c>
      <c r="C9" s="564">
        <f>6176.25</f>
        <v>6176.25</v>
      </c>
      <c r="D9" s="36"/>
      <c r="F9" s="166" t="s">
        <v>119</v>
      </c>
      <c r="G9" s="385"/>
      <c r="H9" s="167">
        <f>C56</f>
        <v>-1976290.3600000013</v>
      </c>
      <c r="I9" s="167"/>
      <c r="J9" s="167"/>
      <c r="K9" s="167">
        <f>H9*K5</f>
        <v>-1287553.1695400008</v>
      </c>
      <c r="L9" s="167">
        <f>H9*L5</f>
        <v>-688737.19046000054</v>
      </c>
      <c r="M9" s="385"/>
    </row>
    <row r="10" spans="1:13" ht="15.75">
      <c r="A10" s="49" t="s">
        <v>91</v>
      </c>
      <c r="C10" s="565">
        <f>-3418.47</f>
        <v>-3418.47</v>
      </c>
      <c r="D10" s="36"/>
      <c r="F10" s="169" t="s">
        <v>44</v>
      </c>
      <c r="G10" s="385"/>
      <c r="H10" s="167">
        <f>C57</f>
        <v>1710.99</v>
      </c>
      <c r="I10" s="167"/>
      <c r="J10" s="167"/>
      <c r="K10" s="167">
        <f>H10</f>
        <v>1710.99</v>
      </c>
      <c r="L10" s="167"/>
      <c r="M10" s="385"/>
    </row>
    <row r="11" spans="1:13">
      <c r="A11" s="66" t="s">
        <v>145</v>
      </c>
      <c r="C11" s="100">
        <f>SUM(C8:C10)</f>
        <v>194270.53</v>
      </c>
      <c r="D11" s="36"/>
      <c r="F11" s="169" t="s">
        <v>45</v>
      </c>
      <c r="G11" s="385"/>
      <c r="H11" s="170">
        <f>C58</f>
        <v>465.53</v>
      </c>
      <c r="I11" s="167"/>
      <c r="J11" s="167"/>
      <c r="K11" s="170"/>
      <c r="L11" s="170">
        <f>H11</f>
        <v>465.53</v>
      </c>
      <c r="M11" s="385"/>
    </row>
    <row r="12" spans="1:13" ht="15.75">
      <c r="A12" s="384" t="s">
        <v>165</v>
      </c>
      <c r="C12" s="564">
        <f>190672.32+5805.69</f>
        <v>196478.01</v>
      </c>
      <c r="D12" s="36"/>
      <c r="F12" s="169" t="s">
        <v>138</v>
      </c>
      <c r="G12" s="385"/>
      <c r="H12" s="167">
        <f>H9+H10+H11</f>
        <v>-1974113.8400000012</v>
      </c>
      <c r="I12" s="167"/>
      <c r="J12" s="167"/>
      <c r="K12" s="167">
        <f>SUM(K9:K11)</f>
        <v>-1285842.1795400009</v>
      </c>
      <c r="L12" s="167">
        <f>SUM(L9:L11)</f>
        <v>-688271.66046000051</v>
      </c>
      <c r="M12" s="385"/>
    </row>
    <row r="13" spans="1:13" ht="16.5" thickBot="1">
      <c r="A13" s="49" t="s">
        <v>166</v>
      </c>
      <c r="C13" s="559">
        <v>0</v>
      </c>
      <c r="D13" s="36"/>
      <c r="F13" s="171"/>
      <c r="G13" s="172"/>
      <c r="H13" s="173"/>
      <c r="I13" s="174"/>
      <c r="J13" s="173"/>
      <c r="K13" s="168"/>
      <c r="L13" s="173"/>
      <c r="M13" s="385"/>
    </row>
    <row r="14" spans="1:13" ht="16.5" thickBot="1">
      <c r="A14" s="66" t="s">
        <v>92</v>
      </c>
      <c r="C14" s="100">
        <f>SUM(C12:C13)</f>
        <v>196478.01</v>
      </c>
      <c r="D14" s="37"/>
      <c r="F14" s="50" t="s">
        <v>69</v>
      </c>
      <c r="G14" s="175"/>
      <c r="H14" s="125">
        <f>H12+H7</f>
        <v>304696.78999999911</v>
      </c>
      <c r="I14" s="176">
        <f>SUM(I7:I13)</f>
        <v>1607245.1373390004</v>
      </c>
      <c r="J14" s="176">
        <f>SUM(J7:J13)</f>
        <v>671565.49266100011</v>
      </c>
      <c r="K14" s="176">
        <f>K12</f>
        <v>-1285842.1795400009</v>
      </c>
      <c r="L14" s="176">
        <f>L12</f>
        <v>-688271.66046000051</v>
      </c>
      <c r="M14" s="385"/>
    </row>
    <row r="15" spans="1:13" ht="15.75">
      <c r="A15" s="384" t="s">
        <v>183</v>
      </c>
      <c r="C15" s="564">
        <f>445538.71+13565.99</f>
        <v>459104.7</v>
      </c>
      <c r="D15" s="36"/>
      <c r="F15" s="171"/>
      <c r="G15" s="172" t="s">
        <v>102</v>
      </c>
      <c r="H15" s="173">
        <f>H14-C61</f>
        <v>0</v>
      </c>
      <c r="I15" s="177"/>
      <c r="J15" s="173">
        <f>J7+I7-H7</f>
        <v>0</v>
      </c>
      <c r="K15" s="385"/>
      <c r="L15" s="173">
        <f>H12-K14-L14</f>
        <v>0</v>
      </c>
      <c r="M15" s="385"/>
    </row>
    <row r="16" spans="1:13" ht="15.75">
      <c r="A16" s="49" t="s">
        <v>184</v>
      </c>
      <c r="C16" s="559">
        <v>0</v>
      </c>
      <c r="D16" s="36"/>
      <c r="F16" s="178"/>
      <c r="G16" s="172"/>
      <c r="H16" s="179"/>
      <c r="I16" s="180"/>
      <c r="J16" s="179"/>
      <c r="K16" s="385"/>
      <c r="L16" s="179"/>
      <c r="M16" s="385"/>
    </row>
    <row r="17" spans="1:13" ht="15.75" thickBot="1">
      <c r="A17" s="66" t="s">
        <v>185</v>
      </c>
      <c r="C17" s="100">
        <f>SUM(C15:C16)</f>
        <v>459104.7</v>
      </c>
      <c r="D17" s="37"/>
      <c r="F17" s="171"/>
      <c r="G17" s="172"/>
      <c r="H17" s="179"/>
      <c r="I17" s="180"/>
      <c r="J17" s="183"/>
      <c r="K17" s="385"/>
      <c r="L17" s="179"/>
      <c r="M17" s="385"/>
    </row>
    <row r="18" spans="1:13" ht="16.5" thickBot="1">
      <c r="A18" s="384" t="s">
        <v>163</v>
      </c>
      <c r="C18" s="564">
        <f>2285.45+64812.3+10435.1</f>
        <v>77532.850000000006</v>
      </c>
      <c r="D18" s="36"/>
      <c r="F18" s="639" t="s">
        <v>134</v>
      </c>
      <c r="G18" s="640"/>
      <c r="H18" s="640"/>
      <c r="I18" s="641"/>
      <c r="J18" s="639" t="s">
        <v>135</v>
      </c>
      <c r="K18" s="640"/>
      <c r="L18" s="640"/>
      <c r="M18" s="641"/>
    </row>
    <row r="19" spans="1:13" ht="15.75">
      <c r="A19" s="46" t="s">
        <v>164</v>
      </c>
      <c r="C19" s="565">
        <f>-7861.34</f>
        <v>-7861.34</v>
      </c>
      <c r="D19" s="36"/>
      <c r="F19" s="201" t="s">
        <v>108</v>
      </c>
      <c r="G19" s="164" t="s">
        <v>33</v>
      </c>
      <c r="H19" s="164" t="s">
        <v>33</v>
      </c>
      <c r="I19" s="164" t="s">
        <v>33</v>
      </c>
      <c r="J19" s="201" t="s">
        <v>108</v>
      </c>
      <c r="K19" s="164" t="s">
        <v>33</v>
      </c>
      <c r="L19" s="164" t="s">
        <v>33</v>
      </c>
      <c r="M19" s="185" t="s">
        <v>33</v>
      </c>
    </row>
    <row r="20" spans="1:13" ht="16.5" thickBot="1">
      <c r="A20" s="67" t="s">
        <v>93</v>
      </c>
      <c r="C20" s="100">
        <f>SUM(C18:C19)</f>
        <v>69671.510000000009</v>
      </c>
      <c r="D20" s="36"/>
      <c r="F20" s="195" t="s">
        <v>162</v>
      </c>
      <c r="G20" s="165" t="s">
        <v>101</v>
      </c>
      <c r="H20" s="165" t="s">
        <v>36</v>
      </c>
      <c r="I20" s="165" t="s">
        <v>34</v>
      </c>
      <c r="J20" s="195" t="s">
        <v>162</v>
      </c>
      <c r="K20" s="165" t="s">
        <v>101</v>
      </c>
      <c r="L20" s="165" t="s">
        <v>36</v>
      </c>
      <c r="M20" s="165" t="s">
        <v>34</v>
      </c>
    </row>
    <row r="21" spans="1:13" ht="15.75">
      <c r="A21" s="46" t="s">
        <v>149</v>
      </c>
      <c r="C21" s="565">
        <f>1850</f>
        <v>1850</v>
      </c>
      <c r="D21" s="36"/>
      <c r="F21" s="184"/>
      <c r="G21" s="12"/>
      <c r="H21" s="12"/>
      <c r="I21" s="185"/>
      <c r="J21" s="129"/>
      <c r="K21" s="13"/>
      <c r="L21" s="13"/>
      <c r="M21" s="205"/>
    </row>
    <row r="22" spans="1:13" ht="18" customHeight="1">
      <c r="A22" s="65" t="s">
        <v>149</v>
      </c>
      <c r="C22" s="100">
        <f>SUM(C21)</f>
        <v>1850</v>
      </c>
      <c r="D22" s="36"/>
      <c r="F22" s="199" t="s">
        <v>126</v>
      </c>
      <c r="G22" s="7"/>
      <c r="H22" s="7"/>
      <c r="I22" s="98"/>
      <c r="J22" s="199" t="s">
        <v>126</v>
      </c>
      <c r="K22" s="7"/>
      <c r="L22" s="7"/>
      <c r="M22" s="98"/>
    </row>
    <row r="23" spans="1:13" ht="15.75">
      <c r="A23" s="208" t="s">
        <v>180</v>
      </c>
      <c r="C23" s="100">
        <v>0</v>
      </c>
      <c r="D23" s="36"/>
      <c r="F23" s="200" t="s">
        <v>37</v>
      </c>
      <c r="G23" s="566">
        <v>2070483</v>
      </c>
      <c r="H23" s="599">
        <v>0.12678</v>
      </c>
      <c r="I23" s="196">
        <f t="shared" ref="I23:I31" si="0">G23*H23</f>
        <v>262495.83474000002</v>
      </c>
      <c r="J23" s="200" t="s">
        <v>37</v>
      </c>
      <c r="K23" s="566">
        <v>1087844</v>
      </c>
      <c r="L23" s="599">
        <v>0.11330999999999999</v>
      </c>
      <c r="M23" s="196">
        <f>K23*L23</f>
        <v>123263.60363999999</v>
      </c>
    </row>
    <row r="24" spans="1:13" ht="15.75">
      <c r="A24" s="208" t="s">
        <v>186</v>
      </c>
      <c r="C24" s="122">
        <v>0</v>
      </c>
      <c r="D24" s="36"/>
      <c r="F24" s="200" t="s">
        <v>306</v>
      </c>
      <c r="G24" s="566">
        <v>2296</v>
      </c>
      <c r="H24" s="599">
        <v>0.12678</v>
      </c>
      <c r="I24" s="196">
        <f t="shared" si="0"/>
        <v>291.08688000000001</v>
      </c>
      <c r="J24" s="200" t="s">
        <v>38</v>
      </c>
      <c r="K24" s="566">
        <v>931171</v>
      </c>
      <c r="L24" s="599">
        <v>0.11330999999999999</v>
      </c>
      <c r="M24" s="196">
        <f t="shared" ref="M24:M27" si="1">K24*L24</f>
        <v>105510.98600999999</v>
      </c>
    </row>
    <row r="25" spans="1:13" ht="15.75">
      <c r="A25" s="208" t="s">
        <v>189</v>
      </c>
      <c r="C25" s="314">
        <v>0</v>
      </c>
      <c r="D25" s="36"/>
      <c r="F25" s="200" t="s">
        <v>38</v>
      </c>
      <c r="G25" s="566">
        <v>1446879</v>
      </c>
      <c r="H25" s="599">
        <v>0.11865000000000001</v>
      </c>
      <c r="I25" s="196">
        <f t="shared" si="0"/>
        <v>171672.19335000002</v>
      </c>
      <c r="J25" s="200" t="s">
        <v>39</v>
      </c>
      <c r="K25" s="566">
        <v>70834</v>
      </c>
      <c r="L25" s="599">
        <v>0.11330999999999999</v>
      </c>
      <c r="M25" s="196">
        <f t="shared" si="1"/>
        <v>8026.2005399999998</v>
      </c>
    </row>
    <row r="26" spans="1:13" ht="15.75">
      <c r="A26" s="209" t="s">
        <v>188</v>
      </c>
      <c r="C26" s="315">
        <v>0</v>
      </c>
      <c r="D26" s="36"/>
      <c r="F26" s="200" t="s">
        <v>39</v>
      </c>
      <c r="G26" s="566">
        <v>0</v>
      </c>
      <c r="H26" s="599">
        <v>0.11865000000000001</v>
      </c>
      <c r="I26" s="196">
        <f t="shared" si="0"/>
        <v>0</v>
      </c>
      <c r="J26" s="200" t="s">
        <v>40</v>
      </c>
      <c r="K26" s="566">
        <v>0</v>
      </c>
      <c r="L26" s="599">
        <v>0.11330999999999999</v>
      </c>
      <c r="M26" s="196">
        <f t="shared" si="1"/>
        <v>0</v>
      </c>
    </row>
    <row r="27" spans="1:13" ht="15.75">
      <c r="A27" s="65" t="s">
        <v>96</v>
      </c>
      <c r="C27" s="100">
        <f>SUM(C23:C26)</f>
        <v>0</v>
      </c>
      <c r="D27" s="36"/>
      <c r="F27" s="200" t="s">
        <v>40</v>
      </c>
      <c r="G27" s="566">
        <v>274504</v>
      </c>
      <c r="H27" s="599">
        <v>0.11541</v>
      </c>
      <c r="I27" s="196">
        <f t="shared" si="0"/>
        <v>31680.50664</v>
      </c>
      <c r="J27" s="200" t="s">
        <v>41</v>
      </c>
      <c r="K27" s="566">
        <v>0</v>
      </c>
      <c r="L27" s="599">
        <v>0.11330999999999999</v>
      </c>
      <c r="M27" s="196">
        <f t="shared" si="1"/>
        <v>0</v>
      </c>
    </row>
    <row r="28" spans="1:13" ht="16.5" thickBot="1">
      <c r="A28" s="210" t="s">
        <v>150</v>
      </c>
      <c r="C28" s="312">
        <v>0</v>
      </c>
      <c r="D28" s="37"/>
      <c r="F28" s="200" t="s">
        <v>41</v>
      </c>
      <c r="G28" s="566">
        <v>44343</v>
      </c>
      <c r="H28" s="599">
        <v>0.11541</v>
      </c>
      <c r="I28" s="196">
        <f t="shared" si="0"/>
        <v>5117.6256299999995</v>
      </c>
      <c r="J28" s="199" t="s">
        <v>127</v>
      </c>
      <c r="K28" s="181">
        <f>SUM(K23:K27)</f>
        <v>2089849</v>
      </c>
      <c r="L28" s="182"/>
      <c r="M28" s="197">
        <f>SUM(M23:M27)</f>
        <v>236800.79018999997</v>
      </c>
    </row>
    <row r="29" spans="1:13" ht="17.25" thickTop="1" thickBot="1">
      <c r="A29" s="210" t="s">
        <v>167</v>
      </c>
      <c r="B29" s="385"/>
      <c r="C29" s="312">
        <v>0</v>
      </c>
      <c r="D29" s="36"/>
      <c r="F29" s="200" t="s">
        <v>42</v>
      </c>
      <c r="G29" s="566">
        <v>0</v>
      </c>
      <c r="H29" s="599">
        <v>7.4310000000000001E-2</v>
      </c>
      <c r="I29" s="196">
        <f t="shared" si="0"/>
        <v>0</v>
      </c>
      <c r="J29" s="199"/>
      <c r="K29" s="231">
        <v>2089849</v>
      </c>
      <c r="L29" s="187" t="s">
        <v>102</v>
      </c>
      <c r="M29" s="465">
        <f>M28/K28</f>
        <v>0.11330999999999998</v>
      </c>
    </row>
    <row r="30" spans="1:13" ht="16.5" thickBot="1">
      <c r="A30" s="2" t="s">
        <v>111</v>
      </c>
      <c r="C30" s="125">
        <f>C7+C11+C14+C17+C20+C22+C27+C28+C29</f>
        <v>2321582.1100000003</v>
      </c>
      <c r="D30" s="37"/>
      <c r="F30" s="200" t="s">
        <v>43</v>
      </c>
      <c r="G30" s="566">
        <v>67673</v>
      </c>
      <c r="H30" s="599">
        <v>7.4310000000000001E-2</v>
      </c>
      <c r="I30" s="196">
        <f t="shared" si="0"/>
        <v>5028.7806300000002</v>
      </c>
      <c r="J30" s="200"/>
      <c r="K30" s="230">
        <f>K28-K29</f>
        <v>0</v>
      </c>
      <c r="L30" s="182"/>
      <c r="M30" s="198"/>
    </row>
    <row r="31" spans="1:13" ht="15.75">
      <c r="A31" s="384" t="s">
        <v>112</v>
      </c>
      <c r="C31" s="564">
        <v>0</v>
      </c>
      <c r="D31" s="39"/>
      <c r="F31" s="200" t="s">
        <v>74</v>
      </c>
      <c r="G31" s="566">
        <v>2144434</v>
      </c>
      <c r="H31" s="599">
        <v>5.4000000000000001E-4</v>
      </c>
      <c r="I31" s="196">
        <f t="shared" si="0"/>
        <v>1157.9943599999999</v>
      </c>
      <c r="J31" s="153"/>
      <c r="K31" s="7"/>
      <c r="L31" s="182"/>
      <c r="M31" s="198"/>
    </row>
    <row r="32" spans="1:13" ht="16.5" thickBot="1">
      <c r="A32" s="2" t="s">
        <v>116</v>
      </c>
      <c r="B32" s="2" t="s">
        <v>117</v>
      </c>
      <c r="C32" s="571">
        <f>C30+C31</f>
        <v>2321582.1100000003</v>
      </c>
      <c r="D32" s="40"/>
      <c r="F32" s="199" t="s">
        <v>127</v>
      </c>
      <c r="G32" s="181">
        <f>SUM(G23:G31)</f>
        <v>6050612</v>
      </c>
      <c r="H32" s="7"/>
      <c r="I32" s="197">
        <f>SUM(I23:I31)</f>
        <v>477444.02223000006</v>
      </c>
      <c r="J32" s="192"/>
      <c r="K32" s="193"/>
      <c r="L32" s="7"/>
      <c r="M32" s="190"/>
    </row>
    <row r="33" spans="1:17" ht="17.25" thickTop="1" thickBot="1">
      <c r="A33" s="384" t="s">
        <v>113</v>
      </c>
      <c r="C33" s="311">
        <f>-C5-C9-C13-C16-C19</f>
        <v>-42771.479999999996</v>
      </c>
      <c r="D33" s="36"/>
      <c r="F33" s="186"/>
      <c r="G33" s="231">
        <v>6050612</v>
      </c>
      <c r="H33" s="187" t="s">
        <v>102</v>
      </c>
      <c r="I33" s="216">
        <f>I32/G32</f>
        <v>7.8908385173268439E-2</v>
      </c>
      <c r="J33" s="192"/>
      <c r="K33" s="193"/>
      <c r="L33" s="7"/>
      <c r="M33" s="98"/>
    </row>
    <row r="34" spans="1:17" ht="16.5" thickBot="1">
      <c r="A34" s="2" t="s">
        <v>114</v>
      </c>
      <c r="C34" s="125">
        <f>SUM(C32:C33)</f>
        <v>2278810.6300000004</v>
      </c>
      <c r="D34" s="36"/>
      <c r="F34" s="153"/>
      <c r="G34" s="230">
        <f>G32-G33</f>
        <v>0</v>
      </c>
      <c r="H34" s="7"/>
      <c r="I34" s="98"/>
      <c r="J34" s="192"/>
      <c r="K34" s="191"/>
      <c r="L34" s="7"/>
      <c r="M34" s="98"/>
    </row>
    <row r="35" spans="1:17" ht="18" customHeight="1">
      <c r="A35" s="2"/>
      <c r="C35" s="101"/>
      <c r="D35" s="36"/>
      <c r="F35" s="184"/>
      <c r="G35" s="12"/>
      <c r="H35" s="12"/>
      <c r="I35" s="185"/>
      <c r="J35" s="199" t="s">
        <v>128</v>
      </c>
      <c r="K35" s="637"/>
      <c r="L35" s="637"/>
      <c r="M35" s="638"/>
    </row>
    <row r="36" spans="1:17" ht="15.75">
      <c r="A36" s="16" t="s">
        <v>94</v>
      </c>
      <c r="B36" s="2"/>
      <c r="C36" s="100"/>
      <c r="D36" s="36"/>
      <c r="F36" s="199" t="s">
        <v>128</v>
      </c>
      <c r="G36" s="7"/>
      <c r="H36" s="7"/>
      <c r="I36" s="98"/>
      <c r="J36" s="200" t="s">
        <v>37</v>
      </c>
      <c r="K36" s="585">
        <f>K23</f>
        <v>1087844</v>
      </c>
      <c r="L36" s="599">
        <v>0.23895</v>
      </c>
      <c r="M36" s="196">
        <f t="shared" ref="M36:M42" si="2">K36*L36</f>
        <v>259940.32379999998</v>
      </c>
      <c r="P36" s="273"/>
      <c r="Q36" s="273"/>
    </row>
    <row r="37" spans="1:17" ht="15.75">
      <c r="A37" s="7" t="s">
        <v>129</v>
      </c>
      <c r="B37" s="535" t="s">
        <v>115</v>
      </c>
      <c r="C37" s="564">
        <v>8310205.4500000002</v>
      </c>
      <c r="D37" s="36"/>
      <c r="F37" s="200" t="s">
        <v>37</v>
      </c>
      <c r="G37" s="585">
        <f>G23</f>
        <v>2070483</v>
      </c>
      <c r="H37" s="599">
        <v>0.23860000000000001</v>
      </c>
      <c r="I37" s="196">
        <f t="shared" ref="I37:I44" si="3">G37*H37</f>
        <v>494017.2438</v>
      </c>
      <c r="J37" s="200" t="s">
        <v>38</v>
      </c>
      <c r="K37" s="585">
        <f>K24</f>
        <v>931171</v>
      </c>
      <c r="L37" s="599">
        <v>0.23895</v>
      </c>
      <c r="M37" s="196">
        <f t="shared" si="2"/>
        <v>222503.31044999999</v>
      </c>
      <c r="P37" s="273"/>
      <c r="Q37" s="273"/>
    </row>
    <row r="38" spans="1:17" ht="15.75">
      <c r="A38" s="144" t="s">
        <v>14</v>
      </c>
      <c r="B38" s="535" t="s">
        <v>115</v>
      </c>
      <c r="C38" s="122">
        <v>0</v>
      </c>
      <c r="D38" s="36"/>
      <c r="F38" s="200" t="s">
        <v>306</v>
      </c>
      <c r="G38" s="585">
        <f>G24</f>
        <v>2296</v>
      </c>
      <c r="H38" s="599">
        <v>0.23860000000000001</v>
      </c>
      <c r="I38" s="196">
        <f t="shared" si="3"/>
        <v>547.82560000000001</v>
      </c>
      <c r="J38" s="200" t="s">
        <v>39</v>
      </c>
      <c r="K38" s="585">
        <f>K25</f>
        <v>70834</v>
      </c>
      <c r="L38" s="599">
        <v>0.23895</v>
      </c>
      <c r="M38" s="196">
        <f t="shared" si="2"/>
        <v>16925.784299999999</v>
      </c>
      <c r="P38" s="273"/>
      <c r="Q38" s="273"/>
    </row>
    <row r="39" spans="1:17" ht="15.75">
      <c r="A39" s="7" t="s">
        <v>146</v>
      </c>
      <c r="B39" s="535" t="s">
        <v>147</v>
      </c>
      <c r="C39" s="564">
        <v>-1156.3399999999999</v>
      </c>
      <c r="D39" s="36"/>
      <c r="F39" s="200" t="s">
        <v>38</v>
      </c>
      <c r="G39" s="585">
        <f t="shared" ref="G39:G44" si="4">G25</f>
        <v>1446879</v>
      </c>
      <c r="H39" s="599">
        <v>0.23860000000000001</v>
      </c>
      <c r="I39" s="196">
        <f t="shared" si="3"/>
        <v>345225.32939999999</v>
      </c>
      <c r="J39" s="200" t="s">
        <v>40</v>
      </c>
      <c r="K39" s="585">
        <f>K26</f>
        <v>0</v>
      </c>
      <c r="L39" s="599">
        <v>0.23895</v>
      </c>
      <c r="M39" s="196">
        <f t="shared" si="2"/>
        <v>0</v>
      </c>
      <c r="P39" s="273"/>
      <c r="Q39" s="273"/>
    </row>
    <row r="40" spans="1:17" ht="15.75">
      <c r="A40" s="7" t="s">
        <v>131</v>
      </c>
      <c r="B40" s="535" t="s">
        <v>132</v>
      </c>
      <c r="C40" s="564">
        <v>261096.29</v>
      </c>
      <c r="D40" s="36"/>
      <c r="F40" s="200" t="s">
        <v>39</v>
      </c>
      <c r="G40" s="585">
        <f t="shared" si="4"/>
        <v>0</v>
      </c>
      <c r="H40" s="599">
        <v>0.23860000000000001</v>
      </c>
      <c r="I40" s="196">
        <f t="shared" si="3"/>
        <v>0</v>
      </c>
      <c r="J40" s="200" t="s">
        <v>41</v>
      </c>
      <c r="K40" s="585">
        <f>K27</f>
        <v>0</v>
      </c>
      <c r="L40" s="599">
        <v>0.23895</v>
      </c>
      <c r="M40" s="196">
        <f t="shared" si="2"/>
        <v>0</v>
      </c>
      <c r="P40" s="273"/>
      <c r="Q40" s="273"/>
    </row>
    <row r="41" spans="1:17" ht="15.75">
      <c r="A41" s="7" t="s">
        <v>153</v>
      </c>
      <c r="B41" s="6" t="s">
        <v>155</v>
      </c>
      <c r="C41" s="564">
        <v>21511.93</v>
      </c>
      <c r="D41" s="36"/>
      <c r="F41" s="200" t="s">
        <v>40</v>
      </c>
      <c r="G41" s="585">
        <f t="shared" si="4"/>
        <v>274504</v>
      </c>
      <c r="H41" s="599">
        <v>0.23860000000000001</v>
      </c>
      <c r="I41" s="196">
        <f t="shared" si="3"/>
        <v>65496.654399999999</v>
      </c>
      <c r="J41" s="200" t="s">
        <v>42</v>
      </c>
      <c r="K41" s="566">
        <v>0</v>
      </c>
      <c r="L41" s="599">
        <v>0.23895</v>
      </c>
      <c r="M41" s="196">
        <f t="shared" si="2"/>
        <v>0</v>
      </c>
      <c r="P41" s="273"/>
      <c r="Q41" s="273"/>
    </row>
    <row r="42" spans="1:17" ht="16.5" thickBot="1">
      <c r="A42" s="7" t="s">
        <v>178</v>
      </c>
      <c r="B42" s="535" t="s">
        <v>179</v>
      </c>
      <c r="C42" s="564">
        <v>371821.59</v>
      </c>
      <c r="D42" s="37"/>
      <c r="F42" s="200" t="s">
        <v>41</v>
      </c>
      <c r="G42" s="585">
        <f t="shared" si="4"/>
        <v>44343</v>
      </c>
      <c r="H42" s="599">
        <v>0.23860000000000001</v>
      </c>
      <c r="I42" s="196">
        <f t="shared" si="3"/>
        <v>10580.239800000001</v>
      </c>
      <c r="J42" s="200" t="s">
        <v>43</v>
      </c>
      <c r="K42" s="586">
        <v>0</v>
      </c>
      <c r="L42" s="599">
        <v>0.23895</v>
      </c>
      <c r="M42" s="196">
        <f t="shared" si="2"/>
        <v>0</v>
      </c>
      <c r="P42" s="273"/>
      <c r="Q42" s="273"/>
    </row>
    <row r="43" spans="1:17" ht="16.5" thickBot="1">
      <c r="A43" s="85" t="s">
        <v>123</v>
      </c>
      <c r="B43" s="12"/>
      <c r="C43" s="125">
        <f>SUM(C37:C42)</f>
        <v>8963478.9199999999</v>
      </c>
      <c r="D43" s="36"/>
      <c r="F43" s="200" t="s">
        <v>42</v>
      </c>
      <c r="G43" s="585">
        <f t="shared" si="4"/>
        <v>0</v>
      </c>
      <c r="H43" s="599">
        <v>0.23860000000000001</v>
      </c>
      <c r="I43" s="196">
        <f t="shared" si="3"/>
        <v>0</v>
      </c>
      <c r="J43" s="199" t="s">
        <v>133</v>
      </c>
      <c r="K43" s="181">
        <f>SUM(K36:K42)</f>
        <v>2089849</v>
      </c>
      <c r="L43" s="182"/>
      <c r="M43" s="197">
        <f>SUM(M36:M42)</f>
        <v>499369.41855</v>
      </c>
    </row>
    <row r="44" spans="1:17" ht="16.5" thickBot="1">
      <c r="A44" s="83" t="s">
        <v>177</v>
      </c>
      <c r="B44" s="84" t="s">
        <v>120</v>
      </c>
      <c r="C44" s="564">
        <f>-1579802.39+1125281.72-364.1+266.04</f>
        <v>-454618.72999999992</v>
      </c>
      <c r="D44" s="37"/>
      <c r="F44" s="200" t="s">
        <v>43</v>
      </c>
      <c r="G44" s="585">
        <f t="shared" si="4"/>
        <v>67673</v>
      </c>
      <c r="H44" s="599">
        <v>0.23860000000000001</v>
      </c>
      <c r="I44" s="196">
        <f t="shared" si="3"/>
        <v>16146.7778</v>
      </c>
      <c r="J44" s="194"/>
      <c r="K44" s="232">
        <v>2089849</v>
      </c>
      <c r="L44" s="189" t="s">
        <v>102</v>
      </c>
      <c r="M44" s="217">
        <f>M43/K43</f>
        <v>0.23895</v>
      </c>
    </row>
    <row r="45" spans="1:17" ht="16.5" thickBot="1">
      <c r="A45" s="211" t="s">
        <v>168</v>
      </c>
      <c r="B45" s="6" t="s">
        <v>115</v>
      </c>
      <c r="C45" s="122">
        <v>0</v>
      </c>
      <c r="D45" s="39"/>
      <c r="F45" s="199" t="s">
        <v>133</v>
      </c>
      <c r="G45" s="181">
        <f>SUM(G37:G44)</f>
        <v>3906178</v>
      </c>
      <c r="H45" s="182"/>
      <c r="I45" s="197">
        <f>SUM(I37:I44)</f>
        <v>932014.07079999999</v>
      </c>
      <c r="J45" s="85"/>
      <c r="K45" s="231"/>
      <c r="L45" s="187"/>
      <c r="M45" s="560"/>
    </row>
    <row r="46" spans="1:17" ht="19.5" customHeight="1" thickTop="1" thickBot="1">
      <c r="A46" s="144" t="s">
        <v>169</v>
      </c>
      <c r="B46" s="6" t="s">
        <v>115</v>
      </c>
      <c r="C46" s="122">
        <v>0</v>
      </c>
      <c r="D46" s="40"/>
      <c r="F46" s="188"/>
      <c r="G46" s="232">
        <v>3906178</v>
      </c>
      <c r="H46" s="189" t="s">
        <v>102</v>
      </c>
      <c r="I46" s="215">
        <f>I45/G45</f>
        <v>0.23860000000000001</v>
      </c>
      <c r="J46" s="85"/>
      <c r="K46" s="231"/>
      <c r="L46" s="187"/>
      <c r="M46" s="560"/>
    </row>
    <row r="47" spans="1:17" ht="19.149999999999999" customHeight="1">
      <c r="A47" s="384" t="s">
        <v>137</v>
      </c>
      <c r="B47" s="6" t="s">
        <v>115</v>
      </c>
      <c r="C47" s="564">
        <v>0</v>
      </c>
      <c r="D47" s="36"/>
      <c r="F47" s="385"/>
      <c r="G47" s="230">
        <f>G45-G46</f>
        <v>0</v>
      </c>
      <c r="H47" s="385"/>
      <c r="I47" s="385"/>
      <c r="J47" s="124"/>
      <c r="K47" s="230">
        <f>K43-K44</f>
        <v>0</v>
      </c>
      <c r="L47" s="385"/>
      <c r="M47" s="124"/>
    </row>
    <row r="48" spans="1:17" ht="16.5" thickBot="1">
      <c r="A48" s="144" t="s">
        <v>305</v>
      </c>
      <c r="B48" s="6" t="s">
        <v>115</v>
      </c>
      <c r="C48" s="564">
        <v>7000</v>
      </c>
      <c r="D48" s="36"/>
      <c r="F48" s="385"/>
      <c r="G48" s="385"/>
      <c r="H48" s="385"/>
      <c r="I48" s="385"/>
      <c r="J48" s="124"/>
      <c r="K48" s="114"/>
      <c r="L48" s="385"/>
      <c r="M48" s="68"/>
    </row>
    <row r="49" spans="1:21" ht="15.75">
      <c r="A49" s="7" t="s">
        <v>130</v>
      </c>
      <c r="B49" s="535" t="s">
        <v>152</v>
      </c>
      <c r="C49" s="564">
        <v>27365.119999999999</v>
      </c>
      <c r="D49" s="36"/>
      <c r="F49" s="385"/>
      <c r="G49" s="114"/>
      <c r="H49" s="129" t="s">
        <v>35</v>
      </c>
      <c r="I49" s="13" t="s">
        <v>35</v>
      </c>
      <c r="J49" s="13" t="s">
        <v>63</v>
      </c>
      <c r="K49" s="127" t="s">
        <v>70</v>
      </c>
      <c r="L49" s="124"/>
      <c r="M49" s="385"/>
    </row>
    <row r="50" spans="1:21" ht="16.5" thickBot="1">
      <c r="A50" s="7" t="s">
        <v>222</v>
      </c>
      <c r="B50" s="535" t="s">
        <v>152</v>
      </c>
      <c r="C50" s="564">
        <v>700.49</v>
      </c>
      <c r="D50" s="37"/>
      <c r="F50" s="50" t="s">
        <v>73</v>
      </c>
      <c r="G50" s="385"/>
      <c r="H50" s="130" t="s">
        <v>2</v>
      </c>
      <c r="I50" s="131" t="s">
        <v>3</v>
      </c>
      <c r="J50" s="131" t="s">
        <v>2</v>
      </c>
      <c r="K50" s="128" t="s">
        <v>3</v>
      </c>
      <c r="L50" s="385"/>
      <c r="M50" s="385"/>
    </row>
    <row r="51" spans="1:21" ht="15.75">
      <c r="A51" s="7" t="s">
        <v>309</v>
      </c>
      <c r="B51" s="535" t="s">
        <v>152</v>
      </c>
      <c r="C51" s="564">
        <v>4150.05</v>
      </c>
      <c r="D51" s="36"/>
      <c r="F51" s="385"/>
      <c r="G51" s="385"/>
      <c r="H51" s="151"/>
      <c r="I51" s="152"/>
      <c r="J51" s="152"/>
      <c r="K51" s="152"/>
      <c r="L51" s="126" t="s">
        <v>103</v>
      </c>
      <c r="M51" s="385"/>
    </row>
    <row r="52" spans="1:21" ht="15.75">
      <c r="A52" s="22" t="s">
        <v>118</v>
      </c>
      <c r="B52" s="6"/>
      <c r="C52" s="100">
        <f>-C33</f>
        <v>42771.479999999996</v>
      </c>
      <c r="D52" s="33"/>
      <c r="F52" s="385" t="s">
        <v>136</v>
      </c>
      <c r="G52" s="385"/>
      <c r="H52" s="212">
        <f>K12</f>
        <v>-1285842.1795400009</v>
      </c>
      <c r="I52" s="115">
        <f>I14</f>
        <v>1607245.1373390004</v>
      </c>
      <c r="J52" s="115">
        <f>L12</f>
        <v>-688271.66046000051</v>
      </c>
      <c r="K52" s="115">
        <f>J14</f>
        <v>671565.49266100011</v>
      </c>
      <c r="L52" s="132">
        <f>SUM(H52:K52)</f>
        <v>304696.78999999911</v>
      </c>
      <c r="M52" s="385"/>
    </row>
    <row r="53" spans="1:21" ht="16.5" thickBot="1">
      <c r="A53" s="385" t="s">
        <v>316</v>
      </c>
      <c r="B53" s="607" t="s">
        <v>317</v>
      </c>
      <c r="C53" s="564">
        <v>50484.03</v>
      </c>
      <c r="D53" s="36"/>
      <c r="F53" s="384" t="s">
        <v>109</v>
      </c>
      <c r="H53" s="212">
        <f>-I45</f>
        <v>-932014.07079999999</v>
      </c>
      <c r="I53" s="115">
        <f>-I32</f>
        <v>-477444.02223000006</v>
      </c>
      <c r="J53" s="115">
        <f>-M43</f>
        <v>-499369.41855</v>
      </c>
      <c r="K53" s="115">
        <f>-M28</f>
        <v>-236800.79018999997</v>
      </c>
      <c r="L53" s="261">
        <f>SUM(H53:K53)</f>
        <v>-2145628.3017700003</v>
      </c>
    </row>
    <row r="54" spans="1:21" ht="16.5" thickBot="1">
      <c r="A54" s="382" t="s">
        <v>124</v>
      </c>
      <c r="B54" s="473" t="s">
        <v>297</v>
      </c>
      <c r="C54" s="564">
        <v>-10242621.720000001</v>
      </c>
      <c r="D54" s="36"/>
      <c r="F54" s="384" t="s">
        <v>86</v>
      </c>
      <c r="H54" s="234">
        <v>0</v>
      </c>
      <c r="I54" s="235">
        <v>0</v>
      </c>
      <c r="J54" s="235">
        <v>0</v>
      </c>
      <c r="K54" s="236">
        <v>0</v>
      </c>
      <c r="L54" s="214">
        <f>SUM(L52:L53)</f>
        <v>-1840931.5117700011</v>
      </c>
    </row>
    <row r="55" spans="1:21" ht="16.5" thickBot="1">
      <c r="A55" s="384" t="s">
        <v>313</v>
      </c>
      <c r="B55" s="6" t="s">
        <v>190</v>
      </c>
      <c r="C55" s="564">
        <v>-375000</v>
      </c>
      <c r="D55" s="36"/>
      <c r="F55" s="384" t="s">
        <v>71</v>
      </c>
      <c r="H55" s="125">
        <f>IFERROR(H52+H53+H54,0)</f>
        <v>-2217856.2503400007</v>
      </c>
      <c r="I55" s="125">
        <f>I52+I53+I54</f>
        <v>1129801.1151090004</v>
      </c>
      <c r="J55" s="125">
        <f>IFERROR(J52+J53+J54,0)</f>
        <v>-1187641.0790100005</v>
      </c>
      <c r="K55" s="125">
        <f>K52+K53+K54</f>
        <v>434764.70247100014</v>
      </c>
      <c r="L55" s="47">
        <f>SUM(H55:K55)</f>
        <v>-1840931.5117700007</v>
      </c>
    </row>
    <row r="56" spans="1:21" ht="16.5" thickBot="1">
      <c r="A56" s="82" t="s">
        <v>119</v>
      </c>
      <c r="B56" s="84"/>
      <c r="C56" s="160">
        <f>SUM(C43:C55)</f>
        <v>-1976290.3600000013</v>
      </c>
      <c r="D56" s="36"/>
      <c r="F56" s="240" t="s">
        <v>181</v>
      </c>
      <c r="H56" s="384" t="s">
        <v>173</v>
      </c>
      <c r="I56" s="5">
        <f>SUM(H55:I55)</f>
        <v>-1088055.1352310004</v>
      </c>
      <c r="J56" s="15" t="s">
        <v>174</v>
      </c>
      <c r="K56" s="384">
        <f>SUM(J55:K55)</f>
        <v>-752876.37653900031</v>
      </c>
      <c r="L56" s="213">
        <f>ROUND(L54-L55,3)</f>
        <v>0</v>
      </c>
      <c r="T56" s="42"/>
    </row>
    <row r="57" spans="1:21" ht="16.5" thickTop="1">
      <c r="A57" s="384" t="s">
        <v>121</v>
      </c>
      <c r="B57" s="6" t="s">
        <v>115</v>
      </c>
      <c r="C57" s="564">
        <v>1710.99</v>
      </c>
      <c r="D57" s="36"/>
      <c r="F57" s="397" t="s">
        <v>181</v>
      </c>
      <c r="H57" s="96"/>
    </row>
    <row r="58" spans="1:21" ht="16.5" thickBot="1">
      <c r="A58" s="384" t="s">
        <v>122</v>
      </c>
      <c r="B58" s="6" t="s">
        <v>115</v>
      </c>
      <c r="C58" s="564">
        <v>465.53</v>
      </c>
      <c r="D58" s="36"/>
      <c r="F58" s="397" t="s">
        <v>182</v>
      </c>
      <c r="H58" s="157"/>
      <c r="I58" s="120"/>
      <c r="J58" s="120"/>
      <c r="K58" s="204"/>
      <c r="L58" s="120"/>
    </row>
    <row r="59" spans="1:21" ht="16.5" thickBot="1">
      <c r="A59" s="2" t="s">
        <v>125</v>
      </c>
      <c r="B59" s="2"/>
      <c r="C59" s="160">
        <f>SUM(C56:C58)</f>
        <v>-1974113.8400000012</v>
      </c>
      <c r="D59" s="36"/>
      <c r="F59" s="546" t="s">
        <v>304</v>
      </c>
      <c r="G59" s="547" t="str">
        <f>IF(OR(AND(I56&gt;0,K56&gt;0),AND(I56&lt;0,K56&lt;0)),"OK","ERROR")</f>
        <v>OK</v>
      </c>
      <c r="H59" s="386" t="s">
        <v>295</v>
      </c>
      <c r="I59" s="387"/>
    </row>
    <row r="60" spans="1:21" ht="17.25" thickTop="1" thickBot="1">
      <c r="A60" s="2"/>
      <c r="C60" s="101"/>
      <c r="D60" s="36"/>
      <c r="H60" s="318" t="s">
        <v>175</v>
      </c>
      <c r="I60" s="319" t="s">
        <v>176</v>
      </c>
      <c r="J60" s="5"/>
    </row>
    <row r="61" spans="1:21" ht="16.5" thickBot="1">
      <c r="A61" s="9"/>
      <c r="B61" s="9" t="s">
        <v>95</v>
      </c>
      <c r="C61" s="125">
        <f>C59+C34</f>
        <v>304696.78999999911</v>
      </c>
      <c r="D61" s="37"/>
      <c r="H61" s="349" t="e">
        <f>SUM(#REF!,#REF!,#REF!,#REF!,#REF!,#REF!)</f>
        <v>#REF!</v>
      </c>
      <c r="I61" s="449" t="e">
        <f>SUM(#REF!,#REF!,#REF!,#REF!,#REF!,#REF!)</f>
        <v>#REF!</v>
      </c>
      <c r="J61" s="384">
        <f>H53+I53+J53+K53</f>
        <v>-2145628.3017700003</v>
      </c>
    </row>
    <row r="62" spans="1:21" ht="15.75">
      <c r="A62" s="2"/>
      <c r="B62" s="9" t="s">
        <v>160</v>
      </c>
      <c r="C62" s="350">
        <v>304696.78999999998</v>
      </c>
      <c r="G62" s="5"/>
      <c r="I62" s="338" t="e">
        <f>H61-I61</f>
        <v>#REF!</v>
      </c>
      <c r="N62" s="5"/>
      <c r="O62" s="5"/>
      <c r="P62" s="21"/>
    </row>
    <row r="63" spans="1:21" ht="15.75">
      <c r="A63" s="9"/>
      <c r="B63" s="9" t="s">
        <v>159</v>
      </c>
      <c r="C63" s="257">
        <f>ROUND(C61-C62,2)</f>
        <v>0</v>
      </c>
      <c r="D63" s="36"/>
      <c r="S63" s="6"/>
    </row>
    <row r="64" spans="1:21" ht="15.75">
      <c r="A64" s="44"/>
      <c r="C64" s="351"/>
      <c r="D64" s="43"/>
      <c r="N64" s="22"/>
      <c r="U64" s="2"/>
    </row>
    <row r="65" spans="1:21" ht="15.75">
      <c r="A65" s="44"/>
      <c r="C65" s="8"/>
      <c r="D65" s="36"/>
      <c r="N65" s="22"/>
      <c r="S65" s="23"/>
    </row>
    <row r="66" spans="1:21" ht="15.75">
      <c r="A66" s="2"/>
      <c r="C66" s="8"/>
      <c r="D66" s="36"/>
      <c r="N66" s="22"/>
      <c r="S66" s="24"/>
    </row>
    <row r="67" spans="1:21">
      <c r="C67" s="100"/>
      <c r="D67" s="36"/>
      <c r="N67" s="22"/>
      <c r="S67" s="25"/>
    </row>
    <row r="68" spans="1:21">
      <c r="D68" s="36"/>
      <c r="N68" s="22"/>
      <c r="S68" s="24"/>
    </row>
    <row r="69" spans="1:21">
      <c r="D69" s="37"/>
      <c r="N69" s="22"/>
    </row>
    <row r="70" spans="1:21">
      <c r="D70" s="36"/>
      <c r="N70" s="22"/>
      <c r="S70" s="26"/>
    </row>
    <row r="71" spans="1:21">
      <c r="D71" s="36"/>
    </row>
    <row r="72" spans="1:21">
      <c r="D72" s="36"/>
    </row>
    <row r="73" spans="1:21">
      <c r="D73" s="45"/>
      <c r="S73" s="27"/>
    </row>
    <row r="74" spans="1:21">
      <c r="R74" s="6"/>
      <c r="S74" s="6"/>
      <c r="T74" s="6"/>
    </row>
    <row r="76" spans="1:21">
      <c r="U76" s="28"/>
    </row>
    <row r="1477" spans="3:3">
      <c r="C1477" s="384">
        <v>-2130</v>
      </c>
    </row>
    <row r="1485" spans="3:3">
      <c r="C1485" s="384">
        <f>7004298-2130</f>
        <v>7002168</v>
      </c>
    </row>
  </sheetData>
  <mergeCells count="3">
    <mergeCell ref="F18:I18"/>
    <mergeCell ref="J18:M18"/>
    <mergeCell ref="K35:M35"/>
  </mergeCells>
  <conditionalFormatting sqref="C63 L56 I62">
    <cfRule type="cellIs" dxfId="259" priority="7" stopIfTrue="1" operator="equal">
      <formula>0</formula>
    </cfRule>
    <cfRule type="cellIs" dxfId="258" priority="8" stopIfTrue="1" operator="notEqual">
      <formula>0</formula>
    </cfRule>
  </conditionalFormatting>
  <conditionalFormatting sqref="G34 G47 K30 K47">
    <cfRule type="cellIs" dxfId="257" priority="6" operator="notEqual">
      <formula>0</formula>
    </cfRule>
  </conditionalFormatting>
  <conditionalFormatting sqref="C63">
    <cfRule type="cellIs" dxfId="256" priority="4" stopIfTrue="1" operator="equal">
      <formula>0</formula>
    </cfRule>
    <cfRule type="cellIs" dxfId="255" priority="5" stopIfTrue="1" operator="notEqual">
      <formula>0</formula>
    </cfRule>
  </conditionalFormatting>
  <conditionalFormatting sqref="K30">
    <cfRule type="cellIs" dxfId="254" priority="3" operator="notEqual">
      <formula>0</formula>
    </cfRule>
  </conditionalFormatting>
  <conditionalFormatting sqref="G59">
    <cfRule type="cellIs" dxfId="253" priority="2" operator="equal">
      <formula>"ERROR"</formula>
    </cfRule>
  </conditionalFormatting>
  <conditionalFormatting sqref="G59">
    <cfRule type="cellIs" dxfId="252" priority="1" operator="equal">
      <formula>"ERROR"</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customProperties>
    <customPr name="xxe4aP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xxe4awand xmlns="http://www.excel4apps.com"><![CDATA[rO0ABXfZCMCtii8ABBELAh4AAERjb20uZXhjZWw0YXBwcy53YW5kLm9yYWNsZS5n
bHdhbmQuY2FsY3VsYXRpb25zLmdldGJhbGFuY2UuR2V0QmFsYW5jZQIBAAk1NDc2
MTkxMjgCAgABMAIDAAYyMDE2MDECBAADWVREAgUAA1VTRAIGAAVUb3RhbAIHAAFB
AggAAAIJAAMwMDECCgAGMTkxMDE1AgsAAkdEAgwAAklEAg0AAkRMAggCCAIIAggC
CAIIAggCCAIIAggCCAIIAggCCAIIAggCCAIgAgMCDnNyAg8AFGphdmEubWF0aC5C
aWdEZWNpbWFsVMcVV/mBKE8DAAJJAhAABXNjYWxlTAIRAAZpbnRWYWx0ABZMamF2
YS9tYXRoL0JpZ0ludGVnZXI7eHICEgAQamF2YS5sYW5nLk51bWJlcoaslR0LlOCL
AgAAeHAAAAACc3ICEwAUamF2YS5tYXRoLkJpZ0ludGVnZXKM/J8fqTv7HQMABkkC
FAAIYml0Q291bnRJAhUACWJpdExlbmd0aEkCFgATZmlyc3ROb256ZXJvQnl0ZU51
bUkCFwAMbG93ZXN0U2V0Qml0SQIYAAZzaWdudW1bAhkACW1hZ25pdHVkZXQAAltC
eHEAfgAC///////////////+/////v////91cgIaAAJbQqzzF/gGCFTgAgAAeHAA
AAADElPWeHh3VQIeAAIBAgICGwAGMjAxNjAyAgQCBQIGAgcCCAIJAhwABjE5MTAx
MAILAgwCDQIIAggCCAIIAggCCAIIAggCCAIIAggCCAIIAggCCAIIAggCIAIDAh1zcQB+AAAAAAACc3EAfgAE///////////////+/////v////91cQB+AAcAAAAEG7MeXHh4d00CHgACAQICAh4ABjIwMTcwMwIEAgUCBgIHAggCCQIKAgsCDAINAggCCAIIAggCCAIIAggCCAIIAggCCAIIAggCCAIIAggCCAIgAgMCH3NxAH4AAAAAAAJzcQB+AAT///////////////7////+/////3VxAH4ABwAAAAMSit94eHdVAh4AAgECAgIgAAYyMDE2MDQCBAIFAgYCBwIIAgkCIQAGMTkxMDAwAgsCDAINAggCCAIIAggCCAIIAggCCAIIAggCCAIIAggCCAIIAggCCAIgAgMCInNxAH4AAAAAAAJzcQB+AAT///////////////7////+/////3VxAH4ABwAAAAQCUB7peHh3TQIeAAIBAgICIwAGMjAxNzEwAgQCBQIGAgcCCAIJAhwCCwIMAg0CCAIIAggCCAIIAggCCAIIAggCCAIIAggCCAIIAggCCAIIAiACAwIkc3EAfgAAAAAAAnNxAH4ABP///////////////v////7/////dXEAfgAHAAAABENETeB4eHdFAh4AAgECAgIjAgQCBQIGAgcCCAIJAiECCwIMAg0CCAIIAggCCAIIAggCCAIIAggCCAIIAggCCAIIAggCCAIIAiACAwIlc3EAfgAAAAAAAnNxAH4ABP///////////////v////4AAAABdXEAfgAHAAAABAYbWmp4eHdNAh4AAgECAgImAAYyMDE1MTACBAIFAgYCBwIIAgkCIQILAgwCDQIIAggCCAIIAggCCAIIAggCCAIIAggCCAIIAggCCAIIAggCIAIDAidzcQB+AAAAAAACc3EAfgAE///////////////+/////v////91cQB+AAcAAAAEAci29nh4d00CHgACAQICAigABjIwMTUwOAIEAgUCBgIHAggCCQIKAgsCDAINAggCCAIIAggCCAIIAggCCAIIAggCCAIIAggCCAIIAggCCAIgAgMCKXNxAH4AAAAAAAJzcQB+AAT///////////////7////+/////3VxAH4ABwAAAAMSQFZ4eHdNAh4AAgECAgIqAAYyMDE1MDkCBAIFAgYCBwIIAgkCHAILAgwCDQIIAggCCAIIAggCCAIIAggCCAIIAggCCAIIAggCCAIIAggCIAIDAitzcQB+AAAAAAACc3EAfgAE///////////////+/////v////91cQB+AAcAAAAEEkfzrXh4d00CHgACAQICAiwABjIwMTcwNAIEAgUCBgIHAggCCQIhAgsCDAINAggCCAIIAggCCAIIAggCCAIIAggCCAIIAggCCAIIAggCCAIgAgMCLXNxAH4AAAAAAAJzcQB+AAT///////////////7////+/////3VxAH4ABwAAAAQFBKNBeHh3TQIeAAIBAgICLgAGMjAxNTAyAgQCBQIGAgcCCAIJAiECCwIMAg0CCAIIAggCCAIIAggCCAIIAggCCAIIAggCCAIIAggCCAIIAiACAwIvc3EAfgAAAAAAAnNxAH4ABP///////////////v////7/////dXEAfgAHAAAABAbKRsR4eHdNAh4AAgECAgIwAAYyMDE2MDkCBAIFAgYCBwIIAgkCHAILAgwCDQIIAggCCAIIAggCCAIIAggCCAIIAggCCAIIAggCCAIIAggCIAIDAjFzcQB+AAAAAAACc3EAfgAE///////////////+/////v////91cQB+AAcAAAAEM7yWknh4d00CHgACAQICAjIABjIwMTMwOQIEAgUCBgIHAggCCQIhAgsCDAINAggCCAIIAggCCAIIAggCCAIIAggCCAIIAggCCAIIAggCCAIgAgMCM3NxAH4AAAAAAAJzcQB+AAT///////////////7////+/////3VxAH4ABwAAAAMIfR14eHdNAh4AAgECAgI0AAYyMDE3MDICBAIFAgYCBwIIAgkCHAILAgwCDQIIAggCCAIIAggCCAIIAggCCAIIAggCCAIIAggCCAIIAggCIAIDAjVzcQB+AAAAAAACc3EAfgAE///////////////+/////v////91cQB+AAcAAAAEIgqsMXh4d00CHgACAQICAjYABjIwMTYxMAIEAgUCBgIHAggCCQIhAgsCDAINAggCCAIIAggCCAIIAggCCAIIAggCCAIIAggCCAIIAggCCAIgAgMCN3NxAH4AAAAAAAJzcQB+AAT///////////////7////+AAAAAXVxAH4ABwAAAAO5cnx4eHdNAh4AAgECAgI4AAYyMDE3MTECBAIFAgYCBwIIAgkCCgILAgwCDQIIAggCCAIIAggCCAIIAggCCAIIAggCCAIIAggCCAIIAggCIAIDAjlzcQB+AAAAAAACc3EAfgAE///////////////+/////gAAAAB1cQB+AAcAAAAAeHh3RQIeAAIBAgICIAIEAgUCBgIHAggCCQIcAgsCDAINAggCCAIIAggCCAIIAggCCAIIAggCCAIIAggCCAIIAggCCAIgAgMCOnNxAH4AAAAAAAJzcQB+AAT///////////////7////+/////3VxAH4ABwAAAAQjxnj9eHh3TQIeAAIBAgICOwAGMjAxNzA1AgQCBQIGAgcCCAIJAgoCCwIMAg0CCAIIAggCCAIIAggCCAIIAggCCAIIAggCCAIIAggCCAIIAiACAwI8c3EAfgAAAAAAAnNxAH4ABP///////////////v////7/////dXEAfgAHAAAAAxKSynh4d0UCHgACAQICAioCBAIFAgYCBwIIAgkCIQILAgwCDQIIAggCCAIIAggCCAIIAggCCAIIAggCCAIIAggCCAIIAggCIAIDAj1zcQB+AAAAAAACc3EAfgAE///////////////+/////v////91cQB+AAcAAAAEAnvNCnh4d00CHgACAQICAj4ABjIwMTUxMgIEAgUCBgIHAggCCQIhAgsCDAINAggCCAIIAggCCAIIAggCCAIIAggCCAIIAggCCAIIAggCCAIgAgMCP3NxAH4AAAAAAAJzcQB+AAT///////////////7////+/////3VxAH4ABwAAAAQH2nlIeHh3RQIeAAIBAgICGwIEAgUCBgIHAggCCQIhAgsCDAINAggCCAIIAggCCAIIAggCCAIIAggCCAIIAggCCAIIAggCCAIgAgMCQHNxAH4AAAAAAAJzcQB+AAT///////////////7////+/////3VxAH4ABwAAAAQEW5IQeHh3TQIeAAIBAgICQQAGMjAxNTA2AgQCBQIGAgcCCAIJAgoCCwIMAg0CCAIIAggCCAIIAggCCAIIAggCCAIIAggCCAIIAggCCAIIAiACAwJCc3EAfgAAAAAAAnNxAH4ABP///////////////v////7/////dXEAfgAHAAAAAxI4j3h4d00CHgACAQICAkMABjIwMTcxMgIEAgUCBgIHAggCCQIhAgsCDAINAggCCAIIAggCCAIIAggCCAIIAggCCAIIAggCCAIIAggCCAIgAgMCRHNxAH4AAAAAAAJzcQB+AAT///////////////7////+/////3VxAH4ABwAAAAQewHRseHh3TQIeAAIBAgICRQAGMjAxNzA2AgQCBQIGAgcCCAIJAiECCwIMAg0CCAIIAggCCAIIAggCCAIIAggCCAIIAggCCAIIAggCCAIIAiACAwJGc3EAfgAAAAAAAnNxAH4ABP///////////////v////7/////dXEAfgAHAAAABAFtStJ4eHdNAh4AAgECAgJHAAYyMDEzMTACBAIFAgYCBwIIAgkCIQILAgwCDQIIAggCCAIIAggCCAIIAggCCAIIAggCCAIIAggCCAIIAggCIAIDAkhzcQB+AAAAAAACc3EAfgAE///////////////+/////gAAAAF1cQB+AAcAAAADulR2eHh3TQIeAAIBAgICSQAGMjAxNTAzAgQCBQIGAgcCCAIJAgoCCwIMAg0CCAIIAggCCAIIAggCCAIIAggCCAIIAggCCAIIAggCCAIIAiACAwJKc3EAfgAAAAAAAnNxAH4ABP///////////////v////7/////dXEAfgAHAAAAAxIs63h4d0UCHgACAQICAjYCBAIFAgYCBwIIAgkCHAILAgwCDQIIAggCCAIIAggCCAIIAggCCAIIAggCCAIIAggCCAIIAggCIAIDAktzcQB+AAAAAAACc3EAfgAE///////////////+/////v////91cQB+AAcAAAAENJhHI3h4d00CHgACAQICAkwABjIwMTYwNwIEAgUCBgIHAggCCQIcAgsCDAINAggCCAIIAggCCAIIAggCCAIIAggCCAIIAggCCAIIAggCCAIgAgMCTXNxAH4AAAAAAAJzcQB+AAT///////////////7////+/////3VxAH4ABwAAAAQu/eCSeHh3TQIeAAIBAgICTgAGMjAxNTA0AgQCBQIGAgcCCAIJAiECCwIMAg0CCAIIAggCCAIIAggCCAIIAggCCAIIAggCCAIIAggCCAIIAiACAwJPc3EAfgAAAAAAAnNxAH4ABP///////////////v////7/////dXEAfgAHAAAABASS9yx4eHdNAh4AAgECAgJQAAYyMDE3MDgCBAIFAgYCBwIIAgkCCgILAgwCDQIIAggCCAIIAggCCAIIAggCCAIIAggCCAIIAggCCAIIAggCIAIDAlFzcQB+AAAAAAACc3EAfgAE///////////////+/////v////91cQB+AAcAAAADEp6veHh3RQIeAAIBAgICMgIEAgUCBgIHAggCCQIcAgsCDAINAggCCAIIAggCCAIIAggCCAIIAggCCAIIAggCCAIIAggCCAIgAgMCUnNxAH4AAAAAAAJzcQB+AAT///////////////7////+AAAAAXVxAH4ABwAAAAQCduqdeHh3TQIeAAIBAgICUwAGMjAxNzA5AgQCBQIGAgcCCAIJAiECCwIMAg0CCAIIAggCCAIIAggCCAIIAggCCAIIAggCCAIIAggCCAIIAiACAwJUc3EAfgAAAAAAAnNxAH4ABP///////////////v////4AAAABdXEAfgAHAAAABAJaEtJ4eHdNAh4AAgECAgJVAAYyMDE1MDcCBAIFAgYCBwIIAgkCIQILAgwCDQIIAggCCAIIAggCCAIIAggCCAIIAggCCAIIAggCCAIIAggCIAIDAlZzcQB+AAAAAAACc3EAfgAE///////////////+/////v////91cQB+AAcAAAAEA10/nnh4d00CHgACAQICAlcABjIwMTUxMQIEAgUCBgIHAggCCQIKAgsCDAINAggCCAIIAggCCAIIAggCCAIIAggCCAIIAggCCAIIAggCCAIgAgMCWHNxAH4AAAAAAAJzcQB+AAT///////////////7////+/////3VxAH4ABwAAAAMSTAd4eHdNAh4AAgECAgJZAAYyMDE1MDUCBAIFAgYCBwIIAgkCCgILAgwCDQIIAggCCAIIAggCCAIIAggCCAIIAggCCAIIAggCCAIIAggCIAIDAlpzcQB+AAAAAAACc3EAfgAE///////////////+/////v////91cQB+AAcAAAADEjSteHh3RQIeAAIBAgICPgIEAgUCBgIHAggCCQIcAgsCDAINAggCCAIIAggCCAIIAggCCAIIAggCCAIIAggCCAIIAggCCAIgAgMCW3NxAH4AAAAAAAJzcQB+AAT///////////////7////+/////3VxAH4ABwAAAAQVqhWHeHh3TQIeAAIBAgICXAAGMjAxMzExAgQCBQIGAgcCCAIJAiECCwIMAg0CCAIIAggCCAIIAggCCAIIAggCCAIIAggCCAIIAggCCAIIAiACAwJdc3EAfgAAAAAAAnNxAH4ABP///////////////v////4AAAABdXEAfgAHAAAAA7ngiXh4d00CHgACAQICAl4ABjIwMTYwNgIEAgUCBgIHAggCCQIcAgsCDAINAggCCAIIAggCCAIIAggCCAIIAggCCAIIAggCCAIIAggCCAIgAgMCX3NxAH4AAAAAAAJzcQB+AAT///////////////7////+/////3VxAH4ABwAAAAQrEAtReHh3TQIeAAIBAgICYAAGMjAxNzA3AgQCBQIGAgcCCAIJAgoCCwIMAg0CCAIIAggCCAIIAggCCAIIAggCCAIIAggCCAIIAggCCAIIAiACAwJhc3EAfgAAAAAAAnNxAH4ABP///////////////v////7/////dXEAfgAHAAAAAxKat3h4d0UCHgACAQICAlwCBAIFAgYCBwIIAgkCHAILAgwCDQIIAggCCAIIAggCCAIIAggCCAIIAggCCAIIAggCCAIIAggCIAIDAmJzcQB+AAAAAAACc3EAfgAE///////////////+/////v////91cQB+AAcAAAAEBJgR83h4d0UCHgACAQICAkwCBAIFAgYCBwIIAgkCIQILAgwCDQIIAggCCAIIAggCCAIIAggCCAIIAggCCAIIAggCCAIIAggCIAIDAmNzcQB+AAAAAAACc3EAfgAE///////////////+/////v////91cQB+AAcAAAAEAQaUYHh4d00CHgACAQICAmQABjIwMTYwNQIEAgUCBgIHAggCCQIcAgsCDAINAggCCAIIAggCCAIIAggCCAIIAggCCAIIAggCCAIIAggCCAIgAgMCZXNxAH4AAAAAAAJzcQB+AAT///////////////7////+/////3VxAH4ABwAAAAQmLzLCeHh3TQIeAAIBAgICZgAGMjAxNjEyAgQCBQIGAgcCCAIJAhwCCwIMAg0CCAIIAggCCAIIAggCCAIIAggCCAIIAggCCAIIAggCCAIIAiACAwJnc3EAfgAAAAAAAnNxAH4ABP///////////////v////7/////dXEAfgAHAAAABBWstZ94eHdFAh4AAgECAgJOAgQCBQIGAgcCCAIJAgoCCwIMAg0CCAIIAggCCAIIAggCCAIIAggCCAIIAggCCAIIAggCCAIIAiACAwJoc3EAfgAAAAAAAnNxAH4ABP///////////////v////7/////dXEAfgAHAAAAAxIwzHh4d00CHgACAQICAmkABjIwMTMxMgIEAgUCBgIHAggCCQIhAgsCDAINAggCCAIIAggCCAIIAggCCAIIAggCCAIIAggCCAIIAggCCAIgAgMCanNxAH4AAAAAAAJzcQB+AAT///////////////7////+AAAAAXVxAH4ABwAAAAO24Y94eHdFAh4AAgECAgJHAgQCBQIGAgcCCAIJAhwCCwIMAg0CCAIIAggCCAIIAggCCAIIAggCCAIIAggCCAIIAggCCAIIAiACAwJrc3EAfgAAAAAAAnNxAH4ABP///////////////v////7/////dXEAfgAHAAAABAESH/J4eHdFAh4AAgECAgJFAgQCBQIGAgcCCAIJAgoCCwIMAg0CCAIIAggCCAIIAggCCAIIAggCCAIIAggCCAIIAggCCAIIAiACAwJsc3EAfgAAAAAAAnNxAH4ABP///////////////v////7/////dXEAfgAHAAAAAxKWwHh4d00CHgACAQICAm0ABjIwMTYwOAIEAgUCBgIHAggCCQIKAgsCDAINAggCCAIIAggCCAIIAggCCAIIAggCCAIIAggCCAIIAggCCAIgAgMCbnNxAH4AAAAAAAJzcQB+AAT///////////////7////+/////3VxAH4ABwAAAAMSb0Z4eHdNAh4AAgECAgJvAAYyMDE2MTECBAIFAgYCBwIIAgkCHAILAgwCDQIIAggCCAIIAggCCAIIAggCCAIIAggCCAIIAggCCAIIAggCIAIDAnBzcQB+AAAAAAACc3EAfgAE///////////////+/////v////91cQB+AAcAAAAEC9ESdHh4d0UCHgACAQICAl4CBAIFAgYCBwIIAgkCIQILAgwCDQIIAggCCAIIAggCCAIIAggCCAIIAggCCAIIAggCCAIIAggCIAIDAnFzcQB+AAAAAAACc3EAfgAE///////////////+/////v////91cQB+AAcAAAAEAWTK8nh4d0UCHgACAQICAlMCBAIFAgYCBwIIAgkCHAILAgwCDQIIAggCCAIIAggCCAIIAggCCAIIAggCCAIIAggCCAIIAggCIAIDAnJzcQB+AAAAAAACc3EAfgAE///////////////+/////v////91cQB+AAcAAAAEOUUu/nh4d00CHgACAQICAnMABjIwMTcwMQIEAgUCBgIHAggCCQIKAgsCDAINAggCCAIIAggCCAIIAggCCAIIAggCCAIIAggCCAIIAggCCAIgAgMCdHNxAH4AAAAAAAJzcQB+AAT///////////////7////+/////3VxAH4ABwAAAAMSgvh4eHeKAh4AAgECAgJDAgQCBQIGAgcCCAIJAgoCCwIMAg0CCAIIAggCCAIIAggCCAIIAggCCAIIAggCCAIIAggCCAIIAiACAwI5Ah4AAgECAgImAgQCBQIGAgcCCAIJAgoCCwIMAg0CCAIIAggCCAIIAggCCAIIAggCCAIIAggCCAIIAggCCAIIAiACAwJ1c3EAfgAAAAAAAnNxAH4ABP///////////////v////7/////dXEAfgAHAAAAAxJIIXh4d0UCHgACAQICAi4CBAIFAgYCBwIIAgkCHAILAgwCDQIIAggCCAIIAggCCAIIAggCCAIIAggCCAIIAggCCAIIAggCIAIDAnZzcQB+AAAAAAACc3EAfgAE///////////////+/////v////91cQB+AAcAAAAEBH/KaHh4d0UCHgACAQICAlUCBAIFAgYCBwIIAgkCHAILAgwCDQIIAggCCAIIAggCCAIIAggCCAIIAggCCAIIAggCCAIIAggCIAIDAndzcQB+AAAAAAACc3EAfgAE///////////////+/////v////91cQB+AAcAAAAEDA35Dnh4d00CHgACAQICAngABjIwMTYwMwIEAgUCBgIHAggCCQIKAgsCDAINAggCCAIIAggCCAIIAggCCAIIAggCCAIIAggCCAIIAggCCAIgAgMCeXNxAH4AAAAAAAJzcQB+AAT///////////////7////+/////3VxAH4ABwAAAAMSW6l4eHdFAh4AAgECAgIDAgQCBQIGAgcCCAIJAiECCwIMAg0CCAIIAggCCAIIAggCCAIIAggCCAIIAggCCAIIAggCCAIIAiACAwJ6c3EAfgAAAAAAAnNxAH4ABP///////////////v////7/////dXEAfgAHAAAABAXcCfl4eHdFAh4AAgECAgIoAgQCBQIGAgcCCAIJAiECCwIMAg0CCAIIAggCCAIIAggCCAIIAggCCAIIAggCCAIIAggCCAIIAiACAwJ7c3EAfgAAAAAAAnNxAH4ABP///////////////v////7/////dXEAfgAHAAAABAL1YZJ4eHdFAh4AAgECAgIsAgQCBQIGAgcCCAIJAhwCCwIMAg0CCAIIAggCCAIIAggCCAIIAggCCAIIAggCCAIIAggCCAIIAiACAwJ8c3EAfgAAAAAAAnNxAH4ABP///////////////v////7/////dXEAfgAHAAAABCng5RN4eHdFAh4AAgECAgJmAgQCBQIGAgcCCAIJAiECCwIMAg0CCAIIAggCCAIIAggCCAIIAggCCAIIAggCCAIIAggCCAIIAiACAwJ9c3EAfgAAAAAAAnNxAH4ABP///////////////v////7/////dXEAfgAHAAAABB0QqXR4eHeKAh4AAgECAgI4AgQCBQIGAgcCCAIJAiECCwIMAg0CCAIIAggCCAIIAggCCAIIAggCCAIIAggCCAIIAggCCAIIAiACAwJEAh4AAgECAgIqAgQCBQIGAgcCCAIJAgoCCwIMAg0CCAIIAggCCAIIAggCCAIIAggCCAIIAggCCAIIAggCCAIIAiACAwJ+c3EAfgAAAAAAAnNxAH4ABP///////////////v////7/////dXEAfgAHAAAAAxJEO3h4d00CHgACAQICAn8ABjIwMTUwMQIEAgUCBgIHAggCCQIcAgsCDAINAggCCAIIAggCCAIIAggCCAIIAggCCAIIAggCCAIIAggCCAIgAgMCgHNxAH4AAAAAAAJzcQB+AAT///////////////7////+/////3VxAH4ABwAAAAQD2KnDeHh3RQIeAAIBAgICSQIEAgUCBgIHAggCCQIhAgsCDAINAggCCAIIAggCCAIIAggCCAIIAggCCAIIAggCCAIIAggCCAIgAgMCgXNxAH4AAAAAAAJzcQB+AAT///////////////7////+/////3VxAH4ABwAAAAQFh+tKeHh3RQIeAAIBAgICOwIEAgUCBgIHAggCCQIhAgsCDAINAggCCAIIAggCCAIIAggCCAIIAggCCAIIAggCCAIIAggCCAIgAgMCgnNxAH4AAAAAAAJzcQB+AAT///////////////7////+/////3VxAH4ABwAAAAQC12dUeHh3RQIeAAIBAgICHgIEAgUCBgIHAggCCQIcAgsCDAINAggCCAIIAggCCAIIAggCCAIIAggCCAIIAggCCAIIAggCCAIgAgMCg3NxAH4AAAAAAAJzcQB+AAT///////////////7////+/////3VxAH4ABwAAAAQmeB9xeHh3RQIeAAIBAgICbwIEAgUCBgIHAggCCQIhAgsCDAINAggCCAIIAggCCAIIAggCCAIIAggCCAIIAggCCAIIAggCCAIgAgMChHNxAH4AAAAAAAJzcQB+AAT///////////////7////+/////3VxAH4ABwAAAAQlkNH7eHh3RQIeAAIBAgICGwIEAgUCBgIHAggCCQIKAgsCDAINAggCCAIIAggCCAIIAggCCAIIAggCCAIIAggCCAIIAggCCAIgAgMChXNxAH4AAAAAAAJzcQB+AAT///////////////7////+/////3VxAH4ABwAAAAMSV794eHdFAh4AAgECAgIwAgQCBQIGAgcCCAIJAgoCCwIMAg0CCAIIAggCCAIIAggCCAIIAggCCAIIAggCCAIIAggCCAIIAiACAwKGc3EAfgAAAAAAAnNxAH4ABP///////////////v////7/////dXEAfgAHAAAAAxJzNXh4d0UCHgACAQICAngCBAIFAgYCBwIIAgkCIQILAgwCDQIIAggCCAIIAggCCAIIAggCCAIIAggCCAIIAggCCAIIAggCIAIDAodzcQB+AAAAAAACc3EAfgAE///////////////+/////v////91cQB+AAcAAAAEAvtLi3h4d0UCHgACAQICAgMCBAIFAgYCBwIIAgkCHAILAgwCDQIIAggCCAIIAggCCAIIAggCCAIIAggCCAIIAggCCAIIAggCIAIDAohzcQB+AAAAAAACc3EAfgAE///////////////+/////v////91cQB+AAcAAAAEGe0oknh4d0UCHgACAQICAjQCBAIFAgYCBwIIAgkCCgILAgwCDQIIAggCCAIIAggCCAIIAggCCAIIAggCCAIIAggCCAIIAggCIAIDAolzcQB+AAAAAAACc3EAfgAE///////////////+/////v////91cQB+AAcAAAADEobreHh3RQIeAAIBAgICOwIEAgUCBgIHAggCCQIcAgsCDAINAggCCAIIAggCCAIIAggCCAIIAggCCAIIAggCCAIIAggCCAIgAgMCinNxAH4AAAAAAAJzcQB+AAT///////////////7////+/////3VxAH4ABwAAAAQqJk8LeHh3RQIeAAIBAgICNgIEAgUCBgIHAggCCQIKAgsCDAINAggCCAIIAggCCAIIAggCCAIIAggCCAIIAggCCAIIAggCCAIgAgMCi3NxAH4AAAAAAAJzcQB+AAT///////////////7////+/////3VxAH4ABwAAAAMSdyV4eHdFAh4AAgECAgJJAgQCBQIGAgcCCAIJAhwCCwIMAg0CCAIIAggCCAIIAggCCAIIAggCCAIIAggCCAIIAggCCAIIAiACAwKMc3EAfgAAAAAAAnNxAH4ABP///////////////v////7/////dXEAfgAHAAAABAG2qA14eHdFAh4AAgECAgIoAgQCBQIGAgcCCAIJAhwCCwIMAg0CCAIIAggCCAIIAggCCAIIAggCCAIIAggCCAIIAggCCAIIAiACAwKNc3EAfgAAAAAAAnNxAH4ABP///////////////v////7/////dXEAfgAHAAAABA5q7Kl4eHdFAh4AAgECAgIgAgQCBQIGAgcCCAIJAgoCCwIMAg0CCAIIAggCCAIIAggCCAIIAggCCAIIAggCCAIIAggCCAIIAiACAwKOc3EAfgAAAAAAAnNxAH4ABP///////////////v////7/////dXEAfgAHAAAAAxJflHh4d0UCHgACAQICAn8CBAIFAgYCBwIIAgkCIQILAgwCDQIIAggCCAIIAggCCAIIAggCCAIIAggCCAIIAggCCAIIAggCIAIDAo9zcQB+AAAAAAACc3EAfgAE///////////////+/////v////91cQB+AAcAAAAECDkkJ3h4d0UCHgACAQICAh4CBAIFAgYCBwIIAgkCIQILAgwCDQIIAggCCAIIAggCCAIIAggCCAIIAggCCAIIAggCCAIIAggCIAIDApBzcQB+AAAAAAACc3EAfgAE///////////////+/////v////91cQB+AAcAAAAECL1IIXh4d0UCHgACAQICAkwCBAIFAgYCBwIIAgkCCgILAgwCDQIIAggCCAIIAggCCAIIAggCCAIIAggCCAIIAggCCAIIAggCIAIDApFzcQB+AAAAAAACc3EAfgAE///////////////+/////v////91cQB+AAcAAAADEmtYeHh3RQIeAAIBAgICcwIEAgUCBgIHAggCCQIhAgsCDAINAggCCAIIAggCCAIIAggCCAIIAggCCAIIAggCCAIIAggCCAIgAgMCknNxAH4AAAAAAAJzcQB+AAT///////////////7////+/////3VxAH4ABwAAAAQUOveDeHh3TQIeAAIBAgICkwAGMjAxNDExAgQCBQIGAgcCCAIJAiECCwIMAg0CCAIIAggCCAIIAggCCAIIAggCCAIIAggCCAIIAggCCAIIAiACAwKUc3EAfgAAAAAAAnNxAH4ABP///////////////v////7/////dXEAfgAHAAAABA0IurJ4eHdFAh4AAgECAgJBAgQCBQIGAgcCCAIJAhwCCwIMAg0CCAIIAggCCAIIAggCCAIIAggCCAIIAggCCAIIAggCCAIIAiACAwKVc3EAfgAAAAAAAnNxAH4ABP///////////////v////7/////dXEAfgAHAAAABAoBb7x4eHdFAh4AAgECAgJkAgQCBQIGAgcCCAIJAiECCwIMAg0CCAIIAggCCAIIAggCCAIIAggCCAIIAggCCAIIAggCCAIIAiACAwKWc3EAfgAAAAAAAnNxAH4ABP///////////////v////7/////dXEAfgAHAAAABAHNSnd4eHdFAh4AAgECAgJpAgQCBQIGAgcCCAIJAhwCCwIMAg0CCAIIAggCCAIIAggCCAIIAggCCAIIAggCCAIIAggCCAIIAiACAwKXc3EAfgAAAAAAAnNxAH4ABP///////////////v////7/////dXEAfgAHAAAABBAn9vd4eHdFAh4AAgECAgJQAgQCBQIGAgcCCAIJAhwCCwIMAg0CCAIIAggCCAIIAggCCAIIAggCCAIIAggCCAIIAggCCAIIAiACAwKYc3EAfgAAAAAAAnNxAH4ABP///////////////v////7/////dXEAfgAHAAAABDQ5VOh4eHdFAh4AAgECAgI4AgQCBQIGAgcCCAIJAhwCCwIMAg0CCAIIAggCCAIIAggCCAIIAggCCAIIAggCCAIIAggCCAIIAiACAwKZc3EAfgAAAAAAAnNxAH4ABP///////////////v////7/////dXEAfgAHAAAABBwjfJB4eHdFAh4AAgECAgKTAgQCBQIGAgcCCAIJAhwCCwIMAg0CCAIIAggCCAIIAggCCAIIAggCCAIIAggCCAIIAggCCAIIAiACAwKac3EAfgAAAAAAAnNxAH4ABP///////////////v////4AAAABdXEAfgAHAAAABAHcwmF4eHdFAh4AAgECAgJeAgQCBQIGAgcCCAIJAgoCCwIMAg0CCAIIAggCCAIIAggCCAIIAggCCAIIAggCCAIIAggCCAIIAiACAwKbc3EAfgAAAAAAAnNxAH4ABP///////////////v////7/////dXEAfgAHAAAAAxJna3h4d0UCHgACAQICAmYCBAIFAgYCBwIIAgkCCgILAgwCDQIIAggCCAIIAggCCAIIAggCCAIIAggCCAIIAggCCAIIAggCIAIDApxzcQB+AAAAAAACc3EAfgAE///////////////+/////v////91cQB+AAcAAAADEn8GeHh3RQIeAAIBAgICWQIEAgUCBgIHAggCCQIcAgsCDAINAggCCAIIAggCCAIIAggCCAIIAggCCAIIAggCCAIIAggCCAIgAgMCnXNxAH4AAAAAAAJzcQB+AAT///////////////7////+/////3VxAH4ABwAAAAQISVOheHh3RQIeAAIBAgICYAIEAgUCBgIHAggCCQIcAgsCDAINAggCCAIIAggCCAIIAggCCAIIAggCCAIIAggCCAIIAggCCAIgAgMCnnNxAH4AAAAAAAJzcQB+AAT///////////////7////+/////3VxAH4ABwAAAAQukYUreHh3RQIeAAIBAgICbQIEAgUCBgIHAggCCQIhAgsCDAINAggCCAIIAggCCAIIAggCCAIIAggCCAIIAggCCAIIAggCCAIgAgMCn3NxAH4AAAAAAAJzcQB+AAT///////////////7////+/////3VxAH4ABwAAAAOesqp4eHdFAh4AAgECAgJQAgQCBQIGAgcCCAIJAiECCwIMAg0CCAIIAggCCAIIAggCCAIIAggCCAIIAggCCAIIAggCCAIIAiACAwKgc3EAfgAAAAAAAnNxAH4ABP///////////////v////4AAAABdXEAfgAHAAAAA/+JXnh4d0UCHgACAQICAkECBAIFAgYCBwIIAgkCIQILAgwCDQIIAggCCAIIAggCCAIIAggCCAIIAggCCAIIAggCCAIIAggCIAIDAqFzcQB+AAAAAAACc3EAfgAE///////////////+/////v////91cQB+AAcAAAAEA7ctM3h4d0UCHgACAQICAlcCBAIFAgYCBwIIAgkCHAILAgwCDQIIAggCCAIIAggCCAIIAggCCAIIAggCCAIIAggCCAIIAggCIAIDAqJzcQB+AAAAAAACc3EAfgAE///////////////+/////v////91cQB+AAcAAAAED//8Qnh4d0UCHgACAQICAmQCBAIFAgYCBwIIAgkCCgILAgwCDQIIAggCCAIIAggCCAIIAggCCAIIAggCCAIIAggCCAIIAggCIAIDAqNzcQB+AAAAAAACc3EAfgAE///////////////+/////v////91cQB+AAcAAAADEmN/eHh3TQIeAAIBAgICpAAGMjAxNDEyAgQCBQIGAgcCCAIJAiECCwIMAg0CCAIIAggCCAIIAggCCAIIAggCCAIIAggCCAIIAggCCAIIAiACAwKlc3EAfgAAAAAAAnNxAH4ABP///////////////v////7/////dXEAfgAHAAAABApbKpV4eHdFAh4AAgECAgJOAgQCBQIGAgcCCAIJAhwCCwIMAg0CCAIIAggCCAIIAggCCAIIAggCCAIIAggCCAIIAggCCAIIAiACAwKmc3EAfgAAAAAAAnNxAH4ABP///////////////v////7/////dXEAfgAHAAAABAdMHyF4eHdFAh4AAgECAgI+AgQCBQIGAgcCCAIJAgoCCwIMAg0CCAIIAggCCAIIAggCCAIIAggCCAIIAggCCAIIAggCCAIIAiACAwKnc3EAfgAAAAAAAnNxAH4ABP///////////////v////7/////dXEAfgAHAAAAAxJP7nh4d0UCHgACAQICAkUCBAIFAgYCBwIIAgkCHAILAgwCDQIIAggCCAIIAggCCAIIAggCCAIIAggCCAIIAggCCAIIAggCIAIDAqhzcQB+AAAAAAACc3EAfgAE///////////////+/////v////91cQB+AAcAAAAEKgtGIXh4d0UCHgACAQICAlMCBAIFAgYCBwIIAgkCCgILAgwCDQIIAggCCAIIAggCCAIIAggCCAIIAggCCAIIAggCCAIIAggCIAIDAqlzcQB+AAAAAAACc3EAfgAE///////////////+/////v////91cQB+AAcAAAADEqKoeHh3RQIeAAIBAgICVQIEAgUCBgIHAggCCQIKAgsCDAINAggCCAIIAggCCAIIAggCCAIIAggCCAIIAggCCAIIAggCCAIgAgMCqnNxAH4AAAAAAAJzcQB+AAT///////////////7////+/////3VxAH4ABwAAAAMSPHJ4eHdFAh4AAgECAgJgAgQCBQIGAgcCCAIJAiECCwIMAg0CCAIIAggCCAIIAggCCAIIAggCCAIIAggCCAIIAggCCAIIAiACAwKrc3EAfgAAAAAAAnNxAH4ABP///////////////v////7/////dXEAfgAHAAAAA064Cnh4d0UCHgACAQICAlkCBAIFAgYCBwIIAgkCIQILAgwCDQIIAggCCAIIAggCCAIIAggCCAIIAggCCAIIAggCCAIIAggCIAIDAqxzcQB+AAAAAAACc3EAfgAE///////////////+/////v////91cQB+AAcAAAAEBBabOHh4d0UCHgACAQICAjQCBAIFAgYCBwIIAgkCIQILAgwCDQIIAggCCAIIAggCCAIIAggCCAIIAggCCAIIAggCCAIIAggCIAIDAq1zcQB+AAAAAAACc3EAfgAE///////////////+/////v////91cQB+AAcAAAAEDgscSnh4d0UCHgACAQICAiYCBAIFAgYCBwIIAgkCHAILAgwCDQIIAggCCAIIAggCCAIIAggCCAIIAggCCAIIAggCCAIIAggCIAIDAq5zcQB+AAAAAAACc3EAfgAE///////////////+/////v////91cQB+AAcAAAAEFi/we3h4d0UCHgACAQICAnMCBAIFAgYCBwIIAgkCHAILAgwCDQIIAggCCAIIAggCCAIIAggCCAIIAggCCAIIAggCCAIIAggCIAIDAq9zcQB+AAAAAAACc3EAfgAE///////////////+/////v////91cQB+AAcAAAAEHbH6THh4d0UCHgACAQICAi4CBAIFAgYCBwIIAgkCCgILAgwCDQIIAggCCAIIAggCCAIIAggCCAIIAggCCAIIAggCCAIIAggCIAIDArBzcQB+AAAAAAACc3EAfgAE///////////////+/////v////91cQB+AAcAAAADEikLeHh3RQIeAAIBAgICbQIEAgUCBgIHAggCCQIcAgsCDAINAggCCAIIAggCCAIIAggCCAIIAggCCAIIAggCCAIIAggCCAIgAgMCsXNxAH4AAAAAAAJzcQB+AAT///////////////7////+/////3VxAH4ABwAAAAQx77UZeHh3RQIeAAIBAgICIwIEAgUCBgIHAggCCQIKAgsCDAINAggCCAIIAggCCAIIAggCCAIIAggCCAIIAggCCAIIAggCCAIgAgMCsnNxAH4AAAAAAAJzcQB+AAT///////////////7////+/////3VxAH4ABwAAAAMSpqJ4eHeKAh4AAgECAgJDAgQCBQIGAgcCCAIJAhwCCwIMAg0CCAIIAggCCAIIAggCCAIIAggCCAIIAggCCAIIAggCCAIIAiACAwKZAh4AAgECAgKkAgQCBQIGAgcCCAIJAhwCCwIMAg0CCAIIAggCCAIIAggCCAIIAggCCAIIAggCCAIIAggCCAIIAiACAwKzc3EAfgAAAAAAAnNxAH4ABP///////////////v////7/////dXEAfgAHAAAABAJ0hEl4eHdFAh4AAgECAgJvAgQCBQIGAgcCCAIJAgoCCwIMAg0CCAIIAggCCAIIAggCCAIIAggCCAIIAggCCAIIAggCCAIIAiACAwK0c3EAfgAAAAAAAnNxAH4ABP///////////////v////7/////dXEAfgAHAAAAAxJ7FXh4d0UCHgACAQICAngCBAIFAgYCBwIIAgkCHAILAgwCDQIIAggCCAIIAggCCAIIAggCCAIIAggCCAIIAggCCAIIAggCIAIDArVzcQB+AAAAAAACc3EAfgAE///////////////+/////v////91cQB+AAcAAAAEHq4JT3h4d0UCHgACAQICAlcCBAIFAgYCBwIIAgkCIQILAgwCDQIIAggCCAIIAggCCAIIAggCCAIIAggCCAIIAggCCAIIAggCIAIDArZzcQB+AAAAAAACc3EAfgAE///////////////+/////v////91cQB+AAcAAAAECeK2t3h4d0UCHgACAQICAjACBAIFAgYCBwIIAgkCIQILAgwCDQIIAggCCAIIAggCCAIIAggCCAIIAggCCAIIAggCCAIIAggCIAIDArdzcQB+AAAAAAACc3EAfgAE///////////////+/////v////91cQB+AAcAAAADMvcReHh3RQIeAAIBAgICLAIEAgUCBgIHAggCCQIKAgsCDAINAggCCAIIAggCCAIIAggCCAIIAggCCAIIAggCCAIIAggCCAIgAgMCuHNxAH4AAAAAAAJzcQB+AAT///////////////7////+/////3VxAH4ABwAAAAMSjtR4eHdcAh4AArkACTU1OTAwNzg4MAICAmQCBAIFAgYCBwIIAgkCugAGMTkxMDI1AgsCuwACV0ECDQIIAggCCAIIAggCCAIIAggCCAIIAggCCAIIAggCCAIIAggCJQIDArxzcQB+AAAAAAACc3EAfgAE///////////////+/////v////91cQB+AAcAAAADC4KteHh3RQIeAAK5AgICcwIEAgUCBgIHAggCCQIhAgsCuwINAggCCAIIAggCCAIIAggCCAIIAggCCAIIAggCCAIIAggCCAIlAgMCvXNxAH4AAAAAAAJzcQB+AAT///////////////7////+/////3VxAH4ABwAAAAQo6Ya2eHh3RQIeAAK5AgICUAIEAgUCBgIHAggCCQIcAgsCuwINAggCCAIIAggCCAIIAggCCAIIAggCCAIIAggCCAIIAggCCAIlAgMCvnNxAH4AAAAAAAJzcQB+AAT///////////////7////+/////3VxAH4ABwAAAARlMUGreHh3RQIeAAK5AgICQQIEAgUCBgIHAggCCQIcAgsCuwINAggCCAIIAggCCAIIAggCCAIIAggCCAIIAggCCAIIAggCCAIlAgMCv3NxAH4AAAAAAAJzcQB+AAT///////////////7////+/////3VxAH4ABwAAAAQSjaK7eHh3RQIeAAK5AgICaQIEAgUCBgIHAggCCQIcAgsCuwINAggCCAIIAggCCAIIAggCCAIIAggCCAIIAggCCAIIAggCCAIlAgMCwHNxAH4AAAAAAAJzcQB+AAT///////////////7////+/////3VxAH4ABwAAAAQZJ63EeHh3RQIeAAK5AgICKAIEAgUCBgIHAggCCQIhAgsCuwINAggCCAIIAggCCAIIAggCCAIIAggCCAIIAggCCAIIAggCCAIlAgMCwXNxAH4AAAAAAAJzcQB+AAT///////////////7////+/////3VxAH4ABwAAAAQC//QGeHh3RQIeAAK5AgICAwIEAgUCBgIHAggCCQIhAgsCuwINAggCCAIIAggCCAIIAggCCAIIAggCCAIIAggCCAIIAggCCAIlAgMCwnNxAH4AAAAAAAJzcQB+AAT///////////////7////+/////3VxAH4ABwAAAAQKun5ueHh3RQIeAAK5AgICWQIEAgUCBgIHAggCCQK6AgsCuwINAggCCAIIAggCCAIIAggCCAIIAggCCAIIAggCCAIIAggCCAIlAgMCw3NxAH4AAAAAAAJzcQB+AAT///////////////7////+/////3VxAH4ABwAAAAMtbUZ4eHdFAh4AArkCAgJzAgQCBQIGAgcCCAIJAhwCCwK7Ag0CCAIIAggCCAIIAggCCAIIAggCCAIIAggCCAIIAggCCAIIAiUCAwLEc3EAfgAAAAAAAnNxAH4ABP///////////////v////7/////dXEAfgAHAAAABD0VO3Z4eHdFAh4AArkCAgJgAgQCBQIGAgcCCAIJAroCCwK7Ag0CCAIIAggCCAIIAggCCAIIAggCCAIIAggCCAIIAggCCAIIAiUCAwLFc3EAfgAAAAAAAnNxAH4ABP///////////////v////7/////dXEAfgAHAAAAAwQ0OHh4d0UCHgACuQICAm0CBAIFAgYCBwIIAgkCHAILArsCDQIIAggCCAIIAggCCAIIAggCCAIIAggCCAIIAggCCAIIAggCJQIDAsZzcQB+AAAAAAACc3EAfgAE///////////////+/////v////91cQB+AAcAAAAEXVdQyXh4d0UCHgACuQICAlACBAIFAgYCBwIIAgkCIQILArsCDQIIAggCCAIIAggCCAIIAggCCAIIAggCCAIIAggCCAIIAggCJQIDAsdzcQB+AAAAAAACc3EAfgAE///////////////+/////v////91cQB+AAcAAAADMpTWeHh3RQIeAAK5AgICeAIEAgUCBgIHAggCCQK6AgsCuwINAggCCAIIAggCCAIIAggCCAIIAggCCAIIAggCCAIIAggCCAIlAgMCyHNxAH4AAAAAAAJzcQB+AAT///////////////7////+/////3VxAH4ABwAAAAMOg914eHdFAh4AArkCAgIeAgQCBQIGAgcCCAIJAiECCwK7Ag0CCAIIAggCCAIIAggCCAIIAggCCAIIAggCCAIIAggCCAIIAiUCAwLJc3EAfgAAAAAAAnNxAH4ABP///////////////v////7/////dXEAfgAHAAAABBD98iN4eHdFAh4AArkCAgJVAgQCBQIGAgcCCAIJAroCCwK7Ag0CCAIIAggCCAIIAggCCAIIAggCCAIIAggCCAIIAggCCAIIAiUCAwLKc3EAfgAAAAAAAnNxAH4ABP///////////////v////7/////dXEAfgAHAAAAAypBYXh4d0UCHgACuQICAigCBAIFAgYCBwIIAgkCHAILArsCDQIIAggCCAIIAggCCAIIAggCCAIIAggCCAIIAggCCAIIAggCJQIDAstzcQB+AAAAAAACc3EAfgAE///////////////+/////v////91cQB+AAcAAAAEFTD0X3h4d0UCHgACuQICAmYCBAIFAgYCBwIIAgkCHAILArsCDQIIAggCCAIIAggCCAIIAggCCAIIAggCCAIIAggCCAIIAggCJQIDAsxzcQB+AAAAAAACc3EAfgAE///////////////+/////v////91cQB+AAcAAAAEKKPaWXh4d0UCHgACuQICAgMCBAIFAgYCBwIIAgkCHAILArsCDQIIAggCCAIIAggCCAIIAggCCAIIAggCCAIIAggCCAIIAggCJQIDAs1zcQB+AAAAAAACc3EAfgAE///////////////+/////v////91cQB+AAcAAAAEMkKnVHh4d0UCHgACuQICAkECBAIFAgYCBwIIAgkCIQILArsCDQIIAggCCAIIAggCCAIIAggCCAIIAggCCAIIAggCCAIIAggCJQIDAs5zcQB+AAAAAAACc3EAfgAE///////////////+/////v////91cQB+AAcAAAAEA21LCnh4d0UCHgACuQICAmkCBAIFAgYCBwIIAgkCIQILArsCDQIIAggCCAIIAggCCAIIAggCCAIIAggCCAIIAggCCAIIAggCJQIDAs9zcQB+AAAAAAACc3EAfgAE///////////////+/////gAAAAF1cQB+AAcAAAAECEZrP3h4d0UCHgACuQICAjsCBAIFAgYCBwIIAgkCIQILArsCDQIIAggCCAIIAggCCAIIAggCCAIIAggCCAIIAggCCAIIAggCJQIDAtBzcQB+AAAAAAACc3EAfgAE///////////////+/////v////91cQB+AAcAAAAEBiEYhXh4d0UCHgACuQICAjgCBAIFAgYCBwIIAgkCIQILArsCDQIIAggCCAIIAggCCAIIAggCCAIIAggCCAIIAggCCAIIAggCJQIDAtFzcQB+AAAAAAACc3EAfgAE///////////////+/////v////91cQB+AAcAAAAERLpXvHh4d0UCHgACuQICAm8CBAIFAgYCBwIIAgkCugILArsCDQIIAggCCAIIAggCCAIIAggCCAIIAggCCAIIAggCCAIIAggCJQIDAtJzcQB+AAAAAAACc3EAfgAE///////////////+/////v////91cQB+AAcAAAADBmgreHh3RQIeAAK5AgICUwIEAgUCBgIHAggCCQK6AgsCuwINAggCCAIIAggCCAIIAggCCAIIAggCCAIIAggCCAIIAggCCAIlAgMC03NxAH4AAAAAAAJzcQB+AAT///////////////7////+/////3VxAH4ABwAAAAMEDq54eHdFAh4AArkCAgJJAgQCBQIGAgcCCAIJAiECCwK7Ag0CCAIIAggCCAIIAggCCAIIAggCCAIIAggCCAIIAggCCAIIAiUCAwLUc3EAfgAAAAAAAnNxAH4ABP///////////////v////7/////dXEAfgAHAAAABATG6H94eHdFAh4AArkCAgJeAgQCBQIGAgcCCAIJAhwCCwK7Ag0CCAIIAggCCAIIAggCCAIIAggCCAIIAggCCAIIAggCCAIIAiUCAwLVc3EAfgAAAAAAAnNxAH4ABP///////////////v////7/////dXEAfgAHAAAABFSIS5t4eHdFAh4AArkCAgJFAgQCBQIGAgcCCAIJAiECCwK7Ag0CCAIIAggCCAIIAggCCAIIAggCCAIIAggCCAIIAggCCAIIAiUCAwLWc3EAfgAAAAAAAnNxAH4ABP///////////////v////7/////dXEAfgAHAAAABAPdTSB4eHeKAh4AArkCAgJDAgQCBQIGAgcCCAIJAiECCwK7Ag0CCAIIAggCCAIIAggCCAIIAggCCAIIAggCCAIIAggCCAIIAiUCAwLRAh4AArkCAgI0AgQCBQIGAgcCCAIJAroCCwK7Ag0CCAIIAggCCAIIAggCCAIIAggCCAIIAggCCAIIAggCCAIIAiUCAwLXc3EAfgAAAAAAAnNxAH4ABP///////////////v////7/////dXEAfgAHAAAAAwT7aHh4d0UCHgACuQICAjgCBAIFAgYCBwIIAgkCHAILArsCDQIIAggCCAIIAggCCAIIAggCCAIIAggCCAIIAggCCAIIAggCJQIDAthzcQB+AAAAAAACc3EAfgAE///////////////+/////v////91cQB+AAcAAAAEMNCqs3h4d0UCHgACuQICAk4CBAIFAgYCBwIIAgkCIQILArsCDQIIAggCCAIIAggCCAIIAggCCAIIAggCCAIIAggCCAIIAggCJQIDAtlzcQB+AAAAAAACc3EAfgAE///////////////+/////v////91cQB+AAcAAAAEA/07jnh4d0UCHgACuQICAngCBAIFAgYCBwIIAgkCHAILArsCDQIIAggCCAIIAggCCAIIAggCCAIIAggCCAIIAggCCAIIAggCJQIDAtpzcQB+AAAAAAACc3EAfgAE///////////////+/////v////91cQB+AAcAAAAEPftW4nh4d0UCHgACuQICAlcCBAIFAgYCBwIIAgkCIQILArsCDQIIAggCCAIIAggCCAIIAggCCAIIAggCCAIIAggCCAIIAggCJQIDAttzcQB+AAAAAAACc3EAfgAE///////////////+/////v////91cQB+AAcAAAAEEa8NQ3h4d0UCHgACuQICAkkCBAIFAgYCBwIIAgkCHAILArsCDQIIAggCCAIIAggCCAIIAggCCAIIAggCCAIIAggCCAIIAggCJQIDAtxzcQB+AAAAAAACc3EAfgAE///////////////+/////v////91cQB+AAcAAAAEBBLLNXh4d0UCHgACuQICAjsCBAIFAgYCBwIIAgkCHAILArsCDQIIAggCCAIIAggCCAIIAggCCAIIAggCCAIIAggCCAIIAggCJQIDAt1zcQB+AAAAAAACc3EAfgAE///////////////+/////v////91cQB+AAcAAAAEWf3l8nh4d0UCHgACuQICAmACBAIFAgYCBwIIAgkCIQILArsCDQIIAggCCAIIAggCCAIIAggCCAIIAggCCAIIAggCCAIIAggCJQIDAt5zcQB+AAAAAAACc3EAfgAE///////////////+/////v////91cQB+AAcAAAAEAgr29Hh4d0UCHgACuQICAiYCBAIFAgYCBwIIAgkCHAILArsCDQIIAggCCAIIAggCCAIIAggCCAIIAggCCAIIAggCCAIIAggCJQIDAt9zcQB+AAAAAAACc3EAfgAE///////////////+/////v////91cQB+AAcAAAAEIys8Qnh4d4oCHgACuQICAkMCBAIFAgYCBwIIAgkCHAILArsCDQIIAggCCAIIAggCCAIIAggCCAIIAggCCAIIAggCCAIIAggCJQIDAtgCHgACuQICAh4CBAIFAgYCBwIIAgkCugILArsCDQIIAggCCAIIAggCCAIIAggCCAIIAggCCAIIAggCCAIIAggCJQIDAuBzcQB+AAAAAAACc3EAfgAE///////////////+/////v////91cQB+AAcAAAADBKuXeHh3RQIeAAK5AgICWQIEAgUCBgIHAggCCQIhAgsCuwINAggCCAIIAggCCAIIAggCCAIIAggCCAIIAggCCAIIAggCCAIlAgMC4XNxAH4AAAAAAAJzcQB+AAT///////////////7////+/////3VxAH4ABwAAAAQDpCHKeHh3RQIeAAK5AgICKgIEAgUCBgIHAggCCQIcAgsCuwINAggCCAIIAggCCAIIAggCCAIIAggCCAIIAggCCAIIAggCCAIlAgMC4nNxAH4AAAAAAAJzcQB+AAT///////////////7////+/////3VxAH4ABwAAAAQcWN0JeHh3RQIeAAK5AgICMgIEAgUCBgIHAggCCQK6AgsCuwINAggCCAIIAggCCAIIAggCCAIIAggCCAIIAggCCAIIAggCCAIlAgMC43NxAH4AAAAAAAJzcQB+AAT///////////////7////+AAAAAXVxAH4ABwAAAAM7aBl4eHdFAh4AArkCAgJFAgQCBQIGAgcCCAIJAhwCCwK7Ag0CCAIIAggCCAIIAggCCAIIAggCCAIIAggCCAIIAggCCAIIAiUCAwLkc3EAfgAAAAAAAnNxAH4ABP///////////////v////7/////dXEAfgAHAAAABFgLByx4eHdFAh4AArkCAgJOAgQCBQIGAgcCCAIJAhwCCwK7Ag0CCAIIAggCCAIIAggCCAIIAggCCAIIAggCCAIIAggCCAIIAiUCAwLlc3EAfgAAAAAAAnNxAH4ABP///////////////v////7/////dXEAfgAHAAAABBCBw394eHdFAh4AArkCAgJ4AgQCBQIGAgcCCAIJAiECCwK7Ag0CCAIIAggCCAIIAggCCAIIAggCCAIIAggCCAIIAggCCAIIAiUCAwLmc3EAfgAAAAAAAnNxAH4ABP///////////////v////7/////dXEAfgAHAAAABAXojm54eHdFAh4AArkCAgJQAgQCBQIGAgcCCAIJAroCCwK7Ag0CCAIIAggCCAIIAggCCAIIAggCCAIIAggCCAIIAggCCAIIAiUCAwLnc3EAfgAAAAAAAnNxAH4ABP///////////////v////7/////dXEAfgAHAAAAAwQlCXh4d0UCHgACuQICAiACBAIFAgYCBwIIAgkCugILArsCDQIIAggCCAIIAggCCAIIAggCCAIIAggCCAIIAggCCAIIAggCJQIDAuhzcQB+AAAAAAACc3EAfgAE///////////////+/////v////91cQB+AAcAAAADDMb+eHh3RQIeAAK5AgICbQIEAgUCBgIHAggCCQIhAgsCuwINAggCCAIIAggCCAIIAggCCAIIAggCCAIIAggCCAIIAggCCAIlAgMC6XNxAH4AAAAAAAJzcQB+AAT///////////////7////+/////3VxAH4ABwAAAAQCvT+keHh3RQIeAAK5AgICMAIEAgUCBgIHAggCCQK6AgsCuwINAggCCAIIAggCCAIIAggCCAIIAggCCAIIAggCCAIIAggCCAIlAgMC6nNxAH4AAAAAAAJzcQB+AAT///////////////7////+/////3VxAH4ABwAAAAMHjdR4eHdFAh4AArkCAgJXAgQCBQIGAgcCCAIJAroCCwK7Ag0CCAIIAggCCAIIAggCCAIIAggCCAIIAggCCAIIAggCCAIIAiUCAwLrc3EAfgAAAAAAAnNxAH4ABP///////////////v////7/////dXEAfgAHAAAAAyCf7nh4d0UCHgACuQICAiYCBAIFAgYCBwIIAgkCIQILArsCDQIIAggCCAIIAggCCAIIAggCCAIIAggCCAIIAggCCAIIAggCJQIDAuxzcQB+AAAAAAACc3EAfgAE///////////////+/////v////91cQB+AAcAAAAEAiXNKHh4d0UCHgACuQICAhsCBAIFAgYCBwIIAgkCHAILArsCDQIIAggCCAIIAggCCAIIAggCCAIIAggCCAIIAggCCAIIAggCJQIDAu1zcQB+AAAAAAACc3EAfgAE///////////////+/////v////91cQB+AAcAAAAENzj1T3h4d0UCHgACuQICAlwCBAIFAgYCBwIIAgkCHAILArsCDQIIAggCCAIIAggCCAIIAggCCAIIAggCCAIIAggCCAIIAggCJQIDAu5zcQB+AAAAAAACc3EAfgAE///////////////+/////v////91cQB+AAcAAAADMx1zeHh3RQIeAAK5AgICRQIEAgUCBgIHAggCCQK6AgsCuwINAggCCAIIAggCCAIIAggCCAIIAggCCAIIAggCCAIIAggCCAIlAgMC73NxAH4AAAAAAAJzcQB+AAT///////////////7////+/////3VxAH4ABwAAAAMEQ3p4eHdFAh4AArkCAgJOAgQCBQIGAgcCCAIJAroCCwK7Ag0CCAIIAggCCAIIAggCCAIIAggCCAIIAggCCAIIAggCCAIIAiUCAwLwc3EAfgAAAAAAAnNxAH4ABP///////////////v////7/////dXEAfgAHAAAAAy+wjHh4d0UCHgACuQICAjACBAIFAgYCBwIIAgkCIQILArsCDQIIAggCCAIIAggCCAIIAggCCAIIAggCCAIIAggCCAIIAggCJQIDAvFzcQB+AAAAAAACc3EAfgAE///////////////+/////v////91cQB+AAcAAAAEAhunbnh4d0UCHgACuQICAmYCBAIFAgYCBwIIAgkCugILArsCDQIIAggCCAIIAggCCAIIAggCCAIIAggCCAIIAggCCAIIAggCJQIDAvJzcQB+AAAAAAACc3EAfgAE///////////////+/////v////91cQB+AAcAAAADBtyTeHh3RQIeAAK5AgICJgIEAgUCBgIHAggCCQK6AgsCuwINAggCCAIIAggCCAIIAggCCAIIAggCCAIIAggCCAIIAggCCAIlAgMC83NxAH4AAAAAAAJzcQB+AAT///////////////7////+/////3VxAH4ABwAAAAMjW4p4eHdFAh4AArkCAgJMAgQCBQIGAgcCCAIJAhwCCwK7Ag0CCAIIAggCCAIIAggCCAIIAggCCAIIAggCCAIIAggCCAIIAiUCAwL0c3EAfgAAAAAAAnNxAH4ABP///////////////v////7/////dXEAfgAHAAAABFovta14eHdFAh4AArkCAgI+AgQCBQIGAgcCCAIJAroCCwK7Ag0CCAIIAggCCAIIAggCCAIIAggCCAIIAggCCAIIAggCCAIIAiUCAwL1c3EAfgAAAAAAAnNxAH4ABP///////////////v////7/////dXEAfgAHAAAAAxuwpnh4d0UCHgACuQICAjQCBAIFAgYCBwIIAgkCIQILArsCDQIIAggCCAIIAggCCAIIAggCCAIIAggCCAIIAggCCAIIAggCJQIDAvZzcQB+AAAAAAACc3EAfgAE///////////////+/////v////91cQB+AAcAAAAEG0cx03h4d0UCHgACuQICAl4CBAIFAgYCBwIIAgkCugILArsCDQIIAggCCAIIAggCCAIIAggCCAIIAggCCAIIAggCCAIIAggCJQIDAvdzcQB+AAAAAAACc3EAfgAE///////////////+/////v////91cQB+AAcAAAADCoBUeHh3RQIeAAK5AgICNgIEAgUCBgIHAggCCQK6AgsCuwINAggCCAIIAggCCAIIAggCCAIIAggCCAIIAggCCAIIAggCCAIlAgMC+HNxAH4AAAAAAAJzcQB+AAT///////////////7////+/////3VxAH4ABwAAAAMFP694eHdFAh4AArkCAgIbAgQCBQIGAgcCCAIJAiECCwK7Ag0CCAIIAggCCAIIAggCCAIIAggCCAIIAggCCAIIAggCCAIIAiUCAwL5c3EAfgAAAAAAAnNxAH4ABP///////////////v////7/////dXEAfgAHAAAABAgl/7F4eHdFAh4AArkCAgJBAgQCBQIGAgcCCAIJAroCCwK7Ag0CCAIIAggCCAIIAggCCAIIAggCCAIIAggCCAIIAggCCAIIAiUCAwL6c3EAfgAAAAAAAnNxAH4ABP///////////////v////7/////dXEAfgAHAAAAAyvOLXh4d0UCHgACuQICAlMCBAIFAgYCBwIIAgkCHAILArsCDQIIAggCCAIIAggCCAIIAggCCAIIAggCCAIIAggCCAIIAggCJQIDAvtzcQB+AAAAAAACc3EAfgAE///////////////+/////v////91cQB+AAcAAAAEcQZZSXh4d0UCHgACuQICAlUCBAIFAgYCBwIIAgkCHAILArsCDQIIAggCCAIIAggCCAIIAggCCAIIAggCCAIIAggCCAIIAggCJQIDAvxzcQB+AAAAAAACc3EAfgAE///////////////+/////v////91cQB+AAcAAAAEFKZkW3h4d0UCHgACuQICAioCBAIFAgYCBwIIAgkCIQILArsCDQIIAggCCAIIAggCCAIIAggCCAIIAggCCAIIAggCCAIIAggCJQIDAv1zcQB+AAAAAAACc3EAfgAE///////////////+/////v////91cQB+AAcAAAAEAqihJ3h4d0UCHgACuQICAkwCBAIFAgYCBwIIAgkCIQILArsCDQIIAggCCAIIAggCCAIIAggCCAIIAggCCAIIAggCCAIIAggCJQIDAv5zcQB+AAAAAAACc3EAfgAE///////////////+/////v////91cQB+AAcAAAAEAzaSmXh4d0UCHgACuQICAi4CBAIFAgYCBwIIAgkCugILArsCDQIIAggCCAIIAggCCAIIAggCCAIIAggCCAIIAggCCAIIAggCJQIDAv9zcQB+AAAAAAACc3EAfgAE///////////////+/////v////91cQB+AAcAAAADOjG1eHh3RgIeAAK5AgICVwIEAgUCBgIHAggCCQIcAgsCuwINAggCCAIIAggCCAIIAggCCAIIAggCCAIIAggCCAIIAggCCAIlAgMEAAFzcQB+AAAAAAACc3EAfgAE///////////////+/////v////91cQB+AAcAAAAEGkXOUXh4d0YCHgACuQICAjICBAIFAgYCBwIIAgkCIQILArsCDQIIAggCCAIIAggCCAIIAggCCAIIAggCCAIIAggCCAIIAggCJQIDBAEBc3EAfgAAAAAAAnNxAH4ABP///////////////v////7/////dXEAfgAHAAAAA0Y+enh4d0YCHgACuQICAjQCBAIFAgYCBwIIAgkCHAILArsCDQIIAggCCAIIAggCCAIIAggCCAIIAggCCAIIAggCCAIIAggCJQIDBAIBc3EAfgAAAAAAAnNxAH4ABP///////////////v////7/////dXEAfgAHAAAABEmLU8l4eHdGAh4AArkCAgIsAgQCBQIGAgcCCAIJAroCCwK7Ag0CCAIIAggCCAIIAggCCAIIAggCCAIIAggCCAIIAggCCAIIAiUCAwQDAXNxAH4AAAAAAAJzcQB+AAT///////////////7////+/////3VxAH4ABwAAAAMEdI14eHdGAh4AArkCAgIwAgQCBQIGAgcCCAIJAhwCCwK7Ag0CCAIIAggCCAIIAggCCAIIAggCCAIIAggCCAIIAggCCAIIAiUCAwQEAXNxAH4AAAAAAAJzcQB+AAT///////////////7////+/////3VxAH4ABwAAAARhMQgUeHh3RgIeAAK5AgICNgIEAgUCBgIHAggCCQIhAgsCuwINAggCCAIIAggCCAIIAggCCAIIAggCCAIIAggCCAIIAggCCAIlAgMEBQFzcQB+AAAAAAACc3EAfgAE///////////////+/////v////91cQB+AAcAAAADvFyyeHh3RgIeAAK5AgICRwIEAgUCBgIHAggCCQK6AgsCuwINAggCCAIIAggCCAIIAggCCAIIAggCCAIIAggCCAIIAggCCAIlAgMEBgFzcQB+AAAAAAACc3EAfgAE///////////////+/////gAAAAF1cQB+AAcAAAADDGvIeHh3RgIeAAK5AgICbQIEAgUCBgIHAggCCQK6AgsCuwINAggCCAIIAggCCAIIAggCCAIIAggCCAIIAggCCAIIAggCCAIlAgMEBwFzcQB+AAAAAAACc3EAfgAE///////////////+/////v////91cQB+AAcAAAADCLaceHh3iwIeAAK5AgICQwIEAgUCBgIHAggCCQK6AgsCuwINAggCCAIIAggCCAIIAggCCAIIAggCCAIIAggCCAIIAggCCAIlAgMCOQIeAAK5AgICcwIEAgUCBgIHAggCCQK6AgsCuwINAggCCAIIAggCCAIIAggCCAIIAggCCAIIAggCCAIIAggCCAIlAgMECAFzcQB+AAAAAAACc3EAfgAE///////////////+/////v////91cQB+AAcAAAADBWT/eHh3RgIeAAK5AgICIAIEAgUCBgIHAggCCQIhAgsCuwINAggCCAIIAggCCAIIAggCCAIIAggCCAIIAggCCAIIAggCCAIlAgMECQFzcQB+AAAAAAACc3EAfgAE///////////////+/////v////91cQB+AAcAAAAEBOQwD3h4d0YCHgACuQICAmACBAIFAgYCBwIIAgkCHAILArsCDQIIAggCCAIIAggCCAIIAggCCAIIAggCCAIIAggCCAIIAggCJQIDBAoBc3EAfgAAAAAAAnNxAH4ABP///////////////v////7/////dXEAfgAHAAAABF7UYvh4eHdGAh4AArkCAgJZAgQCBQIGAgcCCAIJAhwCCwK7Ag0CCAIIAggCCAIIAggCCAIIAggCCAIIAggCCAIIAggCCAIIAiUCAwQLAXNxAH4AAAAAAAJzcQB+AAT///////////////7////+/////3VxAH4ABwAAAAQRh3eteHh3RgIeAAK5AgICIwIEAgUCBgIHAggCCQIcAgsCuwINAggCCAIIAggCCAIIAggCCAIIAggCCAIIAggCCAIIAggCCAIlAgMEDAFzcQB+AAAAAAACc3EAfgAE///////////////+/////v////91cQB+AAcAAAAEgtyI8Xh4d0YCHgACuQICAjICBAIFAgYCBwIIAgkCHAILArsCDQIIAggCCAIIAggCCAIIAggCCAIIAggCCAIIAggCCAIIAggCJQIDBA0Bc3EAfgAAAAAAAnNxAH4ABP///////////////v////4AAAABdXEAfgAHAAAABBArX8l4eHdGAh4AArkCAgIuAgQCBQIGAgcCCAIJAhwCCwK7Ag0CCAIIAggCCAIIAggCCAIIAggCCAIIAggCCAIIAggCCAIIAiUCAwQOAXNxAH4AAAAAAAJzcQB+AAT///////////////7////+/////3VxAH4ABwAAAAQKGYKieHh3RgIeAAK5AgICbwIEAgUCBgIHAggCCQIhAgsCuwINAggCCAIIAggCCAIIAggCCAIIAggCCAIIAggCCAIIAggCCAIlAgMEDwFzcQB+AAAAAAACc3EAfgAE///////////////+/////v////91cQB+AAcAAAAETEMOFXh4d0YCHgACuQICAiwCBAIFAgYCBwIIAgkCHAILArsCDQIIAggCCAIIAggCCAIIAggCCAIIAggCCAIIAggCCAIIAggCJQIDBBABc3EAfgAAAAAAAnNxAH4ABP///////////////v////7/////dXEAfgAHAAAABFpw2Xd4eHdGAh4AArkCAgJkAgQCBQIGAgcCCAIJAiECCwK7Ag0CCAIIAggCCAIIAggCCAIIAggCCAIIAggCCAIIAggCCAIIAiUCAwQRAXNxAH4AAAAAAAJzcQB+AAT///////////////7////+/////3VxAH4ABwAAAAQENonjeHh3RgIeAAK5AgICKgIEAgUCBgIHAggCCQK6AgsCuwINAggCCAIIAggCCAIIAggCCAIIAggCCAIIAggCCAIIAggCCAIlAgMEEgFzcQB+AAAAAAACc3EAfgAE///////////////+/////v////91cQB+AAcAAAADJob2eHh3RgIeAAK5AgICNgIEAgUCBgIHAggCCQIcAgsCuwINAggCCAIIAggCCAIIAggCCAIIAggCCAIIAggCCAIIAggCCAIlAgMEEwFzcQB+AAAAAAACc3EAfgAE///////////////+/////v////91cQB+AAcAAAAEYo3LFnh4d0YCHgACuQICAgMCBAIFAgYCBwIIAgkCugILArsCDQIIAggCCAIIAggCCAIIAggCCAIIAggCCAIIAggCCAIIAggCJQIDBBQBc3EAfgAAAAAAAnNxAH4ABP///////////////v////7/////dXEAfgAHAAAAAxYpG3h4d0YCHgACuQICAmYCBAIFAgYCBwIIAgkCIQILArsCDQIIAggCCAIIAggCCAIIAggCCAIIAggCCAIIAggCCAIIAggCJQIDBBUBc3EAfgAAAAAAAnNxAH4ABP///////////////v////7/////dXEAfgAHAAAABDuLiL14eHdGAh4AArkCAgJeAgQCBQIGAgcCCAIJAiECCwK7Ag0CCAIIAggCCAIIAggCCAIIAggCCAIIAggCCAIIAggCCAIIAiUCAwQWAXNxAH4AAAAAAAJzcQB+AAT///////////////7////+/////3VxAH4ABwAAAAQDq4uteHh3RgIeAAK5AgICaQIEAgUCBgIHAggCCQK6AgsCuwINAggCCAIIAggCCAIIAggCCAIIAggCCAIIAggCCAIIAggCCAIlAgMEFwFzcQB+AAAAAAACc3EAfgAE///////////////+/////v////91cQB+AAcAAAADFOXkeHh3RgIeAAK5AgICGwIEAgUCBgIHAggCCQK6AgsCuwINAggCCAIIAggCCAIIAggCCAIIAggCCAIIAggCCAIIAggCCAIlAgMEGAFzcQB+AAAAAAACc3EAfgAE///////////////+/////v////91cQB+AAcAAAADEhXLeHh3RgIeAAK5AgICIwIEAgUCBgIHAggCCQK6AgsCuwINAggCCAIIAggCCAIIAggCCAIIAggCCAIIAggCCAIIAggCCAIlAgMEGQFzcQB+AAAAAAACc3EAfgAE///////////////+/////v////91cQB+AAcAAAADA9yreHh3RgIeAAK5AgICbwIEAgUCBgIHAggCCQIcAgsCuwINAggCCAIIAggCCAIIAggCCAIIAggCCAIIAggCCAIIAggCCAIlAgMEGgFzcQB+AAAAAAACc3EAfgAE///////////////+/////v////91cQB+AAcAAAAEElQVqnh4d0YCHgACuQICAj4CBAIFAgYCBwIIAgkCIQILArsCDQIIAggCCAIIAggCCAIIAggCCAIIAggCCAIIAggCCAIIAggCJQIDBBsBc3EAfgAAAAAAAnNxAH4ABP///////////////v////7/////dXEAfgAHAAAABA5PYHF4eHdGAh4AArkCAgIgAgQCBQIGAgcCCAIJAhwCCwK7Ag0CCAIIAggCCAIIAggCCAIIAggCCAIIAggCCAIIAggCCAIIAiUCAwQcAXNxAH4AAAAAAAJzcQB+AAT///////////////7////+/////3VxAH4ABwAAAARIcHiveHh3RgIeAAK5AgICXAIEAgUCBgIHAggCCQK6AgsCuwINAggCCAIIAggCCAIIAggCCAIIAggCCAIIAggCCAIIAggCCAIlAgMEHQFzcQB+AAAAAAACc3EAfgAE///////////////+/////v////91cQB+AAcAAAADAQ74eHh3RgIeAAK5AgICTAIEAgUCBgIHAggCCQK6AgsCuwINAggCCAIIAggCCAIIAggCCAIIAggCCAIIAggCCAIIAggCCAIlAgMEHgFzcQB+AAAAAAACc3EAfgAE///////////////+/////v////91cQB+AAcAAAADCZ5/eHh3RgIeAAK5AgICXAIEAgUCBgIHAggCCQIhAgsCuwINAggCCAIIAggCCAIIAggCCAIIAggCCAIIAggCCAIIAggCCAIlAgMEHwFzcQB+AAAAAAACc3EAfgAE///////////////+/////gAAAAF1cQB+AAcAAAAECNwFNnh4d0YCHgACuQICAiMCBAIFAgYCBwIIAgkCIQILArsCDQIIAggCCAIIAggCCAIIAggCCAIIAggCCAIIAggCCAIIAggCJQIDBCABc3EAfgAAAAAAAnNxAH4ABP///////////////v////4AAAABdXEAfgAHAAAABAkNFf14eHdGAh4AArkCAgIuAgQCBQIGAgcCCAIJAiECCwK7Ag0CCAIIAggCCAIIAggCCAIIAggCCAIIAggCCAIIAggCCAIIAiUCAwQhAXNxAH4AAAAAAAJzcQB+AAT///////////////7////+/////3VxAH4ABwAAAAQF1TuAeHh3RgIeAAK5AgICRwIEAgUCBgIHAggCCQIhAgsCuwINAggCCAIIAggCCAIIAggCCAIIAggCCAIIAggCCAIIAggCCAIlAgMEIgFzcQB+AAAAAAACc3EAfgAE///////////////+/////gAAAAF1cQB+AAcAAAAEAmnOhXh4d4sCHgACuQICAjgCBAIFAgYCBwIIAgkCugILArsCDQIIAggCCAIIAggCCAIIAggCCAIIAggCCAIIAggCCAIIAggCJQIDAjkCHgACuQICAmQCBAIFAgYCBwIIAgkCHAILArsCDQIIAggCCAIIAggCCAIIAggCCAIIAggCCAIIAggCCAIIAggCJQIDBCMBc3EAfgAAAAAAAnNxAH4ABP///////////////v////7/////dXEAfgAHAAAABEwrC4B4eHdGAh4AArkCAgJJAgQCBQIGAgcCCAIJAroCCwK7Ag0CCAIIAggCCAIIAggCCAIIAggCCAIIAggCCAIIAggCCAIIAiUCAwQkAXNxAH4AAAAAAAJzcQB+AAT///////////////7////+/////3VxAH4ABwAAAAM0T8l4eHdGAh4AArkCAgI7AgQCBQIGAgcCCAIJAroCCwK7Ag0CCAIIAggCCAIIAggCCAIIAggCCAIIAggCCAIIAggCCAIIAiUCAwQlAXNxAH4AAAAAAAJzcQB+AAT///////////////7////+/////3VxAH4ABwAAAAMEVit4eHdGAh4AArkCAgJHAgQCBQIGAgcCCAIJAhwCCwK7Ag0CCAIIAggCCAIIAggCCAIIAggCCAIIAggCCAIIAggCCAIIAiUCAwQmAXNxAH4AAAAAAAJzcQB+AAT///////////////7////+AAAAAXVxAH4ABwAAAAQNcODWeHh3RgIeAAK5AgICPgIEAgUCBgIHAggCCQIcAgsCuwINAggCCAIIAggCCAIIAggCCAIIAggCCAIIAggCCAIIAggCCAIlAgMEJwFzcQB+AAAAAAACc3EAfgAE///////////////+/////v////91cQB+AAcAAAAEJsrqA3h4d0YCHgACuQICAh4CBAIFAgYCBwIIAgkCHAILArsCDQIIAggCCAIIAggCCAIIAggCCAIIAggCCAIIAggCCAIIAggCJQIDBCgBc3EAfgAAAAAAAnNxAH4ABP///////////////v////7/////dXEAfgAHAAAABFNjmyZ4eHdGAh4AArkCAgJTAgQCBQIGAgcCCAIJAiECCwK7Ag0CCAIIAggCCAIIAggCCAIIAggCCAIIAggCCAIIAggCCAIIAiUCAwQpAXNxAH4AAAAAAAJzcQB+AAT///////////////7////+AAAAAXVxAH4ABwAAAAQCjrCgeHh3RgIeAAK5AgICLAIEAgUCBgIHAggCCQIhAgsCuwINAggCCAIIAggCCAIIAggCCAIIAggCCAIIAggCCAIIAggCCAIlAgMEKgFzcQB+AAAAAAACc3EAfgAE///////////////+/////v////91cQB+AAcAAAAECfBqRnh4d0YCHgACuQICAigCBAIFAgYCBwIIAgkCugILArsCDQIIAggCCAIIAggCCAIIAggCCAIIAggCCAIIAggCCAIIAggCJQIDBCsBc3EAfgAAAAAAAnNxAH4ABP///////////////v////7/////dXEAfgAHAAAAAyjCVXh4d0YCHgACuQICAlUCBAIFAgYCBwIIAgkCIQILArsCDQIIAggCCAIIAggCCAIIAggCCAIIAggCCAIIAggCCAIIAggCJQIDBCwBc3EAfgAAAAAAAnNxAH4ABP///////////////v////7/////dXEAfgAHAAAABAM0LUJ4eHoAAAQAAh4ABC0BAAk1NDc2MjE0NDgCAgJvAgQCBQIGAgcCCAIJAiECCwIMAg0CCAIIAggCCAIIAggCCAIIAggCCAIIAggCCAIIAggCCAIIAiICAwKEAh4ABC0BAgICZAIEAgUCBgIHAggCCQIhAgsCDAINAggCCAIIAggCCAIIAggCCAIIAggCCAIIAggCCAIIAggCCAIiAgMClgIeAAQtAQICAkkCBAIFAgYCBwIIAgkCIQILAgwCDQIIAggCCAIIAggCCAIIAggCCAIIAggCCAIIAggCCAIIAggCIgIDAoECHgAELQECAgIjAgQCBQIGAgcCCAIJAgoCCwIMAg0CCAIIAggCCAIIAggCCAIIAggCCAIIAggCCAIIAggCCAIIAiICAwKyAh4ABC0BAgICfwIEAgUCBgIHAggCCQIcAgsCDAINAggCCAIIAggCCAIIAggCCAIIAggCCAIIAggCCAIIAggCCAIiAgMCgAIeAAQtAQICAhsCBAIFAgYCBwIIAgkCCgILAgwCDQIIAggCCAIIAggCCAIIAggCCAIIAggCCAIIAggCCAIIAggCIgIDAoUCHgAELQECAgI0AgQCBQIGAgcCCAIJAgoCCwIMAg0CCAIIAggCCAIIAggCCAIIAggCCAIIAggCCAIIAggCCAIIAiICAwKJAh4ABC0BAgICOwIEAgUCBgIHAggCCQIcAgsCDAINAggCCAIIAggCCAIIAggCCAIIAggCCAIIAggCCAIIAggCCAIiAgMCigIeAAQtAQICAjgCBAIFAgYCBwIIAgkCIQILAgwCDQIIAggCCAIIAggCCAIIAggCCAIIAggCCAIIAggCCAIIAggCIgIDAkQCHgAELQECAgIqAgQCBQIGAgcCCAIJAgoCCwIMAg0CCAIIAggCCAIIAggCCAIIAggCCAIIAggCCAIIAggCCAIIAiICAwJ+Ah4ABC0BAgICYAIEAgUCBgIHAggCCQIhAgsCDAINAggCCAIIAggCCAIIAggCCAIIAggCCAIIAggCCAIIAggCCAIiAgMCqwIeAAQtAQICAngCBAIFAgYCBwIIAgkCIQILAgwCDQIIAggCCAIIAggCCAIIAggCCAIIAggCCAIIAggCCAIIAggCIgIDAocCHgAELQECAgIDAgQCBQIGAgcCCAIJAhwCCwIMAg0CCAIIAggCCAIIAggCCAIIAggCCAIIAggCCAIIAggCCAIIAiICAwKIAh4ABC0BAgICZAIEAgUCBgIHAggCCQIcAgsCDAINAggCCAIIAggCCAIIAggCCAIIAggCCAIIAggCCAIIAggCCAIiAgMCZQIeAAQtAQICAh4CBAIFAgYCBwIIAgkCIQILAgwCDQIIAnoAAAQACAIIAggCCAIIAggCCAIIAggCCAIIAggCCAIIAggCCAIiAgMCkAIeAAQtAQICApMCBAIFAgYCBwIIAgkCIQILAgwCDQIIAggCCAIIAggCCAIIAggCCAIIAggCCAIIAggCCAIIAggCIgIDApQCHgAELQECAgJ/AgQCBQIGAgcCCAIJAiECCwIMAg0CCAIIAggCCAIIAggCCAIIAggCCAIIAggCCAIIAggCCAIIAiICAwKPAh4ABC0BAgICIAIEAgUCBgIHAggCCQIKAgsCDAINAggCCAIIAggCCAIIAggCCAIIAggCCAIIAggCCAIIAggCCAIiAgMCjgIeAAQtAQICAlMCBAIFAgYCBwIIAgkCIQILAgwCDQIIAggCCAIIAggCCAIIAggCCAIIAggCCAIIAggCCAIIAggCIgIDAlQCHgAELQECAgJVAgQCBQIGAgcCCAIJAiECCwIMAg0CCAIIAggCCAIIAggCCAIIAggCCAIIAggCCAIIAggCCAIIAiICAwJWAh4ABC0BAgICSQIEAgUCBgIHAggCCQIcAgsCDAINAggCCAIIAggCCAIIAggCCAIIAggCCAIIAggCCAIIAggCCAIiAgMCjAIeAAQtAQICAmkCBAIFAgYCBwIIAgkCHAILAgwCDQIIAggCCAIIAggCCAIIAggCCAIIAggCCAIIAggCCAIIAggCIgIDApcCHgAELQECAgI4AgQCBQIGAgcCCAIJAhwCCwIMAg0CCAIIAggCCAIIAggCCAIIAggCCAIIAggCCAIIAggCCAIIAiICAwKZAh4ABC0BAgICHgIEAgUCBgIHAggCCQIcAgsCDAINAggCCAIIAggCCAIIAggCCAIIAggCCAIIAggCCAIIAggCCAIiAgMCgwIeAAQtAQICAkwCBAIFAgYCBwIIAgkCHAILAgwCDQIIAggCCAIIAggCCAIIAggCCAIIAggCCAIIAggCCAIIAggCIgIDAk0CHgAELQECAgI2AgQCBQIGAgcCCAIJAgoCCwIMAg0CCAIIAggCCAIIAggCCAIIAggCCAIIAggCCAIIAggCCAIIAiICAwKLAh4ABC0BAgICTAIEAgUCBgIHAggCCQIKAgsCDAINAggCCAIIAggCCAIIAggCCAIIAggCCAIIAggCCAIIAggCCAIiAgMCkQIeAAQtAQICAlwCBAIFAgYCBwIIAgkCHAILAgwCDQIIAggCCAIIAggCCAIIAggCCAIIAggCCAIIAggCCAIIAggCIgIDAmICHgAELQECAgJQAgQCBQIGAgcCCAIJAgoCCwIMAg0CCAIIAggCCAIIAggCCAIIAggCCAIIAggCCAIIAggCCAIIAiICAwJRAh4ABC0BAnoAAAQAAgJTAgQCBQIGAgcCCAIJAhwCCwIMAg0CCAIIAggCCAIIAggCCAIIAggCCAIIAggCCAIIAggCCAIIAiICAwJyAh4ABC0BAgICVQIEAgUCBgIHAggCCQIcAgsCDAINAggCCAIIAggCCAIIAggCCAIIAggCCAIIAggCCAIIAggCCAIiAgMCdwIeAAQtAQICAmACBAIFAgYCBwIIAgkCCgILAgwCDQIIAggCCAIIAggCCAIIAggCCAIIAggCCAIIAggCCAIIAggCIgIDAmECHgAELQECAgJZAgQCBQIGAgcCCAIJAgoCCwIMAg0CCAIIAggCCAIIAggCCAIIAggCCAIIAggCCAIIAggCCAIIAiICAwJaAh4ABC0BAgICPgIEAgUCBgIHAggCCQIcAgsCDAINAggCCAIIAggCCAIIAggCCAIIAggCCAIIAggCCAIIAggCCAIiAgMCWwIeAAQtAQICAioCBAIFAgYCBwIIAgkCIQILAgwCDQIIAggCCAIIAggCCAIIAggCCAIIAggCCAIIAggCCAIIAggCIgIDAj0CHgAELQECAgJXAgQCBQIGAgcCCAIJAgoCCwIMAg0CCAIIAggCCAIIAggCCAIIAggCCAIIAggCCAIIAggCCAIIAiICAwJYAh4ABC0BAgICRwIEAgUCBgIHAggCCQIcAgsCDAINAggCCAIIAggCCAIIAggCCAIIAggCCAIIAggCCAIIAggCCAIiAgMCawIeAAQtAQICAmkCBAIFAgYCBwIIAgkCIQILAgwCDQIIAggCCAIIAggCCAIIAggCCAIIAggCCAIIAggCCAIIAggCIgIDAmoCHgAELQECAgJcAgQCBQIGAgcCCAIJAiECCwIMAg0CCAIIAggCCAIIAggCCAIIAggCCAIIAggCCAIIAggCCAIIAiICAwJdAh4ABC0BAgICRQIEAgUCBgIHAggCCQIKAgsCDAINAggCCAIIAggCCAIIAggCCAIIAggCCAIIAggCCAIIAggCCAIiAgMCbAIeAAQtAQICAigCBAIFAgYCBwIIAgkCHAILAgwCDQIIAggCCAIIAggCCAIIAggCCAIIAggCCAIIAggCCAIIAggCIgIDAo0CHgAELQECAgJOAgQCBQIGAgcCCAIJAgoCCwIMAg0CCAIIAggCCAIIAggCCAIIAggCCAIIAggCCAIIAggCCAIIAiICAwJoAh4ABC0BAgICZgIEAgUCBgIHAggCCQIcAgsCDAINAggCCAIIAggCCAIIAggCCAIIAggCCAIIAggCCAIIAggCCAIiAgMCZwIeAAQtAQICAjACBAIFAgYCBwIIAgkCCgILAgwCDQIIAggCCAIIAggCCAIIAggCCAIIAnoAAAQACAIIAggCCAIIAggCCAIiAgMChgIeAAQtAQICAiYCBAIFAgYCBwIIAgkCCgILAgwCDQIIAggCCAIIAggCCAIIAggCCAIIAggCCAIIAggCCAIIAggCIgIDAnUCHgAELQECAgJzAgQCBQIGAgcCCAIJAgoCCwIMAg0CCAIIAggCCAIIAggCCAIIAggCCAIIAggCCAIIAggCCAIIAiICAwJ0Ah4ABC0BAgICQwIEAgUCBgIHAggCCQIKAgsCDAINAggCCAIIAggCCAIIAggCCAIIAggCCAIIAggCCAIIAggCCAIiAgMCOQIeAAQtAQICAiMCBAIFAgYCBwIIAgkCIQILAgwCDQIIAggCCAIIAggCCAIIAggCCAIIAggCCAIIAggCCAIIAggCIgIDAiUCHgAELQECAgJMAgQCBQIGAgcCCAIJAiECCwIMAg0CCAIIAggCCAIIAggCCAIIAggCCAIIAggCCAIIAggCCAIIAiICAwJjAh4ABC0BAgICbwIEAgUCBgIHAggCCQIcAgsCDAINAggCCAIIAggCCAIIAggCCAIIAggCCAIIAggCCAIIAggCCAIiAgMCcAIeAAQtAQICAl4CBAIFAgYCBwIIAgkCHAILAgwCDQIIAggCCAIIAggCCAIIAggCCAIIAggCCAIIAggCCAIIAggCIgIDAl8CHgAELQECAgJtAgQCBQIGAgcCCAIJAgoCCwIMAg0CCAIIAggCCAIIAggCCAIIAggCCAIIAggCCAIIAggCCAIIAiICAwJuAh4ABC0BAgICZgIEAgUCBgIHAggCCQIhAgsCDAINAggCCAIIAggCCAIIAggCCAIIAggCCAIIAggCCAIIAggCCAIiAgMCfQIeAAQtAQICAgMCBAIFAgYCBwIIAgkCIQILAgwCDQIIAggCCAIIAggCCAIIAggCCAIIAggCCAIIAggCCAIIAggCIgIDAnoCHgAELQECAgI7AgQCBQIGAgcCCAIJAiECCwIMAg0CCAIIAggCCAIIAggCCAIIAggCCAIIAggCCAIIAggCCAIIAiICAwKCAh4ABC0BAgICLgIEAgUCBgIHAggCCQIcAgsCDAINAggCCAIIAggCCAIIAggCCAIIAggCCAIIAggCCAIIAggCCAIiAgMCdgIeAAQtAQICAigCBAIFAgYCBwIIAgkCIQILAgwCDQIIAggCCAIIAggCCAIIAggCCAIIAggCCAIIAggCCAIIAggCIgIDAnsCHgAELQECAgJ4AgQCBQIGAgcCCAIJAgoCCwIMAg0CCAIIAggCCAIIAggCCAIIAggCCAIIAggCCAIIAggCCAIIAiICAwJ5Ah4ABC0BAgICMgIEAgUCBgIHAggCCQIcAnoAAAQACwIMAg0CCAIIAggCCAIIAggCCAIIAggCCAIIAggCCAIIAggCCAIIAiICAwJSAh4ABC0BAgICJgIEAgUCBgIHAggCCQIhAgsCDAINAggCCAIIAggCCAIIAggCCAIIAggCCAIIAggCCAIIAggCCAIiAgMCJwIeAAQtAQICAkMCBAIFAgYCBwIIAgkCIQILAgwCDQIIAggCCAIIAggCCAIIAggCCAIIAggCCAIIAggCCAIIAggCIgIDAkQCHgAELQECAgIeAgQCBQIGAgcCCAIJAgoCCwIMAg0CCAIIAggCCAIIAggCCAIIAggCCAIIAggCCAIIAggCCAIIAiICAwIfAh4ABC0BAgICLAIEAgUCBgIHAggCCQIcAgsCDAINAggCCAIIAggCCAIIAggCCAIIAggCCAIIAggCCAIIAggCCAIiAgMCfAIeAAQtAQICAiMCBAIFAgYCBwIIAgkCHAILAgwCDQIIAggCCAIIAggCCAIIAggCCAIIAggCCAIIAggCCAIIAggCIgIDAiQCHgAELQECAgIgAgQCBQIGAgcCCAIJAiECCwIMAg0CCAIIAggCCAIIAggCCAIIAggCCAIIAggCCAIIAggCCAIIAiICAwIiAh4ABC0BAgICRQIEAgUCBgIHAggCCQIhAgsCDAINAggCCAIIAggCCAIIAggCCAIIAggCCAIIAggCCAIIAggCCAIiAgMCRgIeAAQtAQICAhsCBAIFAgYCBwIIAgkCHAILAgwCDQIIAggCCAIIAggCCAIIAggCCAIIAggCCAIIAggCCAIIAggCIgIDAh0CHgAELQECAgI2AgQCBQIGAgcCCAIJAiECCwIMAg0CCAIIAggCCAIIAggCCAIIAggCCAIIAggCCAIIAggCCAIIAiICAwI3Ah4ABC0BAgICIAIEAgUCBgIHAggCCQIcAgsCDAINAggCCAIIAggCCAIIAggCCAIIAggCCAIIAggCCAIIAggCCAIiAgMCOgIeAAQtAQICAl4CBAIFAgYCBwIIAgkCIQILAgwCDQIIAggCCAIIAggCCAIIAggCCAIIAggCCAIIAggCCAIIAggCIgIDAnECHgAELQECAgI0AgQCBQIGAgcCCAIJAhwCCwIMAg0CCAIIAggCCAIIAggCCAIIAggCCAIIAggCCAIIAggCCAIIAiICAwI1Ah4ABC0BAgICLgIEAgUCBgIHAggCCQIhAgsCDAINAggCCAIIAggCCAIIAggCCAIIAggCCAIIAggCCAIIAggCCAIiAgMCLwIeAAQtAQICAgMCBAIFAgYCBwIIAgkCCgILAgwCDQIIAggCCAIIAggCCAIIAggCCAIIAggCCAIIAggCCAIIAggCIgIDAnoAAAQADgIeAAQtAQICAkUCBAIFAgYCBwIIAgkCHAILAgwCDQIIAggCCAIIAggCCAIIAggCCAIIAggCCAIIAggCCAIIAggCIgIDAqgCHgAELQECAgIoAgQCBQIGAgcCCAIJAgoCCwIMAg0CCAIIAggCCAIIAggCCAIIAggCCAIIAggCCAIIAggCCAIIAiICAwIpAh4ABC0BAgICGwIEAgUCBgIHAggCCQIhAgsCDAINAggCCAIIAggCCAIIAggCCAIIAggCCAIIAggCCAIIAggCCAIiAgMCQAIeAAQtAQICAkcCBAIFAgYCBwIIAgkCIQILAgwCDQIIAggCCAIIAggCCAIIAggCCAIIAggCCAIIAggCCAIIAggCIgIDAkgCHgAELQECAgIsAgQCBQIGAgcCCAIJAiECCwIMAg0CCAIIAggCCAIIAggCCAIIAggCCAIIAggCCAIIAggCCAIIAiICAwItAh4ABC0BAgICOwIEAgUCBgIHAggCCQIKAgsCDAINAggCCAIIAggCCAIIAggCCAIIAggCCAIIAggCCAIIAggCCAIiAgMCPAIeAAQtAQICAkkCBAIFAgYCBwIIAgkCCgILAgwCDQIIAggCCAIIAggCCAIIAggCCAIIAggCCAIIAggCCAIIAggCIgIDAkoCHgAELQECAgIqAgQCBQIGAgcCCAIJAhwCCwIMAg0CCAIIAggCCAIIAggCCAIIAggCCAIIAggCCAIIAggCCAIIAiICAwIrAh4ABC0BAgICPgIEAgUCBgIHAggCCQIhAgsCDAINAggCCAIIAggCCAIIAggCCAIIAggCCAIIAggCCAIIAggCCAIiAgMCPwIeAAQtAQICAm0CBAIFAgYCBwIIAgkCIQILAgwCDQIIAggCCAIIAggCCAIIAggCCAIIAggCCAIIAggCCAIIAggCIgIDAp8CHgAELQECAgI4AgQCBQIGAgcCCAIJAgoCCwIMAg0CCAIIAggCCAIIAggCCAIIAggCCAIIAggCCAIIAggCCAIIAiICAwI5Ah4ABC0BAgICTgIEAgUCBgIHAggCCQIhAgsCDAINAggCCAIIAggCCAIIAggCCAIIAggCCAIIAggCCAIIAggCCAIiAgMCTwIeAAQtAQICAkECBAIFAgYCBwIIAgkCHAILAgwCDQIIAggCCAIIAggCCAIIAggCCAIIAggCCAIIAggCCAIIAggCIgIDApUCHgAELQECAgI2AgQCBQIGAgcCCAIJAhwCCwIMAg0CCAIIAggCCAIIAggCCAIIAggCCAIIAggCCAIIAggCCAIIAiICAwJLAh4ABC0BAgICcwIEAgUCBgIHAggCCQIhAgsCDAINAggCCAIIAggCCAIIAnoAAAQACAIIAggCCAIIAggCCAIIAggCCAIIAiICAwKSAh4ABC0BAgICQQIEAgUCBgIHAggCCQIKAgsCDAINAggCCAIIAggCCAIIAggCCAIIAggCCAIIAggCCAIIAggCCAIiAgMCQgIeAAQtAQICAj4CBAIFAgYCBwIIAgkCCgILAgwCDQIIAggCCAIIAggCCAIIAggCCAIIAggCCAIIAggCCAIIAggCIgIDAqcCHgAELQECAgJQAgQCBQIGAgcCCAIJAhwCCwIMAg0CCAIIAggCCAIIAggCCAIIAggCCAIIAggCCAIIAggCCAIIAiICAwKYAh4ABC0BAgICMAIEAgUCBgIHAggCCQIhAgsCDAINAggCCAIIAggCCAIIAggCCAIIAggCCAIIAggCCAIIAggCCAIiAgMCtwIeAAQtAQICAqQCBAIFAgYCBwIIAgkCHAILAgwCDQIIAggCCAIIAggCCAIIAggCCAIIAggCCAIIAggCCAIIAggCIgIDArMCHgAELQECAgJtAgQCBQIGAgcCCAIJAhwCCwIMAg0CCAIIAggCCAIIAggCCAIIAggCCAIIAggCCAIIAggCCAIIAiICAwKxAh4ABC0BAgICXgIEAgUCBgIHAggCCQIKAgsCDAINAggCCAIIAggCCAIIAggCCAIIAggCCAIIAggCCAIIAggCCAIiAgMCmwIeAAQtAQICAlMCBAIFAgYCBwIIAgkCCgILAgwCDQIIAggCCAIIAggCCAIIAggCCAIIAggCCAIIAggCCAIIAggCIgIDAqkCHgAELQECAgKTAgQCBQIGAgcCCAIJAhwCCwIMAg0CCAIIAggCCAIIAggCCAIIAggCCAIIAggCCAIIAggCCAIIAiICAwKaAh4ABC0BAgICpAIEAgUCBgIHAggCCQIhAgsCDAINAggCCAIIAggCCAIIAggCCAIIAggCCAIIAggCCAIIAggCCAIiAgMCpQIeAAQtAQICAjACBAIFAgYCBwIIAgkCHAILAgwCDQIIAggCCAIIAggCCAIIAggCCAIIAggCCAIIAggCCAIIAggCIgIDAjECHgAELQECAgJXAgQCBQIGAgcCCAIJAhwCCwIMAg0CCAIIAggCCAIIAggCCAIIAggCCAIIAggCCAIIAggCCAIIAiICAwKiAh4ABC0BAgICZgIEAgUCBgIHAggCCQIKAgsCDAINAggCCAIIAggCCAIIAggCCAIIAggCCAIIAggCCAIIAggCCAIiAgMCnAIeAAQtAQICAmQCBAIFAgYCBwIIAgkCCgILAgwCDQIIAggCCAIIAggCCAIIAggCCAIIAggCCAIIAggCCAIIAggCIgIDAqMCHgAELQECAgJBAgQCBQIGAnoAAAQABwIIAgkCIQILAgwCDQIIAggCCAIIAggCCAIIAggCCAIIAggCCAIIAggCCAIIAggCIgIDAqECHgAELQECAgJOAgQCBQIGAgcCCAIJAhwCCwIMAg0CCAIIAggCCAIIAggCCAIIAggCCAIIAggCCAIIAggCCAIIAiICAwKmAh4ABC0BAgICUAIEAgUCBgIHAggCCQIhAgsCDAINAggCCAIIAggCCAIIAggCCAIIAggCCAIIAggCCAIIAggCCAIiAgMCoAIeAAQtAQICAnMCBAIFAgYCBwIIAgkCHAILAgwCDQIIAggCCAIIAggCCAIIAggCCAIIAggCCAIIAggCCAIIAggCIgIDAq8CHgAELQECAgImAgQCBQIGAgcCCAIJAhwCCwIMAg0CCAIIAggCCAIIAggCCAIIAggCCAIIAggCCAIIAggCCAIIAiICAwKuAh4ABC0BAgICQwIEAgUCBgIHAggCCQIcAgsCDAINAggCCAIIAggCCAIIAggCCAIIAggCCAIIAggCCAIIAggCCAIiAgMCmQIeAAQtAQICAjICBAIFAgYCBwIIAgkCIQILAgwCDQIIAggCCAIIAggCCAIIAggCCAIIAggCCAIIAggCCAIIAggCIgIDAjMCHgAELQECAgJZAgQCBQIGAgcCCAIJAhwCCwIMAg0CCAIIAggCCAIIAggCCAIIAggCCAIIAggCCAIIAggCCAIIAiICAwKdAh4ABC0BAgICWQIEAgUCBgIHAggCCQIhAgsCDAINAggCCAIIAggCCAIIAggCCAIIAggCCAIIAggCCAIIAggCCAIiAgMCrAIeAAQtAQICAm8CBAIFAgYCBwIIAgkCCgILAgwCDQIIAggCCAIIAggCCAIIAggCCAIIAggCCAIIAggCCAIIAggCIgIDArQCHgAELQECAgI0AgQCBQIGAgcCCAIJAiECCwIMAg0CCAIIAggCCAIIAggCCAIIAggCCAIIAggCCAIIAggCCAIIAiICAwKtAh4ABC0BAgICVQIEAgUCBgIHAggCCQIKAgsCDAINAggCCAIIAggCCAIIAggCCAIIAggCCAIIAggCCAIIAggCCAIiAgMCqgIeAAQtAQICAiwCBAIFAgYCBwIIAgkCCgILAgwCDQIIAggCCAIIAggCCAIIAggCCAIIAggCCAIIAggCCAIIAggCIgIDArgCHgAELQECAgJgAgQCBQIGAgcCCAIJAhwCCwIMAg0CCAIIAggCCAIIAggCCAIIAggCCAIIAggCCAIIAggCCAIIAiICAwKeAh4ABC0BAgICLgIEAgUCBgIHAggCCQIKAgsCDAINAggCCAIIAggCCAIIAggCCAIIAggCCAIIAggCCAIIAnoAAAQACAIIAiICAwKwAh4ABC0BAgICVwIEAgUCBgIHAggCCQIhAgsCDAINAggCCAIIAggCCAIIAggCCAIIAggCCAIIAggCCAIIAggCCAIiAgMCtgIeAAQtAQICAngCBAIFAgYCBwIIAgkCHAILAgwCDQIIAggCCAIIAggCCAIIAggCCAIIAggCCAIIAggCCAIIAggCIgIDArUCHgAELgEACTU0NzYxNzk2OAICAnMCBAIFAgYCBwIIAgkCHAILArsCDQIIAggCCAIIAggCCAIIAggCCAIIAggCCAIIAggCCAIIAggCHwIDAsQCHgAELgECAgJMAgQCBQIGAgcCCAIJAroCCwK7Ag0CCAIIAggCCAIIAggCCAIIAggCCAIIAggCCAIIAggCCAIIAh8CAwQeAQIeAAQuAQICAh4CBAIFAgYCBwIIAgkCIQILArsCDQIIAggCCAIIAggCCAIIAggCCAIIAggCCAIIAggCCAIIAggCHwIDAskCHgAELgECAgJgAgQCBQIGAgcCCAIJAroCCwK7Ag0CCAIIAggCCAIIAggCCAIIAggCCAIIAggCCAIIAggCCAIIAh8CAwLFAh4ABC4BAgICXAIEAgUCBgIHAggCCQK6AgsCuwINAggCCAIIAggCCAIIAggCCAIIAggCCAIIAggCCAIIAggCCAIfAgMEHQECHgAELgECAgJtAgQCBQIGAgcCCAIJAhwCCwK7Ag0CCAIIAggCCAIIAggCCAIIAggCCAIIAggCCAIIAggCCAIIAh8CAwLGAh4ABC4BAgICAwIEAgUCBgIHAggCCQIcAgsCuwINAggCCAIIAggCCAIIAggCCAIIAggCCAIIAggCCAIIAggCCAIfAgMCzQIeAAQuAQICAlUCBAIFAgYCBwIIAgkCugILArsCDQIIAggCCAIIAggCCAIIAggCCAIIAggCCAIIAggCCAIIAggCHwIDAsoCHgAELgECAgJ4AgQCBQIGAgcCCAIJAiECCwK7Ag0CCAIIAggCCAIIAggCCAIIAggCCAIIAggCCAIIAggCCAIIAh8CAwLmAh4ABC4BAgICKAIEAgUCBgIHAggCCQIcAgsCuwINAggCCAIIAggCCAIIAggCCAIIAggCCAIIAggCCAIIAggCCAIfAgMCywIeAAQuAQICAkkCBAIFAgYCBwIIAgkCIQILArsCDQIIAggCCAIIAggCCAIIAggCCAIIAggCCAIIAggCCAIIAggCHwIDAtQCHgAELgECAgJvAgQCBQIGAgcCCAIJAroCCwK7Ag0CCAIIAggCCAIIAggCCAIIAggCCAIIAggCCAIIAggCCAIIAh8CAwLSAh4ABC4BAgICOwIEAgUCBgIHAggCCXoAAAQAAiECCwK7Ag0CCAIIAggCCAIIAggCCAIIAggCCAIIAggCCAIIAggCCAIIAh8CAwLQAh4ABC4BAgICaQIEAgUCBgIHAggCCQIhAgsCuwINAggCCAIIAggCCAIIAggCCAIIAggCCAIIAggCCAIIAggCCAIfAgMCzwIeAAQuAQICAjgCBAIFAgYCBwIIAgkCIQILArsCDQIIAggCCAIIAggCCAIIAggCCAIIAggCCAIIAggCCAIIAggCHwIDAtECHgAELgECAgJeAgQCBQIGAgcCCAIJAhwCCwK7Ag0CCAIIAggCCAIIAggCCAIIAggCCAIIAggCCAIIAggCCAIIAh8CAwLVAh4ABC4BAgICUwIEAgUCBgIHAggCCQK6AgsCuwINAggCCAIIAggCCAIIAggCCAIIAggCCAIIAggCCAIIAggCCAIfAgMC0wIeAAQuAQICAgMCBAIFAgYCBwIIAgkCIQILArsCDQIIAggCCAIIAggCCAIIAggCCAIIAggCCAIIAggCCAIIAggCHwIDAsICHgAELgECAgIqAgQCBQIGAgcCCAIJAroCCwK7Ag0CCAIIAggCCAIIAggCCAIIAggCCAIIAggCCAIIAggCCAIIAh8CAwQSAQIeAAQuAQICAmQCBAIFAgYCBwIIAgkCugILArsCDQIIAggCCAIIAggCCAIIAggCCAIIAggCCAIIAggCCAIIAggCHwIDArwCHgAELgECAgJ4AgQCBQIGAgcCCAIJAhwCCwK7Ag0CCAIIAggCCAIIAggCCAIIAggCCAIIAggCCAIIAggCCAIIAh8CAwLaAh4ABC4BAgICKAIEAgUCBgIHAggCCQIhAgsCuwINAggCCAIIAggCCAIIAggCCAIIAggCCAIIAggCCAIIAggCCAIfAgMCwQIeAAQuAQICAlcCBAIFAgYCBwIIAgkCIQILArsCDQIIAggCCAIIAggCCAIIAggCCAIIAggCCAIIAggCCAIIAggCHwIDAtsCHgAELgECAgJvAgQCBQIGAgcCCAIJAhwCCwK7Ag0CCAIIAggCCAIIAggCCAIIAggCCAIIAggCCAIIAggCCAIIAh8CAwQaAQIeAAQuAQICAkcCBAIFAgYCBwIIAgkCIQILArsCDQIIAggCCAIIAggCCAIIAggCCAIIAggCCAIIAggCCAIIAggCHwIDBCIBAh4ABC4BAgICPgIEAgUCBgIHAggCCQIhAgsCuwINAggCCAIIAggCCAIIAggCCAIIAggCCAIIAggCCAIIAggCCAIfAgMEGwECHgAELgECAgIbAgQCBQIGAgcCCAIJAroCCwK7Ag0CCAIIAggCCAIIAggCCAIIAggCCAIIAggCCAIIAggCCHoAAAQAAggCHwIDBBgBAh4ABC4BAgICXgIEAgUCBgIHAggCCQIhAgsCuwINAggCCAIIAggCCAIIAggCCAIIAggCCAIIAggCCAIIAggCCAIfAgMEFgECHgAELgECAgIgAgQCBQIGAgcCCAIJAhwCCwK7Ag0CCAIIAggCCAIIAggCCAIIAggCCAIIAggCCAIIAggCCAIIAh8CAwQcAQIeAAQuAQICAlACBAIFAgYCBwIIAgkCIQILArsCDQIIAggCCAIIAggCCAIIAggCCAIIAggCCAIIAggCCAIIAggCHwIDAscCHgAELgECAgIjAgQCBQIGAgcCCAIJAroCCwK7Ag0CCAIIAggCCAIIAggCCAIIAggCCAIIAggCCAIIAggCCAIIAh8CAwQZAQIeAAQuAQICAlwCBAIFAgYCBwIIAgkCIQILArsCDQIIAggCCAIIAggCCAIIAggCCAIIAggCCAIIAggCCAIIAggCHwIDBB8BAh4ABC4BAgICLgIEAgUCBgIHAggCCQK6AgsCuwINAggCCAIIAggCCAIIAggCCAIIAggCCAIIAggCCAIIAggCCAIfAgMC/wIeAAQuAQICAkECBAIFAgYCBwIIAgkCIQILArsCDQIIAggCCAIIAggCCAIIAggCCAIIAggCCAIIAggCCAIIAggCHwIDAs4CHgAELgECAgJkAgQCBQIGAgcCCAIJAhwCCwK7Ag0CCAIIAggCCAIIAggCCAIIAggCCAIIAggCCAIIAggCCAIIAh8CAwQjAQIeAAQuAQICAkcCBAIFAgYCBwIIAgkCHAILArsCDQIIAggCCAIIAggCCAIIAggCCAIIAggCCAIIAggCCAIIAggCHwIDBCYBAh4ABC4BAgICLAIEAgUCBgIHAggCCQK6AgsCuwINAggCCAIIAggCCAIIAggCCAIIAggCCAIIAggCCAIIAggCCAIfAgMEAwECHgAELgECAgJXAgQCBQIGAgcCCAIJAhwCCwK7Ag0CCAIIAggCCAIIAggCCAIIAggCCAIIAggCCAIIAggCCAIIAh8CAwQAAQIeAAQuAQICAjgCBAIFAgYCBwIIAgkCugILArsCDQIIAggCCAIIAggCCAIIAggCCAIIAggCCAIIAggCCAIIAggCHwIDAjkCHgAELgECAgIeAgQCBQIGAgcCCAIJAhwCCwK7Ag0CCAIIAggCCAIIAggCCAIIAggCCAIIAggCCAIIAggCCAIIAh8CAwQoAQIeAAQuAQICAm8CBAIFAgYCBwIIAgkCIQILArsCDQIIAggCCAIIAggCCAIIAggCCAIIAggCCAIIAggCCAIIAggCHwIDBA8BAh4ABC4BAgICUAIEAgUCBgIHAggCCQIcAnoAAAQACwK7Ag0CCAIIAggCCAIIAggCCAIIAggCCAIIAggCCAIIAggCCAIIAh8CAwK+Ah4ABC4BAgICSQIEAgUCBgIHAggCCQK6AgsCuwINAggCCAIIAggCCAIIAggCCAIIAggCCAIIAggCCAIIAggCCAIfAgMEJAECHgAELgECAgIoAgQCBQIGAgcCCAIJAroCCwK7Ag0CCAIIAggCCAIIAggCCAIIAggCCAIIAggCCAIIAggCCAIIAh8CAwQrAQIeAAQuAQICAlUCBAIFAgYCBwIIAgkCIQILArsCDQIIAggCCAIIAggCCAIIAggCCAIIAggCCAIIAggCCAIIAggCHwIDBCwBAh4ABC4BAgICPgIEAgUCBgIHAggCCQIcAgsCuwINAggCCAIIAggCCAIIAggCCAIIAggCCAIIAggCCAIIAggCCAIfAgMEJwECHgAELgECAgI7AgQCBQIGAgcCCAIJAroCCwK7Ag0CCAIIAggCCAIIAggCCAIIAggCCAIIAggCCAIIAggCCAIIAh8CAwQlAQIeAAQuAQICAgMCBAIFAgYCBwIIAgkCugILArsCDQIIAggCCAIIAggCCAIIAggCCAIIAggCCAIIAggCCAIIAggCHwIDBBQBAh4ABC4BAgICNgIEAgUCBgIHAggCCQIcAgsCuwINAggCCAIIAggCCAIIAggCCAIIAggCCAIIAggCCAIIAggCCAIfAgMEEwECHgAELgECAgJmAgQCBQIGAgcCCAIJAroCCwK7Ag0CCAIIAggCCAIIAggCCAIIAggCCAIIAggCCAIIAggCCAIIAh8CAwLyAh4ABC4BAgICZAIEAgUCBgIHAggCCQIhAgsCuwINAggCCAIIAggCCAIIAggCCAIIAggCCAIIAggCCAIIAggCCAIfAgMEEQECHgAELgECAgIyAgQCBQIGAgcCCAIJAhwCCwK7Ag0CCAIIAggCCAIIAggCCAIIAggCCAIIAggCCAIIAggCCAIIAh8CAwQNAQIeAAQuAQICAlMCBAIFAgYCBwIIAgkCIQILArsCDQIIAggCCAIIAggCCAIIAggCCAIIAggCCAIIAggCCAIIAggCHwIDBCkBAh4ABC4BAgICQQIEAgUCBgIHAggCCQIcAgsCuwINAggCCAIIAggCCAIIAggCCAIIAggCCAIIAggCCAIIAggCCAIfAgMCvwIeAAQuAQICAjACBAIFAgYCBwIIAgkCHAILArsCDQIIAggCCAIIAggCCAIIAggCCAIIAggCCAIIAggCCAIIAggCHwIDBAQBAh4ABC4BAgICPgIEAgUCBgIHAggCCQK6AgsCuwINAggCCAIIAggCCAIIAggCCAIIAggCCAIIAggCCHoAAAQAAggCCAIIAh8CAwL1Ah4ABC4BAgICGwIEAgUCBgIHAggCCQIhAgsCuwINAggCCAIIAggCCAIIAggCCAIIAggCCAIIAggCCAIIAggCCAIfAgMC+QIeAAQuAQICAkECBAIFAgYCBwIIAgkCugILArsCDQIIAggCCAIIAggCCAIIAggCCAIIAggCCAIIAggCCAIIAggCHwIDAvoCHgAELgECAgI0AgQCBQIGAgcCCAIJAiECCwK7Ag0CCAIIAggCCAIIAggCCAIIAggCCAIIAggCCAIIAggCCAIIAh8CAwL2Ah4ABC4BAgICXgIEAgUCBgIHAggCCQK6AgsCuwINAggCCAIIAggCCAIIAggCCAIIAggCCAIIAggCCAIIAggCCAIfAgMC9wIeAAQuAQICAioCBAIFAgYCBwIIAgkCHAILArsCDQIIAggCCAIIAggCCAIIAggCCAIIAggCCAIIAggCCAIIAggCHwIDAuICHgAELgECAgJTAgQCBQIGAgcCCAIJAhwCCwK7Ag0CCAIIAggCCAIIAggCCAIIAggCCAIIAggCCAIIAggCCAIIAh8CAwL7Ah4ABC4BAgICKgIEAgUCBgIHAggCCQIhAgsCuwINAggCCAIIAggCCAIIAggCCAIIAggCCAIIAggCCAIIAggCCAIfAgMC/QIeAAQuAQICAjICBAIFAgYCBwIIAgkCIQILArsCDQIIAggCCAIIAggCCAIIAggCCAIIAggCCAIIAggCCAIIAggCHwIDBAEBAh4ABC4BAgICLgIEAgUCBgIHAggCCQIhAgsCuwINAggCCAIIAggCCAIIAggCCAIIAggCCAIIAggCCAIIAggCCAIfAgMEIQECHgAELgECAgJtAgQCBQIGAgcCCAIJAroCCwK7Ag0CCAIIAggCCAIIAggCCAIIAggCCAIIAggCCAIIAggCCAIIAh8CAwQHAQIeAAQuAQICAiwCBAIFAgYCBwIIAgkCIQILArsCDQIIAggCCAIIAggCCAIIAggCCAIIAggCCAIIAggCCAIIAggCHwIDBCoBAh4ABC4BAgICNAIEAgUCBgIHAggCCQIcAgsCuwINAggCCAIIAggCCAIIAggCCAIIAggCCAIIAggCCAIIAggCCAIfAgMEAgECHgAELgECAgI2AgQCBQIGAgcCCAIJAiECCwK7Ag0CCAIIAggCCAIIAggCCAIIAggCCAIIAggCCAIIAggCCAIIAh8CAwQFAQIeAAQuAQICAmkCBAIFAgYCBwIIAgkCugILArsCDQIIAggCCAIIAggCCAIIAggCCAIIAggCCAIIAggCCAIIAggCHwIDBBcBAh4ABC4BAgICIwIEAgUCBgIHAggCCQIhAnoAAAQACwK7Ag0CCAIIAggCCAIIAggCCAIIAggCCAIIAggCCAIIAggCCAIIAh8CAwQgAQIeAAQuAQICAlACBAIFAgYCBwIIAgkCugILArsCDQIIAggCCAIIAggCCAIIAggCCAIIAggCCAIIAggCCAIIAggCHwIDAucCHgAELgECAgImAgQCBQIGAgcCCAIJAroCCwK7Ag0CCAIIAggCCAIIAggCCAIIAggCCAIIAggCCAIIAggCCAIIAh8CAwLzAh4ABC4BAgICIwIEAgUCBgIHAggCCQIcAgsCuwINAggCCAIIAggCCAIIAggCCAIIAggCCAIIAggCCAIIAggCCAIfAgMEDAECHgAELgECAgIwAgQCBQIGAgcCCAIJAiECCwK7Ag0CCAIIAggCCAIIAggCCAIIAggCCAIIAggCCAIIAggCCAIIAh8CAwLxAh4ABC4BAgICTgIEAgUCBgIHAggCCQK6AgsCuwINAggCCAIIAggCCAIIAggCCAIIAggCCAIIAggCCAIIAggCCAIfAgMC8AIeAAQuAQICAiACBAIFAgYCBwIIAgkCIQILArsCDQIIAggCCAIIAggCCAIIAggCCAIIAggCCAIIAggCCAIIAggCHwIDBAkBAh4ABC4BAgICXAIEAgUCBgIHAggCCQIcAgsCuwINAggCCAIIAggCCAIIAggCCAIIAggCCAIIAggCCAIIAggCCAIfAgMC7gIeAAQuAQICAlkCBAIFAgYCBwIIAgkCHAILArsCDQIIAggCCAIIAggCCAIIAggCCAIIAggCCAIIAggCCAIIAggCHwIDBAsBAh4ABC4BAgICcwIEAgUCBgIHAggCCQK6AgsCuwINAggCCAIIAggCCAIIAggCCAIIAggCCAIIAggCCAIIAggCCAIfAgMECAECHgAELgECAgJDAgQCBQIGAgcCCAIJAroCCwK7Ag0CCAIIAggCCAIIAggCCAIIAggCCAIIAggCCAIIAggCCAIIAh8CAwI5Ah4ABC4BAgICVQIEAgUCBgIHAggCCQIcAgsCuwINAggCCAIIAggCCAIIAggCCAIIAggCCAIIAggCCAIIAggCCAIfAgMC/AIeAAQuAQICAmACBAIFAgYCBwIIAgkCHAILArsCDQIIAggCCAIIAggCCAIIAggCCAIIAggCCAIIAggCCAIIAggCHwIDBAoBAh4ABC4BAgICZgIEAgUCBgIHAggCCQIhAgsCuwINAggCCAIIAggCCAIIAggCCAIIAggCCAIIAggCCAIIAggCCAIfAgMEFQECHgAELgECAgIsAgQCBQIGAgcCCAIJAhwCCwK7Ag0CCAIIAggCCAIIAggCCAIIAggCCAIIAggCCAIIAggCCHoAAAQAAggCHwIDBBABAh4ABC4BAgICRQIEAgUCBgIHAggCCQK6AgsCuwINAggCCAIIAggCCAIIAggCCAIIAggCCAIIAggCCAIIAggCCAIfAgMC7wIeAAQuAQICAkcCBAIFAgYCBwIIAgkCugILArsCDQIIAggCCAIIAggCCAIIAggCCAIIAggCCAIIAggCCAIIAggCHwIDBAYBAh4ABC4BAgICLgIEAgUCBgIHAggCCQIcAgsCuwINAggCCAIIAggCCAIIAggCCAIIAggCCAIIAggCCAIIAggCCAIfAgMEDgECHgAELgECAgJDAgQCBQIGAgcCCAIJAhwCCwK7Ag0CCAIIAggCCAIIAggCCAIIAggCCAIIAggCCAIIAggCCAIIAh8CAwLYAh4ABC4BAgICJgIEAgUCBgIHAggCCQIcAgsCuwINAggCCAIIAggCCAIIAggCCAIIAggCCAIIAggCCAIIAggCCAIfAgMC3wIeAAQuAQICAkUCBAIFAgYCBwIIAgkCHAILArsCDQIIAggCCAIIAggCCAIIAggCCAIIAggCCAIIAggCCAIIAggCHwIDAuQCHgAELgECAgJJAgQCBQIGAgcCCAIJAhwCCwK7Ag0CCAIIAggCCAIIAggCCAIIAggCCAIIAggCCAIIAggCCAIIAh8CAwLcAh4ABC4BAgICOwIEAgUCBgIHAggCCQIcAgsCuwINAggCCAIIAggCCAIIAggCCAIIAggCCAIIAggCCAIIAggCCAIfAgMC3QIeAAQuAQICAlkCBAIFAgYCBwIIAgkCIQILArsCDQIIAggCCAIIAggCCAIIAggCCAIIAggCCAIIAggCCAIIAggCHwIDAuECHgAELgECAgIeAgQCBQIGAgcCCAIJAroCCwK7Ag0CCAIIAggCCAIIAggCCAIIAggCCAIIAggCCAIIAggCCAIIAh8CAwLgAh4ABC4BAgICNgIEAgUCBgIHAggCCQK6AgsCuwINAggCCAIIAggCCAIIAggCCAIIAggCCAIIAggCCAIIAggCCAIfAgMC+AIeAAQuAQICAkwCBAIFAgYCBwIIAgkCIQILArsCDQIIAggCCAIIAggCCAIIAggCCAIIAggCCAIIAggCCAIIAggCHwIDAv4CHgAELgECAgIyAgQCBQIGAgcCCAIJAroCCwK7Ag0CCAIIAggCCAIIAggCCAIIAggCCAIIAggCCAIIAggCCAIIAh8CAwLjAh4ABC4BAgICYAIEAgUCBgIHAggCCQIhAgsCuwINAggCCAIIAggCCAIIAggCCAIIAggCCAIIAggCCAIIAggCCAIfAgMC3gIeAAQuAQICAngCBAIFAgYCBwIIAgkCugILArsCDQIIAnoAAAQACAIIAggCCAIIAggCCAIIAggCCAIIAggCCAIIAggCCAIfAgMCyAIeAAQuAQICAmYCBAIFAgYCBwIIAgkCHAILArsCDQIIAggCCAIIAggCCAIIAggCCAIIAggCCAIIAggCCAIIAggCHwIDAswCHgAELgECAgJOAgQCBQIGAgcCCAIJAhwCCwK7Ag0CCAIIAggCCAIIAggCCAIIAggCCAIIAggCCAIIAggCCAIIAh8CAwLlAh4ABC4BAgICTAIEAgUCBgIHAggCCQIcAgsCuwINAggCCAIIAggCCAIIAggCCAIIAggCCAIIAggCCAIIAggCCAIfAgMC9AIeAAQuAQICAjACBAIFAgYCBwIIAgkCugILArsCDQIIAggCCAIIAggCCAIIAggCCAIIAggCCAIIAggCCAIIAggCHwIDAuoCHgAELgECAgImAgQCBQIGAgcCCAIJAiECCwK7Ag0CCAIIAggCCAIIAggCCAIIAggCCAIIAggCCAIIAggCCAIIAh8CAwLsAh4ABC4BAgICIAIEAgUCBgIHAggCCQK6AgsCuwINAggCCAIIAggCCAIIAggCCAIIAggCCAIIAggCCAIIAggCCAIfAgMC6AIeAAQuAQICAhsCBAIFAgYCBwIIAgkCHAILArsCDQIIAggCCAIIAggCCAIIAggCCAIIAggCCAIIAggCCAIIAggCHwIDAu0CHgAELgECAgI0AgQCBQIGAgcCCAIJAroCCwK7Ag0CCAIIAggCCAIIAggCCAIIAggCCAIIAggCCAIIAggCCAIIAh8CAwLXAh4ABC4BAgICRQIEAgUCBgIHAggCCQIhAgsCuwINAggCCAIIAggCCAIIAggCCAIIAggCCAIIAggCCAIIAggCCAIfAgMC1gIeAAQuAQICAlcCBAIFAgYCBwIIAgkCugILArsCDQIIAggCCAIIAggCCAIIAggCCAIIAggCCAIIAggCCAIIAggCHwIDAusCHgAELgECAgI4AgQCBQIGAgcCCAIJAhwCCwK7Ag0CCAIIAggCCAIIAggCCAIIAggCCAIIAggCCAIIAggCCAIIAh8CAwLYAh4ABC4BAgICWQIEAgUCBgIHAggCCQK6AgsCuwINAggCCAIIAggCCAIIAggCCAIIAggCCAIIAggCCAIIAggCCAIfAgMCwwIeAAQuAQICAm0CBAIFAgYCBwIIAgkCIQILArsCDQIIAggCCAIIAggCCAIIAggCCAIIAggCCAIIAggCCAIIAggCHwIDAukCHgAELgECAgJDAgQCBQIGAgcCCAIJAiECCwK7Ag0CCAIIAggCCAIIAggCCAIIAggCCAIIAggCCAIIAggCCAIIAh8CAwLRAh4ABC4BAnoAAAQAAgJpAgQCBQIGAgcCCAIJAhwCCwK7Ag0CCAIIAggCCAIIAggCCAIIAggCCAIIAggCCAIIAggCCAIIAh8CAwLAAh4ABC4BAgICcwIEAgUCBgIHAggCCQIhAgsCuwINAggCCAIIAggCCAIIAggCCAIIAggCCAIIAggCCAIIAggCCAIfAgMCvQIeAAQuAQICAk4CBAIFAgYCBwIIAgkCIQILArsCDQIIAggCCAIIAggCCAIIAggCCAIIAggCCAIIAggCCAIIAggCHwIDAtkCHgAELwEACTU1MTc1NTc3NgICAmkCBAIFAgYCBwIIAgkCugILArsCDQIIAggCCAIIAggCCAIIAggCCAIIAggCCAIIAggCCAIIAggCLQIDBBcBAh4ABDABAAkzMTExODM4NjQCAgIjAgQCBQIGAgcCCAIJAhwCCwIMAg0CCAIIAggCCAIIAggCCAIIAggCCAIIAggCCAIIAggCCAIIAhICAwIkAh4ABDABAgICHgIEAgUCBgIHAggCCQIKAgsCDAINAggCCAIIAggCCAIIAggCCAIIAggCCAIIAggCCAIIAggCCAISAgMCHwIeAAQwAQICAiYCBAIFAgYCBwIIAgkCIQILAgwCDQIIAggCCAIIAggCCAIIAggCCAIIAggCCAIIAggCCAIIAggCEgIDAicCHgAEMAECAgIsAgQCBQIGAgcCCAIJAhwCCwIMAg0CCAIIAggCCAIIAggCCAIIAggCCAIIAggCCAIIAggCCAIIAhICAwJ8Ah4ABDABAgICTgIEAgUCBgIHAggCCQIhAgsCDAINAggCCAIIAggCCAIIAggCCAIIAggCCAIIAggCCAIIAggCCAISAgMCTwIeAAQwAQICAkUCBAIFAgYCBwIIAgkCIQILAgwCDQIIAggCCAIIAggCCAIIAggCCAIIAggCCAIIAggCCAIIAggCEgIDAkYCHgAEMAECAgIyAgQCBQIGAgcCCAIJAhwCCwIMAg0CCAIIAggCCAIIAggCCAIIAggCCAIIAggCCAIIAggCCAIIAhICAwJSAh4ABDABAgICNgIEAgUCBgIHAggCCQIhAgsCDAINAggCCAIIAggCCAIIAggCCAIIAggCCAIIAggCCAIIAggCCAISAgMCNwIeAAQwAQICAiACBAIFAgYCBwIIAgkCHAILAgwCDQIIAggCCAIIAggCCAIIAggCCAIIAggCCAIIAggCCAIIAggCEgIDAjoCHgAEMAECAgIuAgQCBQIGAgcCCAIJAiECCwIMAg0CCAIIAggCCAIIAggCCAIIAggCCAIIAggCCAIIAggCCAIIAhICAwIvAh4ABDABAgICAwIEAgUCBgIHAggCCQIKAgsCDHoAAAQAAg0CCAIIAggCCAIIAggCCAIIAggCCAIIAggCCAIIAggCCAIIAhICAwIOAh4ABDABAgICXgIEAgUCBgIHAggCCQIhAgsCDAINAggCCAIIAggCCAIIAggCCAIIAggCCAIIAggCCAIIAggCCAISAgMCcQIeAAQwAQICAiMCBAIFAgYCBwIIAgkCIQILAgwCDQIIAggCCAIIAggCCAIIAggCCAIIAggCCAIIAggCCAIIAggCEgIDAiUCHgAEMAECAgJzAgQCBQIGAgcCCAIJAgoCCwIMAg0CCAIIAggCCAIIAggCCAIIAggCCAIIAggCCAIIAggCCAIIAhICAwJ0Ah4ABDABAgICQwIEAgUCBgIHAggCCQIcAgsCDAINAggCCAIIAggCCAIIAggCCAIIAggCCAIIAggCCAIIAggCCAISAgMCmQIeAAQwAQICAhsCBAIFAgYCBwIIAgkCIQILAgwCDQIIAggCCAIIAggCCAIIAggCCAIIAggCCAIIAggCCAIIAggCEgIDAkACHgAEMAECAgJJAgQCBQIGAgcCCAIJAgoCCwIMAg0CCAIIAggCCAIIAggCCAIIAggCCAIIAggCCAIIAggCCAIIAhICAwJKAh4ABDABAgICOwIEAgUCBgIHAggCCQIKAgsCDAINAggCCAIIAggCCAIIAggCCAIIAggCCAIIAggCCAIIAggCCAISAgMCPAIeAAQwAQICAk4CBAIFAgYCBwIIAgkCHAILAgwCDQIIAggCCAIIAggCCAIIAggCCAIIAggCCAIIAggCCAIIAggCEgIDAqYCHgAEMAECAgI+AgQCBQIGAgcCCAIJAiECCwIMAg0CCAIIAggCCAIIAggCCAIIAggCCAIIAggCCAIIAggCCAIIAhICAwI/Ah4ABDABAgICKgIEAgUCBgIHAggCCQIcAgsCDAINAggCCAIIAggCCAIIAggCCAIIAggCCAIIAggCCAIIAggCCAISAgMCKwIeAAQwAQICAjgCBAIFAgYCBwIIAgkCCgILAgwCDQIIAggCCAIIAggCCAIIAggCCAIIAggCCAIIAggCCAIIAggCEgIDAjkCHgAEMAECAgJFAgQCBQIGAgcCCAIJAhwCCwIMAg0CCAIIAggCCAIIAggCCAIIAggCCAIIAggCCAIIAggCCAIIAhICAwKoAh4ABDABAgICRwIEAgUCBgIHAggCCQIhAgsCDAINAggCCAIIAggCCAIIAggCCAIIAggCCAIIAggCCAIIAggCCAISAgMCSAIeAAQwAQICAiwCBAIFAgYCBwIIAgkCIQILAgwCDQIIAggCCAIIAggCCAIIAggCCAIIAggCCAIIAggCCAIIAggCEgIDAi0CHnoAAAQAAAQwAQICAjYCBAIFAgYCBwIIAgkCHAILAgwCDQIIAggCCAIIAggCCAIIAggCCAIIAggCCAIIAggCCAIIAggCEgIDAksCHgAEMAECAgIbAgQCBQIGAgcCCAIJAhwCCwIMAg0CCAIIAggCCAIIAggCCAIIAggCCAIIAggCCAIIAggCCAIIAhICAwIdAh4ABDABAgICQQIEAgUCBgIHAggCCQIKAgsCDAINAggCCAIIAggCCAIIAggCCAIIAggCCAIIAggCCAIIAggCCAISAgMCQgIeAAQwAQICAm0CBAIFAgYCBwIIAgkCIQILAgwCDQIIAggCCAIIAggCCAIIAggCCAIIAggCCAIIAggCCAIIAggCEgIDAp8CHgAEMAECAgJDAgQCBQIGAgcCCAIJAiECCwIMAg0CCAIIAggCCAIIAggCCAIIAggCCAIIAggCCAIIAggCCAIIAhICAwJEAh4ABDABAgICPgIEAgUCBgIHAggCCQIKAgsCDAINAggCCAIIAggCCAIIAggCCAIIAggCCAIIAggCCAIIAggCCAISAgMCpwIeAAQwAQICAlACBAIFAgYCBwIIAgkCHAILAgwCDQIIAggCCAIIAggCCAIIAggCCAIIAggCCAIIAggCCAIIAggCEgIDApgCHgAEMAECAgJBAgQCBQIGAgcCCAIJAhwCCwIMAg0CCAIIAggCCAIIAggCCAIIAggCCAIIAggCCAIIAggCCAIIAhICAwKVAh4ABDABAgICXgIEAgUCBgIHAggCCQIKAgsCDAINAggCCAIIAggCCAIIAggCCAIIAggCCAIIAggCCAIIAggCCAISAgMCmwIeAAQwAQICAkwCBAIFAgYCBwIIAgkCCgILAgwCDQIIAggCCAIIAggCCAIIAggCCAIIAggCCAIIAggCCAIIAggCEgIDApECHgAEMAECAgIwAgQCBQIGAgcCCAIJAiECCwIMAg0CCAIIAggCCAIIAggCCAIIAggCCAIIAggCCAIIAggCCAIIAhICAwK3Ah4ABDABAgICkwIEAgUCBgIHAggCCQIcAgsCDAINAggCCAIIAggCCAIIAggCCAIIAggCCAIIAggCCAIIAggCCAISAgMCmgIeAAQwAQICAjQCBAIFAgYCBwIIAgkCIQILAgwCDQIIAggCCAIIAggCCAIIAggCCAIIAggCCAIIAggCCAIIAggCEgIDAq0CHgAEMAECAgKkAgQCBQIGAgcCCAIJAiECCwIMAg0CCAIIAggCCAIIAggCCAIIAggCCAIIAggCCAIIAggCCAIIAhICAwKlAh4ABDABAgICbQIEAgUCBgIHAggCCQIcAgsCDAINAggCCAIIAggCCAIIAggCCHoAAAQAAggCCAIIAggCCAIIAggCCAIIAhICAwKxAh4ABDABAgICZgIEAgUCBgIHAggCCQIKAgsCDAINAggCCAIIAggCCAIIAggCCAIIAggCCAIIAggCCAIIAggCCAISAgMCnAIeAAQwAQICAmQCBAIFAgYCBwIIAgkCCgILAgwCDQIIAggCCAIIAggCCAIIAggCCAIIAggCCAIIAggCCAIIAggCEgIDAqMCHgAEMAECAgJXAgQCBQIGAgcCCAIJAhwCCwIMAg0CCAIIAggCCAIIAggCCAIIAggCCAIIAggCCAIIAggCCAIIAhICAwKiAh4ABDABAgICUwIEAgUCBgIHAggCCQIKAgsCDAINAggCCAIIAggCCAIIAggCCAIIAggCCAIIAggCCAIIAggCCAISAgMCqQIeAAQwAQICAnMCBAIFAgYCBwIIAgkCHAILAgwCDQIIAggCCAIIAggCCAIIAggCCAIIAggCCAIIAggCCAIIAggCEgIDAq8CHgAEMAECAgIeAgQCBQIGAgcCCAIJAiECCwIMAg0CCAIIAggCCAIIAggCCAIIAggCCAIIAggCCAIIAggCCAIIAhICAwKQAh4ABDABAgICKAIEAgUCBgIHAggCCQIKAgsCDAINAggCCAIIAggCCAIIAggCCAIIAggCCAIIAggCCAIIAggCCAISAgMCKQIeAAQwAQICAm8CBAIFAgYCBwIIAgkCCgILAgwCDQIIAggCCAIIAggCCAIIAggCCAIIAggCCAIIAggCCAIIAggCEgIDArQCHgAEMAECAgImAgQCBQIGAgcCCAIJAhwCCwIMAg0CCAIIAggCCAIIAggCCAIIAggCCAIIAggCCAIIAggCCAIIAhICAwKuAh4ABDABAgICMAIEAgUCBgIHAggCCQIcAgsCDAINAggCCAIIAggCCAIIAggCCAIIAggCCAIIAggCCAIIAggCCAISAgMCMQIeAAQwAQICAkECBAIFAgYCBwIIAgkCIQILAgwCDQIIAggCCAIIAggCCAIIAggCCAIIAggCCAIIAggCCAIIAggCEgIDAqECHgAEMAECAgJQAgQCBQIGAgcCCAIJAiECCwIMAg0CCAIIAggCCAIIAggCCAIIAggCCAIIAggCCAIIAggCCAIIAhICAwKgAh4ABDABAgICVQIEAgUCBgIHAggCCQIKAgsCDAINAggCCAIIAggCCAIIAggCCAIIAggCCAIIAggCCAIIAggCCAISAgMCqgIeAAQwAQICAjICBAIFAgYCBwIIAgkCIQILAgwCDQIIAggCCAIIAggCCAIIAggCCAIIAggCCAIIAggCCAIIAggCEgIDAjMCHgAEMAECAgI0AgQCBQIGAgcCCHoAAAQAAgkCHAILAgwCDQIIAggCCAIIAggCCAIIAggCCAIIAggCCAIIAggCCAIIAggCEgIDAjUCHgAEMAECAgJgAgQCBQIGAgcCCAIJAhwCCwIMAg0CCAIIAggCCAIIAggCCAIIAggCCAIIAggCCAIIAggCCAIIAhICAwKeAh4ABDABAgICVwIEAgUCBgIHAggCCQIhAgsCDAINAggCCAIIAggCCAIIAggCCAIIAggCCAIIAggCCAIIAggCCAISAgMCtgIeAAQwAQICAlkCBAIFAgYCBwIIAgkCHAILAgwCDQIIAggCCAIIAggCCAIIAggCCAIIAggCCAIIAggCCAIIAggCEgIDAp0CHgAEMAECAgIuAgQCBQIGAgcCCAIJAgoCCwIMAg0CCAIIAggCCAIIAggCCAIIAggCCAIIAggCCAIIAggCCAIIAhICAwKwAh4ABDABAgICLAIEAgUCBgIHAggCCQIKAgsCDAINAggCCAIIAggCCAIIAggCCAIIAggCCAIIAggCCAIIAggCCAISAgMCuAIeAAQwAQICAiMCBAIFAgYCBwIIAgkCCgILAgwCDQIIAggCCAIIAggCCAIIAggCCAIIAggCCAIIAggCCAIIAggCEgIDArICHgAEMAECAgIgAgQCBQIGAgcCCAIJAiECCwIMAg0CCAIIAggCCAIIAggCCAIIAggCCAIIAggCCAIIAggCCAIIAhICAwIiAh4ABDABAgICpAIEAgUCBgIHAggCCQIcAgsCDAINAggCCAIIAggCCAIIAggCCAIIAggCCAIIAggCCAIIAggCCAISAgMCswIeAAQwAQICAkkCBAIFAgYCBwIIAgkCIQILAgwCDQIIAggCCAIIAggCCAIIAggCCAIIAggCCAIIAggCCAIIAggCEgIDAoECHgAEMAECAgIbAgQCBQIGAgcCCAIJAgoCCwIMAg0CCAIIAggCCAIIAggCCAIIAggCCAIIAggCCAIIAggCCAIIAhICAwKFAh4ABDABAgICeAIEAgUCBgIHAggCCQIcAgsCDAINAggCCAIIAggCCAIIAggCCAIIAggCCAIIAggCCAIIAggCCAISAgMCtQIeAAQwAQICAn8CBAIFAgYCBwIIAgkCHAILAgwCDQIIAggCCAIIAggCCAIIAggCCAIIAggCCAIIAggCCAIIAggCEgIDAoACHgAEMAECAgI0AgQCBQIGAgcCCAIJAgoCCwIMAg0CCAIIAggCCAIIAggCCAIIAggCCAIIAggCCAIIAggCCAIIAhICAwKJAh4ABDABAgICOAIEAgUCBgIHAggCCQIhAgsCDAINAggCCAIIAggCCAIIAggCCAIIAggCCAIIAggCCAIIAggCCHoAAAQAAhICAwJEAh4ABDABAgICZAIEAgUCBgIHAggCCQIhAgsCDAINAggCCAIIAggCCAIIAggCCAIIAggCCAIIAggCCAIIAggCCAISAgMClgIeAAQwAQICAgMCBAIFAgYCBwIIAgkCHAILAgwCDQIIAggCCAIIAggCCAIIAggCCAIIAggCCAIIAggCCAIIAggCEgIDAogCHgAEMAECAgJJAgQCBQIGAgcCCAIJAhwCCwIMAg0CCAIIAggCCAIIAggCCAIIAggCCAIIAggCCAIIAggCCAIIAhICAwKMAh4ABDABAgICYAIEAgUCBgIHAggCCQIhAgsCDAINAggCCAIIAggCCAIIAggCCAIIAggCCAIIAggCCAIIAggCCAISAgMCqwIeAAQwAQICAlkCBAIFAgYCBwIIAgkCIQILAgwCDQIIAggCCAIIAggCCAIIAggCCAIIAggCCAIIAggCCAIIAggCEgIDAqwCHgAEMAECAgI7AgQCBQIGAgcCCAIJAhwCCwIMAg0CCAIIAggCCAIIAggCCAIIAggCCAIIAggCCAIIAggCCAIIAhICAwKKAh4ABDABAgICfwIEAgUCBgIHAggCCQIhAgsCDAINAggCCAIIAggCCAIIAggCCAIIAggCCAIIAggCCAIIAggCCAISAgMCjwIeAAQwAQICApMCBAIFAgYCBwIIAgkCIQILAgwCDQIIAggCCAIIAggCCAIIAggCCAIIAggCCAIIAggCCAIIAggCEgIDApQCHgAEMAECAgJkAgQCBQIGAgcCCAIJAhwCCwIMAg0CCAIIAggCCAIIAggCCAIIAggCCAIIAggCCAIIAggCCAIIAhICAwJlAh4ABDABAgICIAIEAgUCBgIHAggCCQIKAgsCDAINAggCCAIIAggCCAIIAggCCAIIAggCCAIIAggCCAIIAggCCAISAgMCjgIeAAQwAQICAkUCBAIFAgYCBwIIAgkCCgILAgwCDQIIAggCCAIIAggCCAIIAggCCAIIAggCCAIIAggCCAIIAggCEgIDAmwCHgAEMAECAgJ4AgQCBQIGAgcCCAIJAiECCwIMAg0CCAIIAggCCAIIAggCCAIIAggCCAIIAggCCAIIAggCCAIIAhICAwKHAh4ABDABAgICOAIEAgUCBgIHAggCCQIcAgsCDAINAggCCAIIAggCCAIIAggCCAIIAggCCAIIAggCCAIIAggCCAISAgMCmQIeAAQwAQICAioCBAIFAgYCBwIIAgkCCgILAgwCDQIIAggCCAIIAggCCAIIAggCCAIIAggCCAIIAggCCAIIAggCEgIDAn4CHgAEMAECAgJpAgQCBQIGAgcCCAIJAhwCCwIMAg0CCAIIAggCCHoAAAQAAggCCAIIAggCCAIIAggCCAIIAggCCAIIAggCEgIDApcCHgAEMAECAgJVAgQCBQIGAgcCCAIJAiECCwIMAg0CCAIIAggCCAIIAggCCAIIAggCCAIIAggCCAIIAggCCAIIAhICAwJWAh4ABDABAgICNgIEAgUCBgIHAggCCQIKAgsCDAINAggCCAIIAggCCAIIAggCCAIIAggCCAIIAggCCAIIAggCCAISAgMCiwIeAAQwAQICAh4CBAIFAgYCBwIIAgkCHAILAgwCDQIIAggCCAIIAggCCAIIAggCCAIIAggCCAIIAggCCAIIAggCEgIDAoMCHgAEMAECAgJTAgQCBQIGAgcCCAIJAiECCwIMAg0CCAIIAggCCAIIAggCCAIIAggCCAIIAggCCAIIAggCCAIIAhICAwJUAh4ABDABAgICcwIEAgUCBgIHAggCCQIhAgsCDAINAggCCAIIAggCCAIIAggCCAIIAggCCAIIAggCCAIIAggCCAISAgMCkgIeAAQwAQICAm8CBAIFAgYCBwIIAgkCIQILAgwCDQIIAggCCAIIAggCCAIIAggCCAIIAggCCAIIAggCCAIIAggCEgIDAoQCHgAEMAECAgIoAgQCBQIGAgcCCAIJAiECCwIMAg0CCAIIAggCCAIIAggCCAIIAggCCAIIAggCCAIIAggCCAIIAhICAwJ7Ah4ABDABAgICTAIEAgUCBgIHAggCCQIcAgsCDAINAggCCAIIAggCCAIIAggCCAIIAggCCAIIAggCCAIIAggCCAISAgMCTQIeAAQwAQICAj4CBAIFAgYCBwIIAgkCHAILAgwCDQIIAggCCAIIAggCCAIIAggCCAIIAggCCAIIAggCCAIIAggCEgIDAlsCHgAEMAECAgJQAgQCBQIGAgcCCAIJAgoCCwIMAg0CCAIIAggCCAIIAggCCAIIAggCCAIIAggCCAIIAggCCAIIAhICAwJRAh4ABDABAgICWQIEAgUCBgIHAggCCQIKAgsCDAINAggCCAIIAggCCAIIAggCCAIIAggCCAIIAggCCAIIAggCCAISAgMCWgIeAAQwAQICAkcCBAIFAgYCBwIIAgkCHAILAgwCDQIIAggCCAIIAggCCAIIAggCCAIIAggCCAIIAggCCAIIAggCEgIDAmsCHgAEMAECAgJpAgQCBQIGAgcCCAIJAiECCwIMAg0CCAIIAggCCAIIAggCCAIIAggCCAIIAggCCAIIAggCCAIIAhICAwJqAh4ABDABAgICKgIEAgUCBgIHAggCCQIhAgsCDAINAggCCAIIAggCCAIIAggCCAIIAggCCAIIAggCCAIIAggCCAISAgMCPQIeAAQwAQICAlcCBHoAAAQAAgUCBgIHAggCCQIKAgsCDAINAggCCAIIAggCCAIIAggCCAIIAggCCAIIAggCCAIIAggCCAISAgMCWAIeAAQwAQICAlUCBAIFAgYCBwIIAgkCHAILAgwCDQIIAggCCAIIAggCCAIIAggCCAIIAggCCAIIAggCCAIIAggCEgIDAncCHgAEMAECAgJmAgQCBQIGAgcCCAIJAhwCCwIMAg0CCAIIAggCCAIIAggCCAIIAggCCAIIAggCCAIIAggCCAIIAhICAwJnAh4ABDABAgICbQIEAgUCBgIHAggCCQIKAgsCDAINAggCCAIIAggCCAIIAggCCAIIAggCCAIIAggCCAIIAggCCAISAgMCbgIeAAQwAQICAigCBAIFAgYCBwIIAgkCHAILAgwCDQIIAggCCAIIAggCCAIIAggCCAIIAggCCAIIAggCCAIIAggCEgIDAo0CHgAEMAECAgJDAgQCBQIGAgcCCAIJAgoCCwIMAg0CCAIIAggCCAIIAggCCAIIAggCCAIIAggCCAIIAggCCAIIAhICAwI5Ah4ABDABAgICTgIEAgUCBgIHAggCCQIKAgsCDAINAggCCAIIAggCCAIIAggCCAIIAggCCAIIAggCCAIIAggCCAISAgMCaAIeAAQwAQICAlwCBAIFAgYCBwIIAgkCIQILAgwCDQIIAggCCAIIAggCCAIIAggCCAIIAggCCAIIAggCCAIIAggCEgIDAl0CHgAEMAECAgJTAgQCBQIGAgcCCAIJAhwCCwIMAg0CCAIIAggCCAIIAggCCAIIAggCCAIIAggCCAIIAggCCAIIAhICAwJyAh4ABDABAgICbwIEAgUCBgIHAggCCQIcAgsCDAINAggCCAIIAggCCAIIAggCCAIIAggCCAIIAggCCAIIAggCCAISAgMCcAIeAAQwAQICAjACBAIFAgYCBwIIAgkCCgILAgwCDQIIAggCCAIIAggCCAIIAggCCAIIAggCCAIIAggCCAIIAggCEgIDAoYCHgAEMAECAgImAgQCBQIGAgcCCAIJAgoCCwIMAg0CCAIIAggCCAIIAggCCAIIAggCCAIIAggCCAIIAggCCAIIAhICAwJ1Ah4ABDABAgICAwIEAgUCBgIHAggCCQIhAgsCDAINAggCCAIIAggCCAIIAggCCAIIAggCCAIIAggCCAIIAggCCAISAgMCegIeAAQwAQICAkwCBAIFAgYCBwIIAgkCIQILAgwCDQIIAggCCAIIAggCCAIIAggCCAIIAggCCAIIAggCCAIIAggCEgIDAmMCHgAEMAECAgJeAgQCBQIGAgcCCAIJAhwCCwIMAg0CCAIIAggCCAIIAggCCAIIAggCCAIIAggCCHoAAAQAAggCCAIIAggCEgIDAl8CHgAEMAECAgJmAgQCBQIGAgcCCAIJAiECCwIMAg0CCAIIAggCCAIIAggCCAIIAggCCAIIAggCCAIIAggCCAIIAhICAwJ9Ah4ABDABAgICeAIEAgUCBgIHAggCCQIKAgsCDAINAggCCAIIAggCCAIIAggCCAIIAggCCAIIAggCCAIIAggCCAISAgMCeQIeAAQwAQICAi4CBAIFAgYCBwIIAgkCHAILAgwCDQIIAggCCAIIAggCCAIIAggCCAIIAggCCAIIAggCCAIIAggCEgIDAnYCHgAEMAECAgJgAgQCBQIGAgcCCAIJAgoCCwIMAg0CCAIIAggCCAIIAggCCAIIAggCCAIIAggCCAIIAggCCAIIAhICAwJhAh4ABDABAgICXAIEAgUCBgIHAggCCQIcAgsCDAINAggCCAIIAggCCAIIAggCCAIIAggCCAIIAggCCAIIAggCCAISAgMCYgIeAAQwAQICAjsCBAIFAgYCBwIIAgkCIQILAgwCDQIIAggCCAIIAggCCAIIAggCCAIIAggCCAIIAggCCAIIAggCEgIDAoICHgAEMQEACTU0NzY2NjUxMgICAlwCBAIFAgYCBwIIAgkCIQILArsCDQIIAggCCAIIAggCCAIIAggCCAIIAggCCAIIAggCCAIIAggCGwIDBB8BAh4ABDEBAgICLAIEAgUCBgIHAggCCQK6AgsCuwINAggCCAIIAggCCAIIAggCCAIIAggCCAIIAggCCAIIAggCCAIbAgMEAwECHgAEMQECAgIuAgQCBQIGAgcCCAIJAroCCwK7Ag0CCAIIAggCCAIIAggCCAIIAggCCAIIAggCCAIIAggCCAIIAhsCAwL/Ah4ABDEBAgICYAIEAgUCBgIHAggCCQIcAgsCuwINAggCCAIIAggCCAIIAggCCAIIAggCCAIIAggCCAIIAggCCAIbAgMECgECHgAEMQECAgJTAgQCBQIGAgcCCAIJAiECCwK7Ag0CCAIIAggCCAIIAggCCAIIAggCCAIIAggCCAIIAggCCAIIAhsCAwQpAQIeAAQxAQICAmQCBAIFAgYCBwIIAgkCHAILArsCDQIIAggCCAIIAggCCAIIAggCCAIIAggCCAIIAggCCAIIAggCGwIDBCMBAh4ABDEBAgICMgIEAgUCBgIHAggCCQK6AgsCuwINAggCCAIIAggCCAIIAggCCAIIAggCCAIIAggCCAIIAggCCAIbAgMC4wIeAAQxAQICAjYCBAIFAgYCBwIIAgkCugILArsCDQIIAggCCAIIAggCCAIIAggCCAIIAggCCAIIAggCCAIIAggCGwIDAvgCHgAEMQECAgJXAgQCBXoAAAQAAgYCBwIIAgkCHAILArsCDQIIAggCCAIIAggCCAIIAggCCAIIAggCCAIIAggCCAIIAggCGwIDBAABAh4ABDEBAgICJgIEAgUCBgIHAggCCQK6AgsCuwINAggCCAIIAggCCAIIAggCCAIIAggCCAIIAggCCAIIAggCCAIbAgMC8wIeAAQxAQICAkMCBAIFAgYCBwIIAgkCugILArsCDQIIAggCCAIIAggCCAIIAggCCAIIAggCCAIIAggCCAIIAggCGwIDAjkCHgAEMQECAgJVAgQCBQIGAgcCCAIJAiECCwK7Ag0CCAIIAggCCAIIAggCCAIIAggCCAIIAggCCAIIAggCCAIIAhsCAwQsAQIeAAQxAQICAkwCBAIFAgYCBwIIAgkCIQILArsCDQIIAggCCAIIAggCCAIIAggCCAIIAggCCAIIAggCCAIIAggCGwIDAv4CHgAEMQECAgJZAgQCBQIGAgcCCAIJAhwCCwK7Ag0CCAIIAggCCAIIAggCCAIIAggCCAIIAggCCAIIAggCCAIIAhsCAwQLAQIeAAQxAQICAiACBAIFAgYCBwIIAgkCugILArsCDQIIAggCCAIIAggCCAIIAggCCAIIAggCCAIIAggCCAIIAggCGwIDAugCHgAEMQECAgJVAgQCBQIGAgcCCAIJAhwCCwK7Ag0CCAIIAggCCAIIAggCCAIIAggCCAIIAggCCAIIAggCCAIIAhsCAwL8Ah4ABDEBAgICUwIEAgUCBgIHAggCCQIcAgsCuwINAggCCAIIAggCCAIIAggCCAIIAggCCAIIAggCCAIIAggCCAIbAgMC+wIeAAQxAQICAioCBAIFAgYCBwIIAgkCugILArsCDQIIAggCCAIIAggCCAIIAggCCAIIAggCCAIIAggCCAIIAggCGwIDBBIBAh4ABDEBAgICeAIEAgUCBgIHAggCCQIcAgsCuwINAggCCAIIAggCCAIIAggCCAIIAggCCAIIAggCCAIIAggCCAIbAgMC2gIeAAQxAQICAlcCBAIFAgYCBwIIAgkCIQILArsCDQIIAggCCAIIAggCCAIIAggCCAIIAggCCAIIAggCCAIIAggCGwIDAtsCHgAEMQECAgJcAgQCBQIGAgcCCAIJAhwCCwK7Ag0CCAIIAggCCAIIAggCCAIIAggCCAIIAggCCAIIAggCCAIIAhsCAwLuAh4ABDEBAgICTgIEAgUCBgIHAggCCQK6AgsCuwINAggCCAIIAggCCAIIAggCCAIIAggCCAIIAggCCAIIAggCCAIbAgMC8AIeAAQxAQICAkUCBAIFAgYCBwIIAgkCugILArsCDQIIAggCCAIIAggCCAIIAggCCAIIAggCCHoAAAQAAggCCAIIAggCCAIbAgMC7wIeAAQxAQICAmACBAIFAgYCBwIIAgkCIQILArsCDQIIAggCCAIIAggCCAIIAggCCAIIAggCCAIIAggCCAIIAggCGwIDAt4CHgAEMQECAgJHAgQCBQIGAgcCCAIJAroCCwK7Ag0CCAIIAggCCAIIAggCCAIIAggCCAIIAggCCAIIAggCCAIIAhsCAwQGAQIeAAQxAQICAm8CBAIFAgYCBwIIAgkCHAILArsCDQIIAggCCAIIAggCCAIIAggCCAIIAggCCAIIAggCCAIIAggCGwIDBBoBAh4ABDEBAgICQQIEAgUCBgIHAggCCQK6AgsCuwINAggCCAIIAggCCAIIAggCCAIIAggCCAIIAggCCAIIAggCCAIbAgMC+gIeAAQxAQICAjACBAIFAgYCBwIIAgkCIQILArsCDQIIAggCCAIIAggCCAIIAggCCAIIAggCCAIIAggCCAIIAggCGwIDAvECHgAEMQECAgJZAgQCBQIGAgcCCAIJAiECCwK7Ag0CCAIIAggCCAIIAggCCAIIAggCCAIIAggCCAIIAggCCAIIAhsCAwLhAh4ABDEBAgICPgIEAgUCBgIHAggCCQK6AgsCuwINAggCCAIIAggCCAIIAggCCAIIAggCCAIIAggCCAIIAggCCAIbAgMC9QIeAAQxAQICAjQCBAIFAgYCBwIIAgkCIQILArsCDQIIAggCCAIIAggCCAIIAggCCAIIAggCCAIIAggCCAIIAggCGwIDAvYCHgAEMQECAgIbAgQCBQIGAgcCCAIJAroCCwK7Ag0CCAIIAggCCAIIAggCCAIIAggCCAIIAggCCAIIAggCCAIIAhsCAwQYAQIeAAQxAQICAgMCBAIFAgYCBwIIAgkCHAILArsCDQIIAggCCAIIAggCCAIIAggCCAIIAggCCAIIAggCCAIIAggCGwIDAs0CHgAEMQECAgJ4AgQCBQIGAgcCCAIJAiECCwK7Ag0CCAIIAggCCAIIAggCCAIIAggCCAIIAggCCAIIAggCCAIIAhsCAwLmAh4ABDEBAgICUAIEAgUCBgIHAggCCQK6AgsCuwINAggCCAIIAggCCAIIAggCCAIIAggCCAIIAggCCAIIAggCCAIbAgMC5wIeAAQxAQICAjACBAIFAgYCBwIIAgkCugILArsCDQIIAggCCAIIAggCCAIIAggCCAIIAggCCAIIAggCCAIIAggCGwIDAuoCHgAEMQECAgI7AgQCBQIGAgcCCAIJAiECCwK7Ag0CCAIIAggCCAIIAggCCAIIAggCCAIIAggCCAIIAggCCAIIAhsCAwLQAh4ABDEBAgICSQIEAgUCBgIHAggCCQIhAnoAAAQACwK7Ag0CCAIIAggCCAIIAggCCAIIAggCCAIIAggCCAIIAggCCAIIAhsCAwLUAh4ABDEBAgICcwIEAgUCBgIHAggCCQK6AgsCuwINAggCCAIIAggCCAIIAggCCAIIAggCCAIIAggCCAIIAggCCAIbAgMECAECHgAEMQECAgIjAgQCBQIGAgcCCAIJAhwCCwK7Ag0CCAIIAggCCAIIAggCCAIIAggCCAIIAggCCAIIAggCCAIIAhsCAwQMAQIeAAQxAQICAhsCBAIFAgYCBwIIAgkCHAILArsCDQIIAggCCAIIAggCCAIIAggCCAIIAggCCAIIAggCCAIIAggCGwIDAu0CHgAEMQECAgImAgQCBQIGAgcCCAIJAiECCwK7Ag0CCAIIAggCCAIIAggCCAIIAggCCAIIAggCCAIIAggCCAIIAhsCAwLsAh4ABDEBAgICOAIEAgUCBgIHAggCCQIhAgsCuwINAggCCAIIAggCCAIIAggCCAIIAggCCAIIAggCCAIIAggCCAIbAgMC0QIeAAQxAQICAioCBAIFAgYCBwIIAgkCHAILArsCDQIIAggCCAIIAggCCAIIAggCCAIIAggCCAIIAggCCAIIAggCGwIDAuICHgAEMQECAgJtAgQCBQIGAgcCCAIJAroCCwK7Ag0CCAIIAggCCAIIAggCCAIIAggCCAIIAggCCAIIAggCCAIIAhsCAwQHAQIeAAQxAQICAlcCBAIFAgYCBwIIAgkCugILArsCDQIIAggCCAIIAggCCAIIAggCCAIIAggCCAIIAggCCAIIAggCGwIDAusCHgAEMQECAgI0AgQCBQIGAgcCCAIJAroCCwK7Ag0CCAIIAggCCAIIAggCCAIIAggCCAIIAggCCAIIAggCCAIIAhsCAwLXAh4ABDEBAgICKgIEAgUCBgIHAggCCQIhAgsCuwINAggCCAIIAggCCAIIAggCCAIIAggCCAIIAggCCAIIAggCCAIbAgMC/QIeAAQxAQICAk4CBAIFAgYCBwIIAgkCIQILArsCDQIIAggCCAIIAggCCAIIAggCCAIIAggCCAIIAggCCAIIAggCGwIDAtkCHgAEMQECAgI4AgQCBQIGAgcCCAIJAhwCCwK7Ag0CCAIIAggCCAIIAggCCAIIAggCCAIIAggCCAIIAggCCAIIAhsCAwLYAh4ABDEBAgICaQIEAgUCBgIHAggCCQIcAgsCuwINAggCCAIIAggCCAIIAggCCAIIAggCCAIIAggCCAIIAggCCAIbAgMCwAIeAAQxAQICAnMCBAIFAgYCBwIIAgkCIQILArsCDQIIAggCCAIIAggCCAIIAggCCAIIAggCCAIIAggCCAIIAggCG3oAAAQAAgMCvQIeAAQxAQICAkMCBAIFAgYCBwIIAgkCIQILArsCDQIIAggCCAIIAggCCAIIAggCCAIIAggCCAIIAggCCAIIAggCGwIDAtECHgAEMQECAgI7AgQCBQIGAgcCCAIJAhwCCwK7Ag0CCAIIAggCCAIIAggCCAIIAggCCAIIAggCCAIIAggCCAIIAhsCAwLdAh4ABDEBAgICKAIEAgUCBgIHAggCCQIcAgsCuwINAggCCAIIAggCCAIIAggCCAIIAggCCAIIAggCCAIIAggCCAIbAgMCywIeAAQxAQICAhsCBAIFAgYCBwIIAgkCIQILArsCDQIIAggCCAIIAggCCAIIAggCCAIIAggCCAIIAggCCAIIAggCGwIDAvkCHgAEMQECAgJMAgQCBQIGAgcCCAIJAhwCCwK7Ag0CCAIIAggCCAIIAggCCAIIAggCCAIIAggCCAIIAggCCAIIAhsCAwL0Ah4ABDEBAgICSQIEAgUCBgIHAggCCQIcAgsCuwINAggCCAIIAggCCAIIAggCCAIIAggCCAIIAggCCAIIAggCCAIbAgMC3AIeAAQxAQICAlkCBAIFAgYCBwIIAgkCugILArsCDQIIAggCCAIIAggCCAIIAggCCAIIAggCCAIIAggCCAIIAggCGwIDAsMCHgAEMQECAgJgAgQCBQIGAgcCCAIJAroCCwK7Ag0CCAIIAggCCAIIAggCCAIIAggCCAIIAggCCAIIAggCCAIIAhsCAwLFAh4ABDEBAgICRQIEAgUCBgIHAggCCQIhAgsCuwINAggCCAIIAggCCAIIAggCCAIIAggCCAIIAggCCAIIAggCCAIbAgMC1gIeAAQxAQICAmYCBAIFAgYCBwIIAgkCHAILArsCDQIIAggCCAIIAggCCAIIAggCCAIIAggCCAIIAggCCAIIAggCGwIDAswCHgAEMQECAgJeAgQCBQIGAgcCCAIJAhwCCwK7Ag0CCAIIAggCCAIIAggCCAIIAggCCAIIAggCCAIIAggCCAIIAhsCAwLVAh4ABDEBAgICbQIEAgUCBgIHAggCCQIhAgsCuwINAggCCAIIAggCCAIIAggCCAIIAggCCAIIAggCCAIIAggCCAIbAgMC6QIeAAQxAQICAkECBAIFAgYCBwIIAgkCIQILArsCDQIIAggCCAIIAggCCAIIAggCCAIIAggCCAIIAggCCAIIAggCGwIDAs4CHgAEMQECAgJOAgQCBQIGAgcCCAIJAhwCCwK7Ag0CCAIIAggCCAIIAggCCAIIAggCCAIIAggCCAIIAggCCAIIAhsCAwLlAh4ABDEBAgICeAIEAgUCBgIHAggCCQK6AgsCuwINAggCCAIIAggCCHoAAAQAAggCCAIIAggCCAIIAggCCAIIAggCCAIIAhsCAwLIAh4ABDEBAgICOAIEAgUCBgIHAggCCQK6AgsCuwINAggCCAIIAggCCAIIAggCCAIIAggCCAIIAggCCAIIAggCCAIbAgMCOQIeAAQxAQICAmkCBAIFAgYCBwIIAgkCIQILArsCDQIIAggCCAIIAggCCAIIAggCCAIIAggCCAIIAggCCAIIAggCGwIDAs8CHgAEMQECAgJHAgQCBQIGAgcCCAIJAhwCCwK7Ag0CCAIIAggCCAIIAggCCAIIAggCCAIIAggCCAIIAggCCAIIAhsCAwQmAQIeAAQxAQICAkUCBAIFAgYCBwIIAgkCHAILArsCDQIIAggCCAIIAggCCAIIAggCCAIIAggCCAIIAggCCAIIAggCGwIDAuQCHgAEMQECAgJJAgQCBQIGAgcCCAIJAroCCwK7Ag0CCAIIAggCCAIIAggCCAIIAggCCAIIAggCCAIIAggCCAIIAhsCAwQkAQIeAAQxAQICAjsCBAIFAgYCBwIIAgkCugILArsCDQIIAggCCAIIAggCCAIIAggCCAIIAggCCAIIAggCCAIIAggCGwIDBCUBAh4ABDEBAgICPgIEAgUCBgIHAggCCQIcAgsCuwINAggCCAIIAggCCAIIAggCCAIIAggCCAIIAggCCAIIAggCCAIbAgMEJwECHgAEMQECAgJvAgQCBQIGAgcCCAIJAroCCwK7Ag0CCAIIAggCCAIIAggCCAIIAggCCAIIAggCCAIIAggCCAIIAhsCAwLSAh4ABDEBAgICUAIEAgUCBgIHAggCCQIhAgsCuwINAggCCAIIAggCCAIIAggCCAIIAggCCAIIAggCCAIIAggCCAIbAgMCxwIeAAQxAQICAm0CBAIFAgYCBwIIAgkCHAILArsCDQIIAggCCAIIAggCCAIIAggCCAIIAggCCAIIAggCCAIIAggCGwIDAsYCHgAEMQECAgIsAgQCBQIGAgcCCAIJAhwCCwK7Ag0CCAIIAggCCAIIAggCCAIIAggCCAIIAggCCAIIAggCCAIIAhsCAwQQAQIeAAQxAQICAmYCBAIFAgYCBwIIAgkCIQILArsCDQIIAggCCAIIAggCCAIIAggCCAIIAggCCAIIAggCCAIIAggCGwIDBBUBAh4ABDEBAgICZAIEAgUCBgIHAggCCQK6AgsCuwINAggCCAIIAggCCAIIAggCCAIIAggCCAIIAggCCAIIAggCCAIbAgMCvAIeAAQxAQICAi4CBAIFAgYCBwIIAgkCHAILArsCDQIIAggCCAIIAggCCAIIAggCCAIIAggCCAIIAggCCAIIAggCGwIDBA4BAh4ABDEBAnoAAAQAAgJDAgQCBQIGAgcCCAIJAhwCCwK7Ag0CCAIIAggCCAIIAggCCAIIAggCCAIIAggCCAIIAggCCAIIAhsCAwLYAh4ABDEBAgICJgIEAgUCBgIHAggCCQIcAgsCuwINAggCCAIIAggCCAIIAggCCAIIAggCCAIIAggCCAIIAggCCAIbAgMC3wIeAAQxAQICAnMCBAIFAgYCBwIIAgkCHAILArsCDQIIAggCCAIIAggCCAIIAggCCAIIAggCCAIIAggCCAIIAggCGwIDAsQCHgAEMQECAgIeAgQCBQIGAgcCCAIJAroCCwK7Ag0CCAIIAggCCAIIAggCCAIIAggCCAIIAggCCAIIAggCCAIIAhsCAwLgAh4ABDEBAgICXgIEAgUCBgIHAggCCQIhAgsCuwINAggCCAIIAggCCAIIAggCCAIIAggCCAIIAggCCAIIAggCCAIbAgMEFgECHgAEMQECAgIoAgQCBQIGAgcCCAIJAiECCwK7Ag0CCAIIAggCCAIIAggCCAIIAggCCAIIAggCCAIIAggCCAIIAhsCAwLBAh4ABDEBAgICAwIEAgUCBgIHAggCCQIhAgsCuwINAggCCAIIAggCCAIIAggCCAIIAggCCAIIAggCCAIIAggCCAIbAgMCwgIeAAQxAQICAi4CBAIFAgYCBwIIAgkCIQILArsCDQIIAggCCAIIAggCCAIIAggCCAIIAggCCAIIAggCCAIIAggCGwIDBCEBAh4ABDEBAgICMgIEAgUCBgIHAggCCQIhAgsCuwINAggCCAIIAggCCAIIAggCCAIIAggCCAIIAggCCAIIAggCCAIbAgMEAQECHgAEMQECAgI0AgQCBQIGAgcCCAIJAhwCCwK7Ag0CCAIIAggCCAIIAggCCAIIAggCCAIIAggCCAIIAggCCAIIAhsCAwQCAQIeAAQxAQICAlUCBAIFAgYCBwIIAgkCugILArsCDQIIAggCCAIIAggCCAIIAggCCAIIAggCCAIIAggCCAIIAggCGwIDAsoCHgAEMQECAgJTAgQCBQIGAgcCCAIJAroCCwK7Ag0CCAIIAggCCAIIAggCCAIIAggCCAIIAggCCAIIAggCCAIIAhsCAwLTAh4ABDEBAgICaQIEAgUCBgIHAggCCQK6AgsCuwINAggCCAIIAggCCAIIAggCCAIIAggCCAIIAggCCAIIAggCCAIbAgMEFwECHgAEMQECAgJMAgQCBQIGAgcCCAIJAroCCwK7Ag0CCAIIAggCCAIIAggCCAIIAggCCAIIAggCCAIIAggCCAIIAhsCAwQeAQIeAAQxAQICAh4CBAIFAgYCBwIIAgkCIQILArsCDQIIAggCCAIIAggCCAIIAnoAAAQACAIIAggCCAIIAggCCAIIAggCCAIbAgMCyQIeAAQxAQICAiMCBAIFAgYCBwIIAgkCIQILArsCDQIIAggCCAIIAggCCAIIAggCCAIIAggCCAIIAggCCAIIAggCGwIDBCABAh4ABDEBAgICIAIEAgUCBgIHAggCCQIhAgsCuwINAggCCAIIAggCCAIIAggCCAIIAggCCAIIAggCCAIIAggCCAIbAgMECQECHgAEMQECAgIoAgQCBQIGAgcCCAIJAroCCwK7Ag0CCAIIAggCCAIIAggCCAIIAggCCAIIAggCCAIIAggCCAIIAhsCAwQrAQIeAAQxAQICAjACBAIFAgYCBwIIAgkCHAILArsCDQIIAggCCAIIAggCCAIIAggCCAIIAggCCAIIAggCCAIIAggCGwIDBAQBAh4ABDEBAgICHgIEAgUCBgIHAggCCQIcAgsCuwINAggCCAIIAggCCAIIAggCCAIIAggCCAIIAggCCAIIAggCCAIbAgMEKAECHgAEMQECAgI2AgQCBQIGAgcCCAIJAiECCwK7Ag0CCAIIAggCCAIIAggCCAIIAggCCAIIAggCCAIIAggCCAIIAhsCAwQFAQIeAAQxAQICAiwCBAIFAgYCBwIIAgkCIQILArsCDQIIAggCCAIIAggCCAIIAggCCAIIAggCCAIIAggCCAIIAggCGwIDBCoBAh4ABDEBAgICAwIEAgUCBgIHAggCCQK6AgsCuwINAggCCAIIAggCCAIIAggCCAIIAggCCAIIAggCCAIIAggCCAIbAgMEFAECHgAEMQECAgJmAgQCBQIGAgcCCAIJAroCCwK7Ag0CCAIIAggCCAIIAggCCAIIAggCCAIIAggCCAIIAggCCAIIAhsCAwLyAh4ABDEBAgICNgIEAgUCBgIHAggCCQIcAgsCuwINAggCCAIIAggCCAIIAggCCAIIAggCCAIIAggCCAIIAggCCAIbAgMEEwECHgAEMQECAgJkAgQCBQIGAgcCCAIJAiECCwK7Ag0CCAIIAggCCAIIAggCCAIIAggCCAIIAggCCAIIAggCCAIIAhsCAwQRAQIeAAQxAQICAm8CBAIFAgYCBwIIAgkCIQILArsCDQIIAggCCAIIAggCCAIIAggCCAIIAggCCAIIAggCCAIIAggCGwIDBA8BAh4ABDEBAgICQQIEAgUCBgIHAggCCQIcAgsCuwINAggCCAIIAggCCAIIAggCCAIIAggCCAIIAggCCAIIAggCCAIbAgMCvwIeAAQxAQICAj4CBAIFAgYCBwIIAgkCIQILArsCDQIIAggCCAIIAggCCAIIAggCCAIIAggCCAIIAggCCAIIAggCGwIDBBsBAh4ABDEBAnoAAAQAAgJHAgQCBQIGAgcCCAIJAiECCwK7Ag0CCAIIAggCCAIIAggCCAIIAggCCAIIAggCCAIIAggCCAIIAhsCAwQiAQIeAAQxAQICAlACBAIFAgYCBwIIAgkCHAILArsCDQIIAggCCAIIAggCCAIIAggCCAIIAggCCAIIAggCCAIIAggCGwIDAr4CHgAEMQECAgIyAgQCBQIGAgcCCAIJAhwCCwK7Ag0CCAIIAggCCAIIAggCCAIIAggCCAIIAggCCAIIAggCCAIIAhsCAwQNAQIeAAQxAQICAiACBAIFAgYCBwIIAgkCHAILArsCDQIIAggCCAIIAggCCAIIAggCCAIIAggCCAIIAggCCAIIAggCGwIDBBwBAh4ABDEBAgICIwIEAgUCBgIHAggCCQK6AgsCuwINAggCCAIIAggCCAIIAggCCAIIAggCCAIIAggCCAIIAggCCAIbAgMEGQECHgAEMQECAgJcAgQCBQIGAgcCCAIJAroCCwK7Ag0CCAIIAggCCAIIAggCCAIIAggCCAIIAggCCAIIAggCCAIIAhsCAwQdAQIeAAQxAQICAl4CBAIFAgYCBwIIAgkCugILArsCDQIIAggCCAIIAggCCAIIAggCCAIIAggCCAIIAggCCAIIAggCGwIDAvcCHgAEMgEACTMxMTE4NTAyNAICAlMCBAIFAgYCBwIIAgkCugILArsCDQIIAggCCAIIAggCCAIIAggCCAIIAggCCAIIAggCCAIIAggCDwIDAtMCHgAEMgECAgJVAgQCBQIGAgcCCAIJAroCCwK7Ag0CCAIIAggCCAIIAggCCAIIAggCCAIIAggCCAIIAggCCAIIAg8CAwLKAh4ABDIBAgICeAIEAgUCBgIHAggCCQIhAgsCuwINAggCCAIIAggCCAIIAggCCAIIAggCCAIIAggCCAIIAggCCAIPAgMC5gIeAAQyAQICAjgCBAIFAgYCBwIIAgkCIQILArsCDQIIAggCCAIIAggCCAIIAggCCAIIAggCCAIIAggCCAIIAggCDwIDAtECHgAEMgECAgIDAgQCBQIGAgcCCAIJAhwCCwK7Ag0CCAIIAggCCAIIAggCCAIIAggCCAIIAggCCAIIAggCCAIIAg8CAwLNAh4ABDIBAgICbwIEAgUCBgIHAggCCQIhAgsCuwINAggCCAIIAggCCAIIAggCCAIIAggCCAIIAggCCAIIAggCCAIPAgMEDwECHgAEMgECAgIwAgQCBQIGAgcCCAIJAroCCwK7Ag0CCAIIAggCCAIIAggCCAIIAggCCAIIAggCCAIIAggCCAIIAg8CAwLqAh4ABDIBAgICOwIEAgUCBgIHAggCCQIhAgsCuwINAggCCHoAAAQAAggCCAIIAggCCAIIAggCCAIIAggCCAIIAggCCAIIAg8CAwLQAh4ABDIBAgICHgIEAgUCBgIHAggCCQIcAgsCuwINAggCCAIIAggCCAIIAggCCAIIAggCCAIIAggCCAIIAggCCAIPAgMEKAECHgAEMgECAgJJAgQCBQIGAgcCCAIJAiECCwK7Ag0CCAIIAggCCAIIAggCCAIIAggCCAIIAggCCAIIAggCCAIIAg8CAwLUAh4ABDIBAgICAwIEAgUCBgIHAggCCQIhAgsCuwINAggCCAIIAggCCAIIAggCCAIIAggCCAIIAggCCAIIAggCCAIPAgMCwgIeAAQyAQICAmACBAIFAgYCBwIIAgkCIQILArsCDQIIAggCCAIIAggCCAIIAggCCAIIAggCCAIIAggCCAIIAggCDwIDAt4CHgAEMgECAgIqAgQCBQIGAgcCCAIJAroCCwK7Ag0CCAIIAggCCAIIAggCCAIIAggCCAIIAggCCAIIAggCCAIIAg8CAwQSAQIeAAQyAQICAigCBAIFAgYCBwIIAgkCIQILArsCDQIIAggCCAIIAggCCAIIAggCCAIIAggCCAIIAggCCAIIAggCDwIDAsECHgAEMgECAgJ4AgQCBQIGAgcCCAIJAhwCCwK7Ag0CCAIIAggCCAIIAggCCAIIAggCCAIIAggCCAIIAggCCAIIAg8CAwLaAh4ABDIBAgICVwIEAgUCBgIHAggCCQIhAgsCuwINAggCCAIIAggCCAIIAggCCAIIAggCCAIIAggCCAIIAggCCAIPAgMC2wIeAAQyAQICAkwCBAIFAgYCBwIIAgkCugILArsCDQIIAggCCAIIAggCCAIIAggCCAIIAggCCAIIAggCCAIIAggCDwIDBB4BAh4ABDIBAgICcwIEAgUCBgIHAggCCQIcAgsCuwINAggCCAIIAggCCAIIAggCCAIIAggCCAIIAggCCAIIAggCCAIPAgMCxAIeAAQyAQICAhsCBAIFAgYCBwIIAgkCugILArsCDQIIAggCCAIIAggCCAIIAggCCAIIAggCCAIIAggCCAIIAggCDwIDBBgBAh4ABDIBAgICbwIEAgUCBgIHAggCCQIcAgsCuwINAggCCAIIAggCCAIIAggCCAIIAggCCAIIAggCCAIIAggCCAIPAgMEGgECHgAEMgECAgJtAgQCBQIGAgcCCAIJAhwCCwK7Ag0CCAIIAggCCAIIAggCCAIIAggCCAIIAggCCAIIAggCCAIIAg8CAwLGAh4ABDIBAgICWQIEAgUCBgIHAggCCQIhAgsCuwINAggCCAIIAggCCAIIAggCCAIIAggCCAIIAggCCAIIAggCCAIPAgMC4QIeAHoAAAQABDIBAgICNgIEAgUCBgIHAggCCQK6AgsCuwINAggCCAIIAggCCAIIAggCCAIIAggCCAIIAggCCAIIAggCCAIPAgMC+AIeAAQyAQICAm0CBAIFAgYCBwIIAgkCIQILArsCDQIIAggCCAIIAggCCAIIAggCCAIIAggCCAIIAggCCAIIAggCDwIDAukCHgAEMgECAgIgAgQCBQIGAgcCCAIJAroCCwK7Ag0CCAIIAggCCAIIAggCCAIIAggCCAIIAggCCAIIAggCCAIIAg8CAwLoAh4ABDIBAgICeAIEAgUCBgIHAggCCQK6AgsCuwINAggCCAIIAggCCAIIAggCCAIIAggCCAIIAggCCAIIAggCCAIPAgMCyAIeAAQyAQICAkwCBAIFAgYCBwIIAgkCIQILArsCDQIIAggCCAIIAggCCAIIAggCCAIIAggCCAIIAggCCAIIAggCDwIDAv4CHgAEMgECAgIyAgQCBQIGAgcCCAIJAroCCwK7Ag0CCAIIAggCCAIIAggCCAIIAggCCAIIAggCCAIIAggCCAIIAg8CAwLjAh4ABDIBAgICZgIEAgUCBgIHAggCCQIcAgsCuwINAggCCAIIAggCCAIIAggCCAIIAggCCAIIAggCCAIIAggCCAIPAgMCzAIeAAQyAQICAkwCBAIFAgYCBwIIAgkCHAILArsCDQIIAggCCAIIAggCCAIIAggCCAIIAggCCAIIAggCCAIIAggCDwIDAvQCHgAEMgECAgJDAgQCBQIGAgcCCAIJAroCCwK7Ag0CCAIIAggCCAIIAggCCAIIAggCCAIIAggCCAIIAggCCAIIAg8CAwI5Ah4ABDIBAgICJgIEAgUCBgIHAggCCQK6AgsCuwINAggCCAIIAggCCAIIAggCCAIIAggCCAIIAggCCAIIAggCCAIPAgMC8wIeAAQyAQICAkUCBAIFAgYCBwIIAgkCHAILArsCDQIIAggCCAIIAggCCAIIAggCCAIIAggCCAIIAggCCAIIAggCDwIDAuQCHgAEMgECAgJzAgQCBQIGAgcCCAIJAiECCwK7Ag0CCAIIAggCCAIIAggCCAIIAggCCAIIAggCCAIIAggCCAIIAg8CAwK9Ah4ABDIBAgICTgIEAgUCBgIHAggCCQK6AgsCuwINAggCCAIIAggCCAIIAggCCAIIAggCCAIIAggCCAIIAggCCAIPAgMC8AIeAAQyAQICAmkCBAIFAgYCBwIIAgkCIQILArsCDQIIAggCCAIIAggCCAIIAggCCAIIAggCCAIIAggCCAIIAggCDwIDAs8CHgAEMgECAgJXAgQCBQIGAgcCCAIJAroCCwK7Ag0CCAIIAggCCAIIAggCCAIIAnoAAAQACAIIAggCCAIIAggCCAIIAggCDwIDAusCHgAEMgECAgJcAgQCBQIGAgcCCAIJAhwCCwK7Ag0CCAIIAggCCAIIAggCCAIIAggCCAIIAggCCAIIAggCCAIIAg8CAwLuAh4ABDIBAgICXgIEAgUCBgIHAggCCQIcAgsCuwINAggCCAIIAggCCAIIAggCCAIIAggCCAIIAggCCAIIAggCCAIPAgMC1QIeAAQyAQICAlkCBAIFAgYCBwIIAgkCugILArsCDQIIAggCCAIIAggCCAIIAggCCAIIAggCCAIIAggCCAIIAggCDwIDAsMCHgAEMgECAgI4AgQCBQIGAgcCCAIJAhwCCwK7Ag0CCAIIAggCCAIIAggCCAIIAggCCAIIAggCCAIIAggCCAIIAg8CAwLYAh4ABDIBAgICRQIEAgUCBgIHAggCCQIhAgsCuwINAggCCAIIAggCCAIIAggCCAIIAggCCAIIAggCCAIIAggCCAIPAgMC1gIeAAQyAQICAigCBAIFAgYCBwIIAgkCHAILArsCDQIIAggCCAIIAggCCAIIAggCCAIIAggCCAIIAggCCAIIAggCDwIDAssCHgAEMgECAgI0AgQCBQIGAgcCCAIJAroCCwK7Ag0CCAIIAggCCAIIAggCCAIIAggCCAIIAggCCAIIAggCCAIIAg8CAwLXAh4ABDIBAgICaQIEAgUCBgIHAggCCQIcAgsCuwINAggCCAIIAggCCAIIAggCCAIIAggCCAIIAggCCAIIAggCCAIPAgMCwAIeAAQyAQICAk4CBAIFAgYCBwIIAgkCIQILArsCDQIIAggCCAIIAggCCAIIAggCCAIIAggCCAIIAggCCAIIAggCDwIDAtkCHgAEMgECAgIbAgQCBQIGAgcCCAIJAiECCwK7Ag0CCAIIAggCCAIIAggCCAIIAggCCAIIAggCCAIIAggCCAIIAg8CAwL5Ah4ABDIBAgICSQIEAgUCBgIHAggCCQIcAgsCuwINAggCCAIIAggCCAIIAggCCAIIAggCCAIIAggCCAIIAggCCAIPAgMC3AIeAAQyAQICAjsCBAIFAgYCBwIIAgkCHAILArsCDQIIAggCCAIIAggCCAIIAggCCAIIAggCCAIIAggCCAIIAggCDwIDAt0CHgAEMgECAgJgAgQCBQIGAgcCCAIJAroCCwK7Ag0CCAIIAggCCAIIAggCCAIIAggCCAIIAggCCAIIAggCCAIIAg8CAwLFAh4ABDIBAgICKgIEAgUCBgIHAggCCQIhAgsCuwINAggCCAIIAggCCAIIAggCCAIIAggCCAIIAggCCAIIAggCCAIPAgMC/QIeAAQyAQICAm0CBAIFAgYCBwIIAnoAAAQACQK6AgsCuwINAggCCAIIAggCCAIIAggCCAIIAggCCAIIAggCCAIIAggCCAIPAgMEBwECHgAEMgECAgIsAgQCBQIGAgcCCAIJAiECCwK7Ag0CCAIIAggCCAIIAggCCAIIAggCCAIIAggCCAIIAggCCAIIAg8CAwQqAQIeAAQyAQICAjICBAIFAgYCBwIIAgkCIQILArsCDQIIAggCCAIIAggCCAIIAggCCAIIAggCCAIIAggCCAIIAggCDwIDBAEBAh4ABDIBAgICNgIEAgUCBgIHAggCCQIhAgsCuwINAggCCAIIAggCCAIIAggCCAIIAggCCAIIAggCCAIIAggCCAIPAgMEBQECHgAEMgECAgI0AgQCBQIGAgcCCAIJAhwCCwK7Ag0CCAIIAggCCAIIAggCCAIIAggCCAIIAggCCAIIAggCCAIIAg8CAwQCAQIeAAQyAQICAmkCBAIFAgYCBwIIAgkCugILArsCDQIIAggCCAIIAggCCAIIAggCCAIIAggCCAIIAggCCAIIAggCDwIDBBcBAh4ABDIBAgICLgIEAgUCBgIHAggCCQIhAgsCuwINAggCCAIIAggCCAIIAggCCAIIAggCCAIIAggCCAIIAggCCAIPAgMEIQECHgAEMgECAgJzAgQCBQIGAgcCCAIJAroCCwK7Ag0CCAIIAggCCAIIAggCCAIIAggCCAIIAggCCAIIAggCCAIIAg8CAwQIAQIeAAQyAQICAiMCBAIFAgYCBwIIAgkCHAILArsCDQIIAggCCAIIAggCCAIIAggCCAIIAggCCAIIAggCCAIIAggCDwIDBAwBAh4ABDIBAgICIAIEAgUCBgIHAggCCQIhAgsCuwINAggCCAIIAggCCAIIAggCCAIIAggCCAIIAggCCAIIAggCCAIPAgMECQECHgAEMgECAgIoAgQCBQIGAgcCCAIJAroCCwK7Ag0CCAIIAggCCAIIAggCCAIIAggCCAIIAggCCAIIAggCCAIIAg8CAwQrAQIeAAQyAQICAkMCBAIFAgYCBwIIAgkCIQILArsCDQIIAggCCAIIAggCCAIIAggCCAIIAggCCAIIAggCCAIIAggCDwIDAtECHgAEMgECAgIqAgQCBQIGAgcCCAIJAhwCCwK7Ag0CCAIIAggCCAIIAggCCAIIAggCCAIIAggCCAIIAggCCAIIAg8CAwLiAh4ABDIBAgICJgIEAgUCBgIHAggCCQIhAgsCuwINAggCCAIIAggCCAIIAggCCAIIAggCCAIIAggCCAIIAggCCAIPAgMC7AIeAAQyAQICAhsCBAIFAgYCBwIIAgkCHAILArsCDQIIAggCCAIIAggCCAIIAggCCAIIAggCCHoAAAQAAggCCAIIAggCCAIPAgMC7QIeAAQyAQICAlMCBAIFAgYCBwIIAgkCHAILArsCDQIIAggCCAIIAggCCAIIAggCCAIIAggCCAIIAggCCAIIAggCDwIDAvsCHgAEMgECAgJVAgQCBQIGAgcCCAIJAhwCCwK7Ag0CCAIIAggCCAIIAggCCAIIAggCCAIIAggCCAIIAggCCAIIAg8CAwL8Ah4ABDIBAgICZgIEAgUCBgIHAggCCQIhAgsCuwINAggCCAIIAggCCAIIAggCCAIIAggCCAIIAggCCAIIAggCCAIPAgMEFQECHgAEMgECAgI0AgQCBQIGAgcCCAIJAiECCwK7Ag0CCAIIAggCCAIIAggCCAIIAggCCAIIAggCCAIIAggCCAIIAg8CAwL2Ah4ABDIBAgICLgIEAgUCBgIHAggCCQIcAgsCuwINAggCCAIIAggCCAIIAggCCAIIAggCCAIIAggCCAIIAggCCAIPAgMEDgECHgAEMgECAgIsAgQCBQIGAgcCCAIJAhwCCwK7Ag0CCAIIAggCCAIIAggCCAIIAggCCAIIAggCCAIIAggCCAIIAg8CAwQQAQIeAAQyAQICAkcCBAIFAgYCBwIIAgkCugILArsCDQIIAggCCAIIAggCCAIIAggCCAIIAggCCAIIAggCCAIIAggCDwIDBAYBAh4ABDIBAgICPgIEAgUCBgIHAggCCQK6AgsCuwINAggCCAIIAggCCAIIAggCCAIIAggCCAIIAggCCAIIAggCCAIPAgMC9QIeAAQyAQICAkUCBAIFAgYCBwIIAgkCugILArsCDQIIAggCCAIIAggCCAIIAggCCAIIAggCCAIIAggCCAIIAggCDwIDAu8CHgAEMgECAgJBAgQCBQIGAgcCCAIJAroCCwK7Ag0CCAIIAggCCAIIAggCCAIIAggCCAIIAggCCAIIAggCCAIIAg8CAwL6Ah4ABDIBAgICUAIEAgUCBgIHAggCCQK6AgsCuwINAggCCAIIAggCCAIIAggCCAIIAggCCAIIAggCCAIIAggCCAIPAgMC5wIeAAQyAQICAjACBAIFAgYCBwIIAgkCIQILArsCDQIIAggCCAIIAggCCAIIAggCCAIIAggCCAIIAggCCAIIAggCDwIDAvECHgAEMgECAgJOAgQCBQIGAgcCCAIJAhwCCwK7Ag0CCAIIAggCCAIIAggCCAIIAggCCAIIAggCCAIIAggCCAIIAg8CAwLlAh4ABDIBAgICJgIEAgUCBgIHAggCCQIcAgsCuwINAggCCAIIAggCCAIIAggCCAIIAggCCAIIAggCCAIIAggCCAIPAgMC3wIeAAQyAQICAiMCBAIFAgYCBwIIAgkCIXoAAAQAAgsCuwINAggCCAIIAggCCAIIAggCCAIIAggCCAIIAggCCAIIAggCCAIPAgMEIAECHgAEMgECAgJeAgQCBQIGAgcCCAIJAiECCwK7Ag0CCAIIAggCCAIIAggCCAIIAggCCAIIAggCCAIIAggCCAIIAg8CAwQWAQIeAAQyAQICAkMCBAIFAgYCBwIIAgkCHAILArsCDQIIAggCCAIIAggCCAIIAggCCAIIAggCCAIIAggCCAIIAggCDwIDAtgCHgAEMgECAgIeAgQCBQIGAgcCCAIJAroCCwK7Ag0CCAIIAggCCAIIAggCCAIIAggCCAIIAggCCAIIAggCCAIIAg8CAwLgAh4ABDIBAgICOAIEAgUCBgIHAggCCQK6AgsCuwINAggCCAIIAggCCAIIAggCCAIIAggCCAIIAggCCAIIAggCCAIPAgMCOQIeAAQyAQICAmACBAIFAgYCBwIIAgkCHAILArsCDQIIAggCCAIIAggCCAIIAggCCAIIAggCCAIIAggCCAIIAggCDwIDBAoBAh4ABDIBAgICWQIEAgUCBgIHAggCCQIcAgsCuwINAggCCAIIAggCCAIIAggCCAIIAggCCAIIAggCCAIIAggCCAIPAgMECwECHgAEMgECAgJcAgQCBQIGAgcCCAIJAiECCwK7Ag0CCAIIAggCCAIIAggCCAIIAggCCAIIAggCCAIIAggCCAIIAg8CAwQfAQIeAAQyAQICAlMCBAIFAgYCBwIIAgkCIQILArsCDQIIAggCCAIIAggCCAIIAggCCAIIAggCCAIIAggCCAIIAggCDwIDBCkBAh4ABDIBAgICLAIEAgUCBgIHAggCCQK6AgsCuwINAggCCAIIAggCCAIIAggCCAIIAggCCAIIAggCCAIIAggCCAIPAgMEAwECHgAEMgECAgJHAgQCBQIGAgcCCAIJAhwCCwK7Ag0CCAIIAggCCAIIAggCCAIIAggCCAIIAggCCAIIAggCCAIIAg8CAwQmAQIeAAQyAQICAkkCBAIFAgYCBwIIAgkCugILArsCDQIIAggCCAIIAggCCAIIAggCCAIIAggCCAIIAggCCAIIAggCDwIDBCQBAh4ABDIBAgICVwIEAgUCBgIHAggCCQIcAgsCuwINAggCCAIIAggCCAIIAggCCAIIAggCCAIIAggCCAIIAggCCAIPAgMEAAECHgAEMgECAgJkAgQCBQIGAgcCCAIJAhwCCwK7Ag0CCAIIAggCCAIIAggCCAIIAggCCAIIAggCCAIIAggCCAIIAg8CAwQjAQIeAAQyAQICAkECBAIFAgYCBwIIAgkCIQILArsCDQIIAggCCAIIAggCCAIIAggCCAIIAggCCAIIAnoAAAQACAIIAggCCAIPAgMCzgIeAAQyAQICAkECBAIFAgYCBwIIAgkCHAILArsCDQIIAggCCAIIAggCCAIIAggCCAIIAggCCAIIAggCCAIIAggCDwIDAr8CHgAEMgECAgJkAgQCBQIGAgcCCAIJAroCCwK7Ag0CCAIIAggCCAIIAggCCAIIAggCCAIIAggCCAIIAggCCAIIAg8CAwK8Ah4ABDIBAgICbwIEAgUCBgIHAggCCQK6AgsCuwINAggCCAIIAggCCAIIAggCCAIIAggCCAIIAggCCAIIAggCCAIPAgMC0gIeAAQyAQICAlACBAIFAgYCBwIIAgkCIQILArsCDQIIAggCCAIIAggCCAIIAggCCAIIAggCCAIIAggCCAIIAggCDwIDAscCHgAEMgECAgI+AgQCBQIGAgcCCAIJAhwCCwK7Ag0CCAIIAggCCAIIAggCCAIIAggCCAIIAggCCAIIAggCCAIIAg8CAwQnAQIeAAQyAQICAjsCBAIFAgYCBwIIAgkCugILArsCDQIIAggCCAIIAggCCAIIAggCCAIIAggCCAIIAggCCAIIAggCDwIDBCUBAh4ABDIBAgICVQIEAgUCBgIHAggCCQIhAgsCuwINAggCCAIIAggCCAIIAggCCAIIAggCCAIIAggCCAIIAggCCAIPAgMELAECHgAEMgECAgJmAgQCBQIGAgcCCAIJAroCCwK7Ag0CCAIIAggCCAIIAggCCAIIAggCCAIIAggCCAIIAggCCAIIAg8CAwLyAh4ABDIBAgICAwIEAgUCBgIHAggCCQK6AgsCuwINAggCCAIIAggCCAIIAggCCAIIAggCCAIIAggCCAIIAggCCAIPAgMEFAECHgAEMgECAgJeAgQCBQIGAgcCCAIJAroCCwK7Ag0CCAIIAggCCAIIAggCCAIIAggCCAIIAggCCAIIAggCCAIIAg8CAwL3Ah4ABDIBAgICZAIEAgUCBgIHAggCCQIhAgsCuwINAggCCAIIAggCCAIIAggCCAIIAggCCAIIAggCCAIIAggCCAIPAgMEEQECHgAEMgECAgIyAgQCBQIGAgcCCAIJAhwCCwK7Ag0CCAIIAggCCAIIAggCCAIIAggCCAIIAggCCAIIAggCCAIIAg8CAwQNAQIeAAQyAQICAjYCBAIFAgYCBwIIAgkCHAILArsCDQIIAggCCAIIAggCCAIIAggCCAIIAggCCAIIAggCCAIIAggCDwIDBBMBAh4ABDIBAgICMAIEAgUCBgIHAggCCQIcAgsCuwINAggCCAIIAggCCAIIAggCCAIIAggCCAIIAggCCAIIAggCCAIPAgMEBAECHgAEMgECAgIeAgQCBQIGAgcCCAIJAnoAAAQAIQILArsCDQIIAggCCAIIAggCCAIIAggCCAIIAggCCAIIAggCCAIIAggCDwIDAskCHgAEMgECAgIjAgQCBQIGAgcCCAIJAroCCwK7Ag0CCAIIAggCCAIIAggCCAIIAggCCAIIAggCCAIIAggCCAIIAg8CAwQZAQIeAAQyAQICAlACBAIFAgYCBwIIAgkCHAILArsCDQIIAggCCAIIAggCCAIIAggCCAIIAggCCAIIAggCCAIIAggCDwIDAr4CHgAEMgECAgJHAgQCBQIGAgcCCAIJAiECCwK7Ag0CCAIIAggCCAIIAggCCAIIAggCCAIIAggCCAIIAggCCAIIAg8CAwQiAQIeAAQyAQICAi4CBAIFAgYCBwIIAgkCugILArsCDQIIAggCCAIIAggCCAIIAggCCAIIAggCCAIIAggCCAIIAggCDwIDAv8CHgAEMgECAgJcAgQCBQIGAgcCCAIJAroCCwK7Ag0CCAIIAggCCAIIAggCCAIIAggCCAIIAggCCAIIAggCCAIIAg8CAwQdAQIeAAQyAQICAj4CBAIFAgYCBwIIAgkCIQILArsCDQIIAggCCAIIAggCCAIIAggCCAIIAggCCAIIAggCCAIIAggCDwIDBBsBAh4ABDIBAgICIAIEAgUCBgIHAggCCQIcAgsCuwINAggCCAIIAggCCAIIAggCCAIIAggCCAIIAggCCAIIAggCCAIPAgMEHAECHgAEMwEACTMxMTE4NzM0NAICAkwCBAIFAgYCBwIIAgkCugILArsCDQIIAggCCAIIAggCCAIIAggCCAIIAggCCAIIAggCCAIIAggCEwIDBB4BAh4ABDMBAgICHgIEAgUCBgIHAggCCQIhAgsCuwINAggCCAIIAggCCAIIAggCCAIIAggCCAIIAggCCAIIAggCCAITAgMCyQIeAAQzAQICAigCBAIFAgYCBwIIAgkCHAILArsCDQIIAggCCAIIAggCCAIIAggCCAIIAggCCAIIAggCCAIIAggCEwIDAssCHgAEMwECAgJcAgQCBQIGAgcCCAIJAroCCwK7Ag0CCAIIAggCCAIIAggCCAIIAggCCAIIAggCCAIIAggCCAIIAhMCAwQdAQIeAAQzAQICAnMCBAIFAgYCBwIIAgkCHAILArsCDQIIAggCCAIIAggCCAIIAggCCAIIAggCCAIIAggCCAIIAggCEwIDAsQCHgAEMwECAgJTAgQCBQIGAgcCCAIJAroCCwK7Ag0CCAIIAggCCAIIAggCCAIIAggCCAIIAggCCAIIAggCCAIIAhMCAwLTAh4ABDMBAgICOAIEAgUCBgIHAggCCQIhAgsCuwINAggCCAIIAggCCAIIAggCCAIIAnoAAAQACAIIAggCCAIIAggCCAIIAhMCAwLRAh4ABDMBAgICAwIEAgUCBgIHAggCCQIcAgsCuwINAggCCAIIAggCCAIIAggCCAIIAggCCAIIAggCCAIIAggCCAITAgMCzQIeAAQzAQICAlUCBAIFAgYCBwIIAgkCugILArsCDQIIAggCCAIIAggCCAIIAggCCAIIAggCCAIIAggCCAIIAggCEwIDAsoCHgAEMwECAgJ4AgQCBQIGAgcCCAIJAiECCwK7Ag0CCAIIAggCCAIIAggCCAIIAggCCAIIAggCCAIIAggCCAIIAhMCAwLmAh4ABDMBAgICMAIEAgUCBgIHAggCCQK6AgsCuwINAggCCAIIAggCCAIIAggCCAIIAggCCAIIAggCCAIIAggCCAITAgMC6gIeAAQzAQICAnMCBAIFAgYCBwIIAgkCIQILArsCDQIIAggCCAIIAggCCAIIAggCCAIIAggCCAIIAggCCAIIAggCEwIDAr0CHgAEMwECAgJBAgQCBQIGAgcCCAIJAhwCCwK7Ag0CCAIIAggCCAIIAggCCAIIAggCCAIIAggCCAIIAggCCAIIAhMCAwK/Ah4ABDMBAgICHgIEAgUCBgIHAggCCQIcAgsCuwINAggCCAIIAggCCAIIAggCCAIIAggCCAIIAggCCAIIAggCCAITAgMEKAECHgAEMwECAgI7AgQCBQIGAgcCCAIJAroCCwK7Ag0CCAIIAggCCAIIAggCCAIIAggCCAIIAggCCAIIAggCCAIIAhMCAwQlAQIeAAQzAQICAlcCBAIFAgYCBwIIAgkCugILArsCDQIIAggCCAIIAggCCAIIAggCCAIIAggCCAIIAggCCAIIAggCEwIDAusCHgAEMwECAgJtAgQCBQIGAgcCCAIJAiECCwK7Ag0CCAIIAggCCAIIAggCCAIIAggCCAIIAggCCAIIAggCCAIIAhMCAwLpAh4ABDMBAgICbwIEAgUCBgIHAggCCQIhAgsCuwINAggCCAIIAggCCAIIAggCCAIIAggCCAIIAggCCAIIAggCCAITAgMEDwECHgAEMwECAgJZAgQCBQIGAgcCCAIJAroCCwK7Ag0CCAIIAggCCAIIAggCCAIIAggCCAIIAggCCAIIAggCCAIIAhMCAwLDAh4ABDMBAgICYAIEAgUCBgIHAggCCQK6AgsCuwINAggCCAIIAggCCAIIAggCCAIIAggCCAIIAggCCAIIAggCCAITAgMCxQIeAAQzAQICAkkCBAIFAgYCBwIIAgkCHAILArsCDQIIAggCCAIIAggCCAIIAggCCAIIAggCCAIIAggCCAIIAggCEwIDAtwCHgAEMwECAgI0AgQCBQIGAgcCCHoAAAQAAgkCugILArsCDQIIAggCCAIIAggCCAIIAggCCAIIAggCCAIIAggCCAIIAggCEwIDAtcCHgAEMwECAgJkAgQCBQIGAgcCCAIJAiECCwK7Ag0CCAIIAggCCAIIAggCCAIIAggCCAIIAggCCAIIAggCCAIIAhMCAwQRAQIeAAQzAQICAlACBAIFAgYCBwIIAgkCHAILArsCDQIIAggCCAIIAggCCAIIAggCCAIIAggCCAIIAggCCAIIAggCEwIDAr4CHgAEMwECAgI4AgQCBQIGAgcCCAIJAhwCCwK7Ag0CCAIIAggCCAIIAggCCAIIAggCCAIIAggCCAIIAggCCAIIAhMCAwLYAh4ABDMBAgICaQIEAgUCBgIHAggCCQIcAgsCuwINAggCCAIIAggCCAIIAggCCAIIAggCCAIIAggCCAIIAggCCAITAgMCwAIeAAQzAQICAmQCBAIFAgYCBwIIAgkCHAILArsCDQIIAggCCAIIAggCCAIIAggCCAIIAggCCAIIAggCCAIIAggCEwIDBCMBAh4ABDMBAgICGwIEAgUCBgIHAggCCQK6AgsCuwINAggCCAIIAggCCAIIAggCCAIIAggCCAIIAggCCAIIAggCCAITAgMEGAECHgAEMwECAgJ4AgQCBQIGAgcCCAIJAroCCwK7Ag0CCAIIAggCCAIIAggCCAIIAggCCAIIAggCCAIIAggCCAIIAhMCAwLIAh4ABDMBAgICXgIEAgUCBgIHAggCCQIhAgsCuwINAggCCAIIAggCCAIIAggCCAIIAggCCAIIAggCCAIIAggCCAITAgMEFgECHgAEMwECAgJvAgQCBQIGAgcCCAIJAhwCCwK7Ag0CCAIIAggCCAIIAggCCAIIAggCCAIIAggCCAIIAggCCAIIAhMCAwQaAQIeAAQzAQICAlwCBAIFAgYCBwIIAgkCIQILArsCDQIIAggCCAIIAggCCAIIAggCCAIIAggCCAIIAggCCAIIAggCEwIDBB8BAh4ABDMBAgICOwIEAgUCBgIHAggCCQIcAgsCuwINAggCCAIIAggCCAIIAggCCAIIAggCCAIIAggCCAIIAggCCAITAgMC3QIeAAQzAQICAl4CBAIFAgYCBwIIAgkCHAILArsCDQIIAggCCAIIAggCCAIIAggCCAIIAggCCAIIAggCCAIIAggCEwIDAtUCHgAEMwECAgI4AgQCBQIGAgcCCAIJAroCCwK7Ag0CCAIIAggCCAIIAggCCAIIAggCCAIIAggCCAIIAggCCAIIAhMCAwI5Ah4ABDMBAgICPgIEAgUCBgIHAggCCQIcAgsCuwINAggCCAIIAggCCAIIAggCCAIIAggCCAIIAggCCHoAAAQAAggCCAIIAhMCAwQnAQIeAAQzAQICAmYCBAIFAgYCBwIIAgkCHAILArsCDQIIAggCCAIIAggCCAIIAggCCAIIAggCCAIIAggCCAIIAggCEwIDAswCHgAEMwECAgJpAgQCBQIGAgcCCAIJAiECCwK7Ag0CCAIIAggCCAIIAggCCAIIAggCCAIIAggCCAIIAggCCAIIAhMCAwLPAh4ABDMBAgICSQIEAgUCBgIHAggCCQK6AgsCuwINAggCCAIIAggCCAIIAggCCAIIAggCCAIIAggCCAIIAggCCAITAgMEJAECHgAEMwECAgImAgQCBQIGAgcCCAIJAroCCwK7Ag0CCAIIAggCCAIIAggCCAIIAggCCAIIAggCCAIIAggCCAIIAhMCAwLzAh4ABDMBAgICTAIEAgUCBgIHAggCCQIhAgsCuwINAggCCAIIAggCCAIIAggCCAIIAggCCAIIAggCCAIIAggCCAITAgMC/gIeAAQzAQICAkcCBAIFAgYCBwIIAgkCHAILArsCDQIIAggCCAIIAggCCAIIAggCCAIIAggCCAIIAggCCAIIAggCEwIDBCYBAh4ABDMBAgICIwIEAgUCBgIHAggCCQIcAgsCuwINAggCCAIIAggCCAIIAggCCAIIAggCCAIIAggCCAIIAggCCAITAgMEDAECHgAEMwECAgIoAgQCBQIGAgcCCAIJAiECCwK7Ag0CCAIIAggCCAIIAggCCAIIAggCCAIIAggCCAIIAggCCAIIAhMCAwLBAh4ABDMBAgICcwIEAgUCBgIHAggCCQK6AgsCuwINAggCCAIIAggCCAIIAggCCAIIAggCCAIIAggCCAIIAggCCAITAgMECAECHgAEMwECAgJFAgQCBQIGAgcCCAIJAroCCwK7Ag0CCAIIAggCCAIIAggCCAIIAggCCAIIAggCCAIIAggCCAIIAhMCAwLvAh4ABDMBAgICQwIEAgUCBgIHAggCCQK6AgsCuwINAggCCAIIAggCCAIIAggCCAIIAggCCAIIAggCCAIIAggCCAITAgMCOQIeAAQzAQICAjsCBAIFAgYCBwIIAgkCIQILArsCDQIIAggCCAIIAggCCAIIAggCCAIIAggCCAIIAggCCAIIAggCEwIDAtACHgAEMwECAgIuAgQCBQIGAgcCCAIJAhwCCwK7Ag0CCAIIAggCCAIIAggCCAIIAggCCAIIAggCCAIIAggCCAIIAhMCAwQOAQIeAAQzAQICAlMCBAIFAgYCBwIIAgkCHAILArsCDQIIAggCCAIIAggCCAIIAggCCAIIAggCCAIIAggCCAIIAggCEwIDAvsCHgAEMwECAgJcAgQCBQIGAgcCCAIJAhwCC3oAAAQAArsCDQIIAggCCAIIAggCCAIIAggCCAIIAggCCAIIAggCCAIIAggCEwIDAu4CHgAEMwECAgJJAgQCBQIGAgcCCAIJAiECCwK7Ag0CCAIIAggCCAIIAggCCAIIAggCCAIIAggCCAIIAggCCAIIAhMCAwLUAh4ABDMBAgICTgIEAgUCBgIHAggCCQK6AgsCuwINAggCCAIIAggCCAIIAggCCAIIAggCCAIIAggCCAIIAggCCAITAgMC8AIeAAQzAQICAmYCBAIFAgYCBwIIAgkCIQILArsCDQIIAggCCAIIAggCCAIIAggCCAIIAggCCAIIAggCCAIIAggCEwIDBBUBAh4ABDMBAgICAwIEAgUCBgIHAggCCQIhAgsCuwINAggCCAIIAggCCAIIAggCCAIIAggCCAIIAggCCAIIAggCCAITAgMCwgIeAAQzAQICAlUCBAIFAgYCBwIIAgkCHAILArsCDQIIAggCCAIIAggCCAIIAggCCAIIAggCCAIIAggCCAIIAggCEwIDAvwCHgAEMwECAgIsAgQCBQIGAgcCCAIJAhwCCwK7Ag0CCAIIAggCCAIIAggCCAIIAggCCAIIAggCCAIIAggCCAIIAhMCAwQQAQIeAAQzAQICAioCBAIFAgYCBwIIAgkCugILArsCDQIIAggCCAIIAggCCAIIAggCCAIIAggCCAIIAggCCAIIAggCEwIDBBIBAh4ABDMBAgICUAIEAgUCBgIHAggCCQK6AgsCuwINAggCCAIIAggCCAIIAggCCAIIAggCCAIIAggCCAIIAggCCAITAgMC5wIeAAQzAQICAhsCBAIFAgYCBwIIAgkCIQILArsCDQIIAggCCAIIAggCCAIIAggCCAIIAggCCAIIAggCCAIIAggCEwIDAvkCHgAEMwECAgJBAgQCBQIGAgcCCAIJAroCCwK7Ag0CCAIIAggCCAIIAggCCAIIAggCCAIIAggCCAIIAggCCAIIAhMCAwL6Ah4ABDMBAgICKgIEAgUCBgIHAggCCQIcAgsCuwINAggCCAIIAggCCAIIAggCCAIIAggCCAIIAggCCAIIAggCCAITAgMC4gIeAAQzAQICAiMCBAIFAgYCBwIIAgkCIQILArsCDQIIAggCCAIIAggCCAIIAggCCAIIAggCCAIIAggCCAIIAggCEwIDBCABAh4ABDMBAgICaQIEAgUCBgIHAggCCQK6AgsCuwINAggCCAIIAggCCAIIAggCCAIIAggCCAIIAggCCAIIAggCCAITAgMEFwECHgAEMwECAgIsAgQCBQIGAgcCCAIJAiECCwK7Ag0CCAIIAggCCAIIAggCCAIIAggCCAIIAggCCAIIAggCCAIIAnoAAAQAEwIDBCoBAh4ABDMBAgICbQIEAgUCBgIHAggCCQK6AgsCuwINAggCCAIIAggCCAIIAggCCAIIAggCCAIIAggCCAIIAggCCAITAgMEBwECHgAEMwECAgIwAgQCBQIGAgcCCAIJAhwCCwK7Ag0CCAIIAggCCAIIAggCCAIIAggCCAIIAggCCAIIAggCCAIIAhMCAwQEAQIeAAQzAQICAjICBAIFAgYCBwIIAgkCIQILArsCDQIIAggCCAIIAggCCAIIAggCCAIIAggCCAIIAggCCAIIAggCEwIDBAEBAh4ABDMBAgICNgIEAgUCBgIHAggCCQIhAgsCuwINAggCCAIIAggCCAIIAggCCAIIAggCCAIIAggCCAIIAggCCAITAgMEBQECHgAEMwECAgIuAgQCBQIGAgcCCAIJAiECCwK7Ag0CCAIIAggCCAIIAggCCAIIAggCCAIIAggCCAIIAggCCAIIAhMCAwQhAQIeAAQzAQICAjQCBAIFAgYCBwIIAgkCHAILArsCDQIIAggCCAIIAggCCAIIAggCCAIIAggCCAIIAggCCAIIAggCEwIDBAIBAh4ABDMBAgICQwIEAgUCBgIHAggCCQIhAgsCuwINAggCCAIIAggCCAIIAggCCAIIAggCCAIIAggCCAIIAggCCAITAgMC0QIeAAQzAQICAiYCBAIFAgYCBwIIAgkCIQILArsCDQIIAggCCAIIAggCCAIIAggCCAIIAggCCAIIAggCCAIIAggCEwIDAuwCHgAEMwECAgJMAgQCBQIGAgcCCAIJAhwCCwK7Ag0CCAIIAggCCAIIAggCCAIIAggCCAIIAggCCAIIAggCCAIIAhMCAwL0Ah4ABDMBAgICGwIEAgUCBgIHAggCCQIcAgsCuwINAggCCAIIAggCCAIIAggCCAIIAggCCAIIAggCCAIIAggCCAITAgMC7QIeAAQzAQICAlUCBAIFAgYCBwIIAgkCIQILArsCDQIIAggCCAIIAggCCAIIAggCCAIIAggCCAIIAggCCAIIAggCEwIDBCwBAh4ABDMBAgICKAIEAgUCBgIHAggCCQK6AgsCuwINAggCCAIIAggCCAIIAggCCAIIAggCCAIIAggCCAIIAggCCAITAgMEKwECHgAEMwECAgIqAgQCBQIGAgcCCAIJAiECCwK7Ag0CCAIIAggCCAIIAggCCAIIAggCCAIIAggCCAIIAggCCAIIAhMCAwL9Ah4ABDMBAgICNgIEAgUCBgIHAggCCQIcAgsCuwINAggCCAIIAggCCAIIAggCCAIIAggCCAIIAggCCAIIAggCCAITAgMEEwECHgAEMwECAgIDAgQCBQIGAgcCCAIJAroCCwK7AnoAAAQADQIIAggCCAIIAggCCAIIAggCCAIIAggCCAIIAggCCAIIAggCEwIDBBQBAh4ABDMBAgICUwIEAgUCBgIHAggCCQIhAgsCuwINAggCCAIIAggCCAIIAggCCAIIAggCCAIIAggCCAIIAggCCAITAgMEKQECHgAEMwECAgJmAgQCBQIGAgcCCAIJAroCCwK7Ag0CCAIIAggCCAIIAggCCAIIAggCCAIIAggCCAIIAggCCAIIAhMCAwLyAh4ABDMBAgICXgIEAgUCBgIHAggCCQK6AgsCuwINAggCCAIIAggCCAIIAggCCAIIAggCCAIIAggCCAIIAggCCAITAgMC9wIeAAQzAQICAkUCBAIFAgYCBwIIAgkCIQILArsCDQIIAggCCAIIAggCCAIIAggCCAIIAggCCAIIAggCCAIIAggCEwIDAtYCHgAEMwECAgJOAgQCBQIGAgcCCAIJAiECCwK7Ag0CCAIIAggCCAIIAggCCAIIAggCCAIIAggCCAIIAggCCAIIAhMCAwLZAh4ABDMBAgICMgIEAgUCBgIHAggCCQIcAgsCuwINAggCCAIIAggCCAIIAggCCAIIAggCCAIIAggCCAIIAggCCAITAgMEDQECHgAEMwECAgIjAgQCBQIGAgcCCAIJAroCCwK7Ag0CCAIIAggCCAIIAggCCAIIAggCCAIIAggCCAIIAggCCAIIAhMCAwQZAQIeAAQzAQICAj4CBAIFAgYCBwIIAgkCIQILArsCDQIIAggCCAIIAggCCAIIAggCCAIIAggCCAIIAggCCAIIAggCEwIDBBsBAh4ABDMBAgICRwIEAgUCBgIHAggCCQIhAgsCuwINAggCCAIIAggCCAIIAggCCAIIAggCCAIIAggCCAIIAggCCAITAgMEIgECHgAEMwECAgJQAgQCBQIGAgcCCAIJAiECCwK7Ag0CCAIIAggCCAIIAggCCAIIAggCCAIIAggCCAIIAggCCAIIAhMCAwLHAh4ABDMBAgICMgIEAgUCBgIHAggCCQK6AgsCuwINAggCCAIIAggCCAIIAggCCAIIAggCCAIIAggCCAIIAggCCAITAgMC4wIeAAQzAQICAk4CBAIFAgYCBwIIAgkCHAILArsCDQIIAggCCAIIAggCCAIIAggCCAIIAggCCAIIAggCCAIIAggCEwIDAuUCHgAEMwECAgImAgQCBQIGAgcCCAIJAhwCCwK7Ag0CCAIIAggCCAIIAggCCAIIAggCCAIIAggCCAIIAggCCAIIAhMCAwLfAh4ABDMBAgICYAIEAgUCBgIHAggCCQIhAgsCuwINAggCCAIIAggCCAIIAggCCAIIAggCCAIIAggCCAIIAggCCAITAnoAAAQAAwLeAh4ABDMBAgICWQIEAgUCBgIHAggCCQIhAgsCuwINAggCCAIIAggCCAIIAggCCAIIAggCCAIIAggCCAIIAggCCAITAgMC4QIeAAQzAQICAi4CBAIFAgYCBwIIAgkCugILArsCDQIIAggCCAIIAggCCAIIAggCCAIIAggCCAIIAggCCAIIAggCEwIDAv8CHgAEMwECAgIeAgQCBQIGAgcCCAIJAroCCwK7Ag0CCAIIAggCCAIIAggCCAIIAggCCAIIAggCCAIIAggCCAIIAhMCAwLgAh4ABDMBAgICQwIEAgUCBgIHAggCCQIcAgsCuwINAggCCAIIAggCCAIIAggCCAIIAggCCAIIAggCCAIIAggCCAITAgMC2AIeAAQzAQICAiACBAIFAgYCBwIIAgkCHAILArsCDQIIAggCCAIIAggCCAIIAggCCAIIAggCCAIIAggCCAIIAggCEwIDBBwBAh4ABDMBAgICWQIEAgUCBgIHAggCCQIcAgsCuwINAggCCAIIAggCCAIIAggCCAIIAggCCAIIAggCCAIIAggCCAITAgMECwECHgAEMwECAgI2AgQCBQIGAgcCCAIJAroCCwK7Ag0CCAIIAggCCAIIAggCCAIIAggCCAIIAggCCAIIAggCCAIIAhMCAwL4Ah4ABDMBAgICIAIEAgUCBgIHAggCCQK6AgsCuwINAggCCAIIAggCCAIIAggCCAIIAggCCAIIAggCCAIIAggCCAITAgMC6AIeAAQzAQICAlcCBAIFAgYCBwIIAgkCHAILArsCDQIIAggCCAIIAggCCAIIAggCCAIIAggCCAIIAggCCAIIAggCEwIDBAABAh4ABDMBAgICLAIEAgUCBgIHAggCCQK6AgsCuwINAggCCAIIAggCCAIIAggCCAIIAggCCAIIAggCCAIIAggCCAITAgMEAwECHgAEMwECAgJBAgQCBQIGAgcCCAIJAiECCwK7Ag0CCAIIAggCCAIIAggCCAIIAggCCAIIAggCCAIIAggCCAIIAhMCAwLOAh4ABDMBAgICRQIEAgUCBgIHAggCCQIcAgsCuwINAggCCAIIAggCCAIIAggCCAIIAggCCAIIAggCCAIIAggCCAITAgMC5AIeAAQzAQICAjACBAIFAgYCBwIIAgkCIQILArsCDQIIAggCCAIIAggCCAIIAggCCAIIAggCCAIIAggCCAIIAggCEwIDAvECHgAEMwECAgJkAgQCBQIGAgcCCAIJAroCCwK7Ag0CCAIIAggCCAIIAggCCAIIAggCCAIIAggCCAIIAggCCAIIAhMCAwK8Ah4ABDMBAgICbwIEAgUCBgIHAggCCQK6AgsCuwINAggCCAIIAnoAAAQACAIIAggCCAIIAggCCAIIAggCCAIIAggCCAIIAhMCAwLSAh4ABDMBAgICbQIEAgUCBgIHAggCCQIcAgsCuwINAggCCAIIAggCCAIIAggCCAIIAggCCAIIAggCCAIIAggCCAITAgMCxgIeAAQzAQICAiACBAIFAgYCBwIIAgkCIQILArsCDQIIAggCCAIIAggCCAIIAggCCAIIAggCCAIIAggCCAIIAggCEwIDBAkBAh4ABDMBAgICYAIEAgUCBgIHAggCCQIcAgsCuwINAggCCAIIAggCCAIIAggCCAIIAggCCAIIAggCCAIIAggCCAITAgMECgECHgAEMwECAgJXAgQCBQIGAgcCCAIJAiECCwK7Ag0CCAIIAggCCAIIAggCCAIIAggCCAIIAggCCAIIAggCCAIIAhMCAwLbAh4ABDMBAgICNAIEAgUCBgIHAggCCQIhAgsCuwINAggCCAIIAggCCAIIAggCCAIIAggCCAIIAggCCAIIAggCCAITAgMC9gIeAAQzAQICAkcCBAIFAgYCBwIIAgkCugILArsCDQIIAggCCAIIAggCCAIIAggCCAIIAggCCAIIAggCCAIIAggCEwIDBAYBAh4ABDMBAgICPgIEAgUCBgIHAggCCQK6AgsCuwINAggCCAIIAggCCAIIAggCCAIIAggCCAIIAggCCAIIAggCCAITAgMC9QIeAAQzAQICAngCBAIFAgYCBwIIAgkCHAILArsCDQIIAggCCAIIAggCCAIIAggCCAIIAggCCAIIAggCCAIIAggCEwIDAtoCHgAENAEACTMxMTE4OTY2NAICAgMCBAIFAgYCBwIIAgkCIQILArsCDQIIAggCCAIIAggCCAIIAggCCAIIAggCCAIIAggCCAIIAggCFQIDAsICHgAENAECAgJpAgQCBQIGAgcCCAIJAhwCCwK7Ag0CCAIIAggCCAIIAggCCAIIAggCCAIIAggCCAIIAggCCAIIAhUCAwLAAh4ABDQBAgICbQIEAgUCBgIHAggCCQIcAgsCuwINAggCCAIIAggCCAIIAggCCAIIAggCCAIIAggCCAIIAggCCAIVAgMCxgIeAAQ0AQICAmACBAIFAgYCBwIIAgkCugILArsCDQIIAggCCAIIAggCCAIIAggCCAIIAggCCAIIAggCCAIIAggCFQIDAsUCHgAENAECAgJZAgQCBQIGAgcCCAIJAroCCwK7Ag0CCAIIAggCCAIIAggCCAIIAggCCAIIAggCCAIIAggCCAIIAhUCAwLDAh4ABDQBAgICTAIEAgUCBgIHAggCCQK6AgsCuwINAggCCAIIAggCCAIIAggCCAIIAggCCAIIAggCCAIIAggCCAIVAnoAAAQAAwQeAQIeAAQ0AQICAh4CBAIFAgYCBwIIAgkCIQILArsCDQIIAggCCAIIAggCCAIIAggCCAIIAggCCAIIAggCCAIIAggCFQIDAskCHgAENAECAgJcAgQCBQIGAgcCCAIJAroCCwK7Ag0CCAIIAggCCAIIAggCCAIIAggCCAIIAggCCAIIAggCCAIIAhUCAwQdAQIeAAQ0AQICAigCBAIFAgYCBwIIAgkCHAILArsCDQIIAggCCAIIAggCCAIIAggCCAIIAggCCAIIAggCCAIIAggCFQIDAssCHgAENAECAgJzAgQCBQIGAgcCCAIJAhwCCwK7Ag0CCAIIAggCCAIIAggCCAIIAggCCAIIAggCCAIIAggCCAIIAhUCAwLEAh4ABDQBAgICXgIEAgUCBgIHAggCCQIcAgsCuwINAggCCAIIAggCCAIIAggCCAIIAggCCAIIAggCCAIIAggCCAIVAgMC1QIeAAQ0AQICAlMCBAIFAgYCBwIIAgkCugILArsCDQIIAggCCAIIAggCCAIIAggCCAIIAggCCAIIAggCCAIIAggCFQIDAtMCHgAENAECAgJpAgQCBQIGAgcCCAIJAiECCwK7Ag0CCAIIAggCCAIIAggCCAIIAggCCAIIAggCCAIIAggCCAIIAhUCAwLPAh4ABDQBAgICZgIEAgUCBgIHAggCCQIcAgsCuwINAggCCAIIAggCCAIIAggCCAIIAggCCAIIAggCCAIIAggCCAIVAgMCzAIeAAQ0AQICAgMCBAIFAgYCBwIIAgkCHAILArsCDQIIAggCCAIIAggCCAIIAggCCAIIAggCCAIIAggCCAIIAggCFQIDAs0CHgAENAECAgJvAgQCBQIGAgcCCAIJAroCCwK7Ag0CCAIIAggCCAIIAggCCAIIAggCCAIIAggCCAIIAggCCAIIAhUCAwLSAh4ABDQBAgICVQIEAgUCBgIHAggCCQK6AgsCuwINAggCCAIIAggCCAIIAggCCAIIAggCCAIIAggCCAIIAggCCAIVAgMCygIeAAQ0AQICAlACBAIFAgYCBwIIAgkCIQILArsCDQIIAggCCAIIAggCCAIIAggCCAIIAggCCAIIAggCCAIIAggCFQIDAscCHgAENAECAgI4AgQCBQIGAgcCCAIJAiECCwK7Ag0CCAIIAggCCAIIAggCCAIIAggCCAIIAggCCAIIAggCCAIIAhUCAwLRAh4ABDQBAgICKAIEAgUCBgIHAggCCQIhAgsCuwINAggCCAIIAggCCAIIAggCCAIIAggCCAIIAggCCAIIAggCCAIVAgMCwQIeAAQ0AQICAmQCBAIFAgYCBwIIAgkCugILArsCDQIIAggCCAIIAnoAAAQACAIIAggCCAIIAggCCAIIAggCCAIIAggCCAIVAgMCvAIeAAQ0AQICAngCBAIFAgYCBwIIAgkCHAILArsCDQIIAggCCAIIAggCCAIIAggCCAIIAggCCAIIAggCCAIIAggCFQIDAtoCHgAENAECAgJJAgQCBQIGAgcCCAIJAiECCwK7Ag0CCAIIAggCCAIIAggCCAIIAggCCAIIAggCCAIIAggCCAIIAhUCAwLUAh4ABDQBAgICOwIEAgUCBgIHAggCCQIhAgsCuwINAggCCAIIAggCCAIIAggCCAIIAggCCAIIAggCCAIIAggCCAIVAgMC0AIeAAQ0AQICAmYCBAIFAgYCBwIIAgkCIQILArsCDQIIAggCCAIIAggCCAIIAggCCAIIAggCCAIIAggCCAIIAggCFQIDBBUBAh4ABDQBAgICNgIEAgUCBgIHAggCCQIcAgsCuwINAggCCAIIAggCCAIIAggCCAIIAggCCAIIAggCCAIIAggCCAIVAgMEEwECHgAENAECAgIgAgQCBQIGAgcCCAIJAhwCCwK7Ag0CCAIIAggCCAIIAggCCAIIAggCCAIIAggCCAIIAggCCAIIAhUCAwQcAQIeAAQ0AQICAmQCBAIFAgYCBwIIAgkCIQILArsCDQIIAggCCAIIAggCCAIIAggCCAIIAggCCAIIAggCCAIIAggCFQIDBBEBAh4ABDQBAgICKgIEAgUCBgIHAggCCQK6AgsCuwINAggCCAIIAggCCAIIAggCCAIIAggCCAIIAggCCAIIAggCCAIVAgMEEgECHgAENAECAgIbAgQCBQIGAgcCCAIJAroCCwK7Ag0CCAIIAggCCAIIAggCCAIIAggCCAIIAggCCAIIAggCCAIIAhUCAwQYAQIeAAQ0AQICAkcCBAIFAgYCBwIIAgkCIQILArsCDQIIAggCCAIIAggCCAIIAggCCAIIAggCCAIIAggCCAIIAggCFQIDBCIBAh4ABDQBAgICLAIEAgUCBgIHAggCCQIcAgsCuwINAggCCAIIAggCCAIIAggCCAIIAggCCAIIAggCCAIIAggCCAIVAgMEEAECHgAENAECAgIjAgQCBQIGAgcCCAIJAroCCwK7Ag0CCAIIAggCCAIIAggCCAIIAggCCAIIAggCCAIIAggCCAIIAhUCAwQZAQIeAAQ0AQICAmQCBAIFAgYCBwIIAgkCHAILArsCDQIIAggCCAIIAggCCAIIAggCCAIIAggCCAIIAggCCAIIAggCFQIDBCMBAh4ABDQBAgICQQIEAgUCBgIHAggCCQIhAgsCuwINAggCCAIIAggCCAIIAggCCAIIAggCCAIIAggCCAIIAggCCAIVAgMCzgIeAHoAAAQABDQBAgICbwIEAgUCBgIHAggCCQIcAgsCuwINAggCCAIIAggCCAIIAggCCAIIAggCCAIIAggCCAIIAggCCAIVAgMEGgECHgAENAECAgI+AgQCBQIGAgcCCAIJAiECCwK7Ag0CCAIIAggCCAIIAggCCAIIAggCCAIIAggCCAIIAggCCAIIAhUCAwQbAQIeAAQ0AQICAiwCBAIFAgYCBwIIAgkCugILArsCDQIIAggCCAIIAggCCAIIAggCCAIIAggCCAIIAggCCAIIAggCFQIDBAMBAh4ABDQBAgICVwIEAgUCBgIHAggCCQIcAgsCuwINAggCCAIIAggCCAIIAggCCAIIAggCCAIIAggCCAIIAggCCAIVAgMEAAECHgAENAECAgJcAgQCBQIGAgcCCAIJAiECCwK7Ag0CCAIIAggCCAIIAggCCAIIAggCCAIIAggCCAIIAggCCAIIAhUCAwQfAQIeAAQ0AQICAl4CBAIFAgYCBwIIAgkCIQILArsCDQIIAggCCAIIAggCCAIIAggCCAIIAggCCAIIAggCCAIIAggCFQIDBBYBAh4ABDQBAgICLgIEAgUCBgIHAggCCQK6AgsCuwINAggCCAIIAggCCAIIAggCCAIIAggCCAIIAggCCAIIAggCCAIVAgMC/wIeAAQ0AQICAlUCBAIFAgYCBwIIAgkCIQILArsCDQIIAggCCAIIAggCCAIIAggCCAIIAggCCAIIAggCCAIIAggCFQIDBCwBAh4ABDQBAgICUwIEAgUCBgIHAggCCQIhAgsCuwINAggCCAIIAggCCAIIAggCCAIIAggCCAIIAggCCAIIAggCCAIVAgMEKQECHgAENAECAgIuAgQCBQIGAgcCCAIJAiECCwK7Ag0CCAIIAggCCAIIAggCCAIIAggCCAIIAggCCAIIAggCCAIIAhUCAwQhAQIeAAQ0AQICAmkCBAIFAgYCBwIIAgkCugILArsCDQIIAggCCAIIAggCCAIIAggCCAIIAggCCAIIAggCCAIIAggCFQIDBBcBAh4ABDQBAgICOAIEAgUCBgIHAggCCQK6AgsCuwINAggCCAIIAggCCAIIAggCCAIIAggCCAIIAggCCAIIAggCCAIVAgMCOQIeAAQ0AQICAjsCBAIFAgYCBwIIAgkCugILArsCDQIIAggCCAIIAggCCAIIAggCCAIIAggCCAIIAggCCAIIAggCFQIDBCUBAh4ABDQBAgICRwIEAgUCBgIHAggCCQIcAgsCuwINAggCCAIIAggCCAIIAggCCAIIAggCCAIIAggCCAIIAggCCAIVAgMEJgECHgAENAECAgI+AgQCBQIGAgcCCAIJAhwCCwK7Ag0CCAIIAnoAAAQACAIIAggCCAIIAggCCAIIAggCCAIIAggCCAIIAggCFQIDBCcBAh4ABDQBAgICLAIEAgUCBgIHAggCCQIhAgsCuwINAggCCAIIAggCCAIIAggCCAIIAggCCAIIAggCCAIIAggCCAIVAgMEKgECHgAENAECAgJQAgQCBQIGAgcCCAIJAhwCCwK7Ag0CCAIIAggCCAIIAggCCAIIAggCCAIIAggCCAIIAggCCAIIAhUCAwK+Ah4ABDQBAgICSQIEAgUCBgIHAggCCQK6AgsCuwINAggCCAIIAggCCAIIAggCCAIIAggCCAIIAggCCAIIAggCCAIVAgMEJAECHgAENAECAgJvAgQCBQIGAgcCCAIJAiECCwK7Ag0CCAIIAggCCAIIAggCCAIIAggCCAIIAggCCAIIAggCCAIIAhUCAwQPAQIeAAQ0AQICAjICBAIFAgYCBwIIAgkCHAILArsCDQIIAggCCAIIAggCCAIIAggCCAIIAggCCAIIAggCCAIIAggCFQIDBA0BAh4ABDQBAgICQQIEAgUCBgIHAggCCQIcAgsCuwINAggCCAIIAggCCAIIAggCCAIIAggCCAIIAggCCAIIAggCCAIVAgMCvwIeAAQ0AQICAh4CBAIFAgYCBwIIAgkCHAILArsCDQIIAggCCAIIAggCCAIIAggCCAIIAggCCAIIAggCCAIIAggCFQIDBCgBAh4ABDQBAgICZgIEAgUCBgIHAggCCQK6AgsCuwINAggCCAIIAggCCAIIAggCCAIIAggCCAIIAggCCAIIAggCCAIVAgMC8gIeAAQ0AQICAgMCBAIFAgYCBwIIAgkCugILArsCDQIIAggCCAIIAggCCAIIAggCCAIIAggCCAIIAggCCAIIAggCFQIDBBQBAh4ABDQBAgICKAIEAgUCBgIHAggCCQK6AgsCuwINAggCCAIIAggCCAIIAggCCAIIAggCCAIIAggCCAIIAggCCAIVAgMEKwECHgAENAECAgIqAgQCBQIGAgcCCAIJAiECCwK7Ag0CCAIIAggCCAIIAggCCAIIAggCCAIIAggCCAIIAggCCAIIAhUCAwL9Ah4ABDQBAgICNAIEAgUCBgIHAggCCQIhAgsCuwINAggCCAIIAggCCAIIAggCCAIIAggCCAIIAggCCAIIAggCCAIVAgMC9gIeAAQ0AQICAl4CBAIFAgYCBwIIAgkCugILArsCDQIIAggCCAIIAggCCAIIAggCCAIIAggCCAIIAggCCAIIAggCFQIDAvcCHgAENAECAgJVAgQCBQIGAgcCCAIJAhwCCwK7Ag0CCAIIAggCCAIIAggCCAIIAggCCAIIAggCCAIIAggCCAIIAhUCAwL8AnoAAAQAHgAENAECAgI+AgQCBQIGAgcCCAIJAroCCwK7Ag0CCAIIAggCCAIIAggCCAIIAggCCAIIAggCCAIIAggCCAIIAhUCAwL1Ah4ABDQBAgICMAIEAgUCBgIHAggCCQIcAgsCuwINAggCCAIIAggCCAIIAggCCAIIAggCCAIIAggCCAIIAggCCAIVAgMEBAECHgAENAECAgJQAgQCBQIGAgcCCAIJAroCCwK7Ag0CCAIIAggCCAIIAggCCAIIAggCCAIIAggCCAIIAggCCAIIAhUCAwLnAh4ABDQBAgICIwIEAgUCBgIHAggCCQIhAgsCuwINAggCCAIIAggCCAIIAggCCAIIAggCCAIIAggCCAIIAggCCAIVAgMEIAECHgAENAECAgJTAgQCBQIGAgcCCAIJAhwCCwK7Ag0CCAIIAggCCAIIAggCCAIIAggCCAIIAggCCAIIAggCCAIIAhUCAwL7Ah4ABDQBAgICGwIEAgUCBgIHAggCCQIhAgsCuwINAggCCAIIAggCCAIIAggCCAIIAggCCAIIAggCCAIIAggCCAIVAgMC+QIeAAQ0AQICAkECBAIFAgYCBwIIAgkCugILArsCDQIIAggCCAIIAggCCAIIAggCCAIIAggCCAIIAggCCAIIAggCFQIDAvoCHgAENAECAgJgAgQCBQIGAgcCCAIJAhwCCwK7Ag0CCAIIAggCCAIIAggCCAIIAggCCAIIAggCCAIIAggCCAIIAhUCAwQKAQIeAAQ0AQICAlkCBAIFAgYCBwIIAgkCHAILArsCDQIIAggCCAIIAggCCAIIAggCCAIIAggCCAIIAggCCAIIAggCFQIDBAsBAh4ABDQBAgICbQIEAgUCBgIHAggCCQK6AgsCuwINAggCCAIIAggCCAIIAggCCAIIAggCCAIIAggCCAIIAggCCAIVAgMEBwECHgAENAECAgIyAgQCBQIGAgcCCAIJAiECCwK7Ag0CCAIIAggCCAIIAggCCAIIAggCCAIIAggCCAIIAggCCAIIAhUCAwQBAQIeAAQ0AQICAiYCBAIFAgYCBwIIAgkCugILArsCDQIIAggCCAIIAggCCAIIAggCCAIIAggCCAIIAggCCAIIAggCFQIDAvMCHgAENAECAgJMAgQCBQIGAgcCCAIJAiECCwK7Ag0CCAIIAggCCAIIAggCCAIIAggCCAIIAggCCAIIAggCCAIIAhUCAwL+Ah4ABDQBAgICNgIEAgUCBgIHAggCCQIhAgsCuwINAggCCAIIAggCCAIIAggCCAIIAggCCAIIAggCCAIIAggCCAIVAgMEBQECHgAENAECAgI0AgQCBQIGAgcCCAIJAhwCCwK7Ag0CCAIIAggCCHoAAAQAAggCCAIIAggCCAIIAggCCAIIAggCCAIIAggCFQIDBAIBAh4ABDQBAgICMAIEAgUCBgIHAggCCQIhAgsCuwINAggCCAIIAggCCAIIAggCCAIIAggCCAIIAggCCAIIAggCCAIVAgMC8QIeAAQ0AQICAiMCBAIFAgYCBwIIAgkCHAILArsCDQIIAggCCAIIAggCCAIIAggCCAIIAggCCAIIAggCCAIIAggCFQIDBAwBAh4ABDQBAgICQwIEAgUCBgIHAggCCQK6AgsCuwINAggCCAIIAggCCAIIAggCCAIIAggCCAIIAggCCAIIAggCCAIVAgMCOQIeAAQ0AQICAi4CBAIFAgYCBwIIAgkCHAILArsCDQIIAggCCAIIAggCCAIIAggCCAIIAggCCAIIAggCCAIIAggCFQIDBA4BAh4ABDQBAgICcwIEAgUCBgIHAggCCQK6AgsCuwINAggCCAIIAggCCAIIAggCCAIIAggCCAIIAggCCAIIAggCCAIVAgMECAECHgAENAECAgJFAgQCBQIGAgcCCAIJAroCCwK7Ag0CCAIIAggCCAIIAggCCAIIAggCCAIIAggCCAIIAggCCAIIAhUCAwLvAh4ABDQBAgICRwIEAgUCBgIHAggCCQK6AgsCuwINAggCCAIIAggCCAIIAggCCAIIAggCCAIIAggCCAIIAggCCAIVAgMEBgECHgAENAECAgJcAgQCBQIGAgcCCAIJAhwCCwK7Ag0CCAIIAggCCAIIAggCCAIIAggCCAIIAggCCAIIAggCCAIIAhUCAwLuAh4ABDQBAgICIAIEAgUCBgIHAggCCQIhAgsCuwINAggCCAIIAggCCAIIAggCCAIIAggCCAIIAggCCAIIAggCCAIVAgMECQECHgAENAECAgJOAgQCBQIGAgcCCAIJAroCCwK7Ag0CCAIIAggCCAIIAggCCAIIAggCCAIIAggCCAIIAggCCAIIAhUCAwLwAh4ABDQBAgICVwIEAgUCBgIHAggCCQIhAgsCuwINAggCCAIIAggCCAIIAggCCAIIAggCCAIIAggCCAIIAggCCAIVAgMC2wIeAAQ0AQICAkkCBAIFAgYCBwIIAgkCHAILArsCDQIIAggCCAIIAggCCAIIAggCCAIIAggCCAIIAggCCAIIAggCFQIDAtwCHgAENAECAgI0AgQCBQIGAgcCCAIJAroCCwK7Ag0CCAIIAggCCAIIAggCCAIIAggCCAIIAggCCAIIAggCCAIIAhUCAwLXAh4ABDQBAgICRQIEAgUCBgIHAggCCQIhAgsCuwINAggCCAIIAggCCAIIAggCCAIIAggCCAIIAggCCAIIAggCCAIVAgMC1gIeAAQ0AXoAAAQAAgICTgIEAgUCBgIHAggCCQIhAgsCuwINAggCCAIIAggCCAIIAggCCAIIAggCCAIIAggCCAIIAggCCAIVAgMC2QIeAAQ0AQICAiYCBAIFAgYCBwIIAgkCHAILArsCDQIIAggCCAIIAggCCAIIAggCCAIIAggCCAIIAggCCAIIAggCFQIDAt8CHgAENAECAgI4AgQCBQIGAgcCCAIJAhwCCwK7Ag0CCAIIAggCCAIIAggCCAIIAggCCAIIAggCCAIIAggCCAIIAhUCAwLYAh4ABDQBAgICTgIEAgUCBgIHAggCCQIcAgsCuwINAggCCAIIAggCCAIIAggCCAIIAggCCAIIAggCCAIIAggCCAIVAgMC5QIeAAQ0AQICAjICBAIFAgYCBwIIAgkCugILArsCDQIIAggCCAIIAggCCAIIAggCCAIIAggCCAIIAggCCAIIAggCFQIDAuMCHgAENAECAgIeAgQCBQIGAgcCCAIJAroCCwK7Ag0CCAIIAggCCAIIAggCCAIIAggCCAIIAggCCAIIAggCCAIIAhUCAwLgAh4ABDQBAgICYAIEAgUCBgIHAggCCQIhAgsCuwINAggCCAIIAggCCAIIAggCCAIIAggCCAIIAggCCAIIAggCCAIVAgMC3gIeAAQ0AQICAlkCBAIFAgYCBwIIAgkCIQILArsCDQIIAggCCAIIAggCCAIIAggCCAIIAggCCAIIAggCCAIIAggCFQIDAuECHgAENAECAgJ4AgQCBQIGAgcCCAIJAroCCwK7Ag0CCAIIAggCCAIIAggCCAIIAggCCAIIAggCCAIIAggCCAIIAhUCAwLIAh4ABDQBAgICOwIEAgUCBgIHAggCCQIcAgsCuwINAggCCAIIAggCCAIIAggCCAIIAggCCAIIAggCCAIIAggCCAIVAgMC3QIeAAQ0AQICAkMCBAIFAgYCBwIIAgkCHAILArsCDQIIAggCCAIIAggCCAIIAggCCAIIAggCCAIIAggCCAIIAggCFQIDAtgCHgAENAECAgI2AgQCBQIGAgcCCAIJAroCCwK7Ag0CCAIIAggCCAIIAggCCAIIAggCCAIIAggCCAIIAggCCAIIAhUCAwL4Ah4ABDQBAgICKgIEAgUCBgIHAggCCQIcAgsCuwINAggCCAIIAggCCAIIAggCCAIIAggCCAIIAggCCAIIAggCCAIVAgMC4gIeAAQ0AQICAiACBAIFAgYCBwIIAgkCugILArsCDQIIAggCCAIIAggCCAIIAggCCAIIAggCCAIIAggCCAIIAggCFQIDAugCHgAENAECAgJ4AgQCBQIGAgcCCAIJAiECCwK7Ag0CCAIIAggCCAIIAggCCAIIAggCCHoAAAQAAggCCAIIAggCCAIIAggCFQIDAuYCHgAENAECAgJFAgQCBQIGAgcCCAIJAhwCCwK7Ag0CCAIIAggCCAIIAggCCAIIAggCCAIIAggCCAIIAggCCAIIAhUCAwLkAh4ABDQBAgICJgIEAgUCBgIHAggCCQIhAgsCuwINAggCCAIIAggCCAIIAggCCAIIAggCCAIIAggCCAIIAggCCAIVAgMC7AIeAAQ0AQICAkMCBAIFAgYCBwIIAgkCIQILArsCDQIIAggCCAIIAggCCAIIAggCCAIIAggCCAIIAggCCAIIAggCFQIDAtECHgAENAECAgJzAgQCBQIGAgcCCAIJAiECCwK7Ag0CCAIIAggCCAIIAggCCAIIAggCCAIIAggCCAIIAggCCAIIAhUCAwK9Ah4ABDQBAgICTAIEAgUCBgIHAggCCQIcAgsCuwINAggCCAIIAggCCAIIAggCCAIIAggCCAIIAggCCAIIAggCCAIVAgMC9AIeAAQ0AQICAhsCBAIFAgYCBwIIAgkCHAILArsCDQIIAggCCAIIAggCCAIIAggCCAIIAggCCAIIAggCCAIIAggCFQIDAu0CHgAENAECAgIwAgQCBQIGAgcCCAIJAroCCwK7Ag0CCAIIAggCCAIIAggCCAIIAggCCAIIAggCCAIIAggCCAIIAhUCAwLqAh4ABDQBAgICVwIEAgUCBgIHAggCCQK6AgsCuwINAggCCAIIAggCCAIIAggCCAIIAggCCAIIAggCCAIIAggCCAIVAgMC6wIeAAQ0AQICAm0CBAIFAgYCBwIIAgkCIQILArsCDQIIAggCCAIIAggCCAIIAggCCAIIAggCCAIIAggCCAIIAggCFQIDAukCHgAENQEACTMxMTE4MjcwNAICAjQCBAIFAgYCBwIIAgkCIQILArsCDQIIAggCCAIIAggCCAIIAggCCAIIAggCCAIIAggCCAIIAggCEQIDAvYCHgAENQECAgJeAgQCBQIGAgcCCAIJAroCCwK7Ag0CCAIIAggCCAIIAggCCAIIAggCCAIIAggCCAIIAggCCAIIAhECAwL3Ah4ABDUBAgICPgIEAgUCBgIHAggCCQK6AgsCuwINAggCCAIIAggCCAIIAggCCAIIAggCCAIIAggCCAIIAggCCAIRAgMC9QIeAAQ1AQICAlMCBAIFAgYCBwIIAgkCHAILArsCDQIIAggCCAIIAggCCAIIAggCCAIIAggCCAIIAggCCAIIAggCEQIDAvsCHgAENQECAgJVAgQCBQIGAgcCCAIJAhwCCwK7Ag0CCAIIAggCCAIIAggCCAIIAggCCAIIAggCCAIIAggCCAIIAhECAwL8Ah4ABDUBAgICKgIEAnoAAAQABQIGAgcCCAIJAiECCwK7Ag0CCAIIAggCCAIIAggCCAIIAggCCAIIAggCCAIIAggCCAIIAhECAwL9Ah4ABDUBAgICXAIEAgUCBgIHAggCCQIcAgsCuwINAggCCAIIAggCCAIIAggCCAIIAggCCAIIAggCCAIIAggCCAIRAgMC7gIeAAQ1AQICAkUCBAIFAgYCBwIIAgkCugILArsCDQIIAggCCAIIAggCCAIIAggCCAIIAggCCAIIAggCCAIIAggCEQIDAu8CHgAENQECAgIwAgQCBQIGAgcCCAIJAiECCwK7Ag0CCAIIAggCCAIIAggCCAIIAggCCAIIAggCCAIIAggCCAIIAhECAwLxAh4ABDUBAgICTgIEAgUCBgIHAggCCQK6AgsCuwINAggCCAIIAggCCAIIAggCCAIIAggCCAIIAggCCAIIAggCCAIRAgMC8AIeAAQ1AQICAkwCBAIFAgYCBwIIAgkCHAILArsCDQIIAggCCAIIAggCCAIIAggCCAIIAggCCAIIAggCCAIIAggCEQIDAvQCHgAENQECAgJmAgQCBQIGAgcCCAIJAroCCwK7Ag0CCAIIAggCCAIIAggCCAIIAggCCAIIAggCCAIIAggCCAIIAhECAwLyAh4ABDUBAgICRwIEAgUCBgIHAggCCQK6AgsCuwINAggCCAIIAggCCAIIAggCCAIIAggCCAIIAggCCAIIAggCCAIRAgMEBgECHgAENQECAgJpAgQCBQIGAgcCCAIJAroCCwK7Ag0CCAIIAggCCAIIAggCCAIIAggCCAIIAggCCAIIAggCCAIIAhECAwQXAQIeAAQ1AQICAlUCBAIFAgYCBwIIAgkCIQILArsCDQIIAggCCAIIAggCCAIIAggCCAIIAggCCAIIAggCCAIIAggCEQIDBCwBAh4ABDUBAgICIAIEAgUCBgIHAggCCQK6AgsCuwINAggCCAIIAggCCAIIAggCCAIIAggCCAIIAggCCAIIAggCCAIRAgMC6AIeAAQ1AQICAlMCBAIFAgYCBwIIAgkCIQILArsCDQIIAggCCAIIAggCCAIIAggCCAIIAggCCAIIAggCCAIIAggCEQIDBCkBAh4ABDUBAgICKAIEAgUCBgIHAggCCQK6AgsCuwINAggCCAIIAggCCAIIAggCCAIIAggCCAIIAggCCAIIAggCCAIRAgMEKwECHgAENQECAgIsAgQCBQIGAgcCCAIJAiECCwK7Ag0CCAIIAggCCAIIAggCCAIIAggCCAIIAggCCAIIAggCCAIIAhECAwQqAQIeAAQ1AQICAioCBAIFAgYCBwIIAgkCHAILArsCDQIIAggCCAIIAggCCAIIAggCCAIIAnoAAAQACAIIAggCCAIIAggCCAIRAgMC4gIeAAQ1AQICAhsCBAIFAgYCBwIIAgkCHAILArsCDQIIAggCCAIIAggCCAIIAggCCAIIAggCCAIIAggCCAIIAggCEQIDAu0CHgAENQECAgIyAgQCBQIGAgcCCAIJAroCCwK7Ag0CCAIIAggCCAIIAggCCAIIAggCCAIIAggCCAIIAggCCAIIAhECAwLjAh4ABDUBAgICZAIEAgUCBgIHAggCCQIcAgsCuwINAggCCAIIAggCCAIIAggCCAIIAggCCAIIAggCCAIIAggCCAIRAgMEIwECHgAENQECAgIjAgQCBQIGAgcCCAIJAiECCwK7Ag0CCAIIAggCCAIIAggCCAIIAggCCAIIAggCCAIIAggCCAIIAhECAwQgAQIeAAQ1AQICAkECBAIFAgYCBwIIAgkCugILArsCDQIIAggCCAIIAggCCAIIAggCCAIIAggCCAIIAggCCAIIAggCEQIDAvoCHgAENQECAgIuAgQCBQIGAgcCCAIJAiECCwK7Ag0CCAIIAggCCAIIAggCCAIIAggCCAIIAggCCAIIAggCCAIIAhECAwQhAQIeAAQ1AQICAlwCBAIFAgYCBwIIAgkCIQILArsCDQIIAggCCAIIAggCCAIIAggCCAIIAggCCAIIAggCCAIIAggCEQIDBB8BAh4ABDUBAgICNgIEAgUCBgIHAggCCQK6AgsCuwINAggCCAIIAggCCAIIAggCCAIIAggCCAIIAggCCAIIAggCCAIRAgMC+AIeAAQ1AQICAlACBAIFAgYCBwIIAgkCugILArsCDQIIAggCCAIIAggCCAIIAggCCAIIAggCCAIIAggCCAIIAggCEQIDAucCHgAENQECAgIgAgQCBQIGAgcCCAIJAhwCCwK7Ag0CCAIIAggCCAIIAggCCAIIAggCCAIIAggCCAIIAggCCAIIAhECAwQcAQIeAAQ1AQICAlkCBAIFAgYCBwIIAgkCIQILArsCDQIIAggCCAIIAggCCAIIAggCCAIIAggCCAIIAggCCAIIAggCEQIDAuECHgAENQECAgJgAgQCBQIGAgcCCAIJAiECCwK7Ag0CCAIIAggCCAIIAggCCAIIAggCCAIIAggCCAIIAggCCAIIAhECAwLeAh4ABDUBAgICQwIEAgUCBgIHAggCCQIcAgsCuwINAggCCAIIAggCCAIIAggCCAIIAggCCAIIAggCCAIIAggCCAIRAgMC2AIeAAQ1AQICAiYCBAIFAgYCBwIIAgkCHAILArsCDQIIAggCCAIIAggCCAIIAggCCAIIAggCCAIIAggCCAIIAggCEQIDAt8CHgAENQECAgJHAgQCBQIGAgcCCHoAAAQAAgkCIQILArsCDQIIAggCCAIIAggCCAIIAggCCAIIAggCCAIIAggCCAIIAggCEQIDBCIBAh4ABDUBAgICPgIEAgUCBgIHAggCCQIhAgsCuwINAggCCAIIAggCCAIIAggCCAIIAggCCAIIAggCCAIIAggCCAIRAgMEGwECHgAENQECAgIeAgQCBQIGAgcCCAIJAroCCwK7Ag0CCAIIAggCCAIIAggCCAIIAggCCAIIAggCCAIIAggCCAIIAhECAwLgAh4ABDUBAgICIwIEAgUCBgIHAggCCQK6AgsCuwINAggCCAIIAggCCAIIAggCCAIIAggCCAIIAggCCAIIAggCCAIRAgMEGQECHgAENQECAgIyAgQCBQIGAgcCCAIJAhwCCwK7Ag0CCAIIAggCCAIIAggCCAIIAggCCAIIAggCCAIIAggCCAIIAhECAwQNAQIeAAQ1AQICAngCBAIFAgYCBwIIAgkCHAILArsCDQIIAggCCAIIAggCCAIIAggCCAIIAggCCAIIAggCCAIIAggCEQIDAtoCHgAENQECAgJvAgQCBQIGAgcCCAIJAiECCwK7Ag0CCAIIAggCCAIIAggCCAIIAggCCAIIAggCCAIIAggCCAIIAhECAwQPAQIeAAQ1AQICAmQCBAIFAgYCBwIIAgkCIQILArsCDQIIAggCCAIIAggCCAIIAggCCAIIAggCCAIIAggCCAIIAggCEQIDBBEBAh4ABDUBAgICAwIEAgUCBgIHAggCCQK6AgsCuwINAggCCAIIAggCCAIIAggCCAIIAggCCAIIAggCCAIIAggCCAIRAgMEFAECHgAENQECAgI2AgQCBQIGAgcCCAIJAhwCCwK7Ag0CCAIIAggCCAIIAggCCAIIAggCCAIIAggCCAIIAggCCAIIAhECAwQTAQIeAAQ1AQICAlcCBAIFAgYCBwIIAgkCIQILArsCDQIIAggCCAIIAggCCAIIAggCCAIIAggCCAIIAggCCAIIAggCEQIDAtsCHgAENQECAgI2AgQCBQIGAgcCCAIJAiECCwK7Ag0CCAIIAggCCAIIAggCCAIIAggCCAIIAggCCAIIAggCCAIIAhECAwQFAQIeAAQ1AQICAmACBAIFAgYCBwIIAgkCHAILArsCDQIIAggCCAIIAggCCAIIAggCCAIIAggCCAIIAggCCAIIAggCEQIDBAoBAh4ABDUBAgICVQIEAgUCBgIHAggCCQK6AgsCuwINAggCCAIIAggCCAIIAggCCAIIAggCCAIIAggCCAIIAggCCAIRAgMCygIeAAQ1AQICAiACBAIFAgYCBwIIAgkCIQILArsCDQIIAggCCAIIAggCCAIIAggCCAIIAggCCHoAAAQAAggCCAIIAggCCAIRAgMECQECHgAENQECAgIyAgQCBQIGAgcCCAIJAiECCwK7Ag0CCAIIAggCCAIIAggCCAIIAggCCAIIAggCCAIIAggCCAIIAhECAwQBAQIeAAQ1AQICAm8CBAIFAgYCBwIIAgkCugILArsCDQIIAggCCAIIAggCCAIIAggCCAIIAggCCAIIAggCCAIIAggCEQIDAtICHgAENQECAgJZAgQCBQIGAgcCCAIJAhwCCwK7Ag0CCAIIAggCCAIIAggCCAIIAggCCAIIAggCCAIIAggCCAIIAhECAwQLAQIeAAQ1AQICAlMCBAIFAgYCBwIIAgkCugILArsCDQIIAggCCAIIAggCCAIIAggCCAIIAggCCAIIAggCCAIIAggCEQIDAtMCHgAENQECAgJcAgQCBQIGAgcCCAIJAroCCwK7Ag0CCAIIAggCCAIIAggCCAIIAggCCAIIAggCCAIIAggCCAIIAhECAwQdAQIeAAQ1AQICAkECBAIFAgYCBwIIAgkCIQILArsCDQIIAggCCAIIAggCCAIIAggCCAIIAggCCAIIAggCCAIIAggCEQIDAs4CHgAENQECAgJQAgQCBQIGAgcCCAIJAiECCwK7Ag0CCAIIAggCCAIIAggCCAIIAggCCAIIAggCCAIIAggCCAIIAhECAwLHAh4ABDUBAgICNAIEAgUCBgIHAggCCQIcAgsCuwINAggCCAIIAggCCAIIAggCCAIIAggCCAIIAggCCAIIAggCCAIRAgMEAgECHgAENQECAgIuAgQCBQIGAgcCCAIJAroCCwK7Ag0CCAIIAggCCAIIAggCCAIIAggCCAIIAggCCAIIAggCCAIIAhECAwL/Ah4ABDUBAgICMAIEAgUCBgIHAggCCQIcAgsCuwINAggCCAIIAggCCAIIAggCCAIIAggCCAIIAggCCAIIAggCCAIRAgMEBAECHgAENQECAgIeAgQCBQIGAgcCCAIJAiECCwK7Ag0CCAIIAggCCAIIAggCCAIIAggCCAIIAggCCAIIAggCCAIIAhECAwLJAh4ABDUBAgICLAIEAgUCBgIHAggCCQK6AgsCuwINAggCCAIIAggCCAIIAggCCAIIAggCCAIIAggCCAIIAggCCAIRAgMEAwECHgAENQECAgJXAgQCBQIGAgcCCAIJAhwCCwK7Ag0CCAIIAggCCAIIAggCCAIIAggCCAIIAggCCAIIAggCCAIIAhECAwQAAQIeAAQ1AQICAmkCBAIFAgYCBwIIAgkCHAILArsCDQIIAggCCAIIAggCCAIIAggCCAIIAggCCAIIAggCCAIIAggCEQIDAsACHgAENQECAgIDAgQCBQIGAgcCCHoAAAQAAgkCIQILArsCDQIIAggCCAIIAggCCAIIAggCCAIIAggCCAIIAggCCAIIAggCEQIDAsICHgAENQECAgJZAgQCBQIGAgcCCAIJAroCCwK7Ag0CCAIIAggCCAIIAggCCAIIAggCCAIIAggCCAIIAggCCAIIAhECAwLDAh4ABDUBAgICbQIEAgUCBgIHAggCCQIcAgsCuwINAggCCAIIAggCCAIIAggCCAIIAggCCAIIAggCCAIIAggCCAIRAgMCxgIeAAQ1AQICAnMCBAIFAgYCBwIIAgkCHAILArsCDQIIAggCCAIIAggCCAIIAggCCAIIAggCCAIIAggCCAIIAggCEQIDAsQCHgAENQECAgJgAgQCBQIGAgcCCAIJAroCCwK7Ag0CCAIIAggCCAIIAggCCAIIAggCCAIIAggCCAIIAggCCAIIAhECAwLFAh4ABDUBAgICZAIEAgUCBgIHAggCCQK6AgsCuwINAggCCAIIAggCCAIIAggCCAIIAggCCAIIAggCCAIIAggCCAIRAgMCvAIeAAQ1AQICAnMCBAIFAgYCBwIIAgkCIQILArsCDQIIAggCCAIIAggCCAIIAggCCAIIAggCCAIIAggCCAIIAggCEQIDAr0CHgAENQECAgJXAgQCBQIGAgcCCAIJAroCCwK7Ag0CCAIIAggCCAIIAggCCAIIAggCCAIIAggCCAIIAggCCAIIAhECAwLrAh4ABDUBAgICUAIEAgUCBgIHAggCCQIcAgsCuwINAggCCAIIAggCCAIIAggCCAIIAggCCAIIAggCCAIIAggCCAIRAgMCvgIeAAQ1AQICAigCBAIFAgYCBwIIAgkCIQILArsCDQIIAggCCAIIAggCCAIIAggCCAIIAggCCAIIAggCCAIIAggCEQIDAsECHgAENQECAgJBAgQCBQIGAgcCCAIJAhwCCwK7Ag0CCAIIAggCCAIIAggCCAIIAggCCAIIAggCCAIIAggCCAIIAhECAwK/Ah4ABDUBAgICRwIEAgUCBgIHAggCCQIcAgsCuwINAggCCAIIAggCCAIIAggCCAIIAggCCAIIAggCCAIIAggCCAIRAgMEJgECHgAENQECAgIeAgQCBQIGAgcCCAIJAhwCCwK7Ag0CCAIIAggCCAIIAggCCAIIAggCCAIIAggCCAIIAggCCAIIAhECAwQoAQIeAAQ1AQICAkkCBAIFAgYCBwIIAgkCugILArsCDQIIAggCCAIIAggCCAIIAggCCAIIAggCCAIIAggCCAIIAggCEQIDBCQBAh4ABDUBAgICeAIEAgUCBgIHAggCCQIhAgsCuwINAggCCAIIAggCCAIIAggCCAIIAggCCAIIAggCCAIIAnoAAAQACAIIAhECAwLmAh4ABDUBAgICbQIEAgUCBgIHAggCCQIhAgsCuwINAggCCAIIAggCCAIIAggCCAIIAggCCAIIAggCCAIIAggCCAIRAgMC6QIeAAQ1AQICAj4CBAIFAgYCBwIIAgkCHAILArsCDQIIAggCCAIIAggCCAIIAggCCAIIAggCCAIIAggCCAIIAggCEQIDBCcBAh4ABDUBAgICOwIEAgUCBgIHAggCCQK6AgsCuwINAggCCAIIAggCCAIIAggCCAIIAggCCAIIAggCCAIIAggCCAIRAgMEJQECHgAENQECAgJFAgQCBQIGAgcCCAIJAhwCCwK7Ag0CCAIIAggCCAIIAggCCAIIAggCCAIIAggCCAIIAggCCAIIAhECAwLkAh4ABDUBAgICTAIEAgUCBgIHAggCCQK6AgsCuwINAggCCAIIAggCCAIIAggCCAIIAggCCAIIAggCCAIIAggCCAIRAgMEHgECHgAENQECAgJOAgQCBQIGAgcCCAIJAhwCCwK7Ag0CCAIIAggCCAIIAggCCAIIAggCCAIIAggCCAIIAggCCAIIAhECAwLlAh4ABDUBAgICOAIEAgUCBgIHAggCCQK6AgsCuwINAggCCAIIAggCCAIIAggCCAIIAggCCAIIAggCCAIIAggCCAIRAgMCOQIeAAQ1AQICAkkCBAIFAgYCBwIIAgkCHAILArsCDQIIAggCCAIIAggCCAIIAggCCAIIAggCCAIIAggCCAIIAggCEQIDAtwCHgAENQECAgI7AgQCBQIGAgcCCAIJAhwCCwK7Ag0CCAIIAggCCAIIAggCCAIIAggCCAIIAggCCAIIAggCCAIIAhECAwLdAh4ABDUBAgICZgIEAgUCBgIHAggCCQIhAgsCuwINAggCCAIIAggCCAIIAggCCAIIAggCCAIIAggCCAIIAggCCAIRAgMEFQECHgAENQECAgI4AgQCBQIGAgcCCAIJAhwCCwK7Ag0CCAIIAggCCAIIAggCCAIIAggCCAIIAggCCAIIAggCCAIIAhECAwLYAh4ABDUBAgICXgIEAgUCBgIHAggCCQIhAgsCuwINAggCCAIIAggCCAIIAggCCAIIAggCCAIIAggCCAIIAggCCAIRAgMEFgECHgAENQECAgJvAgQCBQIGAgcCCAIJAhwCCwK7Ag0CCAIIAggCCAIIAggCCAIIAggCCAIIAggCCAIIAggCCAIIAhECAwQaAQIeAAQ1AQICAhsCBAIFAgYCBwIIAgkCugILArsCDQIIAggCCAIIAggCCAIIAggCCAIIAggCCAIIAggCCAIIAggCEQIDBBgBAh4ABDUBAgICRQIEAgUCBgIHAggCCQIhAgsCu3oAAAQAAg0CCAIIAggCCAIIAggCCAIIAggCCAIIAggCCAIIAggCCAIIAhECAwLWAh4ABDUBAgICQwIEAgUCBgIHAggCCQIhAgsCuwINAggCCAIIAggCCAIIAggCCAIIAggCCAIIAggCCAIIAggCCAIRAgMC0QIeAAQ1AQICAiYCBAIFAgYCBwIIAgkCIQILArsCDQIIAggCCAIIAggCCAIIAggCCAIIAggCCAIIAggCCAIIAggCEQIDAuwCHgAENQECAgIjAgQCBQIGAgcCCAIJAhwCCwK7Ag0CCAIIAggCCAIIAggCCAIIAggCCAIIAggCCAIIAggCCAIIAhECAwQMAQIeAAQ1AQICAiwCBAIFAgYCBwIIAgkCHAILArsCDQIIAggCCAIIAggCCAIIAggCCAIIAggCCAIIAggCCAIIAggCEQIDBBABAh4ABDUBAgICKgIEAgUCBgIHAggCCQK6AgsCuwINAggCCAIIAggCCAIIAggCCAIIAggCCAIIAggCCAIIAggCCAIRAgMEEgECHgAENQECAgI0AgQCBQIGAgcCCAIJAroCCwK7Ag0CCAIIAggCCAIIAggCCAIIAggCCAIIAggCCAIIAggCCAIIAhECAwLXAh4ABDUBAgICMAIEAgUCBgIHAggCCQK6AgsCuwINAggCCAIIAggCCAIIAggCCAIIAggCCAIIAggCCAIIAggCCAIRAgMC6gIeAAQ1AQICAjsCBAIFAgYCBwIIAgkCIQILArsCDQIIAggCCAIIAggCCAIIAggCCAIIAggCCAIIAggCCAIIAggCEQIDAtACHgAENQECAgJOAgQCBQIGAgcCCAIJAiECCwK7Ag0CCAIIAggCCAIIAggCCAIIAggCCAIIAggCCAIIAggCCAIIAhECAwLZAh4ABDUBAgICLgIEAgUCBgIHAggCCQIcAgsCuwINAggCCAIIAggCCAIIAggCCAIIAggCCAIIAggCCAIIAggCCAIRAgMEDgECHgAENQECAgI4AgQCBQIGAgcCCAIJAiECCwK7Ag0CCAIIAggCCAIIAggCCAIIAggCCAIIAggCCAIIAggCCAIIAhECAwLRAh4ABDUBAgICaQIEAgUCBgIHAggCCQIhAgsCuwINAggCCAIIAggCCAIIAggCCAIIAggCCAIIAggCCAIIAggCCAIRAgMCzwIeAAQ1AQICAkkCBAIFAgYCBwIIAgkCIQILArsCDQIIAggCCAIIAggCCAIIAggCCAIIAggCCAIIAggCCAIIAggCEQIDAtQCHgAENQECAgJtAgQCBQIGAgcCCAIJAroCCwK7Ag0CCAIIAggCCAIIAggCCAIIAggCCAIIAggCCAIIAggCCAIIAhECA3oAAAQABAcBAh4ABDUBAgICXgIEAgUCBgIHAggCCQIcAgsCuwINAggCCAIIAggCCAIIAggCCAIIAggCCAIIAggCCAIIAggCCAIRAgMC1QIeAAQ1AQICAnMCBAIFAgYCBwIIAgkCugILArsCDQIIAggCCAIIAggCCAIIAggCCAIIAggCCAIIAggCCAIIAggCEQIDBAgBAh4ABDUBAgICQwIEAgUCBgIHAggCCQK6AgsCuwINAggCCAIIAggCCAIIAggCCAIIAggCCAIIAggCCAIIAggCCAIRAgMCOQIeAAQ1AQICAhsCBAIFAgYCBwIIAgkCIQILArsCDQIIAggCCAIIAggCCAIIAggCCAIIAggCCAIIAggCCAIIAggCEQIDAvkCHgAENQECAgJMAgQCBQIGAgcCCAIJAiECCwK7Ag0CCAIIAggCCAIIAggCCAIIAggCCAIIAggCCAIIAggCCAIIAhECAwL+Ah4ABDUBAgICJgIEAgUCBgIHAggCCQK6AgsCuwINAggCCAIIAggCCAIIAggCCAIIAggCCAIIAggCCAIIAggCCAIRAgMC8wIeAAQ1AQICAgMCBAIFAgYCBwIIAgkCHAILArsCDQIIAggCCAIIAggCCAIIAggCCAIIAggCCAIIAggCCAIIAggCEQIDAs0CHgAENQECAgJ4AgQCBQIGAgcCCAIJAroCCwK7Ag0CCAIIAggCCAIIAggCCAIIAggCCAIIAggCCAIIAggCCAIIAhECAwLIAh4ABDUBAgICZgIEAgUCBgIHAggCCQIcAgsCuwINAggCCAIIAggCCAIIAggCCAIIAggCCAIIAggCCAIIAggCCAIRAgMCzAIeAAQ1AQICAigCBAIFAgYCBwIIAgkCHAILArsCDQIIAggCCAIIAggCCAIIAggCCAIIAggCCAIIAggCCAIIAggCEQIDAssCHgAENgEACTU0NzYxNTY0OAICAgMCBAIFAgYCBwIIAgkCHAILArsCDQIIAggCCAIIAggCCAIIAggCCAIIAggCCAIIAggCCAIIAggCHQIDAs0CHgAENgECAgJVAgQCBQIGAgcCCAIJAroCCwK7Ag0CCAIIAggCCAIIAggCCAIIAggCCAIIAggCCAIIAggCCAIIAh0CAwLKAh4ABDYBAgICeAIEAgUCBgIHAggCCQIhAgsCuwINAggCCAIIAggCCAIIAggCCAIIAggCCAIIAggCCAIIAggCCAIdAgMC5gIeAAQ2AQICAlMCBAIFAgYCBwIIAgkCugILArsCDQIIAggCCAIIAggCCAIIAggCCAIIAggCCAIIAggCCAIIAggCHQIDAtMCHgAENgECAgJMAgQCBQIGAgcCCAIJAroCCwK7AnoAAAQADQIIAggCCAIIAggCCAIIAggCCAIIAggCCAIIAggCCAIIAggCHQIDBB4BAh4ABDYBAgICHgIEAgUCBgIHAggCCQIhAgsCuwINAggCCAIIAggCCAIIAggCCAIIAggCCAIIAggCCAIIAggCCAIdAgMCyQIeAAQ2AQICAjACBAIFAgYCBwIIAgkCugILArsCDQIIAggCCAIIAggCCAIIAggCCAIIAggCCAIIAggCCAIIAggCHQIDAuoCHgAENgECAgI7AgQCBQIGAgcCCAIJAiECCwK7Ag0CCAIIAggCCAIIAggCCAIIAggCCAIIAggCCAIIAggCCAIIAh0CAwLQAh4ABDYBAgICSQIEAgUCBgIHAggCCQIhAgsCuwINAggCCAIIAggCCAIIAggCCAIIAggCCAIIAggCCAIIAggCCAIdAgMC1AIeAAQ2AQICAh4CBAIFAgYCBwIIAgkCHAILArsCDQIIAggCCAIIAggCCAIIAggCCAIIAggCCAIIAggCCAIIAggCHQIDBCgBAh4ABDYBAgICOAIEAgUCBgIHAggCCQIhAgsCuwINAggCCAIIAggCCAIIAggCCAIIAggCCAIIAggCCAIIAggCCAIdAgMC0QIeAAQ2AQICAlcCBAIFAgYCBwIIAgkCugILArsCDQIIAggCCAIIAggCCAIIAggCCAIIAggCCAIIAggCCAIIAggCHQIDAusCHgAENgECAgJkAgQCBQIGAgcCCAIJAiECCwK7Ag0CCAIIAggCCAIIAggCCAIIAggCCAIIAggCCAIIAggCCAIIAh0CAwQRAQIeAAQ2AQICAjQCBAIFAgYCBwIIAgkCugILArsCDQIIAggCCAIIAggCCAIIAggCCAIIAggCCAIIAggCCAIIAggCHQIDAtcCHgAENgECAgI4AgQCBQIGAgcCCAIJAhwCCwK7Ag0CCAIIAggCCAIIAggCCAIIAggCCAIIAggCCAIIAggCCAIIAh0CAwLYAh4ABDYBAgICaQIEAgUCBgIHAggCCQIcAgsCuwINAggCCAIIAggCCAIIAggCCAIIAggCCAIIAggCCAIIAggCCAIdAgMCwAIeAAQ2AQICAnMCBAIFAgYCBwIIAgkCIQILArsCDQIIAggCCAIIAggCCAIIAggCCAIIAggCCAIIAggCCAIIAggCHQIDAr0CHgAENgECAgJvAgQCBQIGAgcCCAIJAiECCwK7Ag0CCAIIAggCCAIIAggCCAIIAggCCAIIAggCCAIIAggCCAIIAh0CAwQPAQIeAAQ2AQICAjsCBAIFAgYCBwIIAgkCHAILArsCDQIIAggCCAIIAggCCAIIAggCCAIIAggCCAIIAggCCAIIAggCHQIDAnoAAAQA3QIeAAQ2AQICAkECBAIFAgYCBwIIAgkCHAILArsCDQIIAggCCAIIAggCCAIIAggCCAIIAggCCAIIAggCCAIIAggCHQIDAr8CHgAENgECAgIoAgQCBQIGAgcCCAIJAhwCCwK7Ag0CCAIIAggCCAIIAggCCAIIAggCCAIIAggCCAIIAggCCAIIAh0CAwLLAh4ABDYBAgICUAIEAgUCBgIHAggCCQIcAgsCuwINAggCCAIIAggCCAIIAggCCAIIAggCCAIIAggCCAIIAggCCAIdAgMCvgIeAAQ2AQICAkkCBAIFAgYCBwIIAgkCHAILArsCDQIIAggCCAIIAggCCAIIAggCCAIIAggCCAIIAggCCAIIAggCHQIDAtwCHgAENgECAgJZAgQCBQIGAgcCCAIJAroCCwK7Ag0CCAIIAggCCAIIAggCCAIIAggCCAIIAggCCAIIAggCCAIIAh0CAwLDAh4ABDYBAgICIwIEAgUCBgIHAggCCQK6AgsCuwINAggCCAIIAggCCAIIAggCCAIIAggCCAIIAggCCAIIAggCCAIdAgMEGQECHgAENgECAgJgAgQCBQIGAgcCCAIJAroCCwK7Ag0CCAIIAggCCAIIAggCCAIIAggCCAIIAggCCAIIAggCCAIIAh0CAwLFAh4ABDYBAgICXAIEAgUCBgIHAggCCQK6AgsCuwINAggCCAIIAggCCAIIAggCCAIIAggCCAIIAggCCAIIAggCCAIdAgMEHQECHgAENgECAgJcAgQCBQIGAgcCCAIJAiECCwK7Ag0CCAIIAggCCAIIAggCCAIIAggCCAIIAggCCAIIAggCCAIIAh0CAwQfAQIeAAQ2AQICAmYCBAIFAgYCBwIIAgkCHAILArsCDQIIAggCCAIIAggCCAIIAggCCAIIAggCCAIIAggCCAIIAggCHQIDAswCHgAENgECAgJeAgQCBQIGAgcCCAIJAhwCCwK7Ag0CCAIIAggCCAIIAggCCAIIAggCCAIIAggCCAIIAggCCAIIAh0CAwLVAh4ABDYBAgICUwIEAgUCBgIHAggCCQIhAgsCuwINAggCCAIIAggCCAIIAggCCAIIAggCCAIIAggCCAIIAggCCAIdAgMEKQECHgAENgECAgJkAgQCBQIGAgcCCAIJAhwCCwK7Ag0CCAIIAggCCAIIAggCCAIIAggCCAIIAggCCAIIAggCCAIIAh0CAwQjAQIeAAQ2AQICAngCBAIFAgYCBwIIAgkCugILArsCDQIIAggCCAIIAggCCAIIAggCCAIIAggCCAIIAggCCAIIAggCHQIDAsgCHgAENgECAgI4AgQCBQIGAgcCCAIJAroCCwK7Ag0CCAIIAggCCHoAAAQAAggCCAIIAggCCAIIAggCCAIIAggCCAIIAggCHQIDAjkCHgAENgECAgImAgQCBQIGAgcCCAIJAroCCwK7Ag0CCAIIAggCCAIIAggCCAIIAggCCAIIAggCCAIIAggCCAIIAh0CAwLzAh4ABDYBAgICQwIEAgUCBgIHAggCCQK6AgsCuwINAggCCAIIAggCCAIIAggCCAIIAggCCAIIAggCCAIIAggCCAIdAgMCOQIeAAQ2AQICAmkCBAIFAgYCBwIIAgkCIQILArsCDQIIAggCCAIIAggCCAIIAggCCAIIAggCCAIIAggCCAIIAggCHQIDAs8CHgAENgECAgJHAgQCBQIGAgcCCAIJAhwCCwK7Ag0CCAIIAggCCAIIAggCCAIIAggCCAIIAggCCAIIAggCCAIIAh0CAwQmAQIeAAQ2AQICAlUCBAIFAgYCBwIIAgkCIQILArsCDQIIAggCCAIIAggCCAIIAggCCAIIAggCCAIIAggCCAIIAggCHQIDBCwBAh4ABDYBAgICTAIEAgUCBgIHAggCCQIhAgsCuwINAggCCAIIAggCCAIIAggCCAIIAggCCAIIAggCCAIIAggCCAIdAgMC/gIeAAQ2AQICAkkCBAIFAgYCBwIIAgkCugILArsCDQIIAggCCAIIAggCCAIIAggCCAIIAggCCAIIAggCCAIIAggCHQIDBCQBAh4ABDYBAgICOwIEAgUCBgIHAggCCQK6AgsCuwINAggCCAIIAggCCAIIAggCCAIIAggCCAIIAggCCAIIAggCCAIdAgMEJQECHgAENgECAgI+AgQCBQIGAgcCCAIJAhwCCwK7Ag0CCAIIAggCCAIIAggCCAIIAggCCAIIAggCCAIIAggCCAIIAh0CAwQnAQIeAAQ2AQICAlUCBAIFAgYCBwIIAgkCHAILArsCDQIIAggCCAIIAggCCAIIAggCCAIIAggCCAIIAggCCAIIAggCHQIDAvwCHgAENgECAgJTAgQCBQIGAgcCCAIJAhwCCwK7Ag0CCAIIAggCCAIIAggCCAIIAggCCAIIAggCCAIIAggCCAIIAh0CAwL7Ah4ABDYBAgICKgIEAgUCBgIHAggCCQK6AgsCuwINAggCCAIIAggCCAIIAggCCAIIAggCCAIIAggCCAIIAggCCAIdAgMEEgECHgAENgECAgIsAgQCBQIGAgcCCAIJAhwCCwK7Ag0CCAIIAggCCAIIAggCCAIIAggCCAIIAggCCAIIAggCCAIIAh0CAwQQAQIeAAQ2AQICAmYCBAIFAgYCBwIIAgkCIQILArsCDQIIAggCCAIIAggCCAIIAggCCAIIAggCCAIIAggCCAIIAggCHQIDBBUBAh4ABHoAAAQANgECAgJcAgQCBQIGAgcCCAIJAhwCCwK7Ag0CCAIIAggCCAIIAggCCAIIAggCCAIIAggCCAIIAggCCAIIAh0CAwLuAh4ABDYBAgICTgIEAgUCBgIHAggCCQK6AgsCuwINAggCCAIIAggCCAIIAggCCAIIAggCCAIIAggCCAIIAggCCAIdAgMC8AIeAAQ2AQICAkUCBAIFAgYCBwIIAgkCugILArsCDQIIAggCCAIIAggCCAIIAggCCAIIAggCCAIIAggCCAIIAggCHQIDAu8CHgAENgECAgIuAgQCBQIGAgcCCAIJAhwCCwK7Ag0CCAIIAggCCAIIAggCCAIIAggCCAIIAggCCAIIAggCCAIIAh0CAwQOAQIeAAQ2AQICAm8CBAIFAgYCBwIIAgkCHAILArsCDQIIAggCCAIIAggCCAIIAggCCAIIAggCCAIIAggCCAIIAggCHQIDBBoBAh4ABDYBAgICXgIEAgUCBgIHAggCCQIhAgsCuwINAggCCAIIAggCCAIIAggCCAIIAggCCAIIAggCCAIIAggCCAIdAgMEFgECHgAENgECAgIoAgQCBQIGAgcCCAIJAiECCwK7Ag0CCAIIAggCCAIIAggCCAIIAggCCAIIAggCCAIIAggCCAIIAh0CAwLBAh4ABDYBAgICAwIEAgUCBgIHAggCCQIhAgsCuwINAggCCAIIAggCCAIIAggCCAIIAggCCAIIAggCCAIIAggCCAIdAgMCwgIeAAQ2AQICAhsCBAIFAgYCBwIIAgkCugILArsCDQIIAggCCAIIAggCCAIIAggCCAIIAggCCAIIAggCCAIIAggCHQIDBBgBAh4ABDYBAgICLgIEAgUCBgIHAggCCQIhAgsCuwINAggCCAIIAggCCAIIAggCCAIIAggCCAIIAggCCAIIAggCCAIdAgMEIQECHgAENgECAgI0AgQCBQIGAgcCCAIJAhwCCwK7Ag0CCAIIAggCCAIIAggCCAIIAggCCAIIAggCCAIIAggCCAIIAh0CAwQCAQIeAAQ2AQICAjICBAIFAgYCBwIIAgkCIQILArsCDQIIAggCCAIIAggCCAIIAggCCAIIAggCCAIIAggCCAIIAggCHQIDBAEBAh4ABDYBAgICaQIEAgUCBgIHAggCCQK6AgsCuwINAggCCAIIAggCCAIIAggCCAIIAggCCAIIAggCCAIIAggCCAIdAgMEFwECHgAENgECAgJQAgQCBQIGAgcCCAIJAroCCwK7Ag0CCAIIAggCCAIIAggCCAIIAggCCAIIAggCCAIIAggCCAIIAh0CAwLnAh4ABDYBAgICIwIEAgUCBgIHAggCCQIhAgsCuwINAggCCAIIAggCCHoAAAQAAggCCAIIAggCCAIIAggCCAIIAggCCAIIAh0CAwQgAQIeAAQ2AQICAiACBAIFAgYCBwIIAgkCIQILArsCDQIIAggCCAIIAggCCAIIAggCCAIIAggCCAIIAggCCAIIAggCHQIDBAkBAh4ABDYBAgICKAIEAgUCBgIHAggCCQK6AgsCuwINAggCCAIIAggCCAIIAggCCAIIAggCCAIIAggCCAIIAggCCAIdAgMEKwECHgAENgECAgIwAgQCBQIGAgcCCAIJAhwCCwK7Ag0CCAIIAggCCAIIAggCCAIIAggCCAIIAggCCAIIAggCCAIIAh0CAwQEAQIeAAQ2AQICAnMCBAIFAgYCBwIIAgkCugILArsCDQIIAggCCAIIAggCCAIIAggCCAIIAggCCAIIAggCCAIIAggCHQIDBAgBAh4ABDYBAgICIwIEAgUCBgIHAggCCQIcAgsCuwINAggCCAIIAggCCAIIAggCCAIIAggCCAIIAggCCAIIAggCCAIdAgMEDAECHgAENgECAgIbAgQCBQIGAgcCCAIJAhwCCwK7Ag0CCAIIAggCCAIIAggCCAIIAggCCAIIAggCCAIIAggCCAIIAh0CAwLtAh4ABDYBAgICNgIEAgUCBgIHAggCCQIhAgsCuwINAggCCAIIAggCCAIIAggCCAIIAggCCAIIAggCCAIIAggCCAIdAgMEBQECHgAENgECAgImAgQCBQIGAgcCCAIJAiECCwK7Ag0CCAIIAggCCAIIAggCCAIIAggCCAIIAggCCAIIAggCCAIIAh0CAwLsAh4ABDYBAgICKgIEAgUCBgIHAggCCQIcAgsCuwINAggCCAIIAggCCAIIAggCCAIIAggCCAIIAggCCAIIAggCCAIdAgMC4gIeAAQ2AQICAm0CBAIFAgYCBwIIAgkCugILArsCDQIIAggCCAIIAggCCAIIAggCCAIIAggCCAIIAggCCAIIAggCHQIDBAcBAh4ABDYBAgICLAIEAgUCBgIHAggCCQIhAgsCuwINAggCCAIIAggCCAIIAggCCAIIAggCCAIIAggCCAIIAggCCAIdAgMEKgECHgAENgECAgIDAgQCBQIGAgcCCAIJAroCCwK7Ag0CCAIIAggCCAIIAggCCAIIAggCCAIIAggCCAIIAggCCAIIAh0CAwQUAQIeAAQ2AQICAmYCBAIFAgYCBwIIAgkCugILArsCDQIIAggCCAIIAggCCAIIAggCCAIIAggCCAIIAggCCAIIAggCHQIDAvICHgAENgECAgI2AgQCBQIGAgcCCAIJAhwCCwK7Ag0CCAIIAggCCAIIAggCCAIIAggCCAIIAggCCAIIAggCCAIIAh0CAwQTAQIeAHoAAAQABDYBAgICKgIEAgUCBgIHAggCCQIhAgsCuwINAggCCAIIAggCCAIIAggCCAIIAggCCAIIAggCCAIIAggCCAIdAgMC/QIeAAQ2AQICAk4CBAIFAgYCBwIIAgkCIQILArsCDQIIAggCCAIIAggCCAIIAggCCAIIAggCCAIIAggCCAIIAggCHQIDAtkCHgAENgECAgJDAgQCBQIGAgcCCAIJAiECCwK7Ag0CCAIIAggCCAIIAggCCAIIAggCCAIIAggCCAIIAggCCAIIAh0CAwLRAh4ABDYBAgICPgIEAgUCBgIHAggCCQIhAgsCuwINAggCCAIIAggCCAIIAggCCAIIAggCCAIIAggCCAIIAggCCAIdAgMEGwECHgAENgECAgJHAgQCBQIGAgcCCAIJAiECCwK7Ag0CCAIIAggCCAIIAggCCAIIAggCCAIIAggCCAIIAggCCAIIAh0CAwQiAQIeAAQ2AQICAhsCBAIFAgYCBwIIAgkCIQILArsCDQIIAggCCAIIAggCCAIIAggCCAIIAggCCAIIAggCCAIIAggCHQIDAvkCHgAENgECAgJMAgQCBQIGAgcCCAIJAhwCCwK7Ag0CCAIIAggCCAIIAggCCAIIAggCCAIIAggCCAIIAggCCAIIAh0CAwL0Ah4ABDYBAgICMgIEAgUCBgIHAggCCQIcAgsCuwINAggCCAIIAggCCAIIAggCCAIIAggCCAIIAggCCAIIAggCCAIdAgMEDQECHgAENgECAgIgAgQCBQIGAgcCCAIJAhwCCwK7Ag0CCAIIAggCCAIIAggCCAIIAggCCAIIAggCCAIIAggCCAIIAh0CAwQcAQIeAAQ2AQICAl4CBAIFAgYCBwIIAgkCugILArsCDQIIAggCCAIIAggCCAIIAggCCAIIAggCCAIIAggCCAIIAggCHQIDAvcCHgAENgECAgJFAgQCBQIGAgcCCAIJAiECCwK7Ag0CCAIIAggCCAIIAggCCAIIAggCCAIIAggCCAIIAggCCAIIAh0CAwLWAh4ABDYBAgICLAIEAgUCBgIHAggCCQK6AgsCuwINAggCCAIIAggCCAIIAggCCAIIAggCCAIIAggCCAIIAggCCAIdAgMEAwECHgAENgECAgIuAgQCBQIGAgcCCAIJAroCCwK7Ag0CCAIIAggCCAIIAggCCAIIAggCCAIIAggCCAIIAggCCAIIAh0CAwL/Ah4ABDYBAgICYAIEAgUCBgIHAggCCQIcAgsCuwINAggCCAIIAggCCAIIAggCCAIIAggCCAIIAggCCAIIAggCCAIdAgMECgECHgAENgECAgJBAgQCBQIGAgcCCAIJAiECCwK7Ag0CCAIIAggCCAIIAnoAAAQACAIIAggCCAIIAggCCAIIAggCCAIIAggCHQIDAs4CHgAENgECAgIyAgQCBQIGAgcCCAIJAroCCwK7Ag0CCAIIAggCCAIIAggCCAIIAggCCAIIAggCCAIIAggCCAIIAh0CAwLjAh4ABDYBAgICbQIEAgUCBgIHAggCCQIhAgsCuwINAggCCAIIAggCCAIIAggCCAIIAggCCAIIAggCCAIIAggCCAIdAgMC6QIeAAQ2AQICAk4CBAIFAgYCBwIIAgkCHAILArsCDQIIAggCCAIIAggCCAIIAggCCAIIAggCCAIIAggCCAIIAggCHQIDAuUCHgAENgECAgI2AgQCBQIGAgcCCAIJAroCCwK7Ag0CCAIIAggCCAIIAggCCAIIAggCCAIIAggCCAIIAggCCAIIAh0CAwL4Ah4ABDYBAgICVwIEAgUCBgIHAggCCQIcAgsCuwINAggCCAIIAggCCAIIAggCCAIIAggCCAIIAggCCAIIAggCCAIdAgMEAAECHgAENgECAgJFAgQCBQIGAgcCCAIJAhwCCwK7Ag0CCAIIAggCCAIIAggCCAIIAggCCAIIAggCCAIIAggCCAIIAh0CAwLkAh4ABDYBAgICWQIEAgUCBgIHAggCCQIcAgsCuwINAggCCAIIAggCCAIIAggCCAIIAggCCAIIAggCCAIIAggCCAIdAgMECwECHgAENgECAgJvAgQCBQIGAgcCCAIJAroCCwK7Ag0CCAIIAggCCAIIAggCCAIIAggCCAIIAggCCAIIAggCCAIIAh0CAwLSAh4ABDYBAgICUAIEAgUCBgIHAggCCQIhAgsCuwINAggCCAIIAggCCAIIAggCCAIIAggCCAIIAggCCAIIAggCCAIdAgMCxwIeAAQ2AQICAiACBAIFAgYCBwIIAgkCugILArsCDQIIAggCCAIIAggCCAIIAggCCAIIAggCCAIIAggCCAIIAggCHQIDAugCHgAENgECAgJtAgQCBQIGAgcCCAIJAhwCCwK7Ag0CCAIIAggCCAIIAggCCAIIAggCCAIIAggCCAIIAggCCAIIAh0CAwLGAh4ABDYBAgICVwIEAgUCBgIHAggCCQIhAgsCuwINAggCCAIIAggCCAIIAggCCAIIAggCCAIIAggCCAIIAggCCAIdAgMC2wIeAAQ2AQICAngCBAIFAgYCBwIIAgkCHAILArsCDQIIAggCCAIIAggCCAIIAggCCAIIAggCCAIIAggCCAIIAggCHQIDAtoCHgAENgECAgJkAgQCBQIGAgcCCAIJAroCCwK7Ag0CCAIIAggCCAIIAggCCAIIAggCCAIIAggCCAIIAggCCAIIAh0CAwK8Ah4ABDYBAgICYAIEAnoAAAQABQIGAgcCCAIJAiECCwK7Ag0CCAIIAggCCAIIAggCCAIIAggCCAIIAggCCAIIAggCCAIIAh0CAwLeAh4ABDYBAgICRwIEAgUCBgIHAggCCQK6AgsCuwINAggCCAIIAggCCAIIAggCCAIIAggCCAIIAggCCAIIAggCCAIdAgMEBgECHgAENgECAgJDAgQCBQIGAgcCCAIJAhwCCwK7Ag0CCAIIAggCCAIIAggCCAIIAggCCAIIAggCCAIIAggCCAIIAh0CAwLYAh4ABDYBAgICJgIEAgUCBgIHAggCCQIcAgsCuwINAggCCAIIAggCCAIIAggCCAIIAggCCAIIAggCCAIIAggCCAIdAgMC3wIeAAQ2AQICAnMCBAIFAgYCBwIIAgkCHAILArsCDQIIAggCCAIIAggCCAIIAggCCAIIAggCCAIIAggCCAIIAggCHQIDAsQCHgAENgECAgIeAgQCBQIGAgcCCAIJAroCCwK7Ag0CCAIIAggCCAIIAggCCAIIAggCCAIIAggCCAIIAggCCAIIAh0CAwLgAh4ABDYBAgICQQIEAgUCBgIHAggCCQK6AgsCuwINAggCCAIIAggCCAIIAggCCAIIAggCCAIIAggCCAIIAggCCAIdAgMC+gIeAAQ2AQICAjACBAIFAgYCBwIIAgkCIQILArsCDQIIAggCCAIIAggCCAIIAggCCAIIAggCCAIIAggCCAIIAggCHQIDAvECHgAENgECAgJZAgQCBQIGAgcCCAIJAiECCwK7Ag0CCAIIAggCCAIIAggCCAIIAggCCAIIAggCCAIIAggCCAIIAh0CAwLhAh4ABDYBAgICPgIEAgUCBgIHAggCCQK6AgsCuwINAggCCAIIAggCCAIIAggCCAIIAggCCAIIAggCCAIIAggCCAIdAgMC9QIeAAQ2AQICAjQCBAIFAgYCBwIIAgkCIQILArsCDQIIAggCCAIIAggCCAIIAggCCAIIAggCCAIIAggCCAIIAggCHQIDAvYCHgAENwEACTU1OTAwOTA0MAICAhsCBAIFAgYCBwIIAgkCIQILAgwCDQIIAggCCAIIAggCCAIIAggCCAIIAggCCAIIAggCCAIIAggCJgIDAkACHgAENwECAgIwAgQCBQIGAgcCCAIJAhwCCwIMAg0CCAIIAggCCAIIAggCCAIIAggCCAIIAggCCAIIAggCCAIIAiYCAwIxAh4ABDcBAgICKgIEAgUCBgIHAggCCQIcAgsCDAINAggCCAIIAggCCAIIAggCCAIIAggCCAIIAggCCAIIAggCCAImAgMCKwIeAAQ3AQICAjICBAIFAgYCBwIIAgkCIQILAgwCDQIIAggCCAIIAggCCAIIAnoAAAQACAIIAggCCAIIAggCCAIIAggCCAImAgMCMwIeAAQ3AQICAjQCBAIFAgYCBwIIAgkCIQILAgwCDQIIAggCCAIIAggCCAIIAggCCAIIAggCCAIIAggCCAIIAggCJgIDAq0CHgAENwECAgI0AgQCBQIGAgcCCAIJAhwCCwIMAg0CCAIIAggCCAIIAggCCAIIAggCCAIIAggCCAIIAggCCAIIAiYCAwI1Ah4ABDcBAgICKgIEAgUCBgIHAggCCQIhAgsCDAINAggCCAIIAggCCAIIAggCCAIIAggCCAIIAggCCAIIAggCCAImAgMCPQIeAAQ3AQICAlMCBAIFAgYCBwIIAgkCHAILAgwCDQIIAggCCAIIAggCCAIIAggCCAIIAggCCAIIAggCCAIIAggCJgIDAnICHgAENwECAgIuAgQCBQIGAgcCCAIJAiECCwIMAg0CCAIIAggCCAIIAggCCAIIAggCCAIIAggCCAIIAggCCAIIAiYCAwIvAh4ABDcBAgICVQIEAgUCBgIHAggCCQIcAgsCDAINAggCCAIIAggCCAIIAggCCAIIAggCCAIIAggCCAIIAggCCAImAgMCdwIeAAQ3AQICAm0CBAIFAgYCBwIIAgkCCgILAgwCDQIIAggCCAIIAggCCAIIAggCCAIIAggCCAIIAggCCAIIAggCJgIDAm4CHgAENwECAgIDAgQCBQIGAgcCCAIJAgoCCwIMAg0CCAIIAggCCAIIAggCCAIIAggCCAIIAggCCAIIAggCCAIIAiYCAwIOAh4ABDcBAgICIwIEAgUCBgIHAggCCQIhAgsCDAINAggCCAIIAggCCAIIAggCCAIIAggCCAIIAggCCAIIAggCCAImAgMCJQIeAAQ3AQICAnMCBAIFAgYCBwIIAgkCCgILAgwCDQIIAggCCAIIAggCCAIIAggCCAIIAggCCAIIAggCCAIIAggCJgIDAnQCHgAENwECAgIoAgQCBQIGAgcCCAIJAgoCCwIMAg0CCAIIAggCCAIIAggCCAIIAggCCAIIAggCCAIIAggCCAIIAiYCAwIpAh4ABDcBAgICTAIEAgUCBgIHAggCCQIcAgsCDAINAggCCAIIAggCCAIIAggCCAIIAggCCAIIAggCCAIIAggCCAImAgMCTQIeAAQ3AQICAj4CBAIFAgYCBwIIAgkCCgILAgwCDQIIAggCCAIIAggCCAIIAggCCAIIAggCCAIIAggCCAIIAggCJgIDAqcCHgAENwECAgIeAgQCBQIGAgcCCAIJAgoCCwIMAg0CCAIIAggCCAIIAggCCAIIAggCCAIIAggCCAIIAggCCAIIAiYCAwIfAh4ABDcBAgICJgIEAgUCBgIHAnoAAAQACAIJAiECCwIMAg0CCAIIAggCCAIIAggCCAIIAggCCAIIAggCCAIIAggCCAIIAiYCAwInAh4ABDcBAgICGwIEAgUCBgIHAggCCQIcAgsCDAINAggCCAIIAggCCAIIAggCCAIIAggCCAIIAggCCAIIAggCCAImAgMCHQIeAAQ3AQICAlACBAIFAgYCBwIIAgkCCgILAgwCDQIIAggCCAIIAggCCAIIAggCCAIIAggCCAIIAggCCAIIAggCJgIDAlECHgAENwECAgIyAgQCBQIGAgcCCAIJAhwCCwIMAg0CCAIIAggCCAIIAggCCAIIAggCCAIIAggCCAIIAggCCAIIAiYCAwJSAh4ABDcBAgICRQIEAgUCBgIHAggCCQIhAgsCDAINAggCCAIIAggCCAIIAggCCAIIAggCCAIIAggCCAIIAggCCAImAgMCRgIeAAQ3AQICApMCBAIFAgYCBwIIAgkCHAILAgwCDQIIAggCCAIIAggCCAIIAggCCAIIAggCCAIIAggCCAIIAggCJgIDApoCHgAENwECAgI2AgQCBQIGAgcCCAIJAhwCCwIMAg0CCAIIAggCCAIIAggCCAIIAggCCAIIAggCCAIIAggCCAIIAiYCAwJLAh4ABDcBAgICLAIEAgUCBgIHAggCCQIhAgsCDAINAggCCAIIAggCCAIIAggCCAIIAggCCAIIAggCCAIIAggCCAImAgMCLQIeAAQ3AQICAlUCBAIFAgYCBwIIAgkCIQILAgwCDQIIAggCCAIIAggCCAIIAggCCAIIAggCCAIIAggCCAIIAggCJgIDAlYCHgAENwECAgJOAgQCBQIGAgcCCAIJAiECCwIMAg0CCAIIAggCCAIIAggCCAIIAggCCAIIAggCCAIIAggCCAIIAiYCAwJPAh4ABDcBAgICQQIEAgUCBgIHAggCCQIKAgsCDAINAggCCAIIAggCCAIIAggCCAIIAggCCAIIAggCCAIIAggCCAImAgMCQgIeAAQ3AQICAlMCBAIFAgYCBwIIAgkCIQILAgwCDQIIAggCCAIIAggCCAIIAggCCAIIAggCCAIIAggCCAIIAggCJgIDAlQCHgAENwECAgJDAgQCBQIGAgcCCAIJAiECCwIMAg0CCAIIAggCCAIIAggCCAIIAggCCAIIAggCCAIIAggCCAIIAiYCAwJEAh4ABDcBAgICPgIEAgUCBgIHAggCCQIhAgsCDAINAggCCAIIAggCCAIIAggCCAIIAggCCAIIAggCCAIIAggCCAImAgMCPwIeAAQ3AQICAkkCBAIFAgYCBwIIAgkCCgILAgwCDQIIAggCCAIIAggCCAIIAggCCAIIAggCCAIIAggCCAIIAnoAAAQACAImAgMCSgIeAAQ3AQICAkMCBAIFAgYCBwIIAgkCHAILAgwCDQIIAggCCAIIAggCCAIIAggCCAIIAggCCAIIAggCCAIIAggCJgIDApkCHgAENwECAgI7AgQCBQIGAgcCCAIJAgoCCwIMAg0CCAIIAggCCAIIAggCCAIIAggCCAIIAggCCAIIAggCCAIIAiYCAwI8Ah4ABDcBAgICJgIEAgUCBgIHAggCCQIcAgsCDAINAggCCAIIAggCCAIIAggCCAIIAggCCAIIAggCCAIIAggCCAImAgMCrgIeAAQ3AQICAk4CBAIFAgYCBwIIAgkCHAILAgwCDQIIAggCCAIIAggCCAIIAggCCAIIAggCCAIIAggCCAIIAggCJgIDAqYCHgAENwECAgJvAgQCBQIGAgcCCAIJAgoCCwIMAg0CCAIIAggCCAIIAggCCAIIAggCCAIIAggCCAIIAggCCAIIAiYCAwK0Ah4ABDcBAgICOAIEAgUCBgIHAggCCQIKAgsCDAINAggCCAIIAggCCAIIAggCCAIIAggCCAIIAggCCAIIAggCCAImAgMCOQIeAAQ3AQICAlACBAIFAgYCBwIIAgkCIQILAgwCDQIIAggCCAIIAggCCAIIAggCCAIIAggCCAIIAggCCAIIAggCJgIDAqACHgAENwECAgJBAgQCBQIGAgcCCAIJAiECCwIMAg0CCAIIAggCCAIIAggCCAIIAggCCAIIAggCCAIIAggCCAIIAiYCAwKhAh4ABDcBAgICRQIEAgUCBgIHAggCCQIcAgsCDAINAggCCAIIAggCCAIIAggCCAIIAggCCAIIAggCCAIIAggCCAImAgMCqAIeAAQ3AQICAkcCBAIFAgYCBwIIAgkCIQILAgwCDQIIAggCCAIIAggCCAIIAggCCAIIAggCCAIIAggCCAIIAggCJgIDAkgCHgAENwECAgKkAgQCBQIGAgcCCAIJAiECCwIMAg0CCAIIAggCCAIIAggCCAIIAggCCAIIAggCCAIIAggCCAIIAiYCAwKlAh4ABDcBAgICZgIEAgUCBgIHAggCCQIKAgsCDAINAggCCAIIAggCCAIIAggCCAIIAggCCAIIAggCCAIIAggCCAImAgMCnAIeAAQ3AQICAiACBAIFAgYCBwIIAgkCHAILAgwCDQIIAggCCAIIAggCCAIIAggCCAIIAggCCAIIAggCCAIIAggCJgIDAjoCHgAENwECAgJkAgQCBQIGAgcCCAIJAgoCCwIMAg0CCAIIAggCCAIIAggCCAIIAggCCAIIAggCCAIIAggCCAIIAiYCAwKjAh4ABDcBAgICYAIEAgUCBgIHAggCCQIhAgsCDAINAggCCAIIAnoAAAQACAIIAggCCAIIAggCCAIIAggCCAIIAggCCAIIAiYCAwKrAh4ABDcBAgICWQIEAgUCBgIHAggCCQIhAgsCDAINAggCCAIIAggCCAIIAggCCAIIAggCCAIIAggCCAIIAggCCAImAgMCrAIeAAQ3AQICAlcCBAIFAgYCBwIIAgkCHAILAgwCDQIIAggCCAIIAggCCAIIAggCCAIIAggCCAIIAggCCAIIAggCJgIDAqICHgAENwECAgJeAgQCBQIGAgcCCAIJAgoCCwIMAg0CCAIIAggCCAIIAggCCAIIAggCCAIIAggCCAIIAggCCAIIAiYCAwKbAh4ABDcBAgICeAIEAgUCBgIHAggCCQIcAgsCDAINAggCCAIIAggCCAIIAggCCAIIAggCCAIIAggCCAIIAggCCAImAgMCtQIeAAQ3AQICAjYCBAIFAgYCBwIIAgkCIQILAgwCDQIIAggCCAIIAggCCAIIAggCCAIIAggCCAIIAggCCAIIAggCJgIDAjcCHgAENwECAgIwAgQCBQIGAgcCCAIJAiECCwIMAg0CCAIIAggCCAIIAggCCAIIAggCCAIIAggCCAIIAggCCAIIAiYCAwK3Ah4ABDcBAgICLgIEAgUCBgIHAggCCQIKAgsCDAINAggCCAIIAggCCAIIAggCCAIIAggCCAIIAggCCAIIAggCCAImAgMCsAIeAAQ3AQICAlkCBAIFAgYCBwIIAgkCHAILAgwCDQIIAggCCAIIAggCCAIIAggCCAIIAggCCAIIAggCCAIIAggCJgIDAp0CHgAENwECAgIsAgQCBQIGAgcCCAIJAgoCCwIMAg0CCAIIAggCCAIIAggCCAIIAggCCAIIAggCCAIIAggCCAIIAiYCAwK4Ah4ABDcBAgICVwIEAgUCBgIHAggCCQIhAgsCDAINAggCCAIIAggCCAIIAggCCAIIAggCCAIIAggCCAIIAggCCAImAgMCtgIeAAQ3AQICAiMCBAIFAgYCBwIIAgkCCgILAgwCDQIIAggCCAIIAggCCAIIAggCCAIIAggCCAIIAggCCAIIAggCJgIDArICHgAENwECAgJgAgQCBQIGAgcCCAIJAhwCCwIMAg0CCAIIAggCCAIIAggCCAIIAggCCAIIAggCCAIIAggCCAIIAiYCAwKeAh4ABDcBAgICIAIEAgUCBgIHAggCCQIhAgsCDAINAggCCAIIAggCCAIIAggCCAIIAggCCAIIAggCCAIIAggCCAImAgMCIgIeAAQ3AQICAqQCBAIFAgYCBwIIAgkCHAILAgwCDQIIAggCCAIIAggCCAIIAggCCAIIAggCCAIIAggCCAIIAggCJgIDArMCHgAENwECAgJ/AnoAAAQABAIFAgYCBwIIAgkCIQILAgwCDQIIAggCCAIIAggCCAIIAggCCAIIAggCCAIIAggCCAIIAggCJgIDAo8CHgAENwECAgJzAgQCBQIGAgcCCAIJAhwCCwIMAg0CCAIIAggCCAIIAggCCAIIAggCCAIIAggCCAIIAggCCAIIAiYCAwKvAh4ABDcBAgICHgIEAgUCBgIHAggCCQIhAgsCDAINAggCCAIIAggCCAIIAggCCAIIAggCCAIIAggCCAIIAggCCAImAgMCkAIeAAQ3AQICAjACBAIFAgYCBwIIAgkCCgILAgwCDQIIAggCCAIIAggCCAIIAggCCAIIAggCCAIIAggCCAIIAggCJgIDAoYCHgAENwECAgIoAgQCBQIGAgcCCAIJAhwCCwIMAg0CCAIIAggCCAIIAggCCAIIAggCCAIIAggCCAIIAggCCAIIAiYCAwKNAh4ABDcBAgICVQIEAgUCBgIHAggCCQIKAgsCDAINAggCCAIIAggCCAIIAggCCAIIAggCCAIIAggCCAIIAggCCAImAgMCqgIeAAQ3AQICAmkCBAIFAgYCBwIIAgkCHAILAgwCDQIIAggCCAIIAggCCAIIAggCCAIIAggCCAIIAggCCAIIAggCJgIDApcCHgAENwECAgIDAgQCBQIGAgcCCAIJAiECCwIMAg0CCAIIAggCCAIIAggCCAIIAggCCAIIAggCCAIIAggCCAIIAiYCAwJ6Ah4ABDcBAgICeAIEAgUCBgIHAggCCQIhAgsCDAINAggCCAIIAggCCAIIAggCCAIIAggCCAIIAggCCAIIAggCCAImAgMChwIeAAQ3AQICAgMCBAIFAgYCBwIIAgkCHAILAgwCDQIIAggCCAIIAggCCAIIAggCCAIIAggCCAIIAggCCAIIAggCJgIDAogCHgAENwECAgJtAgQCBQIGAgcCCAIJAhwCCwIMAg0CCAIIAggCCAIIAggCCAIIAggCCAIIAggCCAIIAggCCAIIAiYCAwKxAh4ABDcBAgICUwIEAgUCBgIHAggCCQIKAgsCDAINAggCCAIIAggCCAIIAggCCAIIAggCCAIIAggCCAIIAggCCAImAgMCqQIeAAQ3AQICAkECBAIFAgYCBwIIAgkCHAILAgwCDQIIAggCCAIIAggCCAIIAggCCAIIAggCCAIIAggCCAIIAggCJgIDApUCHgAENwECAgJQAgQCBQIGAgcCCAIJAhwCCwIMAg0CCAIIAggCCAIIAggCCAIIAggCCAIIAggCCAIIAggCCAIIAiYCAwKYAh4ABDcBAgICGwIEAgUCBgIHAggCCQIKAgsCDAINAggCCAIIAggCCAIIAggCCAIIAggCCAIIAnoAAAQACAIIAggCCAIIAiYCAwKFAh4ABDcBAgICfwIEAgUCBgIHAggCCQIcAgsCDAINAggCCAIIAggCCAIIAggCCAIIAggCCAIIAggCCAIIAggCCAImAgMCgAIeAAQ3AQICAkcCBAIFAgYCBwIIAgkCHAILAgwCDQIIAggCCAIIAggCCAIIAggCCAIIAggCCAIIAggCCAIIAggCJgIDAmsCHgAENwECAgI+AgQCBQIGAgcCCAIJAhwCCwIMAg0CCAIIAggCCAIIAggCCAIIAggCCAIIAggCCAIIAggCCAIIAiYCAwJbAh4ABDcBAgICZAIEAgUCBgIHAggCCQIhAgsCDAINAggCCAIIAggCCAIIAggCCAIIAggCCAIIAggCCAIIAggCCAImAgMClgIeAAQ3AQICAjgCBAIFAgYCBwIIAgkCHAILAgwCDQIIAggCCAIIAggCCAIIAggCCAIIAggCCAIIAggCCAIIAggCJgIDApkCHgAENwECAgIqAgQCBQIGAgcCCAIJAgoCCwIMAg0CCAIIAggCCAIIAggCCAIIAggCCAIIAggCCAIIAggCCAIIAiYCAwJ+Ah4ABDcBAgICNgIEAgUCBgIHAggCCQIKAgsCDAINAggCCAIIAggCCAIIAggCCAIIAggCCAIIAggCCAIIAggCCAImAgMCiwIeAAQ3AQICAkwCBAIFAgYCBwIIAgkCCgILAgwCDQIIAggCCAIIAggCCAIIAggCCAIIAggCCAIIAggCCAIIAggCJgIDApECHgAENwECAgJvAgQCBQIGAgcCCAIJAiECCwIMAg0CCAIIAggCCAIIAggCCAIIAggCCAIIAggCCAIIAggCCAIIAiYCAwKEAh4ABDcBAgICbQIEAgUCBgIHAggCCQIhAgsCDAINAggCCAIIAggCCAIIAggCCAIIAggCCAIIAggCCAIIAggCCAImAgMCnwIeAAQ3AQICAnMCBAIFAgYCBwIIAgkCIQILAgwCDQIIAggCCAIIAggCCAIIAggCCAIIAggCCAIIAggCCAIIAggCJgIDApICHgAENwECAgIeAgQCBQIGAgcCCAIJAhwCCwIMAg0CCAIIAggCCAIIAggCCAIIAggCCAIIAggCCAIIAggCCAIIAiYCAwKDAh4ABDcBAgICkwIEAgUCBgIHAggCCQIhAgsCDAINAggCCAIIAggCCAIIAggCCAIIAggCCAIIAggCCAIIAggCCAImAgMClAIeAAQ3AQICAmQCBAIFAgYCBwIIAgkCHAILAgwCDQIIAggCCAIIAggCCAIIAggCCAIIAggCCAIIAggCCAIIAggCJgIDAmUCHgAENwECAgJvAgQCBQIGAgcCCAIJAhwCCwIMAnoAAAQADQIIAggCCAIIAggCCAIIAggCCAIIAggCCAIIAggCCAIIAggCJgIDAnACHgAENwECAgIgAgQCBQIGAgcCCAIJAgoCCwIMAg0CCAIIAggCCAIIAggCCAIIAggCCAIIAggCCAIIAggCCAIIAiYCAwKOAh4ABDcBAgICTAIEAgUCBgIHAggCCQIhAgsCDAINAggCCAIIAggCCAIIAggCCAIIAggCCAIIAggCCAIIAggCCAImAgMCYwIeAAQ3AQICAkkCBAIFAgYCBwIIAgkCHAILAgwCDQIIAggCCAIIAggCCAIIAggCCAIIAggCCAIIAggCCAIIAggCJgIDAowCHgAENwECAgImAgQCBQIGAgcCCAIJAgoCCwIMAg0CCAIIAggCCAIIAggCCAIIAggCCAIIAggCCAIIAggCCAIIAiYCAwJ1Ah4ABDcBAgICRQIEAgUCBgIHAggCCQIKAgsCDAINAggCCAIIAggCCAIIAggCCAIIAggCCAIIAggCCAIIAggCCAImAgMCbAIeAAQ3AQICAmYCBAIFAgYCBwIIAgkCHAILAgwCDQIIAggCCAIIAggCCAIIAggCCAIIAggCCAIIAggCCAIIAggCJgIDAmcCHgAENwECAgI7AgQCBQIGAgcCCAIJAhwCCwIMAg0CCAIIAggCCAIIAggCCAIIAggCCAIIAggCCAIIAggCCAIIAiYCAwKKAh4ABDcBAgICXgIEAgUCBgIHAggCCQIhAgsCDAINAggCCAIIAggCCAIIAggCCAIIAggCCAIIAggCCAIIAggCCAImAgMCcQIeAAQ3AQICAkMCBAIFAgYCBwIIAgkCCgILAgwCDQIIAggCCAIIAggCCAIIAggCCAIIAggCCAIIAggCCAIIAggCJgIDAjkCHgAENwECAgJOAgQCBQIGAgcCCAIJAgoCCwIMAg0CCAIIAggCCAIIAggCCAIIAggCCAIIAggCCAIIAggCCAIIAiYCAwJoAh4ABDcBAgICVwIEAgUCBgIHAggCCQIKAgsCDAINAggCCAIIAggCCAIIAggCCAIIAggCCAIIAggCCAIIAggCCAImAgMCWAIeAAQ3AQICAlwCBAIFAgYCBwIIAgkCIQILAgwCDQIIAggCCAIIAggCCAIIAggCCAIIAggCCAIIAggCCAIIAggCJgIDAl0CHgAENwECAgIjAgQCBQIGAgcCCAIJAhwCCwIMAg0CCAIIAggCCAIIAggCCAIIAggCCAIIAggCCAIIAggCCAIIAiYCAwIkAh4ABDcBAgICSQIEAgUCBgIHAggCCQIhAgsCDAINAggCCAIIAggCCAIIAggCCAIIAggCCAIIAggCCAIIAggCCAImAgMCgQIeAHoAAAQABDcBAgICKAIEAgUCBgIHAggCCQIhAgsCDAINAggCCAIIAggCCAIIAggCCAIIAggCCAIIAggCCAIIAggCCAImAgMCewIeAAQ3AQICAjgCBAIFAgYCBwIIAgkCIQILAgwCDQIIAggCCAIIAggCCAIIAggCCAIIAggCCAIIAggCCAIIAggCJgIDAkQCHgAENwECAgIsAgQCBQIGAgcCCAIJAhwCCwIMAg0CCAIIAggCCAIIAggCCAIIAggCCAIIAggCCAIIAggCCAIIAiYCAwJ8Ah4ABDcBAgICWQIEAgUCBgIHAggCCQIKAgsCDAINAggCCAIIAggCCAIIAggCCAIIAggCCAIIAggCCAIIAggCCAImAgMCWgIeAAQ3AQICAjQCBAIFAgYCBwIIAgkCCgILAgwCDQIIAggCCAIIAggCCAIIAggCCAIIAggCCAIIAggCCAIIAggCJgIDAokCHgAENwECAgJpAgQCBQIGAgcCCAIJAiECCwIMAg0CCAIIAggCCAIIAggCCAIIAggCCAIIAggCCAIIAggCCAIIAiYCAwJqAh4ABDcBAgICZgIEAgUCBgIHAggCCQIhAgsCDAINAggCCAIIAggCCAIIAggCCAIIAggCCAIIAggCCAIIAggCCAImAgMCfQIeAAQ3AQICAl4CBAIFAgYCBwIIAgkCHAILAgwCDQIIAggCCAIIAggCCAIIAggCCAIIAggCCAIIAggCCAIIAggCJgIDAl8CHgAENwECAgJ4AgQCBQIGAgcCCAIJAgoCCwIMAg0CCAIIAggCCAIIAggCCAIIAggCCAIIAggCCAIIAggCCAIIAiYCAwJ5Ah4ABDcBAgICLgIEAgUCBgIHAggCCQIcAgsCDAINAggCCAIIAggCCAIIAggCCAIIAggCCAIIAggCCAIIAggCCAImAgMCdgIeAAQ3AQICAmACBAIFAgYCBwIIAgkCCgILAgwCDQIIAggCCAIIAggCCAIIAggCCAIIAggCCAIIAggCCAIIAggCJgIDAmECHgAENwECAgJcAgQCBQIGAgcCCAIJAhwCCwIMAg0CCAIIAggCCAIIAggCCAIIAggCCAIIAggCCAIIAggCCAIIAiYCAwJiAh4ABDcBAgICOwIEAgUCBgIHAggCCQIhAgsCDAINAggCCAIIAggCCAIIAggCCAIIAggCCAIIAggCCAIIAggCCAImAgMCggIeAAQ4AQAJNTQ3NjY0MTkyAgICGwIEAgUCBgIHAggCCQIcAgsCuwINAggCCAIIAggCCAIIAggCCAIIAggCCAIIAggCCAIIAggCCAIZAgMC7QIeAAQ4AQICAiACBAIFAgYCBwIIAgkCIQILArsCDQIIAggCCHoAAAQAAggCCAIIAggCCAIIAggCCAIIAggCCAIIAggCCAIZAgMECQECHgAEOAECAgIoAgQCBQIGAgcCCAIJAroCCwK7Ag0CCAIIAggCCAIIAggCCAIIAggCCAIIAggCCAIIAggCCAIIAhkCAwQrAQIeAAQ4AQICAjYCBAIFAgYCBwIIAgkCIQILArsCDQIIAggCCAIIAggCCAIIAggCCAIIAggCCAIIAggCCAIIAggCGQIDBAUBAh4ABDgBAgICIwIEAgUCBgIHAggCCQIcAgsCuwINAggCCAIIAggCCAIIAggCCAIIAggCCAIIAggCCAIIAggCCAIZAgMEDAECHgAEOAECAgJDAgQCBQIGAgcCCAIJAiECCwK7Ag0CCAIIAggCCAIIAggCCAIIAggCCAIIAggCCAIIAggCCAIIAhkCAwLRAh4ABDgBAgICaQIEAgUCBgIHAggCCQK6AgsCuwINAggCCAIIAggCCAIIAggCCAIIAggCCAIIAggCCAIIAggCCAIZAgMEFwECHgAEOAECAgIuAgQCBQIGAgcCCAIJAhwCCwK7Ag0CCAIIAggCCAIIAggCCAIIAggCCAIIAggCCAIIAggCCAIIAhkCAwQOAQIeAAQ4AQICAiwCBAIFAgYCBwIIAgkCHAILArsCDQIIAggCCAIIAggCCAIIAggCCAIIAggCCAIIAggCCAIIAggCGQIDBBABAh4ABDgBAgICIwIEAgUCBgIHAggCCQIhAgsCuwINAggCCAIIAggCCAIIAggCCAIIAggCCAIIAggCCAIIAggCCAIZAgMEIAECHgAEOAECAgIyAgQCBQIGAgcCCAIJAhwCCwK7Ag0CCAIIAggCCAIIAggCCAIIAggCCAIIAggCCAIIAggCCAIIAhkCAwQNAQIeAAQ4AQICAk4CBAIFAgYCBwIIAgkCIQILArsCDQIIAggCCAIIAggCCAIIAggCCAIIAggCCAIIAggCCAIIAggCGQIDAtkCHgAEOAECAgJmAgQCBQIGAgcCCAIJAiECCwK7Ag0CCAIIAggCCAIIAggCCAIIAggCCAIIAggCCAIIAggCCAIIAhkCAwQVAQIeAAQ4AQICAkUCBAIFAgYCBwIIAgkCIQILArsCDQIIAggCCAIIAggCCAIIAggCCAIIAggCCAIIAggCCAIIAggCGQIDAtYCHgAEOAECAgJHAgQCBQIGAgcCCAIJAroCCwK7Ag0CCAIIAggCCAIIAggCCAIIAggCCAIIAggCCAIIAggCCAIIAhkCAwQGAQIeAAQ4AQICAj4CBAIFAgYCBwIIAgkCugILArsCDQIIAggCCAIIAggCCAIIAggCCAIIAggCCAIIAggCCAIIAggCGQIDAnoAAAQA9QIeAAQ4AQICAjACBAIFAgYCBwIIAgkCHAILArsCDQIIAggCCAIIAggCCAIIAggCCAIIAggCCAIIAggCCAIIAggCGQIDBAQBAh4ABDgBAgICIAIEAgUCBgIHAggCCQIcAgsCuwINAggCCAIIAggCCAIIAggCCAIIAggCCAIIAggCCAIIAggCCAIZAgMEHAECHgAEOAECAgIbAgQCBQIGAgcCCAIJAiECCwK7Ag0CCAIIAggCCAIIAggCCAIIAggCCAIIAggCCAIIAggCCAIIAhkCAwL5Ah4ABDgBAgICZgIEAgUCBgIHAggCCQIcAgsCuwINAggCCAIIAggCCAIIAggCCAIIAggCCAIIAggCCAIIAggCCAIZAgMCzAIeAAQ4AQICAk4CBAIFAgYCBwIIAgkCugILArsCDQIIAggCCAIIAggCCAIIAggCCAIIAggCCAIIAggCCAIIAggCGQIDAvACHgAEOAECAgI0AgQCBQIGAgcCCAIJAhwCCwK7Ag0CCAIIAggCCAIIAggCCAIIAggCCAIIAggCCAIIAggCCAIIAhkCAwQCAQIeAAQ4AQICAkECBAIFAgYCBwIIAgkCIQILArsCDQIIAggCCAIIAggCCAIIAggCCAIIAggCCAIIAggCCAIIAggCGQIDAs4CHgAEOAECAgJcAgQCBQIGAgcCCAIJAhwCCwK7Ag0CCAIIAggCCAIIAggCCAIIAggCCAIIAggCCAIIAggCCAIIAhkCAwLuAh4ABDgBAgICXgIEAgUCBgIHAggCCQIcAgsCuwINAggCCAIIAggCCAIIAggCCAIIAggCCAIIAggCCAIIAggCCAIZAgMC1QIeAAQ4AQICAkMCBAIFAgYCBwIIAgkCugILArsCDQIIAggCCAIIAggCCAIIAggCCAIIAggCCAIIAggCCAIIAggCGQIDAjkCHgAEOAECAgJzAgQCBQIGAgcCCAIJAroCCwK7Ag0CCAIIAggCCAIIAggCCAIIAggCCAIIAggCCAIIAggCCAIIAhkCAwQIAQIeAAQ4AQICAjICBAIFAgYCBwIIAgkCIQILArsCDQIIAggCCAIIAggCCAIIAggCCAIIAggCCAIIAggCCAIIAggCGQIDBAEBAh4ABDgBAgICbQIEAgUCBgIHAggCCQK6AgsCuwINAggCCAIIAggCCAIIAggCCAIIAggCCAIIAggCCAIIAggCCAIZAgMEBwECHgAEOAECAgJQAgQCBQIGAgcCCAIJAiECCwK7Ag0CCAIIAggCCAIIAggCCAIIAggCCAIIAggCCAIIAggCCAIIAhkCAwLHAh4ABDgBAgICPgIEAgUCBgIHAggCCQIcAgsCuwINAggCCAIIAnoAAAQACAIIAggCCAIIAggCCAIIAggCCAIIAggCCAIIAhkCAwQnAQIeAAQ4AQICAkkCBAIFAgYCBwIIAgkCugILArsCDQIIAggCCAIIAggCCAIIAggCCAIIAggCCAIIAggCCAIIAggCGQIDBCQBAh4ABDgBAgICOwIEAgUCBgIHAggCCQK6AgsCuwINAggCCAIIAggCCAIIAggCCAIIAggCCAIIAggCCAIIAggCCAIZAgMEJQECHgAEOAECAgJVAgQCBQIGAgcCCAIJAiECCwK7Ag0CCAIIAggCCAIIAggCCAIIAggCCAIIAggCCAIIAggCCAIIAhkCAwQsAQIeAAQ4AQICAkcCBAIFAgYCBwIIAgkCHAILArsCDQIIAggCCAIIAggCCAIIAggCCAIIAggCCAIIAggCCAIIAggCGQIDBCYBAh4ABDgBAgICOAIEAgUCBgIHAggCCQK6AgsCuwINAggCCAIIAggCCAIIAggCCAIIAggCCAIIAggCCAIIAggCCAIZAgMCOQIeAAQ4AQICAkECBAIFAgYCBwIIAgkCHAILArsCDQIIAggCCAIIAggCCAIIAggCCAIIAggCCAIIAggCCAIIAggCGQIDAr8CHgAEOAECAgIoAgQCBQIGAgcCCAIJAiECCwK7Ag0CCAIIAggCCAIIAggCCAIIAggCCAIIAggCCAIIAggCCAIIAhkCAwLBAh4ABDgBAgICXAIEAgUCBgIHAggCCQIhAgsCuwINAggCCAIIAggCCAIIAggCCAIIAggCCAIIAggCCAIIAggCCAIZAgMEHwECHgAEOAECAgJTAgQCBQIGAgcCCAIJAiECCwK7Ag0CCAIIAggCCAIIAggCCAIIAggCCAIIAggCCAIIAggCCAIIAhkCAwQpAQIeAAQ4AQICAlcCBAIFAgYCBwIIAgkCHAILArsCDQIIAggCCAIIAggCCAIIAggCCAIIAggCCAIIAggCCAIIAggCGQIDBAABAh4ABDgBAgICLgIEAgUCBgIHAggCCQK6AgsCuwINAggCCAIIAggCCAIIAggCCAIIAggCCAIIAggCCAIIAggCCAIZAgMC/wIeAAQ4AQICAkUCBAIFAgYCBwIIAgkCugILArsCDQIIAggCCAIIAggCCAIIAggCCAIIAggCCAIIAggCCAIIAggCGQIDAu8CHgAEOAECAgJTAgQCBQIGAgcCCAIJAhwCCwK7Ag0CCAIIAggCCAIIAggCCAIIAggCCAIIAggCCAIIAggCCAIIAhkCAwL7Ah4ABDgBAgICUAIEAgUCBgIHAggCCQIcAgsCuwINAggCCAIIAggCCAIIAggCCAIIAggCCAIIAggCCAIIAggCCAIZAgMCvgIeAHoAAAQABDgBAgICPgIEAgUCBgIHAggCCQIhAgsCuwINAggCCAIIAggCCAIIAggCCAIIAggCCAIIAggCCAIIAggCCAIZAgMEGwECHgAEOAECAgIDAgQCBQIGAgcCCAIJAiECCwK7Ag0CCAIIAggCCAIIAggCCAIIAggCCAIIAggCCAIIAggCCAIIAhkCAwLCAh4ABDgBAgICIwIEAgUCBgIHAggCCQK6AgsCuwINAggCCAIIAggCCAIIAggCCAIIAggCCAIIAggCCAIIAggCCAIZAgMEGQECHgAEOAECAgJHAgQCBQIGAgcCCAIJAiECCwK7Ag0CCAIIAggCCAIIAggCCAIIAggCCAIIAggCCAIIAggCCAIIAhkCAwQiAQIeAAQ4AQICAlUCBAIFAgYCBwIIAgkCHAILArsCDQIIAggCCAIIAggCCAIIAggCCAIIAggCCAIIAggCCAIIAggCGQIDAvwCHgAEOAECAgJeAgQCBQIGAgcCCAIJAroCCwK7Ag0CCAIIAggCCAIIAggCCAIIAggCCAIIAggCCAIIAggCCAIIAhkCAwL3Ah4ABDgBAgICGwIEAgUCBgIHAggCCQK6AgsCuwINAggCCAIIAggCCAIIAggCCAIIAggCCAIIAggCCAIIAggCCAIZAgMEGAECHgAEOAECAgJeAgQCBQIGAgcCCAIJAiECCwK7Ag0CCAIIAggCCAIIAggCCAIIAggCCAIIAggCCAIIAggCCAIIAhkCAwQWAQIeAAQ4AQICAm8CBAIFAgYCBwIIAgkCHAILArsCDQIIAggCCAIIAggCCAIIAggCCAIIAggCCAIIAggCCAIIAggCGQIDBBoBAh4ABDgBAgICNgIEAgUCBgIHAggCCQIcAgsCuwINAggCCAIIAggCCAIIAggCCAIIAggCCAIIAggCCAIIAggCCAIZAgMEEwECHgAEOAECAgJmAgQCBQIGAgcCCAIJAroCCwK7Ag0CCAIIAggCCAIIAggCCAIIAggCCAIIAggCCAIIAggCCAIIAhkCAwLyAh4ABDgBAgICAwIEAgUCBgIHAggCCQK6AgsCuwINAggCCAIIAggCCAIIAggCCAIIAggCCAIIAggCCAIIAggCCAIZAgMEFAECHgAEOAECAgJMAgQCBQIGAgcCCAIJAroCCwK7Ag0CCAIIAggCCAIIAggCCAIIAggCCAIIAggCCAIIAggCCAIIAhkCAwQeAQIeAAQ4AQICAm8CBAIFAgYCBwIIAgkCIQILArsCDQIIAggCCAIIAggCCAIIAggCCAIIAggCCAIIAggCCAIIAggCGQIDBA8BAh4ABDgBAgICZAIEAgUCBgIHAggCCQIcAgsCuwINAggCCAIIAnoAAAQACAIIAggCCAIIAggCCAIIAggCCAIIAggCCAIIAhkCAwQjAQIeAAQ4AQICAi4CBAIFAgYCBwIIAgkCIQILArsCDQIIAggCCAIIAggCCAIIAggCCAIIAggCCAIIAggCCAIIAggCGQIDBCEBAh4ABDgBAgICLAIEAgUCBgIHAggCCQIhAgsCuwINAggCCAIIAggCCAIIAggCCAIIAggCCAIIAggCCAIIAggCCAIZAgMEKgECHgAEOAECAgIeAgQCBQIGAgcCCAIJAhwCCwK7Ag0CCAIIAggCCAIIAggCCAIIAggCCAIIAggCCAIIAggCCAIIAhkCAwQoAQIeAAQ4AQICAkkCBAIFAgYCBwIIAgkCIQILArsCDQIIAggCCAIIAggCCAIIAggCCAIIAggCCAIIAggCCAIIAggCGQIDAtQCHgAEOAECAgIwAgQCBQIGAgcCCAIJAroCCwK7Ag0CCAIIAggCCAIIAggCCAIIAggCCAIIAggCCAIIAggCCAIIAhkCAwLqAh4ABDgBAgICOwIEAgUCBgIHAggCCQIhAgsCuwINAggCCAIIAggCCAIIAggCCAIIAggCCAIIAggCCAIIAggCCAIZAgMC0AIeAAQ4AQICAngCBAIFAgYCBwIIAgkCHAILArsCDQIIAggCCAIIAggCCAIIAggCCAIIAggCCAIIAggCCAIIAggCGQIDAtoCHgAEOAECAgJcAgQCBQIGAgcCCAIJAroCCwK7Ag0CCAIIAggCCAIIAggCCAIIAggCCAIIAggCCAIIAggCCAIIAhkCAwQdAQIeAAQ4AQICAmQCBAIFAgYCBwIIAgkCIQILArsCDQIIAggCCAIIAggCCAIIAggCCAIIAggCCAIIAggCCAIIAggCGQIDBBEBAh4ABDgBAgICKgIEAgUCBgIHAggCCQK6AgsCuwINAggCCAIIAggCCAIIAggCCAIIAggCCAIIAggCCAIIAggCCAIZAgMEEgECHgAEOAECAgI4AgQCBQIGAgcCCAIJAhwCCwK7Ag0CCAIIAggCCAIIAggCCAIIAggCCAIIAggCCAIIAggCCAIIAhkCAwLYAh4ABDgBAgICSQIEAgUCBgIHAggCCQIcAgsCuwINAggCCAIIAggCCAIIAggCCAIIAggCCAIIAggCCAIIAggCCAIZAgMC3AIeAAQ4AQICAjsCBAIFAgYCBwIIAgkCHAILArsCDQIIAggCCAIIAggCCAIIAggCCAIIAggCCAIIAggCCAIIAggCGQIDAt0CHgAEOAECAgIeAgQCBQIGAgcCCAIJAiECCwK7Ag0CCAIIAggCCAIIAggCCAIIAggCCAIIAggCCAIIAggCCAIIAhkCAwLJAh4ABHoAAAQAOAECAgJXAgQCBQIGAgcCCAIJAiECCwK7Ag0CCAIIAggCCAIIAggCCAIIAggCCAIIAggCCAIIAggCCAIIAhkCAwLbAh4ABDgBAgICKAIEAgUCBgIHAggCCQIcAgsCuwINAggCCAIIAggCCAIIAggCCAIIAggCCAIIAggCCAIIAggCCAIZAgMCywIeAAQ4AQICAkwCBAIFAgYCBwIIAgkCIQILArsCDQIIAggCCAIIAggCCAIIAggCCAIIAggCCAIIAggCCAIIAggCGQIDAv4CHgAEOAECAgIsAgQCBQIGAgcCCAIJAroCCwK7Ag0CCAIIAggCCAIIAggCCAIIAggCCAIIAggCCAIIAggCCAIIAhkCAwQDAQIeAAQ4AQICAgMCBAIFAgYCBwIIAgkCHAILArsCDQIIAggCCAIIAggCCAIIAggCCAIIAggCCAIIAggCCAIIAggCGQIDAs0CHgAEOAECAgJZAgQCBQIGAgcCCAIJAhwCCwK7Ag0CCAIIAggCCAIIAggCCAIIAggCCAIIAggCCAIIAggCCAIIAhkCAwQLAQIeAAQ4AQICAlUCBAIFAgYCBwIIAgkCugILArsCDQIIAggCCAIIAggCCAIIAggCCAIIAggCCAIIAggCCAIIAggCGQIDAsoCHgAEOAECAgJTAgQCBQIGAgcCCAIJAroCCwK7Ag0CCAIIAggCCAIIAggCCAIIAggCCAIIAggCCAIIAggCCAIIAhkCAwLTAh4ABDgBAgICOAIEAgUCBgIHAggCCQIhAgsCuwINAggCCAIIAggCCAIIAggCCAIIAggCCAIIAggCCAIIAggCCAIZAgMC0QIeAAQ4AQICAm8CBAIFAgYCBwIIAgkCugILArsCDQIIAggCCAIIAggCCAIIAggCCAIIAggCCAIIAggCCAIIAggCGQIDAtICHgAEOAECAgJpAgQCBQIGAgcCCAIJAiECCwK7Ag0CCAIIAggCCAIIAggCCAIIAggCCAIIAggCCAIIAggCCAIIAhkCAwLPAh4ABDgBAgICbQIEAgUCBgIHAggCCQIhAgsCuwINAggCCAIIAggCCAIIAggCCAIIAggCCAIIAggCCAIIAggCCAIZAgMC6QIeAAQ4AQICAiYCBAIFAgYCBwIIAgkCugILArsCDQIIAggCCAIIAggCCAIIAggCCAIIAggCCAIIAggCCAIIAggCGQIDAvMCHgAEOAECAgI2AgQCBQIGAgcCCAIJAroCCwK7Ag0CCAIIAggCCAIIAggCCAIIAggCCAIIAggCCAIIAggCCAIIAhkCAwL4Ah4ABDgBAgICYAIEAgUCBgIHAggCCQIcAgsCuwINAggCCAIIAggCCAIIAggCCHoAAAQAAggCCAIIAggCCAIIAggCCAIIAhkCAwQKAQIeAAQ4AQICAkwCBAIFAgYCBwIIAgkCHAILArsCDQIIAggCCAIIAggCCAIIAggCCAIIAggCCAIIAggCCAIIAggCGQIDAvQCHgAEOAECAgJzAgQCBQIGAgcCCAIJAiECCwK7Ag0CCAIIAggCCAIIAggCCAIIAggCCAIIAggCCAIIAggCCAIIAhkCAwK9Ah4ABDgBAgICZAIEAgUCBgIHAggCCQK6AgsCuwINAggCCAIIAggCCAIIAggCCAIIAggCCAIIAggCCAIIAggCCAIZAgMCvAIeAAQ4AQICAngCBAIFAgYCBwIIAgkCugILArsCDQIIAggCCAIIAggCCAIIAggCCAIIAggCCAIIAggCCAIIAggCGQIDAsgCHgAEOAECAgJtAgQCBQIGAgcCCAIJAhwCCwK7Ag0CCAIIAggCCAIIAggCCAIIAggCCAIIAggCCAIIAggCCAIIAhkCAwLGAh4ABDgBAgICKgIEAgUCBgIHAggCCQIhAgsCuwINAggCCAIIAggCCAIIAggCCAIIAggCCAIIAggCCAIIAggCCAIZAgMC/QIeAAQ4AQICAjACBAIFAgYCBwIIAgkCIQILArsCDQIIAggCCAIIAggCCAIIAggCCAIIAggCCAIIAggCCAIIAggCGQIDAvECHgAEOAECAgJZAgQCBQIGAgcCCAIJAroCCwK7Ag0CCAIIAggCCAIIAggCCAIIAggCCAIIAggCCAIIAggCCAIIAhkCAwLDAh4ABDgBAgICYAIEAgUCBgIHAggCCQK6AgsCuwINAggCCAIIAggCCAIIAggCCAIIAggCCAIIAggCCAIIAggCCAIZAgMCxQIeAAQ4AQICAiYCBAIFAgYCBwIIAgkCHAILArsCDQIIAggCCAIIAggCCAIIAggCCAIIAggCCAIIAggCCAIIAggCGQIDAt8CHgAEOAECAgI0AgQCBQIGAgcCCAIJAiECCwK7Ag0CCAIIAggCCAIIAggCCAIIAggCCAIIAggCCAIIAggCCAIIAhkCAwL2Ah4ABDgBAgICYAIEAgUCBgIHAggCCQIhAgsCuwINAggCCAIIAggCCAIIAggCCAIIAggCCAIIAggCCAIIAggCCAIZAgMC3gIeAAQ4AQICAlkCBAIFAgYCBwIIAgkCIQILArsCDQIIAggCCAIIAggCCAIIAggCCAIIAggCCAIIAggCCAIIAggCGQIDAuECHgAEOAECAgIeAgQCBQIGAgcCCAIJAroCCwK7Ag0CCAIIAggCCAIIAggCCAIIAggCCAIIAggCCAIIAggCCAIIAhkCAwLgAh4ABDgBAgICQwIEAgUCBgIHAnoAAAQACAIJAhwCCwK7Ag0CCAIIAggCCAIIAggCCAIIAggCCAIIAggCCAIIAggCCAIIAhkCAwLYAh4ABDgBAgICaQIEAgUCBgIHAggCCQIcAgsCuwINAggCCAIIAggCCAIIAggCCAIIAggCCAIIAggCCAIIAggCCAIZAgMCwAIeAAQ4AQICAkECBAIFAgYCBwIIAgkCugILArsCDQIIAggCCAIIAggCCAIIAggCCAIIAggCCAIIAggCCAIIAggCGQIDAvoCHgAEOAECAgJzAgQCBQIGAgcCCAIJAhwCCwK7Ag0CCAIIAggCCAIIAggCCAIIAggCCAIIAggCCAIIAggCCAIIAhkCAwLEAh4ABDgBAgICNAIEAgUCBgIHAggCCQK6AgsCuwINAggCCAIIAggCCAIIAggCCAIIAggCCAIIAggCCAIIAggCCAIZAgMC1wIeAAQ4AQICAlACBAIFAgYCBwIIAgkCugILArsCDQIIAggCCAIIAggCCAIIAggCCAIIAggCCAIIAggCCAIIAggCGQIDAucCHgAEOAECAgIyAgQCBQIGAgcCCAIJAroCCwK7Ag0CCAIIAggCCAIIAggCCAIIAggCCAIIAggCCAIIAggCCAIIAhkCAwLjAh4ABDgBAgICTgIEAgUCBgIHAggCCQIcAgsCuwINAggCCAIIAggCCAIIAggCCAIIAggCCAIIAggCCAIIAggCCAIZAgMC5QIeAAQ4AQICAioCBAIFAgYCBwIIAgkCHAILArsCDQIIAggCCAIIAggCCAIIAggCCAIIAggCCAIIAggCCAIIAggCGQIDAuICHgAEOAECAgJXAgQCBQIGAgcCCAIJAroCCwK7Ag0CCAIIAggCCAIIAggCCAIIAggCCAIIAggCCAIIAggCCAIIAhkCAwLrAh4ABDgBAgICJgIEAgUCBgIHAggCCQIhAgsCuwINAggCCAIIAggCCAIIAggCCAIIAggCCAIIAggCCAIIAggCCAIZAgMC7AIeAAQ4AQICAkUCBAIFAgYCBwIIAgkCHAILArsCDQIIAggCCAIIAggCCAIIAggCCAIIAggCCAIIAggCCAIIAggCGQIDAuQCHgAEOAECAgJ4AgQCBQIGAgcCCAIJAiECCwK7Ag0CCAIIAggCCAIIAggCCAIIAggCCAIIAggCCAIIAggCCAIIAhkCAwLmAh4ABDgBAgICIAIEAgUCBgIHAggCCQK6AgsCuwINAggCCAIIAggCCAIIAggCCAIIAggCCAIIAggCCAIIAggCCAIZAgMC6AIeAAQ5AQAJNTQ3NjIyNjA4AgICVwIEAgUCBgIHAggCCQK6AgsCuwINAggCCAIIAggCCAIIAggCCAIIAggCCHoAAAQAAggCCAIIAggCCAIIAiMCAwLrAh4ABDkBAgICbQIEAgUCBgIHAggCCQIcAgsCuwINAggCCAIIAggCCAIIAggCCAIIAggCCAIIAggCCAIIAggCCAIjAgMCxgIeAAQ5AQICAgMCBAIFAgYCBwIIAgkCIQILArsCDQIIAggCCAIIAggCCAIIAggCCAIIAggCCAIIAggCCAIIAggCIwIDAsICHgAEOQECAgIoAgQCBQIGAgcCCAIJAiECCwK7Ag0CCAIIAggCCAIIAggCCAIIAggCCAIIAggCCAIIAggCCAIIAiMCAwLBAh4ABDkBAgICYAIEAgUCBgIHAggCCQK6AgsCuwINAggCCAIIAggCCAIIAggCCAIIAggCCAIIAggCCAIIAggCCAIjAgMCxQIeAAQ5AQICAlkCBAIFAgYCBwIIAgkCugILArsCDQIIAggCCAIIAggCCAIIAggCCAIIAggCCAIIAggCCAIIAggCIwIDAsMCHgAEOQECAgJQAgQCBQIGAgcCCAIJAhwCCwK7Ag0CCAIIAggCCAIIAggCCAIIAggCCAIIAggCCAIIAggCCAIIAiMCAwK+Ah4ABDkBAgICaQIEAgUCBgIHAggCCQIcAgsCuwINAggCCAIIAggCCAIIAggCCAIIAggCCAIIAggCCAIIAggCCAIjAgMCwAIeAAQ5AQICAm8CBAIFAgYCBwIIAgkCugILArsCDQIIAggCCAIIAggCCAIIAggCCAIIAggCCAIIAggCCAIIAggCIwIDAtICHgAEOQECAgI+AgQCBQIGAgcCCAIJAhwCCwK7Ag0CCAIIAggCCAIIAggCCAIIAggCCAIIAggCCAIIAggCCAIIAiMCAwQnAQIeAAQ5AQICAjsCBAIFAgYCBwIIAgkCugILArsCDQIIAggCCAIIAggCCAIIAggCCAIIAggCCAIIAggCCAIIAggCIwIDBCUBAh4ABDkBAgICbQIEAgUCBgIHAggCCQIhAgsCuwINAggCCAIIAggCCAIIAggCCAIIAggCCAIIAggCCAIIAggCCAIjAgMC6QIeAAQ5AQICAkECBAIFAgYCBwIIAgkCHAILArsCDQIIAggCCAIIAggCCAIIAggCCAIIAggCCAIIAggCCAIIAggCIwIDAr8CHgAEOQECAgJkAgQCBQIGAgcCCAIJAroCCwK7Ag0CCAIIAggCCAIIAggCCAIIAggCCAIIAggCCAIIAggCCAIIAiMCAwK8Ah4ABDkBAgICcwIEAgUCBgIHAggCCQIhAgsCuwINAggCCAIIAggCCAIIAggCCAIIAggCCAIIAggCCAIIAggCCAIjAgMCvQIeAAQ5AQICAngCBAIFAgYCBwIIAgkCunoAAAQAAgsCuwINAggCCAIIAggCCAIIAggCCAIIAggCCAIIAggCCAIIAggCCAIjAgMCyAIeAAQ5AQICAlwCBAIFAgYCBwIIAgkCugILArsCDQIIAggCCAIIAggCCAIIAggCCAIIAggCCAIIAggCCAIIAggCIwIDBB0BAh4ABDkBAgICQQIEAgUCBgIHAggCCQIhAgsCuwINAggCCAIIAggCCAIIAggCCAIIAggCCAIIAggCCAIIAggCCAIjAgMCzgIeAAQ5AQICAlMCBAIFAgYCBwIIAgkCugILArsCDQIIAggCCAIIAggCCAIIAggCCAIIAggCCAIIAggCCAIIAggCIwIDAtMCHgAEOQECAgIDAgQCBQIGAgcCCAIJAhwCCwK7Ag0CCAIIAggCCAIIAggCCAIIAggCCAIIAggCCAIIAggCCAIIAiMCAwLNAh4ABDkBAgICXgIEAgUCBgIHAggCCQIcAgsCuwINAggCCAIIAggCCAIIAggCCAIIAggCCAIIAggCCAIIAggCCAIjAgMC1QIeAAQ5AQICAmYCBAIFAgYCBwIIAgkCHAILArsCDQIIAggCCAIIAggCCAIIAggCCAIIAggCCAIIAggCCAIIAggCIwIDAswCHgAEOQECAgJVAgQCBQIGAgcCCAIJAroCCwK7Ag0CCAIIAggCCAIIAggCCAIIAggCCAIIAggCCAIIAggCCAIIAiMCAwLKAh4ABDkBAgICUAIEAgUCBgIHAggCCQIhAgsCuwINAggCCAIIAggCCAIIAggCCAIIAggCCAIIAggCCAIIAggCCAIjAgMCxwIeAAQ5AQICAjgCBAIFAgYCBwIIAgkCIQILArsCDQIIAggCCAIIAggCCAIIAggCCAIIAggCCAIIAggCCAIIAggCIwIDAtECHgAEOQECAgJHAgQCBQIGAgcCCAIJAiECCwK7Ag0CCAIIAggCCAIIAggCCAIIAggCCAIIAggCCAIIAggCCAIIAiMCAwQiAQIeAAQ5AQICAmkCBAIFAgYCBwIIAgkCIQILArsCDQIIAggCCAIIAggCCAIIAggCCAIIAggCCAIIAggCCAIIAggCIwIDAs8CHgAEOQECAgIoAgQCBQIGAgcCCAIJAhwCCwK7Ag0CCAIIAggCCAIIAggCCAIIAggCCAIIAggCCAIIAggCCAIIAiMCAwLLAh4ABDkBAgICPgIEAgUCBgIHAggCCQIhAgsCuwINAggCCAIIAggCCAIIAggCCAIIAggCCAIIAggCCAIIAggCCAIjAgMEGwECHgAEOQECAgIgAgQCBQIGAgcCCAIJAhwCCwK7Ag0CCAIIAggCCAIIAggCCAIIAggCCAIIAggCCAIIAggCCAIIAnoAAAQAIwIDBBwBAh4ABDkBAgICHgIEAgUCBgIHAggCCQIhAgsCuwINAggCCAIIAggCCAIIAggCCAIIAggCCAIIAggCCAIIAggCCAIjAgMCyQIeAAQ5AQICAmQCBAIFAgYCBwIIAgkCIQILArsCDQIIAggCCAIIAggCCAIIAggCCAIIAggCCAIIAggCCAIIAggCIwIDBBEBAh4ABDkBAgICKgIEAgUCBgIHAggCCQK6AgsCuwINAggCCAIIAggCCAIIAggCCAIIAggCCAIIAggCCAIIAggCCAIjAgMEEgECHgAEOQECAgIsAgQCBQIGAgcCCAIJAhwCCwK7Ag0CCAIIAggCCAIIAggCCAIIAggCCAIIAggCCAIIAggCCAIIAiMCAwQQAQIeAAQ5AQICAi4CBAIFAgYCBwIIAgkCHAILArsCDQIIAggCCAIIAggCCAIIAggCCAIIAggCCAIIAggCCAIIAggCIwIDBA4BAh4ABDkBAgICNgIEAgUCBgIHAggCCQIcAgsCuwINAggCCAIIAggCCAIIAggCCAIIAggCCAIIAggCCAIIAggCCAIjAgMEEwECHgAEOQECAgIyAgQCBQIGAgcCCAIJAhwCCwK7Ag0CCAIIAggCCAIIAggCCAIIAggCCAIIAggCCAIIAggCCAIIAiMCAwQNAQIeAAQ5AQICAmYCBAIFAgYCBwIIAgkCIQILArsCDQIIAggCCAIIAggCCAIIAggCCAIIAggCCAIIAggCCAIIAggCIwIDBBUBAh4ABDkBAgICHgIEAgUCBgIHAggCCQIcAgsCuwINAggCCAIIAggCCAIIAggCCAIIAggCCAIIAggCCAIIAggCCAIjAgMEKAECHgAEOQECAgIoAgQCBQIGAgcCCAIJAroCCwK7Ag0CCAIIAggCCAIIAggCCAIIAggCCAIIAggCCAIIAggCCAIIAiMCAwQrAQIeAAQ5AQICAnMCBAIFAgYCBwIIAgkCugILArsCDQIIAggCCAIIAggCCAIIAggCCAIIAggCCAIIAggCCAIIAggCIwIDBAgBAh4ABDkBAgICSQIEAgUCBgIHAggCCQIhAgsCuwINAggCCAIIAggCCAIIAggCCAIIAggCCAIIAggCCAIIAggCCAIjAgMC1AIeAAQ5AQICAm8CBAIFAgYCBwIIAgkCIQILArsCDQIIAggCCAIIAggCCAIIAggCCAIIAggCCAIIAggCCAIIAggCIwIDBA8BAh4ABDkBAgICIwIEAgUCBgIHAggCCQIcAgsCuwINAggCCAIIAggCCAIIAggCCAIIAggCCAIIAggCCAIIAggCCAIjAgMEDAECHgAEOQECAgIDAgQCBQIGAgcCCAIJAroCC3oAAAQAArsCDQIIAggCCAIIAggCCAIIAggCCAIIAggCCAIIAggCCAIIAggCIwIDBBQBAh4ABDkBAgICOwIEAgUCBgIHAggCCQIhAgsCuwINAggCCAIIAggCCAIIAggCCAIIAggCCAIIAggCCAIIAggCCAIjAgMC0AIeAAQ5AQICAi4CBAIFAgYCBwIIAgkCIQILArsCDQIIAggCCAIIAggCCAIIAggCCAIIAggCCAIIAggCCAIIAggCIwIDBCEBAh4ABDkBAgICZAIEAgUCBgIHAggCCQIcAgsCuwINAggCCAIIAggCCAIIAggCCAIIAggCCAIIAggCCAIIAggCCAIjAgMEIwECHgAEOQECAgIsAgQCBQIGAgcCCAIJAiECCwK7Ag0CCAIIAggCCAIIAggCCAIIAggCCAIIAggCCAIIAggCCAIIAiMCAwQqAQIeAAQ5AQICAkkCBAIFAgYCBwIIAgkCugILArsCDQIIAggCCAIIAggCCAIIAggCCAIIAggCCAIIAggCCAIIAggCIwIDBCQBAh4ABDkBAgICGwIEAgUCBgIHAggCCQK6AgsCuwINAggCCAIIAggCCAIIAggCCAIIAggCCAIIAggCCAIIAggCCAIjAgMEGAECHgAEOQECAgJHAgQCBQIGAgcCCAIJAhwCCwK7Ag0CCAIIAggCCAIIAggCCAIIAggCCAIIAggCCAIIAggCCAIIAiMCAwQmAQIeAAQ5AQICAl4CBAIFAgYCBwIIAgkCIQILArsCDQIIAggCCAIIAggCCAIIAggCCAIIAggCCAIIAggCCAIIAggCIwIDBBYBAh4ABDkBAgICbwIEAgUCBgIHAggCCQIcAgsCuwINAggCCAIIAggCCAIIAggCCAIIAggCCAIIAggCCAIIAggCCAIjAgMEGgECHgAEOQECAgJMAgQCBQIGAgcCCAIJAroCCwK7Ag0CCAIIAggCCAIIAggCCAIIAggCCAIIAggCCAIIAggCCAIIAiMCAwQeAQIeAAQ5AQICAjgCBAIFAgYCBwIIAgkCugILArsCDQIIAggCCAIIAggCCAIIAggCCAIIAggCCAIIAggCCAIIAggCIwIDAjkCHgAEOQECAgJpAgQCBQIGAgcCCAIJAroCCwK7Ag0CCAIIAggCCAIIAggCCAIIAggCCAIIAggCCAIIAggCCAIIAiMCAwQXAQIeAAQ5AQICAlMCBAIFAgYCBwIIAgkCHAILArsCDQIIAggCCAIIAggCCAIIAggCCAIIAggCCAIIAggCCAIIAggCIwIDAvsCHgAEOQECAgIjAgQCBQIGAgcCCAIJAiECCwK7Ag0CCAIIAggCCAIIAggCCAIIAggCCAIIAggCCAIIAnoAAAQACAIIAggCIwIDBCABAh4ABDkBAgICXAIEAgUCBgIHAggCCQIhAgsCuwINAggCCAIIAggCCAIIAggCCAIIAggCCAIIAggCCAIIAggCCAIjAgMEHwECHgAEOQECAgJVAgQCBQIGAgcCCAIJAhwCCwK7Ag0CCAIIAggCCAIIAggCCAIIAggCCAIIAggCCAIIAggCCAIIAiMCAwL8Ah4ABDkBAgICXAIEAgUCBgIHAggCCQIcAgsCuwINAggCCAIIAggCCAIIAggCCAIIAggCCAIIAggCCAIIAggCCAIjAgMC7gIeAAQ5AQICAkUCBAIFAgYCBwIIAgkCugILArsCDQIIAggCCAIIAggCCAIIAggCCAIIAggCCAIIAggCCAIIAggCIwIDAu8CHgAEOQECAgIqAgQCBQIGAgcCCAIJAiECCwK7Ag0CCAIIAggCCAIIAggCCAIIAggCCAIIAggCCAIIAggCCAIIAiMCAwL9Ah4ABDkBAgICMAIEAgUCBgIHAggCCQIhAgsCuwINAggCCAIIAggCCAIIAggCCAIIAggCCAIIAggCCAIIAggCCAIjAgMC8QIeAAQ5AQICAjQCBAIFAgYCBwIIAgkCIQILArsCDQIIAggCCAIIAggCCAIIAggCCAIIAggCCAIIAggCCAIIAggCIwIDAvYCHgAEOQECAgJeAgQCBQIGAgcCCAIJAroCCwK7Ag0CCAIIAggCCAIIAggCCAIIAggCCAIIAggCCAIIAggCCAIIAiMCAwL3Ah4ABDkBAgICJgIEAgUCBgIHAggCCQK6AgsCuwINAggCCAIIAggCCAIIAggCCAIIAggCCAIIAggCCAIIAggCCAIjAgMC8wIeAAQ5AQICAj4CBAIFAgYCBwIIAgkCugILArsCDQIIAggCCAIIAggCCAIIAggCCAIIAggCCAIIAggCCAIIAggCIwIDAvUCHgAEOQECAgJHAgQCBQIGAgcCCAIJAroCCwK7Ag0CCAIIAggCCAIIAggCCAIIAggCCAIIAggCCAIIAggCCAIIAiMCAwQGAQIeAAQ5AQICAkMCBAIFAgYCBwIIAgkCugILArsCDQIIAggCCAIIAggCCAIIAggCCAIIAggCCAIIAggCCAIIAggCIwIDAjkCHgAEOQECAgJVAgQCBQIGAgcCCAIJAiECCwK7Ag0CCAIIAggCCAIIAggCCAIIAggCCAIIAggCCAIIAggCCAIIAiMCAwQsAQIeAAQ5AQICAkwCBAIFAgYCBwIIAgkCHAILArsCDQIIAggCCAIIAggCCAIIAggCCAIIAggCCAIIAggCCAIIAggCIwIDAvQCHgAEOQECAgJgAgQCBQIGAgcCCAIJAhwCCwK7AnoAAAQADQIIAggCCAIIAggCCAIIAggCCAIIAggCCAIIAggCCAIIAggCIwIDBAoBAh4ABDkBAgICTgIEAgUCBgIHAggCCQK6AgsCuwINAggCCAIIAggCCAIIAggCCAIIAggCCAIIAggCCAIIAggCCAIjAgMC8AIeAAQ5AQICAlMCBAIFAgYCBwIIAgkCIQILArsCDQIIAggCCAIIAggCCAIIAggCCAIIAggCCAIIAggCCAIIAggCIwIDBCkBAh4ABDkBAgICZgIEAgUCBgIHAggCCQK6AgsCuwINAggCCAIIAggCCAIIAggCCAIIAggCCAIIAggCCAIIAggCCAIjAgMC8gIeAAQ5AQICAlcCBAIFAgYCBwIIAgkCHAILArsCDQIIAggCCAIIAggCCAIIAggCCAIIAggCCAIIAggCCAIIAggCIwIDBAABAh4ABDkBAgICLAIEAgUCBgIHAggCCQK6AgsCuwINAggCCAIIAggCCAIIAggCCAIIAggCCAIIAggCCAIIAggCCAIjAgMEAwECHgAEOQECAgIuAgQCBQIGAgcCCAIJAroCCwK7Ag0CCAIIAggCCAIIAggCCAIIAggCCAIIAggCCAIIAggCCAIIAiMCAwL/Ah4ABDkBAgICNAIEAgUCBgIHAggCCQIcAgsCuwINAggCCAIIAggCCAIIAggCCAIIAggCCAIIAggCCAIIAggCCAIjAgMEAgECHgAEOQECAgIjAgQCBQIGAgcCCAIJAroCCwK7Ag0CCAIIAggCCAIIAggCCAIIAggCCAIIAggCCAIIAggCCAIIAiMCAwQZAQIeAAQ5AQICAjYCBAIFAgYCBwIIAgkCIQILArsCDQIIAggCCAIIAggCCAIIAggCCAIIAggCCAIIAggCCAIIAggCIwIDBAUBAh4ABDkBAgICWQIEAgUCBgIHAggCCQIcAgsCuwINAggCCAIIAggCCAIIAggCCAIIAggCCAIIAggCCAIIAggCCAIjAgMECwECHgAEOQECAgJMAgQCBQIGAgcCCAIJAiECCwK7Ag0CCAIIAggCCAIIAggCCAIIAggCCAIIAggCCAIIAggCCAIIAiMCAwL+Ah4ABDkBAgICbQIEAgUCBgIHAggCCQK6AgsCuwINAggCCAIIAggCCAIIAggCCAIIAggCCAIIAggCCAIIAggCCAIjAgMEBwECHgAEOQECAgIyAgQCBQIGAgcCCAIJAiECCwK7Ag0CCAIIAggCCAIIAggCCAIIAggCCAIIAggCCAIIAggCCAIIAiMCAwQBAQIeAAQ5AQICAjACBAIFAgYCBwIIAgkCHAILArsCDQIIAggCCAIIAggCCAIIAggCCAIIAggCCAIIAggCCAIIAnoAAAQACAIjAgMEBAECHgAEOQECAgIbAgQCBQIGAgcCCAIJAiECCwK7Ag0CCAIIAggCCAIIAggCCAIIAggCCAIIAggCCAIIAggCCAIIAiMCAwL5Ah4ABDkBAgICOwIEAgUCBgIHAggCCQIcAgsCuwINAggCCAIIAggCCAIIAggCCAIIAggCCAIIAggCCAIIAggCCAIjAgMC3QIeAAQ5AQICAkUCBAIFAgYCBwIIAgkCIQILArsCDQIIAggCCAIIAggCCAIIAggCCAIIAggCCAIIAggCCAIIAggCIwIDAtYCHgAEOQECAgJOAgQCBQIGAgcCCAIJAiECCwK7Ag0CCAIIAggCCAIIAggCCAIIAggCCAIIAggCCAIIAggCCAIIAiMCAwLZAh4ABDkBAgICNAIEAgUCBgIHAggCCQK6AgsCuwINAggCCAIIAggCCAIIAggCCAIIAggCCAIIAggCCAIIAggCCAIjAgMC1wIeAAQ5AQICAiYCBAIFAgYCBwIIAgkCIQILArsCDQIIAggCCAIIAggCCAIIAggCCAIIAggCCAIIAggCCAIIAggCIwIDAuwCHgAEOQECAgJ4AgQCBQIGAgcCCAIJAhwCCwK7Ag0CCAIIAggCCAIIAggCCAIIAggCCAIIAggCCAIIAggCCAIIAiMCAwLaAh4ABDkBAgICVwIEAgUCBgIHAggCCQIhAgsCuwINAggCCAIIAggCCAIIAggCCAIIAggCCAIIAggCCAIIAggCCAIjAgMC2wIeAAQ5AQICAkkCBAIFAgYCBwIIAgkCHAILArsCDQIIAggCCAIIAggCCAIIAggCCAIIAggCCAIIAggCCAIIAggCIwIDAtwCHgAEOQECAgI4AgQCBQIGAgcCCAIJAhwCCwK7Ag0CCAIIAggCCAIIAggCCAIIAggCCAIIAggCCAIIAggCCAIIAiMCAwLYAh4ABDkBAgICIAIEAgUCBgIHAggCCQIhAgsCuwINAggCCAIIAggCCAIIAggCCAIIAggCCAIIAggCCAIIAggCCAIjAgMECQECHgAEOQECAgIbAgQCBQIGAgcCCAIJAhwCCwK7Ag0CCAIIAggCCAIIAggCCAIIAggCCAIIAggCCAIIAggCCAIIAiMCAwLtAh4ABDkBAgICMAIEAgUCBgIHAggCCQK6AgsCuwINAggCCAIIAggCCAIIAggCCAIIAggCCAIIAggCCAIIAggCCAIjAgMC6gIeAAQ5AQICAkMCBAIFAgYCBwIIAgkCIQILArsCDQIIAggCCAIIAggCCAIIAggCCAIIAggCCAIIAggCCAIIAggCIwIDAtECHgAEOQECAgIqAgQCBQIGAgcCCAIJAhwCCwK7Ag0CCAIIAnoAAAQACAIIAggCCAIIAggCCAIIAggCCAIIAggCCAIIAggCIwIDAuICHgAEOQECAgIyAgQCBQIGAgcCCAIJAroCCwK7Ag0CCAIIAggCCAIIAggCCAIIAggCCAIIAggCCAIIAggCCAIIAiMCAwLjAh4ABDkBAgICRQIEAgUCBgIHAggCCQIcAgsCuwINAggCCAIIAggCCAIIAggCCAIIAggCCAIIAggCCAIIAggCCAIjAgMC5AIeAAQ5AQICAngCBAIFAgYCBwIIAgkCIQILArsCDQIIAggCCAIIAggCCAIIAggCCAIIAggCCAIIAggCCAIIAggCIwIDAuYCHgAEOQECAgIgAgQCBQIGAgcCCAIJAroCCwK7Ag0CCAIIAggCCAIIAggCCAIIAggCCAIIAggCCAIIAggCCAIIAiMCAwLoAh4ABDkBAgICHgIEAgUCBgIHAggCCQK6AgsCuwINAggCCAIIAggCCAIIAggCCAIIAggCCAIIAggCCAIIAggCCAIjAgMC4AIeAAQ5AQICAiYCBAIFAgYCBwIIAgkCHAILArsCDQIIAggCCAIIAggCCAIIAggCCAIIAggCCAIIAggCCAIIAggCIwIDAt8CHgAEOQECAgJDAgQCBQIGAgcCCAIJAhwCCwK7Ag0CCAIIAggCCAIIAggCCAIIAggCCAIIAggCCAIIAggCCAIIAiMCAwLYAh4ABDkBAgICWQIEAgUCBgIHAggCCQIhAgsCuwINAggCCAIIAggCCAIIAggCCAIIAggCCAIIAggCCAIIAggCCAIjAgMC4QIeAAQ5AQICAkECBAIFAgYCBwIIAgkCugILArsCDQIIAggCCAIIAggCCAIIAggCCAIIAggCCAIIAggCCAIIAggCIwIDAvoCHgAEOQECAgJQAgQCBQIGAgcCCAIJAroCCwK7Ag0CCAIIAggCCAIIAggCCAIIAggCCAIIAggCCAIIAggCCAIIAiMCAwLnAh4ABDkBAgICTgIEAgUCBgIHAggCCQIcAgsCuwINAggCCAIIAggCCAIIAggCCAIIAggCCAIIAggCCAIIAggCCAIjAgMC5QIeAAQ5AQICAnMCBAIFAgYCBwIIAgkCHAILArsCDQIIAggCCAIIAggCCAIIAggCCAIIAggCCAIIAggCCAIIAggCIwIDAsQCHgAEOQECAgI2AgQCBQIGAgcCCAIJAroCCwK7Ag0CCAIIAggCCAIIAggCCAIIAggCCAIIAggCCAIIAggCCAIIAiMCAwL4Ah4ABDkBAgICYAIEAgUCBgIHAggCCQIhAgsCuwINAggCCAIIAggCCAIIAggCCAIIAggCCAIIAggCCAIIAggCCAIjAgMC3gIeAAQ6AQAJNXoAAAQANDc2NjMwMzICAgI2AgQCBQIGAgcCCAIJAiECCwIMAg0CCAIIAggCCAIIAggCCAIIAggCCAIIAggCCAIIAggCCAIIAhgCAwI3Ah4ABDoBAgICIAIEAgUCBgIHAggCCQIhAgsCDAINAggCCAIIAggCCAIIAggCCAIIAggCCAIIAggCCAIIAggCCAIYAgMCIgIeAAQ6AQICAiwCBAIFAgYCBwIIAgkCIQILAgwCDQIIAggCCAIIAggCCAIIAggCCAIIAggCCAIIAggCCAIIAggCGAIDAi0CHgAEOgECAgIqAgQCBQIGAgcCCAIJAhwCCwIMAg0CCAIIAggCCAIIAggCCAIIAggCCAIIAggCCAIIAggCCAIIAhgCAwIrAh4ABDoBAgICGwIEAgUCBgIHAggCCQIcAgsCDAINAggCCAIIAggCCAIIAggCCAIIAggCCAIIAggCCAIIAggCCAIYAgMCHQIeAAQ6AQICAiYCBAIFAgYCBwIIAgkCIQILAgwCDQIIAggCCAIIAggCCAIIAggCCAIIAggCCAIIAggCCAIIAggCGAIDAicCHgAEOgECAgJzAgQCBQIGAgcCCAIJAgoCCwIMAg0CCAIIAggCCAIIAggCCAIIAggCCAIIAggCCAIIAggCCAIIAhgCAwJ0Ah4ABDoBAgICIwIEAgUCBgIHAggCCQIhAgsCDAINAggCCAIIAggCCAIIAggCCAIIAggCCAIIAggCCAIIAggCCAIYAgMCJQIeAAQ6AQICAigCBAIFAgYCBwIIAgkCCgILAgwCDQIIAggCCAIIAggCCAIIAggCCAIIAggCCAIIAggCCAIIAggCGAIDAikCHgAEOgECAgIyAgQCBQIGAgcCCAIJAiECCwIMAg0CCAIIAggCCAIIAggCCAIIAggCCAIIAggCCAIIAggCCAIIAhgCAwIzAh4ABDoBAgICGwIEAgUCBgIHAggCCQIhAgsCDAINAggCCAIIAggCCAIIAggCCAIIAggCCAIIAggCCAIIAggCCAIYAgMCQAIeAAQ6AQICAjQCBAIFAgYCBwIIAgkCHAILAgwCDQIIAggCCAIIAggCCAIIAggCCAIIAggCCAIIAggCCAIIAggCGAIDAjUCHgAEOgECAgIuAgQCBQIGAgcCCAIJAiECCwIMAg0CCAIIAggCCAIIAggCCAIIAggCCAIIAggCCAIIAggCCAIIAhgCAwIvAh4ABDoBAgICMAIEAgUCBgIHAggCCQIcAgsCDAINAggCCAIIAggCCAIIAggCCAIIAggCCAIIAggCCAIIAggCCAIYAgMCMQIeAAQ6AQICAgMCBAIFAgYCBwIIAgkCCgILAgwCDQIIAggCCAIIAggCCHoAAAQAAggCCAIIAggCCAIIAggCCAIIAggCCAIYAgMCDgIeAAQ6AQICAiACBAIFAgYCBwIIAgkCHAILAgwCDQIIAggCCAIIAggCCAIIAggCCAIIAggCCAIIAggCCAIIAggCGAIDAjoCHgAEOgECAgI4AgQCBQIGAgcCCAIJAgoCCwIMAg0CCAIIAggCCAIIAggCCAIIAggCCAIIAggCCAIIAggCCAIIAhgCAwI5Ah4ABDoBAgICOwIEAgUCBgIHAggCCQIKAgsCDAINAggCCAIIAggCCAIIAggCCAIIAggCCAIIAggCCAIIAggCCAIYAgMCPAIeAAQ6AQICAkcCBAIFAgYCBwIIAgkCIQILAgwCDQIIAggCCAIIAggCCAIIAggCCAIIAggCCAIIAggCCAIIAggCGAIDAkgCHgAEOgECAgI+AgQCBQIGAgcCCAIJAiECCwIMAg0CCAIIAggCCAIIAggCCAIIAggCCAIIAggCCAIIAggCCAIIAhgCAwI/Ah4ABDoBAgICKgIEAgUCBgIHAggCCQIhAgsCDAINAggCCAIIAggCCAIIAggCCAIIAggCCAIIAggCCAIIAggCCAIYAgMCPQIeAAQ6AQICAkkCBAIFAgYCBwIIAgkCCgILAgwCDQIIAggCCAIIAggCCAIIAggCCAIIAggCCAIIAggCCAIIAggCGAIDAkoCHgAEOgECAgJQAgQCBQIGAgcCCAIJAgoCCwIMAg0CCAIIAggCCAIIAggCCAIIAggCCAIIAggCCAIIAggCCAIIAhgCAwJRAh4ABDoBAgICMgIEAgUCBgIHAggCCQIcAgsCDAINAggCCAIIAggCCAIIAggCCAIIAggCCAIIAggCCAIIAggCCAIYAgMCUgIeAAQ6AQICAkMCBAIFAgYCBwIIAgkCIQILAgwCDQIIAggCCAIIAggCCAIIAggCCAIIAggCCAIIAggCCAIIAggCGAIDAkQCHgAEOgECAgJBAgQCBQIGAgcCCAIJAgoCCwIMAg0CCAIIAggCCAIIAggCCAIIAggCCAIIAggCCAIIAggCCAIIAhgCAwJCAh4ABDoBAgICRQIEAgUCBgIHAggCCQIhAgsCDAINAggCCAIIAggCCAIIAggCCAIIAggCCAIIAggCCAIIAggCCAIYAgMCRgIeAAQ6AQICAh4CBAIFAgYCBwIIAgkCCgILAgwCDQIIAggCCAIIAggCCAIIAggCCAIIAggCCAIIAggCCAIIAggCGAIDAh8CHgAEOgECAgI2AgQCBQIGAgcCCAIJAhwCCwIMAg0CCAIIAggCCAIIAggCCAIIAggCCAIIAggCCAIIAggCCAIIAhgCAwJLAh4ABDoBAgICTAIEAgUCBnoAAAQAAgcCCAIJAhwCCwIMAg0CCAIIAggCCAIIAggCCAIIAggCCAIIAggCCAIIAggCCAIIAhgCAwJNAh4ABDoBAgICTgIEAgUCBgIHAggCCQIhAgsCDAINAggCCAIIAggCCAIIAggCCAIIAggCCAIIAggCCAIIAggCCAIYAgMCTwIeAAQ6AQICAmACBAIFAgYCBwIIAgkCHAILAgwCDQIIAggCCAIIAggCCAIIAggCCAIIAggCCAIIAggCCAIIAggCGAIDAp4CHgAEOgECAgJtAgQCBQIGAgcCCAIJAiECCwIMAg0CCAIIAggCCAIIAggCCAIIAggCCAIIAggCCAIIAggCCAIIAhgCAwKfAh4ABDoBAgICkwIEAgUCBgIHAggCCQIcAgsCDAINAggCCAIIAggCCAIIAggCCAIIAggCCAIIAggCCAIIAggCCAIYAgMCmgIeAAQ6AQICAj4CBAIFAgYCBwIIAgkCCgILAgwCDQIIAggCCAIIAggCCAIIAggCCAIIAggCCAIIAggCCAIIAggCGAIDAqcCHgAEOgECAgJeAgQCBQIGAgcCCAIJAgoCCwIMAg0CCAIIAggCCAIIAggCCAIIAggCCAIIAggCCAIIAggCCAIIAhgCAwKbAh4ABDoBAgICWQIEAgUCBgIHAggCCQIcAgsCDAINAggCCAIIAggCCAIIAggCCAIIAggCCAIIAggCCAIIAggCCAIYAgMCnQIeAAQ6AQICAlACBAIFAgYCBwIIAgkCIQILAgwCDQIIAggCCAIIAggCCAIIAggCCAIIAggCCAIIAggCCAIIAggCGAIDAqACHgAEOgECAgJBAgQCBQIGAgcCCAIJAiECCwIMAg0CCAIIAggCCAIIAggCCAIIAggCCAIIAggCCAIIAggCCAIIAhgCAwKhAh4ABDoBAgICRQIEAgUCBgIHAggCCQIcAgsCDAINAggCCAIIAggCCAIIAggCCAIIAggCCAIIAggCCAIIAggCCAIYAgMCqAIeAAQ6AQICAqQCBAIFAgYCBwIIAgkCIQILAgwCDQIIAggCCAIIAggCCAIIAggCCAIIAggCCAIIAggCCAIIAggCGAIDAqUCHgAEOgECAgJXAgQCBQIGAgcCCAIJAhwCCwIMAg0CCAIIAggCCAIIAggCCAIIAggCCAIIAggCCAIIAggCCAIIAhgCAwKiAh4ABDoBAgICTgIEAgUCBgIHAggCCQIcAgsCDAINAggCCAIIAggCCAIIAggCCAIIAggCCAIIAggCCAIIAggCCAIYAgMCpgIeAAQ6AQICAmQCBAIFAgYCBwIIAgkCCgILAgwCDQIIAggCCAIIAggCCAIIAggCCAIIAggCCAIIAggCCHoAAAQAAggCCAIYAgMCowIeAAQ6AQICAmYCBAIFAgYCBwIIAgkCCgILAgwCDQIIAggCCAIIAggCCAIIAggCCAIIAggCCAIIAggCCAIIAggCGAIDApwCHgAEOgECAgJTAgQCBQIGAgcCCAIJAgoCCwIMAg0CCAIIAggCCAIIAggCCAIIAggCCAIIAggCCAIIAggCCAIIAhgCAwKpAh4ABDoBAgICYAIEAgUCBgIHAggCCQIhAgsCDAINAggCCAIIAggCCAIIAggCCAIIAggCCAIIAggCCAIIAggCCAIYAgMCqwIeAAQ6AQICAlkCBAIFAgYCBwIIAgkCIQILAgwCDQIIAggCCAIIAggCCAIIAggCCAIIAggCCAIIAggCCAIIAggCGAIDAqwCHgAEOgECAgJVAgQCBQIGAgcCCAIJAgoCCwIMAg0CCAIIAggCCAIIAggCCAIIAggCCAIIAggCCAIIAggCCAIIAhgCAwKqAh4ABDoBAgICNAIEAgUCBgIHAggCCQIhAgsCDAINAggCCAIIAggCCAIIAggCCAIIAggCCAIIAggCCAIIAggCCAIYAgMCrQIeAAQ6AQICAnMCBAIFAgYCBwIIAgkCHAILAgwCDQIIAggCCAIIAggCCAIIAggCCAIIAggCCAIIAggCCAIIAggCGAIDAq8CHgAEOgECAgJtAgQCBQIGAgcCCAIJAhwCCwIMAg0CCAIIAggCCAIIAggCCAIIAggCCAIIAggCCAIIAggCCAIIAhgCAwKxAh4ABDoBAgICQwIEAgUCBgIHAggCCQIcAgsCDAINAggCCAIIAggCCAIIAggCCAIIAggCCAIIAggCCAIIAggCCAIYAgMCmQIeAAQ6AQICAiYCBAIFAgYCBwIIAgkCHAILAgwCDQIIAggCCAIIAggCCAIIAggCCAIIAggCCAIIAggCCAIIAggCGAIDAq4CHgAEOgECAgJvAgQCBQIGAgcCCAIJAgoCCwIMAg0CCAIIAggCCAIIAggCCAIIAggCCAIIAggCCAIIAggCCAIIAhgCAwK0Ah4ABDoBAgICpAIEAgUCBgIHAggCCQIcAgsCDAINAggCCAIIAggCCAIIAggCCAIIAggCCAIIAggCCAIIAggCCAIYAgMCswIeAAQ6AQICAngCBAIFAgYCBwIIAgkCHAILAgwCDQIIAggCCAIIAggCCAIIAggCCAIIAggCCAIIAggCCAIIAggCGAIDArUCHgAEOgECAgIjAgQCBQIGAgcCCAIJAgoCCwIMAg0CCAIIAggCCAIIAggCCAIIAggCCAIIAggCCAIIAggCCAIIAhgCAwKyAh4ABDoBAgICMAIEAgUCBgIHAggCCQIhAgsCDAINAggCCHoAAAQAAggCCAIIAggCCAIIAggCCAIIAggCCAIIAggCCAIIAhgCAwK3Ah4ABDoBAgICLAIEAgUCBgIHAggCCQIKAgsCDAINAggCCAIIAggCCAIIAggCCAIIAggCCAIIAggCCAIIAggCCAIYAgMCuAIeAAQ6AQICAi4CBAIFAgYCBwIIAgkCCgILAgwCDQIIAggCCAIIAggCCAIIAggCCAIIAggCCAIIAggCCAIIAggCGAIDArACHgAEOgECAgJXAgQCBQIGAgcCCAIJAiECCwIMAg0CCAIIAggCCAIIAggCCAIIAggCCAIIAggCCAIIAggCCAIIAhgCAwK2Ah4ABDoBAgICOAIEAgUCBgIHAggCCQIhAgsCDAINAggCCAIIAggCCAIIAggCCAIIAggCCAIIAggCCAIIAggCCAIYAgMCRAIeAAQ6AQICAjQCBAIFAgYCBwIIAgkCCgILAgwCDQIIAggCCAIIAggCCAIIAggCCAIIAggCCAIIAggCCAIIAggCGAIDAokCHgAEOgECAgIeAgQCBQIGAgcCCAIJAhwCCwIMAg0CCAIIAggCCAIIAggCCAIIAggCCAIIAggCCAIIAggCCAIIAhgCAwKDAh4ABDoBAgICSQIEAgUCBgIHAggCCQIhAgsCDAINAggCCAIIAggCCAIIAggCCAIIAggCCAIIAggCCAIIAggCCAIYAgMCgQIeAAQ6AQICAioCBAIFAgYCBwIIAgkCCgILAgwCDQIIAggCCAIIAggCCAIIAggCCAIIAggCCAIIAggCCAIIAggCGAIDAn4CHgAEOgECAgIbAgQCBQIGAgcCCAIJAgoCCwIMAg0CCAIIAggCCAIIAggCCAIIAggCCAIIAggCCAIIAggCCAIIAhgCAwKFAh4ABDoBAgICfwIEAgUCBgIHAggCCQIcAgsCDAINAggCCAIIAggCCAIIAggCCAIIAggCCAIIAggCCAIIAggCCAIYAgMCgAIeAAQ6AQICAngCBAIFAgYCBwIIAgkCIQILAgwCDQIIAggCCAIIAggCCAIIAggCCAIIAggCCAIIAggCCAIIAggCGAIDAocCHgAEOgECAgIeAgQCBQIGAgcCCAIJAiECCwIMAg0CCAIIAggCCAIIAggCCAIIAggCCAIIAggCCAIIAggCCAIIAhgCAwKQAh4ABDoBAgICAwIEAgUCBgIHAggCCQIcAgsCDAINAggCCAIIAggCCAIIAggCCAIIAggCCAIIAggCCAIIAggCCAIYAgMCiAIeAAQ6AQICAigCBAIFAgYCBwIIAgkCHAILAgwCDQIIAggCCAIIAggCCAIIAggCCAIIAggCCAIIAggCCAIIAggCGAIDAo0CHgAEOgECAnoAAAQAAjACBAIFAgYCBwIIAgkCCgILAgwCDQIIAggCCAIIAggCCAIIAggCCAIIAggCCAIIAggCCAIIAggCGAIDAoYCHgAEOgECAgI7AgQCBQIGAgcCCAIJAhwCCwIMAg0CCAIIAggCCAIIAggCCAIIAggCCAIIAggCCAIIAggCCAIIAhgCAwKKAh4ABDoBAgICSQIEAgUCBgIHAggCCQIcAgsCDAINAggCCAIIAggCCAIIAggCCAIIAggCCAIIAggCCAIIAggCCAIYAgMCjAIeAAQ6AQICAmkCBAIFAgYCBwIIAgkCHAILAgwCDQIIAggCCAIIAggCCAIIAggCCAIIAggCCAIIAggCCAIIAggCGAIDApcCHgAEOgECAgIgAgQCBQIGAgcCCAIJAgoCCwIMAg0CCAIIAggCCAIIAggCCAIIAggCCAIIAggCCAIIAggCCAIIAhgCAwKOAh4ABDoBAgICkwIEAgUCBgIHAggCCQIhAgsCDAINAggCCAIIAggCCAIIAggCCAIIAggCCAIIAggCCAIIAggCCAIYAgMClAIeAAQ6AQICAn8CBAIFAgYCBwIIAgkCIQILAgwCDQIIAggCCAIIAggCCAIIAggCCAIIAggCCAIIAggCCAIIAggCGAIDAo8CHgAEOgECAgJzAgQCBQIGAgcCCAIJAiECCwIMAg0CCAIIAggCCAIIAggCCAIIAggCCAIIAggCCAIIAggCCAIIAhgCAwKSAh4ABDoBAgICZAIEAgUCBgIHAggCCQIhAgsCDAINAggCCAIIAggCCAIIAggCCAIIAggCCAIIAggCCAIIAggCCAIYAgMClgIeAAQ6AQICAm8CBAIFAgYCBwIIAgkCIQILAgwCDQIIAggCCAIIAggCCAIIAggCCAIIAggCCAIIAggCCAIIAggCGAIDAoQCHgAEOgECAgJQAgQCBQIGAgcCCAIJAhwCCwIMAg0CCAIIAggCCAIIAggCCAIIAggCCAIIAggCCAIIAggCCAIIAhgCAwKYAh4ABDoBAgICQQIEAgUCBgIHAggCCQIcAgsCDAINAggCCAIIAggCCAIIAggCCAIIAggCCAIIAggCCAIIAggCCAIYAgMClQIeAAQ6AQICAjgCBAIFAgYCBwIIAgkCHAILAgwCDQIIAggCCAIIAggCCAIIAggCCAIIAggCCAIIAggCCAIIAggCGAIDApkCHgAEOgECAgI2AgQCBQIGAgcCCAIJAgoCCwIMAg0CCAIIAggCCAIIAggCCAIIAggCCAIIAggCCAIIAggCCAIIAhgCAwKLAh4ABDoBAgICTAIEAgUCBgIHAggCCQIKAgsCDAINAggCCAIIAggCCAIIAggCCAIIAggCCHoAAAQAAggCCAIIAggCCAIIAhgCAwKRAh4ABDoBAgICUwIEAgUCBgIHAggCCQIhAgsCDAINAggCCAIIAggCCAIIAggCCAIIAggCCAIIAggCCAIIAggCCAIYAgMCVAIeAAQ6AQICAlUCBAIFAgYCBwIIAgkCIQILAgwCDQIIAggCCAIIAggCCAIIAggCCAIIAggCCAIIAggCCAIIAggCGAIDAlYCHgAEOgECAgJHAgQCBQIGAgcCCAIJAhwCCwIMAg0CCAIIAggCCAIIAggCCAIIAggCCAIIAggCCAIIAggCCAIIAhgCAwJrAh4ABDoBAgICPgIEAgUCBgIHAggCCQIcAgsCDAINAggCCAIIAggCCAIIAggCCAIIAggCCAIIAggCCAIIAggCCAIYAgMCWwIeAAQ6AQICAlkCBAIFAgYCBwIIAgkCCgILAgwCDQIIAggCCAIIAggCCAIIAggCCAIIAggCCAIIAggCCAIIAggCGAIDAloCHgAEOgECAgJXAgQCBQIGAgcCCAIJAgoCCwIMAg0CCAIIAggCCAIIAggCCAIIAggCCAIIAggCCAIIAggCCAIIAhgCAwJYAh4ABDoBAgICYAIEAgUCBgIHAggCCQIKAgsCDAINAggCCAIIAggCCAIIAggCCAIIAggCCAIIAggCCAIIAggCCAIYAgMCYQIeAAQ6AQICAmkCBAIFAgYCBwIIAgkCIQILAgwCDQIIAggCCAIIAggCCAIIAggCCAIIAggCCAIIAggCCAIIAggCGAIDAmoCHgAEOgECAgJeAgQCBQIGAgcCCAIJAhwCCwIMAg0CCAIIAggCCAIIAggCCAIIAggCCAIIAggCCAIIAggCCAIIAhgCAwJfAh4ABDoBAgICTAIEAgUCBgIHAggCCQIhAgsCDAINAggCCAIIAggCCAIIAggCCAIIAggCCAIIAggCCAIIAggCCAIYAgMCYwIeAAQ6AQICAkMCBAIFAgYCBwIIAgkCCgILAgwCDQIIAggCCAIIAggCCAIIAggCCAIIAggCCAIIAggCCAIIAggCGAIDAjkCHgAEOgECAgJcAgQCBQIGAgcCCAIJAiECCwIMAg0CCAIIAggCCAIIAggCCAIIAggCCAIIAggCCAIIAggCCAIIAhgCAwJdAh4ABDoBAgICRQIEAgUCBgIHAggCCQIKAgsCDAINAggCCAIIAggCCAIIAggCCAIIAggCCAIIAggCCAIIAggCCAIYAgMCbAIeAAQ6AQICAk4CBAIFAgYCBwIIAgkCCgILAgwCDQIIAggCCAIIAggCCAIIAggCCAIIAggCCAIIAggCCAIIAggCGAIDAmgCHgAEOgECAgJkAgQCBQIGAgcCCAIJAhwCC3oAAAQAAgwCDQIIAggCCAIIAggCCAIIAggCCAIIAggCCAIIAggCCAIIAggCGAIDAmUCHgAEOgECAgJmAgQCBQIGAgcCCAIJAhwCCwIMAg0CCAIIAggCCAIIAggCCAIIAggCCAIIAggCCAIIAggCCAIIAhgCAwJnAh4ABDoBAgICAwIEAgUCBgIHAggCCQIhAgsCDAINAggCCAIIAggCCAIIAggCCAIIAggCCAIIAggCCAIIAggCCAIYAgMCegIeAAQ6AQICAmYCBAIFAgYCBwIIAgkCIQILAgwCDQIIAggCCAIIAggCCAIIAggCCAIIAggCCAIIAggCCAIIAggCGAIDAn0CHgAEOgECAgJeAgQCBQIGAgcCCAIJAiECCwIMAg0CCAIIAggCCAIIAggCCAIIAggCCAIIAggCCAIIAggCCAIIAhgCAwJxAh4ABDoBAgICUwIEAgUCBgIHAggCCQIcAgsCDAINAggCCAIIAggCCAIIAggCCAIIAggCCAIIAggCCAIIAggCCAIYAgMCcgIeAAQ6AQICAlUCBAIFAgYCBwIIAgkCHAILAgwCDQIIAggCCAIIAggCCAIIAggCCAIIAggCCAIIAggCCAIIAggCGAIDAncCHgAEOgECAgJvAgQCBQIGAgcCCAIJAhwCCwIMAg0CCAIIAggCCAIIAggCCAIIAggCCAIIAggCCAIIAggCCAIIAhgCAwJwAh4ABDoBAgICbQIEAgUCBgIHAggCCQIKAgsCDAINAggCCAIIAggCCAIIAggCCAIIAggCCAIIAggCCAIIAggCCAIYAgMCbgIeAAQ6AQICAlwCBAIFAgYCBwIIAgkCHAILAgwCDQIIAggCCAIIAggCCAIIAggCCAIIAggCCAIIAggCCAIIAggCGAIDAmICHgAEOgECAgIuAgQCBQIGAgcCCAIJAhwCCwIMAg0CCAIIAggCCAIIAggCCAIIAggCCAIIAggCCAIIAggCCAIIAhgCAwJ2Ah4ABDoBAgICJgIEAgUCBgIHAggCCQIKAgsCDAINAggCCAIIAggCCAIIAggCCAIIAggCCAIIAggCCAIIAggCCAIYAgMCdQIeAAQ6AQICAiMCBAIFAgYCBwIIAgkCHAILAgwCDQIIAggCCAIIAggCCAIIAggCCAIIAggCCAIIAggCCAIIAggCGAIDAiQCHgAEOgECAgIsAgQCBQIGAgcCCAIJAhwCCwIMAg0CCAIIAggCCAIIAggCCAIIAggCCAIIAggCCAIIAggCCAIIAhgCAwJ8Ah4ABDoBAgICOwIEAgUCBgIHAggCCQIhAgsCDAINAggCCAIIAggCCAIIAggCCAIIAggCCAIIAggCCAIIAggCCAIYAgMCgnoAAAQAAh4ABDoBAgICKAIEAgUCBgIHAggCCQIhAgsCDAINAggCCAIIAggCCAIIAggCCAIIAggCCAIIAggCCAIIAggCCAIYAgMCewIeAAQ6AQICAngCBAIFAgYCBwIIAgkCCgILAgwCDQIIAggCCAIIAggCCAIIAggCCAIIAggCCAIIAggCCAIIAggCGAIDAnkCHgAEOwEACTMxMTE4ODUwNAICAgMCBAIFAgYCBwIIAgkCIQILAgwCDQIIAggCCAIIAggCCAIIAggCCAIIAggCCAIIAggCCAIIAggCFAIDAnoCHgAEOwECAgJpAgQCBQIGAgcCCAIJAhwCCwIMAg0CCAIIAggCCAIIAggCCAIIAggCCAIIAggCCAIIAggCCAIIAhQCAwKXAh4ABDsBAgICbQIEAgUCBgIHAggCCQIcAgsCDAINAggCCAIIAggCCAIIAggCCAIIAggCCAIIAggCCAIIAggCCAIUAgMCsQIeAAQ7AQICAlMCBAIFAgYCBwIIAgkCCgILAgwCDQIIAggCCAIIAggCCAIIAggCCAIIAggCCAIIAggCCAIIAggCFAIDAqkCHgAEOwECAgJMAgQCBQIGAgcCCAIJAgoCCwIMAg0CCAIIAggCCAIIAggCCAIIAggCCAIIAggCCAIIAggCCAIIAhQCAwKRAh4ABDsBAgICpAIEAgUCBgIHAggCCQIcAgsCDAINAggCCAIIAggCCAIIAggCCAIIAggCCAIIAggCCAIIAggCCAIUAgMCswIeAAQ7AQICAigCBAIFAgYCBwIIAgkCHAILAgwCDQIIAggCCAIIAggCCAIIAggCCAIIAggCCAIIAggCCAIIAggCFAIDAo0CHgAEOwECAgJzAgQCBQIGAgcCCAIJAiECCwIMAg0CCAIIAggCCAIIAggCCAIIAggCCAIIAggCCAIIAggCCAIIAhQCAwKSAh4ABDsBAgICMAIEAgUCBgIHAggCCQIKAgsCDAINAggCCAIIAggCCAIIAggCCAIIAggCCAIIAggCCAIIAggCCAIUAgMChgIeAAQ7AQICAmACBAIFAgYCBwIIAgkCCgILAgwCDQIIAggCCAIIAggCCAIIAggCCAIIAggCCAIIAggCCAIIAggCFAIDAmECHgAEOwECAgJHAgQCBQIGAgcCCAIJAhwCCwIMAg0CCAIIAggCCAIIAggCCAIIAggCCAIIAggCCAIIAggCCAIIAhQCAwJrAh4ABDsBAgICPgIEAgUCBgIHAggCCQIcAgsCDAINAggCCAIIAggCCAIIAggCCAIIAggCCAIIAggCCAIIAggCCAIUAgMCWwIeAAQ7AQICAmkCBAIFAgYCBwIIAgkCIQILAgwCDQIIAnoAAAQACAIIAggCCAIIAggCCAIIAggCCAIIAggCCAIIAggCCAIUAgMCagIeAAQ7AQICAlkCBAIFAgYCBwIIAgkCCgILAgwCDQIIAggCCAIIAggCCAIIAggCCAIIAggCCAIIAggCCAIIAggCFAIDAloCHgAEOwECAgJtAgQCBQIGAgcCCAIJAiECCwIMAg0CCAIIAggCCAIIAggCCAIIAggCCAIIAggCCAIIAggCCAIIAhQCAwKfAh4ABDsBAgICAwIEAgUCBgIHAggCCQIcAgsCDAINAggCCAIIAggCCAIIAggCCAIIAggCCAIIAggCCAIIAggCCAIUAgMCiAIeAAQ7AQICAjQCBAIFAgYCBwIIAgkCCgILAgwCDQIIAggCCAIIAggCCAIIAggCCAIIAggCCAIIAggCCAIIAggCFAIDAokCHgAEOwECAgJmAgQCBQIGAgcCCAIJAhwCCwIMAg0CCAIIAggCCAIIAggCCAIIAggCCAIIAggCCAIIAggCCAIIAhQCAwJnAh4ABDsBAgICHgIEAgUCBgIHAggCCQIcAgsCDAINAggCCAIIAggCCAIIAggCCAIIAggCCAIIAggCCAIIAggCCAIUAgMCgwIeAAQ7AQICAlcCBAIFAgYCBwIIAgkCCgILAgwCDQIIAggCCAIIAggCCAIIAggCCAIIAggCCAIIAggCCAIIAggCFAIDAlgCHgAEOwECAgIeAgQCBQIGAgcCCAIJAiECCwIMAg0CCAIIAggCCAIIAggCCAIIAggCCAIIAggCCAIIAggCCAIIAhQCAwKQAh4ABDsBAgICUAIEAgUCBgIHAggCCQIcAgsCDAINAggCCAIIAggCCAIIAggCCAIIAggCCAIIAggCCAIIAggCCAIUAgMCmAIeAAQ7AQICAn8CBAIFAgYCBwIIAgkCIQILAgwCDQIIAggCCAIIAggCCAIIAggCCAIIAggCCAIIAggCCAIIAggCFAIDAo8CHgAEOwECAgJBAgQCBQIGAgcCCAIJAhwCCwIMAg0CCAIIAggCCAIIAggCCAIIAggCCAIIAggCCAIIAggCCAIIAhQCAwKVAh4ABDsBAgICRwIEAgUCBgIHAggCCQIhAgsCDAINAggCCAIIAggCCAIIAggCCAIIAggCCAIIAggCCAIIAggCCAIUAgMCSAIeAAQ7AQICAj4CBAIFAgYCBwIIAgkCIQILAgwCDQIIAggCCAIIAggCCAIIAggCCAIIAggCCAIIAggCCAIIAggCFAIDAj8CHgAEOwECAgI7AgQCBQIGAgcCCAIJAgoCCwIMAg0CCAIIAggCCAIIAggCCAIIAggCCAIIAggCCAIIAggCCAIIAhQCAwI8Ah4ABDsBAnoAAAQAAgJkAgQCBQIGAgcCCAIJAiECCwIMAg0CCAIIAggCCAIIAggCCAIIAggCCAIIAggCCAIIAggCCAIIAhQCAwKWAh4ABDsBAgICSQIEAgUCBgIHAggCCQIKAgsCDAINAggCCAIIAggCCAIIAggCCAIIAggCCAIIAggCCAIIAggCCAIUAgMCSgIeAAQ7AQICAi4CBAIFAgYCBwIIAgkCCgILAgwCDQIIAggCCAIIAggCCAIIAggCCAIIAggCCAIIAggCCAIIAggCFAIDArACHgAEOwECAgIsAgQCBQIGAgcCCAIJAgoCCwIMAg0CCAIIAggCCAIIAggCCAIIAggCCAIIAggCCAIIAggCCAIIAhQCAwK4Ah4ABDsBAgICVwIEAgUCBgIHAggCCQIhAgsCDAINAggCCAIIAggCCAIIAggCCAIIAggCCAIIAggCCAIIAggCCAIUAgMCtgIeAAQ7AQICAjgCBAIFAgYCBwIIAgkCHAILAgwCDQIIAggCCAIIAggCCAIIAggCCAIIAggCCAIIAggCCAIIAggCFAIDApkCHgAEOwECAgJOAgQCBQIGAgcCCAIJAiECCwIMAg0CCAIIAggCCAIIAggCCAIIAggCCAIIAggCCAIIAggCCAIIAhQCAwJPAh4ABDsBAgICIAIEAgUCBgIHAggCCQIcAgsCDAINAggCCAIIAggCCAIIAggCCAIIAggCCAIIAggCCAIIAggCCAIUAgMCOgIeAAQ7AQICAiMCBAIFAgYCBwIIAgkCCgILAgwCDQIIAggCCAIIAggCCAIIAggCCAIIAggCCAIIAggCCAIIAggCFAIDArICHgAEOwECAgJ4AgQCBQIGAgcCCAIJAhwCCwIMAg0CCAIIAggCCAIIAggCCAIIAggCCAIIAggCCAIIAggCCAIIAhQCAwK1Ah4ABDsBAgICNgIEAgUCBgIHAggCCQIKAgsCDAINAggCCAIIAggCCAIIAggCCAIIAggCCAIIAggCCAIIAggCCAIUAgMCiwIeAAQ7AQICAkMCBAIFAgYCBwIIAgkCIQILAgwCDQIIAggCCAIIAggCCAIIAggCCAIIAggCCAIIAggCCAIIAggCFAIDAkQCHgAEOwECAgJgAgQCBQIGAgcCCAIJAiECCwIMAg0CCAIIAggCCAIIAggCCAIIAggCCAIIAggCCAIIAggCCAIIAhQCAwKrAh4ABDsBAgICRQIEAgUCBgIHAggCCQIcAgsCDAINAggCCAIIAggCCAIIAggCCAIIAggCCAIIAggCCAIIAggCCAIUAgMCqAIeAAQ7AQICAiACBAIFAgYCBwIIAgkCIQILAgwCDQIIAggCCAIIAggCCAIIAggCCAIIAnoAAAQACAIIAggCCAIIAggCCAIUAgMCIgIeAAQ7AQICAiYCBAIFAgYCBwIIAgkCIQILAgwCDQIIAggCCAIIAggCCAIIAggCCAIIAggCCAIIAggCCAIIAggCFAIDAicCHgAEOwECAgIbAgQCBQIGAgcCCAIJAhwCCwIMAg0CCAIIAggCCAIIAggCCAIIAggCCAIIAggCCAIIAggCCAIIAhQCAwIdAh4ABDsBAgICQQIEAgUCBgIHAggCCQIhAgsCDAINAggCCAIIAggCCAIIAggCCAIIAggCCAIIAggCCAIIAggCCAIUAgMCoQIeAAQ7AQICAh4CBAIFAgYCBwIIAgkCCgILAgwCDQIIAggCCAIIAggCCAIIAggCCAIIAggCCAIIAggCCAIIAggCFAIDAh8CHgAEOwECAgI2AgQCBQIGAgcCCAIJAiECCwIMAg0CCAIIAggCCAIIAggCCAIIAggCCAIIAggCCAIIAggCCAIIAhQCAwI3Ah4ABDsBAgICUAIEAgUCBgIHAggCCQIhAgsCDAINAggCCAIIAggCCAIIAggCCAIIAggCCAIIAggCCAIIAggCCAIUAgMCoAIeAAQ7AQICAlkCBAIFAgYCBwIIAgkCHAILAgwCDQIIAggCCAIIAggCCAIIAggCCAIIAggCCAIIAggCCAIIAggCFAIDAp0CHgAEOwECAgJgAgQCBQIGAgcCCAIJAhwCCwIMAg0CCAIIAggCCAIIAggCCAIIAggCCAIIAggCCAIIAggCCAIIAhQCAwKeAh4ABDsBAgICeAIEAgUCBgIHAggCCQIhAgsCDAINAggCCAIIAggCCAIIAggCCAIIAggCCAIIAggCCAIIAggCCAIUAgMChwIeAAQ7AQICAmQCBAIFAgYCBwIIAgkCCgILAgwCDQIIAggCCAIIAggCCAIIAggCCAIIAggCCAIIAggCCAIIAggCFAIDAqMCHgAEOwECAgKkAgQCBQIGAgcCCAIJAiECCwIMAg0CCAIIAggCCAIIAggCCAIIAggCCAIIAggCCAIIAggCCAIIAhQCAwKlAh4ABDsBAgICTgIEAgUCBgIHAggCCQIcAgsCDAINAggCCAIIAggCCAIIAggCCAIIAggCCAIIAggCCAIIAggCCAIUAgMCpgIeAAQ7AQICAjACBAIFAgYCBwIIAgkCIQILAgwCDQIIAggCCAIIAggCCAIIAggCCAIIAggCCAIIAggCCAIIAggCFAIDArcCHgAEOwECAgJzAgQCBQIGAgcCCAIJAhwCCwIMAg0CCAIIAggCCAIIAggCCAIIAggCCAIIAggCCAIIAggCCAIIAhQCAwKvAh4ABDsBAgICQwIEAgUCBgIHAggCCQIcAnoAAAQACwIMAg0CCAIIAggCCAIIAggCCAIIAggCCAIIAggCCAIIAggCCAIIAhQCAwKZAh4ABDsBAgICWQIEAgUCBgIHAggCCQIhAgsCDAINAggCCAIIAggCCAIIAggCCAIIAggCCAIIAggCCAIIAggCCAIUAgMCrAIeAAQ7AQICAm8CBAIFAgYCBwIIAgkCCgILAgwCDQIIAggCCAIIAggCCAIIAggCCAIIAggCCAIIAggCCAIIAggCFAIDArQCHgAEOwECAgImAgQCBQIGAgcCCAIJAhwCCwIMAg0CCAIIAggCCAIIAggCCAIIAggCCAIIAggCCAIIAggCCAIIAhQCAwKuAh4ABDsBAgICVQIEAgUCBgIHAggCCQIKAgsCDAINAggCCAIIAggCCAIIAggCCAIIAggCCAIIAggCCAIIAggCCAIUAgMCqgIeAAQ7AQICAjQCBAIFAgYCBwIIAgkCIQILAgwCDQIIAggCCAIIAggCCAIIAggCCAIIAggCCAIIAggCCAIIAggCFAIDAq0CHgAEOwECAgIqAgQCBQIGAgcCCAIJAiECCwIMAg0CCAIIAggCCAIIAggCCAIIAggCCAIIAggCCAIIAggCCAIIAhQCAwI9Ah4ABDsBAgICUwIEAgUCBgIHAggCCQIcAgsCDAINAggCCAIIAggCCAIIAggCCAIIAggCCAIIAggCCAIIAggCCAIUAgMCcgIeAAQ7AQICAkECBAIFAgYCBwIIAgkCCgILAgwCDQIIAggCCAIIAggCCAIIAggCCAIIAggCCAIIAggCCAIIAggCFAIDAkICHgAEOwECAgIwAgQCBQIGAgcCCAIJAhwCCwIMAg0CCAIIAggCCAIIAggCCAIIAggCCAIIAggCCAIIAggCCAIIAhQCAwIxAh4ABDsBAgICXAIEAgUCBgIHAggCCQIcAgsCDAINAggCCAIIAggCCAIIAggCCAIIAggCCAIIAggCCAIIAggCCAIUAgMCYgIeAAQ7AQICApMCBAIFAgYCBwIIAgkCHAILAgwCDQIIAggCCAIIAggCCAIIAggCCAIIAggCCAIIAggCCAIIAggCFAIDApoCHgAEOwECAgIqAgQCBQIGAgcCCAIJAhwCCwIMAg0CCAIIAggCCAIIAggCCAIIAggCCAIIAggCCAIIAggCCAIIAhQCAwIrAh4ABDsBAgICXgIEAgUCBgIHAggCCQIKAgsCDAINAggCCAIIAggCCAIIAggCCAIIAggCCAIIAggCCAIIAggCCAIUAgMCmwIeAAQ7AQICAjICBAIFAgYCBwIIAgkCIQILAgwCDQIIAggCCAIIAggCCAIIAggCCAIIAggCCAIIAggCCAIIAggCFAIDAnoAAAQAMwIeAAQ7AQICAiwCBAIFAgYCBwIIAgkCIQILAgwCDQIIAggCCAIIAggCCAIIAggCCAIIAggCCAIIAggCCAIIAggCFAIDAi0CHgAEOwECAgI+AgQCBQIGAgcCCAIJAgoCCwIMAg0CCAIIAggCCAIIAggCCAIIAggCCAIIAggCCAIIAggCCAIIAhQCAwKnAh4ABDsBAgICZgIEAgUCBgIHAggCCQIKAgsCDAINAggCCAIIAggCCAIIAggCCAIIAggCCAIIAggCCAIIAggCCAIUAgMCnAIeAAQ7AQICAlUCBAIFAgYCBwIIAgkCIQILAgwCDQIIAggCCAIIAggCCAIIAggCCAIIAggCCAIIAggCCAIIAggCFAIDAlYCHgAEOwECAgIDAgQCBQIGAgcCCAIJAgoCCwIMAg0CCAIIAggCCAIIAggCCAIIAggCCAIIAggCCAIIAggCCAIIAhQCAwIOAh4ABDsBAgICNAIEAgUCBgIHAggCCQIcAgsCDAINAggCCAIIAggCCAIIAggCCAIIAggCCAIIAggCCAIIAggCCAIUAgMCNQIeAAQ7AQICAlcCBAIFAgYCBwIIAgkCHAILAgwCDQIIAggCCAIIAggCCAIIAggCCAIIAggCCAIIAggCCAIIAggCFAIDAqICHgAEOwECAgJTAgQCBQIGAgcCCAIJAiECCwIMAg0CCAIIAggCCAIIAggCCAIIAggCCAIIAggCCAIIAggCCAIIAhQCAwJUAh4ABDsBAgICKAIEAgUCBgIHAggCCQIKAgsCDAINAggCCAIIAggCCAIIAggCCAIIAggCCAIIAggCCAIIAggCCAIUAgMCKQIeAAQ7AQICAhsCBAIFAgYCBwIIAgkCIQILAgwCDQIIAggCCAIIAggCCAIIAggCCAIIAggCCAIIAggCCAIIAggCFAIDAkACHgAEOwECAgJMAgQCBQIGAgcCCAIJAhwCCwIMAg0CCAIIAggCCAIIAggCCAIIAggCCAIIAggCCAIIAggCCAIIAhQCAwJNAh4ABDsBAgICkwIEAgUCBgIHAggCCQIhAgsCDAINAggCCAIIAggCCAIIAggCCAIIAggCCAIIAggCCAIIAggCCAIUAgMClAIeAAQ7AQICAiACBAIFAgYCBwIIAgkCCgILAgwCDQIIAggCCAIIAggCCAIIAggCCAIIAggCCAIIAggCCAIIAggCFAIDAo4CHgAEOwECAgIyAgQCBQIGAgcCCAIJAhwCCwIMAg0CCAIIAggCCAIIAggCCAIIAggCCAIIAggCCAIIAggCCAIIAhQCAwJSAh4ABDsBAgICUAIEAgUCBgIHAggCCQIKAgsCDAINAggCCAIIAggCCAIIAnoAAAQACAIIAggCCAIIAggCCAIIAggCCAIIAhQCAwJRAh4ABDsBAgICSQIEAgUCBgIHAggCCQIcAgsCDAINAggCCAIIAggCCAIIAggCCAIIAggCCAIIAggCCAIIAggCCAIUAgMCjAIeAAQ7AQICAkUCBAIFAgYCBwIIAgkCIQILAgwCDQIIAggCCAIIAggCCAIIAggCCAIIAggCCAIIAggCCAIIAggCFAIDAkYCHgAEOwECAgJ4AgQCBQIGAgcCCAIJAgoCCwIMAg0CCAIIAggCCAIIAggCCAIIAggCCAIIAggCCAIIAggCCAIIAhQCAwJ5Ah4ABDsBAgICNgIEAgUCBgIHAggCCQIcAgsCDAINAggCCAIIAggCCAIIAggCCAIIAggCCAIIAggCCAIIAggCCAIUAgMCSwIeAAQ7AQICAmYCBAIFAgYCBwIIAgkCIQILAgwCDQIIAggCCAIIAggCCAIIAggCCAIIAggCCAIIAggCCAIIAggCFAIDAn0CHgAEOwECAgI4AgQCBQIGAgcCCAIJAgoCCwIMAg0CCAIIAggCCAIIAggCCAIIAggCCAIIAggCCAIIAggCCAIIAhQCAwI5Ah4ABDsBAgICXgIEAgUCBgIHAggCCQIhAgsCDAINAggCCAIIAggCCAIIAggCCAIIAggCCAIIAggCCAIIAggCCAIUAgMCcQIeAAQ7AQICAi4CBAIFAgYCBwIIAgkCHAILAgwCDQIIAggCCAIIAggCCAIIAggCCAIIAggCCAIIAggCCAIIAggCFAIDAnYCHgAEOwECAgI7AgQCBQIGAgcCCAIJAhwCCwIMAg0CCAIIAggCCAIIAggCCAIIAggCCAIIAggCCAIIAggCCAIIAhQCAwKKAh4ABDsBAgICIwIEAgUCBgIHAggCCQIcAgsCDAINAggCCAIIAggCCAIIAggCCAIIAggCCAIIAggCCAIIAggCCAIUAgMCJAIeAAQ7AQICAhsCBAIFAgYCBwIIAgkCCgILAgwCDQIIAggCCAIIAggCCAIIAggCCAIIAggCCAIIAggCCAIIAggCFAIDAoUCHgAEOwECAgJJAgQCBQIGAgcCCAIJAiECCwIMAg0CCAIIAggCCAIIAggCCAIIAggCCAIIAggCCAIIAggCCAIIAhQCAwKBAh4ABDsBAgICbwIEAgUCBgIHAggCCQIhAgsCDAINAggCCAIIAggCCAIIAggCCAIIAggCCAIIAggCCAIIAggCCAIUAgMChAIeAAQ7AQICAmQCBAIFAgYCBwIIAgkCHAILAgwCDQIIAggCCAIIAggCCAIIAggCCAIIAggCCAIIAggCCAIIAggCFAIDAmUCHgAEOwECAgJ/AgQCBQIGAnoAAAQABwIIAgkCHAILAgwCDQIIAggCCAIIAggCCAIIAggCCAIIAggCCAIIAggCCAIIAggCFAIDAoACHgAEOwECAgJMAgQCBQIGAgcCCAIJAiECCwIMAg0CCAIIAggCCAIIAggCCAIIAggCCAIIAggCCAIIAggCCAIIAhQCAwJjAh4ABDsBAgICOAIEAgUCBgIHAggCCQIhAgsCDAINAggCCAIIAggCCAIIAggCCAIIAggCCAIIAggCCAIIAggCCAIUAgMCRAIeAAQ7AQICAioCBAIFAgYCBwIIAgkCCgILAgwCDQIIAggCCAIIAggCCAIIAggCCAIIAggCCAIIAggCCAIIAggCFAIDAn4CHgAEOwECAgJFAgQCBQIGAgcCCAIJAgoCCwIMAg0CCAIIAggCCAIIAggCCAIIAggCCAIIAggCCAIIAggCCAIIAhQCAwJsAh4ABDsBAgICXgIEAgUCBgIHAggCCQIcAgsCDAINAggCCAIIAggCCAIIAggCCAIIAggCCAIIAggCCAIIAggCCAIUAgMCXwIeAAQ7AQICAi4CBAIFAgYCBwIIAgkCIQILAgwCDQIIAggCCAIIAggCCAIIAggCCAIIAggCCAIIAggCCAIIAggCFAIDAi8CHgAEOwECAgIjAgQCBQIGAgcCCAIJAiECCwIMAg0CCAIIAggCCAIIAggCCAIIAggCCAIIAggCCAIIAggCCAIIAhQCAwIlAh4ABDsBAgICTgIEAgUCBgIHAggCCQIKAgsCDAINAggCCAIIAggCCAIIAggCCAIIAggCCAIIAggCCAIIAggCCAIUAgMCaAIeAAQ7AQICAlwCBAIFAgYCBwIIAgkCIQILAgwCDQIIAggCCAIIAggCCAIIAggCCAIIAggCCAIIAggCCAIIAggCFAIDAl0CHgAEOwECAgI7AgQCBQIGAgcCCAIJAiECCwIMAg0CCAIIAggCCAIIAggCCAIIAggCCAIIAggCCAIIAggCCAIIAhQCAwKCAh4ABDsBAgICbwIEAgUCBgIHAggCCQIcAgsCDAINAggCCAIIAggCCAIIAggCCAIIAggCCAIIAggCCAIIAggCCAIUAgMCcAIeAAQ7AQICAigCBAIFAgYCBwIIAgkCIQILAgwCDQIIAggCCAIIAggCCAIIAggCCAIIAggCCAIIAggCCAIIAggCFAIDAnsCHgAEOwECAgJzAgQCBQIGAgcCCAIJAgoCCwIMAg0CCAIIAggCCAIIAggCCAIIAggCCAIIAggCCAIIAggCCAIIAhQCAwJ0Ah4ABDsBAgICQwIEAgUCBgIHAggCCQIKAgsCDAINAggCCAIIAggCCAIIAggCCAIIAggCCAIIAggCCAIIAnoAAAQACAIIAhQCAwI5Ah4ABDsBAgICLAIEAgUCBgIHAggCCQIcAgsCDAINAggCCAIIAggCCAIIAggCCAIIAggCCAIIAggCCAIIAggCCAIUAgMCfAIeAAQ7AQICAm0CBAIFAgYCBwIIAgkCCgILAgwCDQIIAggCCAIIAggCCAIIAggCCAIIAggCCAIIAggCCAIIAggCFAIDAm4CHgAEOwECAgJVAgQCBQIGAgcCCAIJAhwCCwIMAg0CCAIIAggCCAIIAggCCAIIAggCCAIIAggCCAIIAggCCAIIAhQCAwJ3Ah4ABDsBAgICJgIEAgUCBgIHAggCCQIKAgsCDAINAggCCAIIAggCCAIIAggCCAIIAggCCAIIAggCCAIIAggCCAIUAgMCdQIeAAQ8AQAJNTQ3NjY1MzUyAgICcwIEAgUCBgIHAggCCQIKAgsCDAINAggCCAIIAggCCAIIAggCCAIIAggCCAIIAggCCAIIAggCCAIaAgMCdAIeAAQ8AQICAioCBAIFAgYCBwIIAgkCHAILAgwCDQIIAggCCAIIAggCCAIIAggCCAIIAggCCAIIAggCCAIIAggCGgIDAisCHgAEPAECAgIyAgQCBQIGAgcCCAIJAiECCwIMAg0CCAIIAggCCAIIAggCCAIIAggCCAIIAggCCAIIAggCCAIIAhoCAwIzAh4ABDwBAgICKAIEAgUCBgIHAggCCQIKAgsCDAINAggCCAIIAggCCAIIAggCCAIIAggCCAIIAggCCAIIAggCCAIaAgMCKQIeAAQ8AQICAiMCBAIFAgYCBwIIAgkCIQILAgwCDQIIAggCCAIIAggCCAIIAggCCAIIAggCCAIIAggCCAIIAggCGgIDAiUCHgAEPAECAgI0AgQCBQIGAgcCCAIJAhwCCwIMAg0CCAIIAggCCAIIAggCCAIIAggCCAIIAggCCAIIAggCCAIIAhoCAwI1Ah4ABDwBAgICMAIEAgUCBgIHAggCCQIcAgsCDAINAggCCAIIAggCCAIIAggCCAIIAggCCAIIAggCCAIIAggCCAIaAgMCMQIeAAQ8AQICAgMCBAIFAgYCBwIIAgkCCgILAgwCDQIIAggCCAIIAggCCAIIAggCCAIIAggCCAIIAggCCAIIAggCGgIDAg4CHgAEPAECAgIuAgQCBQIGAgcCCAIJAiECCwIMAg0CCAIIAggCCAIIAggCCAIIAggCCAIIAggCCAIIAggCCAIIAhoCAwIvAh4ABDwBAgICbQIEAgUCBgIHAggCCQIKAgsCDAINAggCCAIIAggCCAIIAggCCAIIAggCCAIIAggCCAIIAggCCAIaAgMCbgIeAAQ8AQICAjQCBAIFAgYCBwIIAgkCIXoAAAQAAgsCDAINAggCCAIIAggCCAIIAggCCAIIAggCCAIIAggCCAIIAggCCAIaAgMCrQIeAAQ8AQICAlUCBAIFAgYCBwIIAgkCHAILAgwCDQIIAggCCAIIAggCCAIIAggCCAIIAggCCAIIAggCCAIIAggCGgIDAncCHgAEPAECAgIbAgQCBQIGAgcCCAIJAiECCwIMAg0CCAIIAggCCAIIAggCCAIIAggCCAIIAggCCAIIAggCCAIIAhoCAwJAAh4ABDwBAgICUwIEAgUCBgIHAggCCQIcAgsCDAINAggCCAIIAggCCAIIAggCCAIIAggCCAIIAggCCAIIAggCCAIaAgMCcgIeAAQ8AQICAioCBAIFAgYCBwIIAgkCIQILAgwCDQIIAggCCAIIAggCCAIIAggCCAIIAggCCAIIAggCCAIIAggCGgIDAj0CHgAEPAECAgIuAgQCBQIGAgcCCAIJAhwCCwIMAg0CCAIIAggCCAIIAggCCAIIAggCCAIIAggCCAIIAggCCAIIAhoCAwJ2Ah4ABDwBAgICXAIEAgUCBgIHAggCCQIcAgsCDAINAggCCAIIAggCCAIIAggCCAIIAggCCAIIAggCCAIIAggCCAIaAgMCYgIeAAQ8AQICAiwCBAIFAgYCBwIIAgkCHAILAgwCDQIIAggCCAIIAggCCAIIAggCCAIIAggCCAIIAggCCAIIAggCGgIDAnwCHgAEPAECAgJ4AgQCBQIGAgcCCAIJAgoCCwIMAg0CCAIIAggCCAIIAggCCAIIAggCCAIIAggCCAIIAggCCAIIAhoCAwJ5Ah4ABDwBAgICZgIEAgUCBgIHAggCCQIhAgsCDAINAggCCAIIAggCCAIIAggCCAIIAggCCAIIAggCCAIIAggCCAIaAgMCfQIeAAQ8AQICAjACBAIFAgYCBwIIAgkCIQILAgwCDQIIAggCCAIIAggCCAIIAggCCAIIAggCCAIIAggCCAIIAggCGgIDArcCHgAEPAECAgI2AgQCBQIGAgcCCAIJAiECCwIMAg0CCAIIAggCCAIIAggCCAIIAggCCAIIAggCCAIIAggCCAIIAhoCAwI3Ah4ABDwBAgICWQIEAgUCBgIHAggCCQIcAgsCDAINAggCCAIIAggCCAIIAggCCAIIAggCCAIIAggCCAIIAggCCAIaAgMCnQIeAAQ8AQICAiMCBAIFAgYCBwIIAgkCHAILAgwCDQIIAggCCAIIAggCCAIIAggCCAIIAggCCAIIAggCCAIIAggCGgIDAiQCHgAEPAECAgJgAgQCBQIGAgcCCAIJAhwCCwIMAg0CCAIIAggCCAIIAggCCAIIAggCCAIIAggCCAIIAggCCAIIAhoCA3oAAAQAAp4CHgAEPAECAgIgAgQCBQIGAgcCCAIJAiECCwIMAg0CCAIIAggCCAIIAggCCAIIAggCCAIIAggCCAIIAggCCAIIAhoCAwIiAh4ABDwBAgICXgIEAgUCBgIHAggCCQIKAgsCDAINAggCCAIIAggCCAIIAggCCAIIAggCCAIIAggCCAIIAggCCAIaAgMCmwIeAAQ8AQICAm8CBAIFAgYCBwIIAgkCCgILAgwCDQIIAggCCAIIAggCCAIIAggCCAIIAggCCAIIAggCCAIIAggCGgIDArQCHgAEPAECAgJFAgQCBQIGAgcCCAIJAhwCCwIMAg0CCAIIAggCCAIIAggCCAIIAggCCAIIAggCCAIIAggCCAIIAhoCAwKoAh4ABDwBAgICTAIEAgUCBgIHAggCCQIhAgsCDAINAggCCAIIAggCCAIIAggCCAIIAggCCAIIAggCCAIIAggCCAIaAgMCYwIeAAQ8AQICAk4CBAIFAgYCBwIIAgkCHAILAgwCDQIIAggCCAIIAggCCAIIAggCCAIIAggCCAIIAggCCAIIAggCGgIDAqYCHgAEPAECAgKkAgQCBQIGAgcCCAIJAiECCwIMAg0CCAIIAggCCAIIAggCCAIIAggCCAIIAggCCAIIAggCCAIIAhoCAwKlAh4ABDwBAgICZgIEAgUCBgIHAggCCQIcAgsCDAINAggCCAIIAggCCAIIAggCCAIIAggCCAIIAggCCAIIAggCCAIaAgMCZwIeAAQ8AQICAmQCBAIFAgYCBwIIAgkCCgILAgwCDQIIAggCCAIIAggCCAIIAggCCAIIAggCCAIIAggCCAIIAggCGgIDAqMCHgAEPAECAgJJAgQCBQIGAgcCCAIJAhwCCwIMAg0CCAIIAggCCAIIAggCCAIIAggCCAIIAggCCAIIAggCCAIIAhoCAwKMAh4ABDwBAgICOwIEAgUCBgIHAggCCQIcAgsCDAINAggCCAIIAggCCAIIAggCCAIIAggCCAIIAggCCAIIAggCCAIaAgMCigIeAAQ8AQICAlcCBAIFAgYCBwIIAgkCCgILAgwCDQIIAggCCAIIAggCCAIIAggCCAIIAggCCAIIAggCCAIIAggCGgIDAlgCHgAEPAECAgImAgQCBQIGAgcCCAIJAhwCCwIMAg0CCAIIAggCCAIIAggCCAIIAggCCAIIAggCCAIIAggCCAIIAhoCAwKuAh4ABDwBAgICYAIEAgUCBgIHAggCCQIhAgsCDAINAggCCAIIAggCCAIIAggCCAIIAggCCAIIAggCCAIIAggCCAIaAgMCqwIeAAQ8AQICApMCBAIFAgYCBwIIAgkCIQILAgwCDQIIAggCCAIIAggCCHoAAAQAAggCCAIIAggCCAIIAggCCAIIAggCCAIaAgMClAIeAAQ8AQICAiACBAIFAgYCBwIIAgkCCgILAgwCDQIIAggCCAIIAggCCAIIAggCCAIIAggCCAIIAggCCAIIAggCGgIDAo4CHgAEPAECAgJDAgQCBQIGAgcCCAIJAhwCCwIMAg0CCAIIAggCCAIIAggCCAIIAggCCAIIAggCCAIIAggCCAIIAhoCAwKZAh4ABDwBAgICWQIEAgUCBgIHAggCCQIhAgsCDAINAggCCAIIAggCCAIIAggCCAIIAggCCAIIAggCCAIIAggCCAIaAgMCrAIeAAQ8AQICAkECBAIFAgYCBwIIAgkCCgILAgwCDQIIAggCCAIIAggCCAIIAggCCAIIAggCCAIIAggCCAIIAggCGgIDAkICHgAEPAECAgJQAgQCBQIGAgcCCAIJAgoCCwIMAg0CCAIIAggCCAIIAggCCAIIAggCCAIIAggCCAIIAggCCAIIAhoCAwJRAh4ABDwBAgICRQIEAgUCBgIHAggCCQIhAgsCDAINAggCCAIIAggCCAIIAggCCAIIAggCCAIIAggCCAIIAggCCAIaAgMCRgIeAAQ8AQICAnMCBAIFAgYCBwIIAgkCIQILAgwCDQIIAggCCAIIAggCCAIIAggCCAIIAggCCAIIAggCCAIIAggCGgIDApICHgAEPAECAgI+AgQCBQIGAgcCCAIJAgoCCwIMAg0CCAIIAggCCAIIAggCCAIIAggCCAIIAggCCAIIAggCCAIIAhoCAwKnAh4ABDwBAgICQwIEAgUCBgIHAggCCQIhAgsCDAINAggCCAIIAggCCAIIAggCCAIIAggCCAIIAggCCAIIAggCCAIaAgMCRAIeAAQ8AQICAjgCBAIFAgYCBwIIAgkCHAILAgwCDQIIAggCCAIIAggCCAIIAggCCAIIAggCCAIIAggCCAIIAggCGgIDApkCHgAEPAECAgJpAgQCBQIGAgcCCAIJAhwCCwIMAg0CCAIIAggCCAIIAggCCAIIAggCCAIIAggCCAIIAggCCAIIAhoCAwKXAh4ABDwBAgICTgIEAgUCBgIHAggCCQIhAgsCDAINAggCCAIIAggCCAIIAggCCAIIAggCCAIIAggCCAIIAggCCAIaAgMCTwIeAAQ8AQICAkwCBAIFAgYCBwIIAgkCHAILAgwCDQIIAggCCAIIAggCCAIIAggCCAIIAggCCAIIAggCCAIIAggCGgIDAk0CHgAEPAECAgI2AgQCBQIGAgcCCAIJAgoCCwIMAg0CCAIIAggCCAIIAggCCAIIAggCCAIIAggCCAIIAggCCAIIAhoCAwKLAh4ABDwBAgICkwIEAgUCBnoAAAQAAgcCCAIJAhwCCwIMAg0CCAIIAggCCAIIAggCCAIIAggCCAIIAggCCAIIAggCCAIIAhoCAwKaAh4ABDwBAgICbQIEAgUCBgIHAggCCQIhAgsCDAINAggCCAIIAggCCAIIAggCCAIIAggCCAIIAggCCAIIAggCCAIaAgMCnwIeAAQ8AQICAiYCBAIFAgYCBwIIAgkCIQILAgwCDQIIAggCCAIIAggCCAIIAggCCAIIAggCCAIIAggCCAIIAggCGgIDAicCHgAEPAECAgIeAgQCBQIGAgcCCAIJAgoCCwIMAg0CCAIIAggCCAIIAggCCAIIAggCCAIIAggCCAIIAggCCAIIAhoCAwIfAh4ABDwBAgICGwIEAgUCBgIHAggCCQIcAgsCDAINAggCCAIIAggCCAIIAggCCAIIAggCCAIIAggCCAIIAggCCAIaAgMCHQIeAAQ8AQICAh4CBAIFAgYCBwIIAgkCIQILAgwCDQIIAggCCAIIAggCCAIIAggCCAIIAggCCAIIAggCCAIIAggCGgIDApACHgAEPAECAgJ4AgQCBQIGAgcCCAIJAiECCwIMAg0CCAIIAggCCAIIAggCCAIIAggCCAIIAggCCAIIAggCCAIIAhoCAwKHAh4ABDwBAgICMAIEAgUCBgIHAggCCQIKAgsCDAINAggCCAIIAggCCAIIAggCCAIIAggCCAIIAggCCAIIAggCCAIaAgMChgIeAAQ8AQICAjQCBAIFAgYCBwIIAgkCCgILAgwCDQIIAggCCAIIAggCCAIIAggCCAIIAggCCAIIAggCCAIIAggCGgIDAokCHgAEPAECAgIDAgQCBQIGAgcCCAIJAhwCCwIMAg0CCAIIAggCCAIIAggCCAIIAggCCAIIAggCCAIIAggCCAIIAhoCAwKIAh4ABDwBAgICUwIEAgUCBgIHAggCCQIKAgsCDAINAggCCAIIAggCCAIIAggCCAIIAggCCAIIAggCCAIIAggCCAIaAgMCqQIeAAQ8AQICAigCBAIFAgYCBwIIAgkCHAILAgwCDQIIAggCCAIIAggCCAIIAggCCAIIAggCCAIIAggCCAIIAggCGgIDAo0CHgAEPAECAgJVAgQCBQIGAgcCCAIJAgoCCwIMAg0CCAIIAggCCAIIAggCCAIIAggCCAIIAggCCAIIAggCCAIIAhoCAwKqAh4ABDwBAgICcwIEAgUCBgIHAggCCQIcAgsCDAINAggCCAIIAggCCAIIAggCCAIIAggCCAIIAggCCAIIAggCCAIaAgMCrwIeAAQ8AQICAm0CBAIFAgYCBwIIAgkCHAILAgwCDQIIAggCCAIIAggCCAIIAggCCAIIAggCCAIIAggCCHoAAAQAAggCCAIaAgMCsQIeAAQ8AQICAn8CBAIFAgYCBwIIAgkCIQILAgwCDQIIAggCCAIIAggCCAIIAggCCAIIAggCCAIIAggCCAIIAggCGgIDAo8CHgAEPAECAgKkAgQCBQIGAgcCCAIJAhwCCwIMAg0CCAIIAggCCAIIAggCCAIIAggCCAIIAggCCAIIAggCCAIIAhoCAwKzAh4ABDwBAgICLgIEAgUCBgIHAggCCQIKAgsCDAINAggCCAIIAggCCAIIAggCCAIIAggCCAIIAggCCAIIAggCCAIaAgMCsAIeAAQ8AQICAiwCBAIFAgYCBwIIAgkCCgILAgwCDQIIAggCCAIIAggCCAIIAggCCAIIAggCCAIIAggCCAIIAggCGgIDArgCHgAEPAECAgIDAgQCBQIGAgcCCAIJAiECCwIMAg0CCAIIAggCCAIIAggCCAIIAggCCAIIAggCCAIIAggCCAIIAhoCAwJ6Ah4ABDwBAgICVwIEAgUCBgIHAggCCQIhAgsCDAINAggCCAIIAggCCAIIAggCCAIIAggCCAIIAggCCAIIAggCCAIaAgMCtgIeAAQ8AQICAngCBAIFAgYCBwIIAgkCHAILAgwCDQIIAggCCAIIAggCCAIIAggCCAIIAggCCAIIAggCCAIIAggCGgIDArUCHgAEPAECAgIoAgQCBQIGAgcCCAIJAiECCwIMAg0CCAIIAggCCAIIAggCCAIIAggCCAIIAggCCAIIAggCCAIIAhoCAwJ7Ah4ABDwBAgICaQIEAgUCBgIHAggCCQIhAgsCDAINAggCCAIIAggCCAIIAggCCAIIAggCCAIIAggCCAIIAggCCAIaAgMCagIeAAQ8AQICAlkCBAIFAgYCBwIIAgkCCgILAgwCDQIIAggCCAIIAggCCAIIAggCCAIIAggCCAIIAggCCAIIAggCGgIDAloCHgAEPAECAgI7AgQCBQIGAgcCCAIJAiECCwIMAg0CCAIIAggCCAIIAggCCAIIAggCCAIIAggCCAIIAggCCAIIAhoCAwKCAh4ABDwBAgICOAIEAgUCBgIHAggCCQIhAgsCDAINAggCCAIIAggCCAIIAggCCAIIAggCCAIIAggCCAIIAggCCAIaAgMCRAIeAAQ8AQICAmACBAIFAgYCBwIIAgkCCgILAgwCDQIIAggCCAIIAggCCAIIAggCCAIIAggCCAIIAggCCAIIAggCGgIDAmECHgAEPAECAgIjAgQCBQIGAgcCCAIJAgoCCwIMAg0CCAIIAggCCAIIAggCCAIIAggCCAIIAggCCAIIAggCCAIIAhoCAwKyAh4ABDwBAgICSQIEAgUCBgIHAggCCQIhAgsCDAINAggCCHoAAAQAAggCCAIIAggCCAIIAggCCAIIAggCCAIIAggCCAIIAhoCAwKBAh4ABDwBAgICXgIEAgUCBgIHAggCCQIcAgsCDAINAggCCAIIAggCCAIIAggCCAIIAggCCAIIAggCCAIIAggCCAIaAgMCXwIeAAQ8AQICAlACBAIFAgYCBwIIAgkCIQILAgwCDQIIAggCCAIIAggCCAIIAggCCAIIAggCCAIIAggCCAIIAggCGgIDAqACHgAEPAECAgJOAgQCBQIGAgcCCAIJAgoCCwIMAg0CCAIIAggCCAIIAggCCAIIAggCCAIIAggCCAIIAggCCAIIAhoCAwJoAh4ABDwBAgICVwIEAgUCBgIHAggCCQIcAgsCDAINAggCCAIIAggCCAIIAggCCAIIAggCCAIIAggCCAIIAggCCAIaAgMCogIeAAQ8AQICAiYCBAIFAgYCBwIIAgkCCgILAgwCDQIIAggCCAIIAggCCAIIAggCCAIIAggCCAIIAggCCAIIAggCGgIDAnUCHgAEPAECAgJcAgQCBQIGAgcCCAIJAiECCwIMAg0CCAIIAggCCAIIAggCCAIIAggCCAIIAggCCAIIAggCCAIIAhoCAwJdAh4ABDwBAgICRwIEAgUCBgIHAggCCQIhAgsCDAINAggCCAIIAggCCAIIAggCCAIIAggCCAIIAggCCAIIAggCCAIaAgMCSAIeAAQ8AQICAmYCBAIFAgYCBwIIAgkCCgILAgwCDQIIAggCCAIIAggCCAIIAggCCAIIAggCCAIIAggCCAIIAggCGgIDApwCHgAEPAECAgJFAgQCBQIGAgcCCAIJAgoCCwIMAg0CCAIIAggCCAIIAggCCAIIAggCCAIIAggCCAIIAggCCAIIAhoCAwJsAh4ABDwBAgICQQIEAgUCBgIHAggCCQIhAgsCDAINAggCCAIIAggCCAIIAggCCAIIAggCCAIIAggCCAIIAggCCAIaAgMCoQIeAAQ8AQICAmQCBAIFAgYCBwIIAgkCHAILAgwCDQIIAggCCAIIAggCCAIIAggCCAIIAggCCAIIAggCCAIIAggCGgIDAmUCHgAEPAECAgI4AgQCBQIGAgcCCAIJAgoCCwIMAg0CCAIIAggCCAIIAggCCAIIAggCCAIIAggCCAIIAggCCAIIAhoCAwI5Ah4ABDwBAgICXgIEAgUCBgIHAggCCQIhAgsCDAINAggCCAIIAggCCAIIAggCCAIIAggCCAIIAggCCAIIAggCCAIaAgMCcQIeAAQ8AQICAkkCBAIFAgYCBwIIAgkCCgILAgwCDQIIAggCCAIIAggCCAIIAggCCAIIAggCCAIIAggCCAIIAggCGgIDAkoCHgAEPAECAnoAAAQAAj4CBAIFAgYCBwIIAgkCIQILAgwCDQIIAggCCAIIAggCCAIIAggCCAIIAggCCAIIAggCCAIIAggCGgIDAj8CHgAEPAECAgI7AgQCBQIGAgcCCAIJAgoCCwIMAg0CCAIIAggCCAIIAggCCAIIAggCCAIIAggCCAIIAggCCAIIAhoCAwI8Ah4ABDwBAgICQwIEAgUCBgIHAggCCQIKAgsCDAINAggCCAIIAggCCAIIAggCCAIIAggCCAIIAggCCAIIAggCCAIaAgMCOQIeAAQ8AQICAm8CBAIFAgYCBwIIAgkCHAILAgwCDQIIAggCCAIIAggCCAIIAggCCAIIAggCCAIIAggCCAIIAggCGgIDAnACHgAEPAECAgIgAgQCBQIGAgcCCAIJAhwCCwIMAg0CCAIIAggCCAIIAggCCAIIAggCCAIIAggCCAIIAggCCAIIAhoCAwI6Ah4ABDwBAgICTAIEAgUCBgIHAggCCQIKAgsCDAINAggCCAIIAggCCAIIAggCCAIIAggCCAIIAggCCAIIAggCCAIaAgMCkQIeAAQ8AQICAm8CBAIFAgYCBwIIAgkCIQILAgwCDQIIAggCCAIIAggCCAIIAggCCAIIAggCCAIIAggCCAIIAggCGgIDAoQCHgAEPAECAgJkAgQCBQIGAgcCCAIJAiECCwIMAg0CCAIIAggCCAIIAggCCAIIAggCCAIIAggCCAIIAggCCAIIAhoCAwKWAh4ABDwBAgICNgIEAgUCBgIHAggCCQIcAgsCDAINAggCCAIIAggCCAIIAggCCAIIAggCCAIIAggCCAIIAggCCAIaAgMCSwIeAAQ8AQICAkECBAIFAgYCBwIIAgkCHAILAgwCDQIIAggCCAIIAggCCAIIAggCCAIIAggCCAIIAggCCAIIAggCGgIDApUCHgAEPAECAgJQAgQCBQIGAgcCCAIJAhwCCwIMAg0CCAIIAggCCAIIAggCCAIIAggCCAIIAggCCAIIAggCCAIIAhoCAwKYAh4ABDwBAgICMgIEAgUCBgIHAggCCQIcAgsCDAINAggCCAIIAggCCAIIAggCCAIIAggCCAIIAggCCAIIAggCCAIaAgMCUgIeAAQ8AQICAkcCBAIFAgYCBwIIAgkCHAILAgwCDQIIAggCCAIIAggCCAIIAggCCAIIAggCCAIIAggCCAIIAggCGgIDAmsCHgAEPAECAgI+AgQCBQIGAgcCCAIJAhwCCwIMAg0CCAIIAggCCAIIAggCCAIIAggCCAIIAggCCAIIAggCCAIIAhoCAwJbAh4ABDwBAgICfwIEAgUCBgIHAggCCQIcAgsCDAINAggCCAIIAggCCAIIAggCCAIIAggCCHoAAAQAAggCCAIIAggCCAIIAhoCAwKAAh4ABDwBAgICHgIEAgUCBgIHAggCCQIcAgsCDAINAggCCAIIAggCCAIIAggCCAIIAggCCAIIAggCCAIIAggCCAIaAgMCgwIeAAQ8AQICAlMCBAIFAgYCBwIIAgkCIQILAgwCDQIIAggCCAIIAggCCAIIAggCCAIIAggCCAIIAggCCAIIAggCGgIDAlQCHgAEPAECAgIqAgQCBQIGAgcCCAIJAgoCCwIMAg0CCAIIAggCCAIIAggCCAIIAggCCAIIAggCCAIIAggCCAIIAhoCAwJ+Ah4ABDwBAgICLAIEAgUCBgIHAggCCQIhAgsCDAINAggCCAIIAggCCAIIAggCCAIIAggCCAIIAggCCAIIAggCCAIaAgMCLQIeAAQ8AQICAhsCBAIFAgYCBwIIAgkCCgILAgwCDQIIAggCCAIIAggCCAIIAggCCAIIAggCCAIIAggCCAIIAggCGgIDAoUCHgAEPAECAgJVAgQCBQIGAgcCCAIJAiECCwIMAg0CCAIIAggCCAIIAggCCAIIAggCCAIIAggCCAIIAggCCAIIAhoCAwJWAh4ABD0BAAk1NDc2Njc2NzICAgJtAgQCBQIGAgcCCAIJAgoCCwIMAg0CCAIIAggCCAIIAggCCAIIAggCCAIIAggCCAIIAggCCAIIAhwCAwJuAh4ABD0BAgICNAIEAgUCBgIHAggCCQIhAgsCDAINAggCCAIIAggCCAIIAggCCAIIAggCCAIIAggCCAIIAggCCAIcAgMCrQIeAAQ9AQICAioCBAIFAgYCBwIIAgkCIQILAgwCDQIIAggCCAIIAggCCAIIAggCCAIIAggCCAIIAggCCAIIAggCHAIDAj0CHgAEPQECAgIbAgQCBQIGAgcCCAIJAiECCwIMAg0CCAIIAggCCAIIAggCCAIIAggCCAIIAggCCAIIAggCCAIIAhwCAwJAAh4ABD0BAgICUwIEAgUCBgIHAggCCQIcAgsCDAINAggCCAIIAggCCAIIAggCCAIIAggCCAIIAggCCAIIAggCCAIcAgMCcgIeAAQ9AQICAnMCBAIFAgYCBwIIAgkCCgILAgwCDQIIAggCCAIIAggCCAIIAggCCAIIAggCCAIIAggCCAIIAggCHAIDAnQCHgAEPQECAgJQAgQCBQIGAgcCCAIJAgoCCwIMAg0CCAIIAggCCAIIAggCCAIIAggCCAIIAggCCAIIAggCCAIIAhwCAwJRAh4ABD0BAgICQQIEAgUCBgIHAggCCQIKAgsCDAINAggCCAIIAggCCAIIAggCCAIIAggCCAIIAggCCAIIAggCCAIcAgMCQgIeAAQ9AQICAlUCBAIFAnoAAAQABgIHAggCCQIcAgsCDAINAggCCAIIAggCCAIIAggCCAIIAggCCAIIAggCCAIIAggCCAIcAgMCdwIeAAQ9AQICAkwCBAIFAgYCBwIIAgkCHAILAgwCDQIIAggCCAIIAggCCAIIAggCCAIIAggCCAIIAggCCAIIAggCHAIDAk0CHgAEPQECAgIwAgQCBQIGAgcCCAIJAiECCwIMAg0CCAIIAggCCAIIAggCCAIIAggCCAIIAggCCAIIAggCCAIIAhwCAwK3Ah4ABD0BAgICkwIEAgUCBgIHAggCCQIcAgsCDAINAggCCAIIAggCCAIIAggCCAIIAggCCAIIAggCCAIIAggCCAIcAgMCmgIeAAQ9AQICAhsCBAIFAgYCBwIIAgkCHAILAgwCDQIIAggCCAIIAggCCAIIAggCCAIIAggCCAIIAggCCAIIAggCHAIDAh0CHgAEPQECAgJTAgQCBQIGAgcCCAIJAiECCwIMAg0CCAIIAggCCAIIAggCCAIIAggCCAIIAggCCAIIAggCCAIIAhwCAwJUAh4ABD0BAgICJgIEAgUCBgIHAggCCQIhAgsCDAINAggCCAIIAggCCAIIAggCCAIIAggCCAIIAggCCAIIAggCCAIcAgMCJwIeAAQ9AQICAlwCBAIFAgYCBwIIAgkCIQILAgwCDQIIAggCCAIIAggCCAIIAggCCAIIAggCCAIIAggCCAIIAggCHAIDAl0CHgAEPQECAgJVAgQCBQIGAgcCCAIJAiECCwIMAg0CCAIIAggCCAIIAggCCAIIAggCCAIIAggCCAIIAggCCAIIAhwCAwJWAh4ABD0BAgICHgIEAgUCBgIHAggCCQIKAgsCDAINAggCCAIIAggCCAIIAggCCAIIAggCCAIIAggCCAIIAggCCAIcAgMCHwIeAAQ9AQICAiMCBAIFAgYCBwIIAgkCIQILAgwCDQIIAggCCAIIAggCCAIIAggCCAIIAggCCAIIAggCCAIIAggCHAIDAiUCHgAEPQECAgJOAgQCBQIGAgcCCAIJAgoCCwIMAg0CCAIIAggCCAIIAggCCAIIAggCCAIIAggCCAIIAggCCAIIAhwCAwJoAh4ABD0BAgICKgIEAgUCBgIHAggCCQIcAgsCDAINAggCCAIIAggCCAIIAggCCAIIAggCCAIIAggCCAIIAggCCAIcAgMCKwIeAAQ9AQICAiwCBAIFAgYCBwIIAgkCIQILAgwCDQIIAggCCAIIAggCCAIIAggCCAIIAggCCAIIAggCCAIIAggCHAIDAi0CHgAEPQECAgI+AgQCBQIGAgcCCAIJAgoCCwIMAg0CCAIIAggCCAIIAggCCAIIAggCCAIIAggCCAIIAnoAAAQACAIIAggCHAIDAqcCHgAEPQECAgIuAgQCBQIGAgcCCAIJAiECCwIMAg0CCAIIAggCCAIIAggCCAIIAggCCAIIAggCCAIIAggCCAIIAhwCAwIvAh4ABD0BAgICZAIEAgUCBgIHAggCCQIcAgsCDAINAggCCAIIAggCCAIIAggCCAIIAggCCAIIAggCCAIIAggCCAIcAgMCZQIeAAQ9AQICAkUCBAIFAgYCBwIIAgkCCgILAgwCDQIIAggCCAIIAggCCAIIAggCCAIIAggCCAIIAggCCAIIAggCHAIDAmwCHgAEPQECAgJeAgQCBQIGAgcCCAIJAiECCwIMAg0CCAIIAggCCAIIAggCCAIIAggCCAIIAggCCAIIAggCCAIIAhwCAwJxAh4ABD0BAgICNgIEAgUCBgIHAggCCQIKAgsCDAINAggCCAIIAggCCAIIAggCCAIIAggCCAIIAggCCAIIAggCCAIcAgMCiwIeAAQ9AQICAkkCBAIFAgYCBwIIAgkCHAILAgwCDQIIAggCCAIIAggCCAIIAggCCAIIAggCCAIIAggCCAIIAggCHAIDAowCHgAEPQECAgKTAgQCBQIGAgcCCAIJAiECCwIMAg0CCAIIAggCCAIIAggCCAIIAggCCAIIAggCCAIIAggCCAIIAhwCAwKUAh4ABD0BAgICIAIEAgUCBgIHAggCCQIKAgsCDAINAggCCAIIAggCCAIIAggCCAIIAggCCAIIAggCCAIIAggCCAIcAgMCjgIeAAQ9AQICAm8CBAIFAgYCBwIIAgkCHAILAgwCDQIIAggCCAIIAggCCAIIAggCCAIIAggCCAIIAggCCAIIAggCHAIDAnACHgAEPQECAgJDAgQCBQIGAgcCCAIJAgoCCwIMAg0CCAIIAggCCAIIAggCCAIIAggCCAIIAggCCAIIAggCCAIIAhwCAwI5Ah4ABD0BAgICOwIEAgUCBgIHAggCCQIcAgsCDAINAggCCAIIAggCCAIIAggCCAIIAggCCAIIAggCCAIIAggCCAIcAgMCigIeAAQ9AQICAi4CBAIFAgYCBwIIAgkCHAILAgwCDQIIAggCCAIIAggCCAIIAggCCAIIAggCCAIIAggCCAIIAggCHAIDAnYCHgAEPQECAgIsAgQCBQIGAgcCCAIJAhwCCwIMAg0CCAIIAggCCAIIAggCCAIIAggCCAIIAggCCAIIAggCCAIIAhwCAwJ8Ah4ABD0BAgICTgIEAgUCBgIHAggCCQIhAgsCDAINAggCCAIIAggCCAIIAggCCAIIAggCCAIIAggCCAIIAggCCAIcAgMCTwIeAAQ9AQICAkMCBAIFAgYCBwIIAgkCIQILAgwCDQIIAnoAAAQACAIIAggCCAIIAggCCAIIAggCCAIIAggCCAIIAggCCAIcAgMCRAIeAAQ9AQICAiYCBAIFAgYCBwIIAgkCCgILAgwCDQIIAggCCAIIAggCCAIIAggCCAIIAggCCAIIAggCCAIIAggCHAIDAnUCHgAEPQECAgJFAgQCBQIGAgcCCAIJAiECCwIMAg0CCAIIAggCCAIIAggCCAIIAggCCAIIAggCCAIIAggCCAIIAhwCAwJGAh4ABD0BAgICeAIEAgUCBgIHAggCCQIKAgsCDAINAggCCAIIAggCCAIIAggCCAIIAggCCAIIAggCCAIIAggCCAIcAgMCeQIeAAQ9AQICAmYCBAIFAgYCBwIIAgkCIQILAgwCDQIIAggCCAIIAggCCAIIAggCCAIIAggCCAIIAggCCAIIAggCHAIDAn0CHgAEPQECAgI4AgQCBQIGAgcCCAIJAhwCCwIMAg0CCAIIAggCCAIIAggCCAIIAggCCAIIAggCCAIIAggCCAIIAhwCAwKZAh4ABD0BAgICOAIEAgUCBgIHAggCCQIhAgsCDAINAggCCAIIAggCCAIIAggCCAIIAggCCAIIAggCCAIIAggCCAIcAgMCRAIeAAQ9AQICAmkCBAIFAgYCBwIIAgkCIQILAgwCDQIIAggCCAIIAggCCAIIAggCCAIIAggCCAIIAggCCAIIAggCHAIDAmoCHgAEPQECAgJXAgQCBQIGAgcCCAIJAgoCCwIMAg0CCAIIAggCCAIIAggCCAIIAggCCAIIAggCCAIIAggCCAIIAhwCAwJYAh4ABD0BAgICOwIEAgUCBgIHAggCCQIhAgsCDAINAggCCAIIAggCCAIIAggCCAIIAggCCAIIAggCCAIIAggCCAIcAgMCggIeAAQ9AQICAlkCBAIFAgYCBwIIAgkCCgILAgwCDQIIAggCCAIIAggCCAIIAggCCAIIAggCCAIIAggCCAIIAggCHAIDAloCHgAEPQECAgJeAgQCBQIGAgcCCAIJAhwCCwIMAg0CCAIIAggCCAIIAggCCAIIAggCCAIIAggCCAIIAggCCAIIAhwCAwJfAh4ABD0BAgICSQIEAgUCBgIHAggCCQIhAgsCDAINAggCCAIIAggCCAIIAggCCAIIAggCCAIIAggCCAIIAggCCAIcAgMCgQIeAAQ9AQICAmACBAIFAgYCBwIIAgkCCgILAgwCDQIIAggCCAIIAggCCAIIAggCCAIIAggCCAIIAggCCAIIAggCHAIDAmECHgAEPQECAgJcAgQCBQIGAgcCCAIJAhwCCwIMAg0CCAIIAggCCAIIAggCCAIIAggCCAIIAggCCAIIAggCCAIIAhwCAwJiAh4ABD0BAnoAAAQAAgIjAgQCBQIGAgcCCAIJAhwCCwIMAg0CCAIIAggCCAIIAggCCAIIAggCCAIIAggCCAIIAggCCAIIAhwCAwIkAh4ABD0BAgICZgIEAgUCBgIHAggCCQIcAgsCDAINAggCCAIIAggCCAIIAggCCAIIAggCCAIIAggCCAIIAggCCAIcAgMCZwIeAAQ9AQICAjACBAIFAgYCBwIIAgkCCgILAgwCDQIIAggCCAIIAggCCAIIAggCCAIIAggCCAIIAggCCAIIAggCHAIDAoYCHgAEPQECAgIDAgQCBQIGAgcCCAIJAhwCCwIMAg0CCAIIAggCCAIIAggCCAIIAggCCAIIAggCCAIIAggCCAIIAhwCAwKIAh4ABD0BAgICNAIEAgUCBgIHAggCCQIKAgsCDAINAggCCAIIAggCCAIIAggCCAIIAggCCAIIAggCCAIIAggCCAIcAgMCiQIeAAQ9AQICAkwCBAIFAgYCBwIIAgkCIQILAgwCDQIIAggCCAIIAggCCAIIAggCCAIIAggCCAIIAggCCAIIAggCHAIDAmMCHgAEPQECAgJVAgQCBQIGAgcCCAIJAgoCCwIMAg0CCAIIAggCCAIIAggCCAIIAggCCAIIAggCCAIIAggCCAIIAhwCAwKqAh4ABD0BAgICKAIEAgUCBgIHAggCCQIcAgsCDAINAggCCAIIAggCCAIIAggCCAIIAggCCAIIAggCCAIIAggCCAIcAgMCjQIeAAQ9AQICAn8CBAIFAgYCBwIIAgkCIQILAgwCDQIIAggCCAIIAggCCAIIAggCCAIIAggCCAIIAggCCAIIAggCHAIDAo8CHgAEPQECAgIeAgQCBQIGAgcCCAIJAiECCwIMAg0CCAIIAggCCAIIAggCCAIIAggCCAIIAggCCAIIAggCCAIIAhwCAwKQAh4ABD0BAgICbQIEAgUCBgIHAggCCQIcAgsCDAINAggCCAIIAggCCAIIAggCCAIIAggCCAIIAggCCAIIAggCCAIcAgMCsQIeAAQ9AQICAnMCBAIFAgYCBwIIAgkCHAILAgwCDQIIAggCCAIIAggCCAIIAggCCAIIAggCCAIIAggCCAIIAggCHAIDAq8CHgAEPQECAgJTAgQCBQIGAgcCCAIJAgoCCwIMAg0CCAIIAggCCAIIAggCCAIIAggCCAIIAggCCAIIAggCCAIIAhwCAwKpAh4ABD0BAgICTAIEAgUCBgIHAggCCQIKAgsCDAINAggCCAIIAggCCAIIAggCCAIIAggCCAIIAggCCAIIAggCCAIcAgMCkQIeAAQ9AQICAqQCBAIFAgYCBwIIAgkCHAILAgwCDQIIAggCCAIIAggCCAIIAggCCAIIAnoAAAQACAIIAggCCAIIAggCCAIcAgMCswIeAAQ9AQICAnMCBAIFAgYCBwIIAgkCIQILAgwCDQIIAggCCAIIAggCCAIIAggCCAIIAggCCAIIAggCCAIIAggCHAIDApICHgAEPQECAgJQAgQCBQIGAgcCCAIJAhwCCwIMAg0CCAIIAggCCAIIAggCCAIIAggCCAIIAggCCAIIAggCCAIIAhwCAwKYAh4ABD0BAgICKAIEAgUCBgIHAggCCQIhAgsCDAINAggCCAIIAggCCAIIAggCCAIIAggCCAIIAggCCAIIAggCCAIcAgMCewIeAAQ9AQICAmkCBAIFAgYCBwIIAgkCHAILAgwCDQIIAggCCAIIAggCCAIIAggCCAIIAggCCAIIAggCCAIIAggCHAIDApcCHgAEPQECAgIDAgQCBQIGAgcCCAIJAiECCwIMAg0CCAIIAggCCAIIAggCCAIIAggCCAIIAggCCAIIAggCCAIIAhwCAwJ6Ah4ABD0BAgICRwIEAgUCBgIHAggCCQIcAgsCDAINAggCCAIIAggCCAIIAggCCAIIAggCCAIIAggCCAIIAggCCAIcAgMCawIeAAQ9AQICAioCBAIFAgYCBwIIAgkCCgILAgwCDQIIAggCCAIIAggCCAIIAggCCAIIAggCCAIIAggCCAIIAggCHAIDAn4CHgAEPQECAgJ/AgQCBQIGAgcCCAIJAhwCCwIMAg0CCAIIAggCCAIIAggCCAIIAggCCAIIAggCCAIIAggCCAIIAhwCAwKAAh4ABD0BAgICQQIEAgUCBgIHAggCCQIcAgsCDAINAggCCAIIAggCCAIIAggCCAIIAggCCAIIAggCCAIIAggCCAIcAgMClQIeAAQ9AQICAj4CBAIFAgYCBwIIAgkCHAILAgwCDQIIAggCCAIIAggCCAIIAggCCAIIAggCCAIIAggCCAIIAggCHAIDAlsCHgAEPQECAgIbAgQCBQIGAgcCCAIJAgoCCwIMAg0CCAIIAggCCAIIAggCCAIIAggCCAIIAggCCAIIAggCCAIIAhwCAwKFAh4ABD0BAgICbwIEAgUCBgIHAggCCQIhAgsCDAINAggCCAIIAggCCAIIAggCCAIIAggCCAIIAggCCAIIAggCCAIcAgMChAIeAAQ9AQICAm0CBAIFAgYCBwIIAgkCIQILAgwCDQIIAggCCAIIAggCCAIIAggCCAIIAggCCAIIAggCCAIIAggCHAIDAp8CHgAEPQECAgIeAgQCBQIGAgcCCAIJAhwCCwIMAg0CCAIIAggCCAIIAggCCAIIAggCCAIIAggCCAIIAggCCAIIAhwCAwKDAh4ABD0BAgICZAIEAgUCBgIHAggCCQIKAnoAAAQACwIMAg0CCAIIAggCCAIIAggCCAIIAggCCAIIAggCCAIIAggCCAIIAhwCAwKjAh4ABD0BAgICpAIEAgUCBgIHAggCCQIhAgsCDAINAggCCAIIAggCCAIIAggCCAIIAggCCAIIAggCCAIIAggCCAIcAgMCpQIeAAQ9AQICAk4CBAIFAgYCBwIIAgkCHAILAgwCDQIIAggCCAIIAggCCAIIAggCCAIIAggCCAIIAggCCAIIAggCHAIDAqYCHgAEPQECAgJ4AgQCBQIGAgcCCAIJAiECCwIMAg0CCAIIAggCCAIIAggCCAIIAggCCAIIAggCCAIIAggCCAIIAhwCAwKHAh4ABD0BAgICRQIEAgUCBgIHAggCCQIcAgsCDAINAggCCAIIAggCCAIIAggCCAIIAggCCAIIAggCCAIIAggCCAIcAgMCqAIeAAQ9AQICAlkCBAIFAgYCBwIIAgkCIQILAgwCDQIIAggCCAIIAggCCAIIAggCCAIIAggCCAIIAggCCAIIAggCHAIDAqwCHgAEPQECAgI4AgQCBQIGAgcCCAIJAgoCCwIMAg0CCAIIAggCCAIIAggCCAIIAggCCAIIAggCCAIIAggCCAIIAhwCAwI5Ah4ABD0BAgICYAIEAgUCBgIHAggCCQIhAgsCDAINAggCCAIIAggCCAIIAggCCAIIAggCCAIIAggCCAIIAggCCAIcAgMCqwIeAAQ9AQICAiACBAIFAgYCBwIIAgkCHAILAgwCDQIIAggCCAIIAggCCAIIAggCCAIIAggCCAIIAggCCAIIAggCHAIDAjoCHgAEPQECAgJJAgQCBQIGAgcCCAIJAgoCCwIMAg0CCAIIAggCCAIIAggCCAIIAggCCAIIAggCCAIIAggCCAIIAhwCAwJKAh4ABD0BAgICJgIEAgUCBgIHAggCCQIcAgsCDAINAggCCAIIAggCCAIIAggCCAIIAggCCAIIAggCCAIIAggCCAIcAgMCrgIeAAQ9AQICAi4CBAIFAgYCBwIIAgkCCgILAgwCDQIIAggCCAIIAggCCAIIAggCCAIIAggCCAIIAggCCAIIAggCHAIDArACHgAEPQECAgI+AgQCBQIGAgcCCAIJAiECCwIMAg0CCAIIAggCCAIIAggCCAIIAggCCAIIAggCCAIIAggCCAIIAhwCAwI/Ah4ABD0BAgICOwIEAgUCBgIHAggCCQIKAgsCDAINAggCCAIIAggCCAIIAggCCAIIAggCCAIIAggCCAIIAggCCAIcAgMCPAIeAAQ9AQICAiMCBAIFAgYCBwIIAgkCCgILAgwCDQIIAggCCAIIAggCCAIIAggCCAIIAggCCAIIAggCCAIIAggCHAIDAnoAAAQAsgIeAAQ9AQICAkMCBAIFAgYCBwIIAgkCHAILAgwCDQIIAggCCAIIAggCCAIIAggCCAIIAggCCAIIAggCCAIIAggCHAIDApkCHgAEPQECAgJ4AgQCBQIGAgcCCAIJAhwCCwIMAg0CCAIIAggCCAIIAggCCAIIAggCCAIIAggCCAIIAggCCAIIAhwCAwK1Ah4ABD0BAgICbwIEAgUCBgIHAggCCQIKAgsCDAINAggCCAIIAggCCAIIAggCCAIIAggCCAIIAggCCAIIAggCCAIcAgMCtAIeAAQ9AQICAiwCBAIFAgYCBwIIAgkCCgILAgwCDQIIAggCCAIIAggCCAIIAggCCAIIAggCCAIIAggCCAIIAggCHAIDArgCHgAEPQECAgI2AgQCBQIGAgcCCAIJAhwCCwIMAg0CCAIIAggCCAIIAggCCAIIAggCCAIIAggCCAIIAggCCAIIAhwCAwJLAh4ABD0BAgICVwIEAgUCBgIHAggCCQIhAgsCDAINAggCCAIIAggCCAIIAggCCAIIAggCCAIIAggCCAIIAggCCAIcAgMCtgIeAAQ9AQICAkcCBAIFAgYCBwIIAgkCIQILAgwCDQIIAggCCAIIAggCCAIIAggCCAIIAggCCAIIAggCCAIIAggCHAIDAkgCHgAEPQECAgJkAgQCBQIGAgcCCAIJAiECCwIMAg0CCAIIAggCCAIIAggCCAIIAggCCAIIAggCCAIIAggCCAIIAhwCAwKWAh4ABD0BAgICMgIEAgUCBgIHAggCCQIcAgsCDAINAggCCAIIAggCCAIIAggCCAIIAggCCAIIAggCCAIIAggCCAIcAgMCUgIeAAQ9AQICAl4CBAIFAgYCBwIIAgkCCgILAgwCDQIIAggCCAIIAggCCAIIAggCCAIIAggCCAIIAggCCAIIAggCHAIDApsCHgAEPQECAgIDAgQCBQIGAgcCCAIJAgoCCwIMAg0CCAIIAggCCAIIAggCCAIIAggCCAIIAggCCAIIAggCCAIIAhwCAwIOAh4ABD0BAgICZgIEAgUCBgIHAggCCQIKAgsCDAINAggCCAIIAggCCAIIAggCCAIIAggCCAIIAggCCAIIAggCCAIcAgMCnAIeAAQ9AQICAlkCBAIFAgYCBwIIAgkCHAILAgwCDQIIAggCCAIIAggCCAIIAggCCAIIAggCCAIIAggCCAIIAggCHAIDAp0CHgAEPQECAgIgAgQCBQIGAgcCCAIJAiECCwIMAg0CCAIIAggCCAIIAggCCAIIAggCCAIIAggCCAIIAggCCAIIAhwCAwIiAh4ABD0BAgICYAIEAgUCBgIHAggCCQIcAgsCDAINAggCCAIIAggCCAIIAnoAAAQACAIIAggCCAIIAggCCAIIAggCCAIIAhwCAwKeAh4ABD0BAgICUAIEAgUCBgIHAggCCQIhAgsCDAINAggCCAIIAggCCAIIAggCCAIIAggCCAIIAggCCAIIAggCCAIcAgMCoAIeAAQ9AQICAkECBAIFAgYCBwIIAgkCIQILAgwCDQIIAggCCAIIAggCCAIIAggCCAIIAggCCAIIAggCCAIIAggCHAIDAqECHgAEPQECAgIyAgQCBQIGAgcCCAIJAiECCwIMAg0CCAIIAggCCAIIAggCCAIIAggCCAIIAggCCAIIAggCCAIIAhwCAwIzAh4ABD0BAgICKAIEAgUCBgIHAggCCQIKAgsCDAINAggCCAIIAggCCAIIAggCCAIIAggCCAIIAggCCAIIAggCCAIcAgMCKQIeAAQ9AQICAlcCBAIFAgYCBwIIAgkCHAILAgwCDQIIAggCCAIIAggCCAIIAggCCAIIAggCCAIIAggCCAIIAggCHAIDAqICHgAEPQECAgIwAgQCBQIGAgcCCAIJAhwCCwIMAg0CCAIIAggCCAIIAggCCAIIAggCCAIIAggCCAIIAggCCAIIAhwCAwIxAh4ABD0BAgICNAIEAgUCBgIHAggCCQIcAgsCDAINAggCCAIIAggCCAIIAggCCAIIAggCCAIIAggCCAIIAggCCAIcAgMCNQIeAAQ9AQICAjYCBAIFAgYCBwIIAgkCIQILAgwCDQIIAggCCAIIAggCCAIIAggCCAIIAggCCAIIAggCCAIIAggCHAIDAjcCHgAEPgEACTMxMTE4NjE4NAICAm8CBAIFAgYCBwIIAgkCHAILAgwCDQIIAggCCAIIAggCCAIIAggCCAIIAggCCAIIAggCCAIIAggCEAIDAnACHgAEPgECAgIgAgQCBQIGAgcCCAIJAgoCCwIMAg0CCAIIAggCCAIIAggCCAIIAggCCAIIAggCCAIIAggCCAIIAhACAwKOAh4ABD4BAgICWQIEAgUCBgIHAggCCQIhAgsCDAINAggCCAIIAggCCAIIAggCCAIIAggCCAIIAggCCAIIAggCCAIQAgMCrAIeAAQ+AQICAmQCBAIFAgYCBwIIAgkCHAILAgwCDQIIAggCCAIIAggCCAIIAggCCAIIAggCCAIIAggCCAIIAggCEAIDAmUCHgAEPgECAgI7AgQCBQIGAgcCCAIJAhwCCwIMAg0CCAIIAggCCAIIAggCCAIIAggCCAIIAggCCAIIAggCCAIIAhACAwKKAh4ABD4BAgICNgIEAgUCBgIHAggCCQIKAgsCDAINAggCCAIIAggCCAIIAggCCAIIAggCCAIIAggCCAIIAggCCAIQAgMCiwIeAAQ+AXoAAAQAAgICLgIEAgUCBgIHAggCCQIKAgsCDAINAggCCAIIAggCCAIIAggCCAIIAggCCAIIAggCCAIIAggCCAIQAgMCsAIeAAQ+AQICAmACBAIFAgYCBwIIAgkCIQILAgwCDQIIAggCCAIIAggCCAIIAggCCAIIAggCCAIIAggCCAIIAggCEAIDAqsCHgAEPgECAgJcAgQCBQIGAgcCCAIJAiECCwIMAg0CCAIIAggCCAIIAggCCAIIAggCCAIIAggCCAIIAggCCAIIAhACAwJdAh4ABD4BAgICZAIEAgUCBgIHAggCCQIhAgsCDAINAggCCAIIAggCCAIIAggCCAIIAggCCAIIAggCCAIIAggCCAIQAgMClgIeAAQ+AQICAngCBAIFAgYCBwIIAgkCHAILAgwCDQIIAggCCAIIAggCCAIIAggCCAIIAggCCAIIAggCCAIIAggCEAIDArUCHgAEPgECAgIsAgQCBQIGAgcCCAIJAgoCCwIMAg0CCAIIAggCCAIIAggCCAIIAggCCAIIAggCCAIIAggCCAIIAhACAwK4Ah4ABD4BAgICVwIEAgUCBgIHAggCCQIhAgsCDAINAggCCAIIAggCCAIIAggCCAIIAggCCAIIAggCCAIIAggCCAIQAgMCtgIeAAQ+AQICAjgCBAIFAgYCBwIIAgkCHAILAgwCDQIIAggCCAIIAggCCAIIAggCCAIIAggCCAIIAggCCAIIAggCEAIDApkCHgAEPgECAgJDAgQCBQIGAgcCCAIJAgoCCwIMAg0CCAIIAggCCAIIAggCCAIIAggCCAIIAggCCAIIAggCCAIIAhACAwI5Ah4ABD4BAgICSQIEAgUCBgIHAggCCQIcAgsCDAINAggCCAIIAggCCAIIAggCCAIIAggCCAIIAggCCAIIAggCCAIQAgMCjAIeAAQ+AQICApMCBAIFAgYCBwIIAgkCIQILAgwCDQIIAggCCAIIAggCCAIIAggCCAIIAggCCAIIAggCCAIIAggCEAIDApQCHgAEPgECAgImAgQCBQIGAgcCCAIJAgoCCwIMAg0CCAIIAggCCAIIAggCCAIIAggCCAIIAggCCAIIAggCCAIIAhACAwJ1Ah4ABD4BAgICfwIEAgUCBgIHAggCCQIcAgsCDAINAggCCAIIAggCCAIIAggCCAIIAggCCAIIAggCCAIIAggCCAIQAgMCgAIeAAQ+AQICAh4CBAIFAgYCBwIIAgkCHAILAgwCDQIIAggCCAIIAggCCAIIAggCCAIIAggCCAIIAggCCAIIAggCEAIDAoMCHgAEPgECAgJMAgQCBQIGAgcCCAIJAhwCCwIMAg0CCAIIAggCCAIIAggCCAIIAggCCHoAAAQAAggCCAIIAggCCAIIAggCEAIDAk0CHgAEPgECAgJvAgQCBQIGAgcCCAIJAiECCwIMAg0CCAIIAggCCAIIAggCCAIIAggCCAIIAggCCAIIAggCCAIIAhACAwKEAh4ABD4BAgICQQIEAgUCBgIHAggCCQIKAgsCDAINAggCCAIIAggCCAIIAggCCAIIAggCCAIIAggCCAIIAggCCAIQAgMCQgIeAAQ+AQICAlMCBAIFAgYCBwIIAgkCIQILAgwCDQIIAggCCAIIAggCCAIIAggCCAIIAggCCAIIAggCCAIIAggCEAIDAlQCHgAEPgECAgJFAgQCBQIGAgcCCAIJAgoCCwIMAg0CCAIIAggCCAIIAggCCAIIAggCCAIIAggCCAIIAggCCAIIAhACAwJsAh4ABD4BAgICTgIEAgUCBgIHAggCCQIKAgsCDAINAggCCAIIAggCCAIIAggCCAIIAggCCAIIAggCCAIIAggCCAIQAgMCaAIeAAQ+AQICAngCBAIFAgYCBwIIAgkCIQILAgwCDQIIAggCCAIIAggCCAIIAggCCAIIAggCCAIIAggCCAIIAggCEAIDAocCHgAEPgECAgJVAgQCBQIGAgcCCAIJAiECCwIMAg0CCAIIAggCCAIIAggCCAIIAggCCAIIAggCCAIIAggCCAIIAhACAwJWAh4ABD4BAgICGwIEAgUCBgIHAggCCQIKAgsCDAINAggCCAIIAggCCAIIAggCCAIIAggCCAIIAggCCAIIAggCCAIQAgMChQIeAAQ+AQICApMCBAIFAgYCBwIIAgkCHAILAgwCDQIIAggCCAIIAggCCAIIAggCCAIIAggCCAIIAggCCAIIAggCEAIDApoCHgAEPgECAgIqAgQCBQIGAgcCCAIJAgoCCwIMAg0CCAIIAggCCAIIAggCCAIIAggCCAIIAggCCAIIAggCCAIIAhACAwJ+Ah4ABD4BAgICPgIEAgUCBgIHAggCCQIKAgsCDAINAggCCAIIAggCCAIIAggCCAIIAggCCAIIAggCCAIIAggCCAIQAgMCpwIeAAQ+AQICAigCBAIFAgYCBwIIAgkCHAILAgwCDQIIAggCCAIIAggCCAIIAggCCAIIAggCCAIIAggCCAIIAggCEAIDAo0CHgAEPgECAgIwAgQCBQIGAgcCCAIJAgoCCwIMAg0CCAIIAggCCAIIAggCCAIIAggCCAIIAggCCAIIAggCCAIIAhACAwKGAh4ABD4BAgICGwIEAgUCBgIHAggCCQIhAgsCDAINAggCCAIIAggCCAIIAggCCAIIAggCCAIIAggCCAIIAggCCAIQAgMCQAIeAAQ+AQICAiMCBAIFAgYCBwIIAgkCIXoAAAQAAgsCDAINAggCCAIIAggCCAIIAggCCAIIAggCCAIIAggCCAIIAggCCAIQAgMCJQIeAAQ+AQICAlUCBAIFAgYCBwIIAgkCHAILAgwCDQIIAggCCAIIAggCCAIIAggCCAIIAggCCAIIAggCCAIIAggCEAIDAncCHgAEPgECAgJTAgQCBQIGAgcCCAIJAhwCCwIMAg0CCAIIAggCCAIIAggCCAIIAggCCAIIAggCCAIIAggCCAIIAhACAwJyAh4ABD4BAgICKgIEAgUCBgIHAggCCQIhAgsCDAINAggCCAIIAggCCAIIAggCCAIIAggCCAIIAggCCAIIAggCCAIQAgMCPQIeAAQ+AQICAlACBAIFAgYCBwIIAgkCCgILAgwCDQIIAggCCAIIAggCCAIIAggCCAIIAggCCAIIAggCCAIIAggCEAIDAlECHgAEPgECAgJzAgQCBQIGAgcCCAIJAgoCCwIMAg0CCAIIAggCCAIIAggCCAIIAggCCAIIAggCCAIIAggCCAIIAhACAwJ0Ah4ABD4BAgICaQIEAgUCBgIHAggCCQIcAgsCDAINAggCCAIIAggCCAIIAggCCAIIAggCCAIIAggCCAIIAggCCAIQAgMClwIeAAQ+AQICAm0CBAIFAgYCBwIIAgkCCgILAgwCDQIIAggCCAIIAggCCAIIAggCCAIIAggCCAIIAggCCAIIAggCEAIDAm4CHgAEPgECAgIDAgQCBQIGAgcCCAIJAiECCwIMAg0CCAIIAggCCAIIAggCCAIIAggCCAIIAggCCAIIAggCCAIIAhACAwJ6Ah4ABD4BAgICSQIEAgUCBgIHAggCCQIhAgsCDAINAggCCAIIAggCCAIIAggCCAIIAggCCAIIAggCCAIIAggCCAIQAgMCgQIeAAQ+AQICAmkCBAIFAgYCBwIIAgkCIQILAgwCDQIIAggCCAIIAggCCAIIAggCCAIIAggCCAIIAggCCAIIAggCEAIDAmoCHgAEPgECAgIjAgQCBQIGAgcCCAIJAhwCCwIMAg0CCAIIAggCCAIIAggCCAIIAggCCAIIAggCCAIIAggCCAIIAhACAwIkAh4ABD4BAgICYAIEAgUCBgIHAggCCQIKAgsCDAINAggCCAIIAggCCAIIAggCCAIIAggCCAIIAggCCAIIAggCCAIQAgMCYQIeAAQ+AQICAigCBAIFAgYCBwIIAgkCIQILAgwCDQIIAggCCAIIAggCCAIIAggCCAIIAggCCAIIAggCCAIIAggCEAIDAnsCHgAEPgECAgIuAgQCBQIGAgcCCAIJAhwCCwIMAg0CCAIIAggCCAIIAggCCAIIAggCCAIIAggCCAIIAggCCAIIAhACA3oAAAQAAnYCHgAEPgECAgJXAgQCBQIGAgcCCAIJAgoCCwIMAg0CCAIIAggCCAIIAggCCAIIAggCCAIIAggCCAIIAggCCAIIAhACAwJYAh4ABD4BAgICOwIEAgUCBgIHAggCCQIhAgsCDAINAggCCAIIAggCCAIIAggCCAIIAggCCAIIAggCCAIIAggCCAIQAgMCggIeAAQ+AQICAgMCBAIFAgYCBwIIAgkCHAILAgwCDQIIAggCCAIIAggCCAIIAggCCAIIAggCCAIIAggCCAIIAggCEAIDAogCHgAEPgECAgJmAgQCBQIGAgcCCAIJAhwCCwIMAg0CCAIIAggCCAIIAggCCAIIAggCCAIIAggCCAIIAggCCAIIAhACAwJnAh4ABD4BAgICXgIEAgUCBgIHAggCCQIcAgsCDAINAggCCAIIAggCCAIIAggCCAIIAggCCAIIAggCCAIIAggCCAIQAgMCXwIeAAQ+AQICAlwCBAIFAgYCBwIIAgkCHAILAgwCDQIIAggCCAIIAggCCAIIAggCCAIIAggCCAIIAggCCAIIAggCEAIDAmICHgAEPgECAgI0AgQCBQIGAgcCCAIJAgoCCwIMAg0CCAIIAggCCAIIAggCCAIIAggCCAIIAggCCAIIAggCCAIIAhACAwKJAh4ABD4BAgICTAIEAgUCBgIHAggCCQIhAgsCDAINAggCCAIIAggCCAIIAggCCAIIAggCCAIIAggCCAIIAggCCAIQAgMCYwIeAAQ+AQICAlkCBAIFAgYCBwIIAgkCCgILAgwCDQIIAggCCAIIAggCCAIIAggCCAIIAggCCAIIAggCCAIIAggCEAIDAloCHgAEPgECAgI4AgQCBQIGAgcCCAIJAiECCwIMAg0CCAIIAggCCAIIAggCCAIIAggCCAIIAggCCAIIAggCCAIIAhACAwJEAh4ABD4BAgICQwIEAgUCBgIHAggCCQIcAgsCDAINAggCCAIIAggCCAIIAggCCAIIAggCCAIIAggCCAIIAggCCAIQAgMCmQIeAAQ+AQICAiYCBAIFAgYCBwIIAgkCHAILAgwCDQIIAggCCAIIAggCCAIIAggCCAIIAggCCAIIAggCCAIIAggCEAIDAq4CHgAEPgECAgJeAgQCBQIGAgcCCAIJAiECCwIMAg0CCAIIAggCCAIIAggCCAIIAggCCAIIAggCCAIIAggCCAIIAhACAwJxAh4ABD4BAgICOAIEAgUCBgIHAggCCQIKAgsCDAINAggCCAIIAggCCAIIAggCCAIIAggCCAIIAggCCAIIAggCCAIQAgMCOQIeAAQ+AQICAj4CBAIFAgYCBwIIAgkCIQILAgwCDQIIAggCCAIIAggCCHoAAAQAAggCCAIIAggCCAIIAggCCAIIAggCCAIQAgMCPwIeAAQ+AQICAjsCBAIFAgYCBwIIAgkCCgILAgwCDQIIAggCCAIIAggCCAIIAggCCAIIAggCCAIIAggCCAIIAggCEAIDAjwCHgAEPgECAgIgAgQCBQIGAgcCCAIJAhwCCwIMAg0CCAIIAggCCAIIAggCCAIIAggCCAIIAggCCAIIAggCCAIIAhACAwI6Ah4ABD4BAgICTgIEAgUCBgIHAggCCQIcAgsCDAINAggCCAIIAggCCAIIAggCCAIIAggCCAIIAggCCAIIAggCCAIQAgMCpgIeAAQ+AQICAngCBAIFAgYCBwIIAgkCCgILAgwCDQIIAggCCAIIAggCCAIIAggCCAIIAggCCAIIAggCCAIIAggCEAIDAnkCHgAEPgECAgIsAgQCBQIGAgcCCAIJAhwCCwIMAg0CCAIIAggCCAIIAggCCAIIAggCCAIIAggCCAIIAggCCAIIAhACAwJ8Ah4ABD4BAgICNgIEAgUCBgIHAggCCQIcAgsCDAINAggCCAIIAggCCAIIAggCCAIIAggCCAIIAggCCAIIAggCCAIQAgMCSwIeAAQ+AQICAk4CBAIFAgYCBwIIAgkCIQILAgwCDQIIAggCCAIIAggCCAIIAggCCAIIAggCCAIIAggCCAIIAggCEAIDAk8CHgAEPgECAgIyAgQCBQIGAgcCCAIJAhwCCwIMAg0CCAIIAggCCAIIAggCCAIIAggCCAIIAggCCAIIAggCCAIIAhACAwJSAh4ABD4BAgICZgIEAgUCBgIHAggCCQIhAgsCDAINAggCCAIIAggCCAIIAggCCAIIAggCCAIIAggCCAIIAggCCAIQAgMCfQIeAAQ+AQICAm8CBAIFAgYCBwIIAgkCCgILAgwCDQIIAggCCAIIAggCCAIIAggCCAIIAggCCAIIAggCCAIIAggCEAIDArQCHgAEPgECAgJHAgQCBQIGAgcCCAIJAiECCwIMAg0CCAIIAggCCAIIAggCCAIIAggCCAIIAggCCAIIAggCCAIIAhACAwJIAh4ABD4BAgICSQIEAgUCBgIHAggCCQIKAgsCDAINAggCCAIIAggCCAIIAggCCAIIAggCCAIIAggCCAIIAggCCAIQAgMCSgIeAAQ+AQICAkUCBAIFAgYCBwIIAgkCIQILAgwCDQIIAggCCAIIAggCCAIIAggCCAIIAggCCAIIAggCCAIIAggCEAIDAkYCHgAEPgECAgJQAgQCBQIGAgcCCAIJAhwCCwIMAg0CCAIIAggCCAIIAggCCAIIAggCCAIIAggCCAIIAggCCAIIAhACAwKYAh4ABD4BAgICRwIEAgUCBnoAAAQAAgcCCAIJAhwCCwIMAg0CCAIIAggCCAIIAggCCAIIAggCCAIIAggCCAIIAggCCAIIAhACAwJrAh4ABD4BAgICGwIEAgUCBgIHAggCCQIcAgsCDAINAggCCAIIAggCCAIIAggCCAIIAggCCAIIAggCCAIIAggCCAIQAgMCHQIeAAQ+AQICAh4CBAIFAgYCBwIIAgkCCgILAgwCDQIIAggCCAIIAggCCAIIAggCCAIIAggCCAIIAggCCAIIAggCEAIDAh8CHgAEPgECAgJDAgQCBQIGAgcCCAIJAiECCwIMAg0CCAIIAggCCAIIAggCCAIIAggCCAIIAggCCAIIAggCCAIIAhACAwJEAh4ABD4BAgICbQIEAgUCBgIHAggCCQIhAgsCDAINAggCCAIIAggCCAIIAggCCAIIAggCCAIIAggCCAIIAggCCAIQAgMCnwIeAAQ+AQICAkECBAIFAgYCBwIIAgkCHAILAgwCDQIIAggCCAIIAggCCAIIAggCCAIIAggCCAIIAggCCAIIAggCEAIDApUCHgAEPgECAgJzAgQCBQIGAgcCCAIJAiECCwIMAg0CCAIIAggCCAIIAggCCAIIAggCCAIIAggCCAIIAggCCAIIAhACAwKSAh4ABD4BAgICZAIEAgUCBgIHAggCCQIKAgsCDAINAggCCAIIAggCCAIIAggCCAIIAggCCAIIAggCCAIIAggCCAIQAgMCowIeAAQ+AQICAqQCBAIFAgYCBwIIAgkCIQILAgwCDQIIAggCCAIIAggCCAIIAggCCAIIAggCCAIIAggCCAIIAggCEAIDAqUCHgAEPgECAgIuAgQCBQIGAgcCCAIJAiECCwIMAg0CCAIIAggCCAIIAggCCAIIAggCCAIIAggCCAIIAggCCAIIAhACAwIvAh4ABD4BAgICJgIEAgUCBgIHAggCCQIhAgsCDAINAggCCAIIAggCCAIIAggCCAIIAggCCAIIAggCCAIIAggCCAIQAgMCJwIeAAQ+AQICAkUCBAIFAgYCBwIIAgkCHAILAgwCDQIIAggCCAIIAggCCAIIAggCCAIIAggCCAIIAggCCAIIAggCEAIDAqgCHgAEPgECAgIqAgQCBQIGAgcCCAIJAhwCCwIMAg0CCAIIAggCCAIIAggCCAIIAggCCAIIAggCCAIIAggCCAIIAhACAwIrAh4ABD4BAgICPgIEAgUCBgIHAggCCQIcAgsCDAINAggCCAIIAggCCAIIAggCCAIIAggCCAIIAggCCAIIAggCCAIQAgMCWwIeAAQ+AQICAiwCBAIFAgYCBwIIAgkCIQILAgwCDQIIAggCCAIIAggCCAIIAggCCAIIAggCCAIIAggCCHoAAAQAAggCCAIQAgMCLQIeAAQ+AQICAjACBAIFAgYCBwIIAgkCHAILAgwCDQIIAggCCAIIAggCCAIIAggCCAIIAggCCAIIAggCCAIIAggCEAIDAjECHgAEPgECAgJzAgQCBQIGAgcCCAIJAhwCCwIMAg0CCAIIAggCCAIIAggCCAIIAggCCAIIAggCCAIIAggCCAIIAhACAwKvAh4ABD4BAgICfwIEAgUCBgIHAggCCQIhAgsCDAINAggCCAIIAggCCAIIAggCCAIIAggCCAIIAggCCAIIAggCCAIQAgMCjwIeAAQ+AQICAlMCBAIFAgYCBwIIAgkCCgILAgwCDQIIAggCCAIIAggCCAIIAggCCAIIAggCCAIIAggCCAIIAggCEAIDAqkCHgAEPgECAgIoAgQCBQIGAgcCCAIJAgoCCwIMAg0CCAIIAggCCAIIAggCCAIIAggCCAIIAggCCAIIAggCCAIIAhACAwIpAh4ABD4BAgICHgIEAgUCBgIHAggCCQIhAgsCDAINAggCCAIIAggCCAIIAggCCAIIAggCCAIIAggCCAIIAggCCAIQAgMCkAIeAAQ+AQICAkwCBAIFAgYCBwIIAgkCCgILAgwCDQIIAggCCAIIAggCCAIIAggCCAIIAggCCAIIAggCCAIIAggCEAIDApECHgAEPgECAgJtAgQCBQIGAgcCCAIJAhwCCwIMAg0CCAIIAggCCAIIAggCCAIIAggCCAIIAggCCAIIAggCCAIIAhACAwKxAh4ABD4BAgICMAIEAgUCBgIHAggCCQIhAgsCDAINAggCCAIIAggCCAIIAggCCAIIAggCCAIIAggCCAIIAggCCAIQAgMCtwIeAAQ+AQICAlUCBAIFAgYCBwIIAgkCCgILAgwCDQIIAggCCAIIAggCCAIIAggCCAIIAggCCAIIAggCCAIIAggCEAIDAqoCHgAEPgECAgI0AgQCBQIGAgcCCAIJAiECCwIMAg0CCAIIAggCCAIIAggCCAIIAggCCAIIAggCCAIIAggCCAIIAhACAwKtAh4ABD4BAgICXgIEAgUCBgIHAggCCQIKAgsCDAINAggCCAIIAggCCAIIAggCCAIIAggCCAIIAggCCAIIAggCCAIQAgMCmwIeAAQ+AQICAiACBAIFAgYCBwIIAgkCIQILAgwCDQIIAggCCAIIAggCCAIIAggCCAIIAggCCAIIAggCCAIIAggCEAIDAiICHgAEPgECAgIDAgQCBQIGAgcCCAIJAgoCCwIMAg0CCAIIAggCCAIIAggCCAIIAggCCAIIAggCCAIIAggCCAIIAhACAwIOAh4ABD4BAgICYAIEAgUCBgIHAggCCQIcAgsCDAINAggCCHoAAAQAAggCCAIIAggCCAIIAggCCAIIAggCCAIIAggCCAIIAhACAwKeAh4ABD4BAgICpAIEAgUCBgIHAggCCQIcAgsCDAINAggCCAIIAggCCAIIAggCCAIIAggCCAIIAggCCAIIAggCCAIQAgMCswIeAAQ+AQICAmYCBAIFAgYCBwIIAgkCCgILAgwCDQIIAggCCAIIAggCCAIIAggCCAIIAggCCAIIAggCCAIIAggCEAIDApwCHgAEPgECAgI0AgQCBQIGAgcCCAIJAhwCCwIMAg0CCAIIAggCCAIIAggCCAIIAggCCAIIAggCCAIIAggCCAIIAhACAwI1Ah4ABD4BAgICMgIEAgUCBgIHAggCCQIhAgsCDAINAggCCAIIAggCCAIIAggCCAIIAggCCAIIAggCCAIIAggCCAIQAgMCMwIeAAQ+AQICAlcCBAIFAgYCBwIIAgkCHAILAgwCDQIIAggCCAIIAggCCAIIAggCCAIIAggCCAIIAggCCAIIAggCEAIDAqICHgAEPgECAgJBAgQCBQIGAgcCCAIJAiECCwIMAg0CCAIIAggCCAIIAggCCAIIAggCCAIIAggCCAIIAggCCAIIAhACAwKhAh4ABD4BAgICIwIEAgUCBgIHAggCCQIKAgsCDAINAggCCAIIAggCCAIIAggCCAIIAggCCAIIAggCCAIIAggCCAIQAgMCsgIeAAQ+AQICAjYCBAIFAgYCBwIIAgkCIQILAgwCDQIIAggCCAIIAggCCAIIAggCCAIIAggCCAIIAggCCAIIAggCEAIDAjcCHgAEPgECAgJZAgQCBQIGAgcCCAIJAhwCCwIMAg0CCAIIAggCCAIIAggCCAIIAggCCAIIAggCCAIIAggCCAIIAhACAwKdAh4ABD4BAgICUAIEAgUCBgIHAggCCQIhAgsCDAINAggCCAIIAggCCAIIAggCCAIIAggCCAIIAggCCAIIAggCCAIQAgMCoAIeAAQ/AQAJNTU5MDA2NzIwAgICcwIEAgUCBgIHAggCCQIhAgsCDAINAggCCAIIAggCCAIIAggCCAIIAggCCAIIAggCCAIIAggCCAIkAgMCkgIeAAQ/AQICAigCBAIFAgYCBwIIAgkCIQILAgwCDQIIAggCCAIIAggCCAIIAggCCAIIAggCCAIIAggCCAIIAggCJAIDAnsCHgAEPwECAgKkAgQCBQIGAgcCCAIJAhwCCwIMAg0CCAIIAggCCAIIAggCCAIIAggCCAIIAggCCAIIAggCCAIIAiQCAwKzAh4ABD8BAgICTAIEAgUCBgIHAggCCQIKAgsCDAINAggCCAIIAggCCAIIAggCCAIIAggCCAIIAggCCAIIAggCCAIkAnoAAAQAAwKRAh4ABD8BAgICQQIEAgUCBgIHAggCCQIcAgsCDAINAggCCAIIAggCCAIIAggCCAIIAggCCAIIAggCCAIIAggCCAIkAgMClQIeAAQ/AQICAm0CBAIFAgYCBwIIAgkCHAILAgwCDQIIAggCCAIIAggCCAIIAggCCAIIAggCCAIIAggCCAIIAggCJAIDArECHgAEPwECAgJgAgQCBQIGAgcCCAIJAgoCCwIMAg0CCAIIAggCCAIIAggCCAIIAggCCAIIAggCCAIIAggCCAIIAiQCAwJhAh4ABD8BAgICVwIEAgUCBgIHAggCCQIKAgsCDAINAggCCAIIAggCCAIIAggCCAIIAggCCAIIAggCCAIIAggCCAIkAgMCWAIeAAQ/AQICAl4CBAIFAgYCBwIIAgkCHAILAgwCDQIIAggCCAIIAggCCAIIAggCCAIIAggCCAIIAggCCAIIAggCJAIDAl8CHgAEPwECAgI+AgQCBQIGAgcCCAIJAhwCCwIMAg0CCAIIAggCCAIIAggCCAIIAggCCAIIAggCCAIIAggCCAIIAiQCAwJbAh4ABD8BAgICWQIEAgUCBgIHAggCCQIKAgsCDAINAggCCAIIAggCCAIIAggCCAIIAggCCAIIAggCCAIIAggCCAIkAgMCWgIeAAQ/AQICAigCBAIFAgYCBwIIAgkCHAILAgwCDQIIAggCCAIIAggCCAIIAggCCAIIAggCCAIIAggCCAIIAggCJAIDAo0CHgAEPwECAgKkAgQCBQIGAgcCCAIJAiECCwIMAg0CCAIIAggCCAIIAggCCAIIAggCCAIIAggCCAIIAggCCAIIAiQCAwKlAh4ABD8BAgICZAIEAgUCBgIHAggCCQIKAgsCDAINAggCCAIIAggCCAIIAggCCAIIAggCCAIIAggCCAIIAggCCAIkAgMCowIeAAQ/AQICAmkCBAIFAgYCBwIIAgkCIQILAgwCDQIIAggCCAIIAggCCAIIAggCCAIIAggCCAIIAggCCAIIAggCJAIDAmoCHgAEPwECAgJmAgQCBQIGAgcCCAIJAhwCCwIMAg0CCAIIAggCCAIIAggCCAIIAggCCAIIAggCCAIIAggCCAIIAiQCAwJnAh4ABD8BAgICRwIEAgUCBgIHAggCCQIcAgsCDAINAggCCAIIAggCCAIIAggCCAIIAggCCAIIAggCCAIIAggCCAIkAgMCawIeAAQ/AQICAkUCBAIFAgYCBwIIAgkCHAILAgwCDQIIAggCCAIIAggCCAIIAggCCAIIAggCCAIIAggCCAIIAggCJAIDAqgCHgAEPwECAgIwAgQCBQIGAgcCCAIJAgoCCwIMAg0CCAIIAggCCAIIAnoAAAQACAIIAggCCAIIAggCCAIIAggCCAIIAggCJAIDAoYCHgAEPwECAgJBAgQCBQIGAgcCCAIJAiECCwIMAg0CCAIIAggCCAIIAggCCAIIAggCCAIIAggCCAIIAggCCAIIAiQCAwKhAh4ABD8BAgICHgIEAgUCBgIHAggCCQIhAgsCDAINAggCCAIIAggCCAIIAggCCAIIAggCCAIIAggCCAIIAggCCAIkAgMCkAIeAAQ/AQICAj4CBAIFAgYCBwIIAgkCIQILAgwCDQIIAggCCAIIAggCCAIIAggCCAIIAggCCAIIAggCCAIIAggCJAIDAj8CHgAEPwECAgJ/AgQCBQIGAgcCCAIJAiECCwIMAg0CCAIIAggCCAIIAggCCAIIAggCCAIIAggCCAIIAggCCAIIAiQCAwKPAh4ABD8BAgICOwIEAgUCBgIHAggCCQIKAgsCDAINAggCCAIIAggCCAIIAggCCAIIAggCCAIIAggCCAIIAggCCAIkAgMCPAIeAAQ/AQICAm0CBAIFAgYCBwIIAgkCIQILAgwCDQIIAggCCAIIAggCCAIIAggCCAIIAggCCAIIAggCCAIIAggCJAIDAp8CHgAEPwECAgJpAgQCBQIGAgcCCAIJAhwCCwIMAg0CCAIIAggCCAIIAggCCAIIAggCCAIIAggCCAIIAggCCAIIAiQCAwKXAh4ABD8BAgICIAIEAgUCBgIHAggCCQIcAgsCDAINAggCCAIIAggCCAIIAggCCAIIAggCCAIIAggCCAIIAggCCAIkAgMCOgIeAAQ/AQICAkkCBAIFAgYCBwIIAgkCCgILAgwCDQIIAggCCAIIAggCCAIIAggCCAIIAggCCAIIAggCCAIIAggCJAIDAkoCHgAEPwECAgJHAgQCBQIGAgcCCAIJAiECCwIMAg0CCAIIAggCCAIIAggCCAIIAggCCAIIAggCCAIIAggCCAIIAiQCAwJIAh4ABD8BAgICRQIEAgUCBgIHAggCCQIhAgsCDAINAggCCAIIAggCCAIIAggCCAIIAggCCAIIAggCCAIIAggCCAIkAgMCRgIeAAQ/AQICAk4CBAIFAgYCBwIIAgkCIQILAgwCDQIIAggCCAIIAggCCAIIAggCCAIIAggCCAIIAggCCAIIAggCJAIDAk8CHgAEPwECAgI2AgQCBQIGAgcCCAIJAhwCCwIMAg0CCAIIAggCCAIIAggCCAIIAggCCAIIAggCCAIIAggCCAIIAiQCAwJLAh4ABD8BAgICUAIEAgUCBgIHAggCCQIcAgsCDAINAggCCAIIAggCCAIIAggCCAIIAggCCAIIAggCCAIIAggCCAIkAgMCmAIeAAQ/AQICAjgCBAIFAnoAAAQABgIHAggCCQIKAgsCDAINAggCCAIIAggCCAIIAggCCAIIAggCCAIIAggCCAIIAggCCAIkAgMCOQIeAAQ/AQICAjICBAIFAgYCBwIIAgkCHAILAgwCDQIIAggCCAIIAggCCAIIAggCCAIIAggCCAIIAggCCAIIAggCJAIDAlICHgAEPwECAgIbAgQCBQIGAgcCCAIJAgoCCwIMAg0CCAIIAggCCAIIAggCCAIIAggCCAIIAggCCAIIAggCCAIIAiQCAwKFAh4ABD8BAgICLgIEAgUCBgIHAggCCQIcAgsCDAINAggCCAIIAggCCAIIAggCCAIIAggCCAIIAggCCAIIAggCCAIkAgMCdgIeAAQ/AQICAkkCBAIFAgYCBwIIAgkCIQILAgwCDQIIAggCCAIIAggCCAIIAggCCAIIAggCCAIIAggCCAIIAggCJAIDAoECHgAEPwECAgI7AgQCBQIGAgcCCAIJAiECCwIMAg0CCAIIAggCCAIIAggCCAIIAggCCAIIAggCCAIIAggCCAIIAiQCAwKCAh4ABD8BAgICHgIEAgUCBgIHAggCCQIcAgsCDAINAggCCAIIAggCCAIIAggCCAIIAggCCAIIAggCCAIIAggCCAIkAgMCgwIeAAQ/AQICAm8CBAIFAgYCBwIIAgkCIQILAgwCDQIIAggCCAIIAggCCAIIAggCCAIIAggCCAIIAggCCAIIAggCJAIDAoQCHgAEPwECAgIjAgQCBQIGAgcCCAIJAhwCCwIMAg0CCAIIAggCCAIIAggCCAIIAggCCAIIAggCCAIIAggCCAIIAiQCAwIkAh4ABD8BAgICNAIEAgUCBgIHAggCCQIKAgsCDAINAggCCAIIAggCCAIIAggCCAIIAggCCAIIAggCCAIIAggCCAIkAgMCiQIeAAQ/AQICAjgCBAIFAgYCBwIIAgkCIQILAgwCDQIIAggCCAIIAggCCAIIAggCCAIIAggCCAIIAggCCAIIAggCJAIDAkQCHgAEPwECAgIqAgQCBQIGAgcCCAIJAgoCCwIMAg0CCAIIAggCCAIIAggCCAIIAggCCAIIAggCCAIIAggCCAIIAiQCAwJ+Ah4ABD8BAgICfwIEAgUCBgIHAggCCQIcAgsCDAINAggCCAIIAggCCAIIAggCCAIIAggCCAIIAggCCAIIAggCCAIkAgMCgAIeAAQ/AQICAiwCBAIFAgYCBwIIAgkCIQILAgwCDQIIAggCCAIIAggCCAIIAggCCAIIAggCCAIIAggCCAIIAggCJAIDAi0CHgAEPwECAgIuAgQCBQIGAgcCCAIJAiECCwIMAg0CCAIIAggCCAIIAggCCAIIAggCCAIIAggCCAIIAnoAAAQACAIIAggCJAIDAi8CHgAEPwECAgIDAgQCBQIGAgcCCAIJAhwCCwIMAg0CCAIIAggCCAIIAggCCAIIAggCCAIIAggCCAIIAggCCAIIAiQCAwKIAh4ABD8BAgICJgIEAgUCBgIHAggCCQIKAgsCDAINAggCCAIIAggCCAIIAggCCAIIAggCCAIIAggCCAIIAggCCAIkAgMCdQIeAAQ/AQICAkMCBAIFAgYCBwIIAgkCCgILAgwCDQIIAggCCAIIAggCCAIIAggCCAIIAggCCAIIAggCCAIIAggCJAIDAjkCHgAEPwECAgJkAgQCBQIGAgcCCAIJAhwCCwIMAg0CCAIIAggCCAIIAggCCAIIAggCCAIIAggCCAIIAggCCAIIAiQCAwJlAh4ABD8BAgICIwIEAgUCBgIHAggCCQIhAgsCDAINAggCCAIIAggCCAIIAggCCAIIAggCCAIIAggCCAIIAggCCAIkAgMCJQIeAAQ/AQICAlwCBAIFAgYCBwIIAgkCIQILAgwCDQIIAggCCAIIAggCCAIIAggCCAIIAggCCAIIAggCCAIIAggCJAIDAl0CHgAEPwECAgJOAgQCBQIGAgcCCAIJAgoCCwIMAg0CCAIIAggCCAIIAggCCAIIAggCCAIIAggCCAIIAggCCAIIAiQCAwJoAh4ABD8BAgICbwIEAgUCBgIHAggCCQIcAgsCDAINAggCCAIIAggCCAIIAggCCAIIAggCCAIIAggCCAIIAggCCAIkAgMCcAIeAAQ/AQICAl4CBAIFAgYCBwIIAgkCIQILAgwCDQIIAggCCAIIAggCCAIIAggCCAIIAggCCAIIAggCCAIIAggCJAIDAnECHgAEPwECAgJzAgQCBQIGAgcCCAIJAgoCCwIMAg0CCAIIAggCCAIIAggCCAIIAggCCAIIAggCCAIIAggCCAIIAiQCAwJ0Ah4ABD8BAgICbQIEAgUCBgIHAggCCQIKAgsCDAINAggCCAIIAggCCAIIAggCCAIIAggCCAIIAggCCAIIAggCCAIkAgMCbgIeAAQ/AQICAngCBAIFAgYCBwIIAgkCCgILAgwCDQIIAggCCAIIAggCCAIIAggCCAIIAggCCAIIAggCCAIIAggCJAIDAnkCHgAEPwECAgJVAgQCBQIGAgcCCAIJAhwCCwIMAg0CCAIIAggCCAIIAggCCAIIAggCCAIIAggCCAIIAggCCAIIAiQCAwJ3Ah4ABD8BAgICLAIEAgUCBgIHAggCCQIcAgsCDAINAggCCAIIAggCCAIIAggCCAIIAggCCAIIAggCCAIIAggCCAIkAgMCfAIeAAQ/AQICAgMCBAIFAgYCBwIIAgkCIQILAgwCDQIIAnoAAAQACAIIAggCCAIIAggCCAIIAggCCAIIAggCCAIIAggCCAIkAgMCegIeAAQ/AQICAmYCBAIFAgYCBwIIAgkCIQILAgwCDQIIAggCCAIIAggCCAIIAggCCAIIAggCCAIIAggCCAIIAggCJAIDAn0CHgAEPwECAgI+AgQCBQIGAgcCCAIJAgoCCwIMAg0CCAIIAggCCAIIAggCCAIIAggCCAIIAggCCAIIAggCCAIIAiQCAwKnAh4ABD8BAgICQQIEAgUCBgIHAggCCQIKAgsCDAINAggCCAIIAggCCAIIAggCCAIIAggCCAIIAggCCAIIAggCCAIkAgMCQgIeAAQ/AQICAl4CBAIFAgYCBwIIAgkCCgILAgwCDQIIAggCCAIIAggCCAIIAggCCAIIAggCCAIIAggCCAIIAggCJAIDApsCHgAEPwECAgIqAgQCBQIGAgcCCAIJAiECCwIMAg0CCAIIAggCCAIIAggCCAIIAggCCAIIAggCCAIIAggCCAIIAiQCAwI9Ah4ABD8BAgICXAIEAgUCBgIHAggCCQIcAgsCDAINAggCCAIIAggCCAIIAggCCAIIAggCCAIIAggCCAIIAggCCAIkAgMCYgIeAAQ/AQICAlMCBAIFAgYCBwIIAgkCHAILAgwCDQIIAggCCAIIAggCCAIIAggCCAIIAggCCAIIAggCCAIIAggCJAIDAnICHgAEPwECAgJVAgQCBQIGAgcCCAIJAiECCwIMAg0CCAIIAggCCAIIAggCCAIIAggCCAIIAggCCAIIAggCCAIIAiQCAwJWAh4ABD8BAgICZgIEAgUCBgIHAggCCQIKAgsCDAINAggCCAIIAggCCAIIAggCCAIIAggCCAIIAggCCAIIAggCCAIkAgMCnAIeAAQ/AQICAlkCBAIFAgYCBwIIAgkCHAILAgwCDQIIAggCCAIIAggCCAIIAggCCAIIAggCCAIIAggCCAIIAggCJAIDAp0CHgAEPwECAgJFAgQCBQIGAgcCCAIJAgoCCwIMAg0CCAIIAggCCAIIAggCCAIIAggCCAIIAggCCAIIAggCCAIIAiQCAwJsAh4ABD8BAgICMAIEAgUCBgIHAggCCQIcAgsCDAINAggCCAIIAggCCAIIAggCCAIIAggCCAIIAggCCAIIAggCCAIkAgMCMQIeAAQ/AQICApMCBAIFAgYCBwIIAgkCHAILAgwCDQIIAggCCAIIAggCCAIIAggCCAIIAggCCAIIAggCCAIIAggCJAIDApoCHgAEPwECAgJMAgQCBQIGAgcCCAIJAiECCwIMAg0CCAIIAggCCAIIAggCCAIIAggCCAIIAggCCAIIAggCCAIIAiQCAwJjAh4ABD8BAnoAAAQAAgIoAgQCBQIGAgcCCAIJAgoCCwIMAg0CCAIIAggCCAIIAggCCAIIAggCCAIIAggCCAIIAggCCAIIAiQCAwIpAh4ABD8BAgICVwIEAgUCBgIHAggCCQIcAgsCDAINAggCCAIIAggCCAIIAggCCAIIAggCCAIIAggCCAIIAggCCAIkAgMCogIeAAQ/AQICAioCBAIFAgYCBwIIAgkCHAILAgwCDQIIAggCCAIIAggCCAIIAggCCAIIAggCCAIIAggCCAIIAggCJAIDAisCHgAEPwECAgKTAgQCBQIGAgcCCAIJAiECCwIMAg0CCAIIAggCCAIIAggCCAIIAggCCAIIAggCCAIIAggCCAIIAiQCAwKUAh4ABD8BAgICIAIEAgUCBgIHAggCCQIKAgsCDAINAggCCAIIAggCCAIIAggCCAIIAggCCAIIAggCCAIIAggCCAIkAgMCjgIeAAQ/AQICAhsCBAIFAgYCBwIIAgkCIQILAgwCDQIIAggCCAIIAggCCAIIAggCCAIIAggCCAIIAggCCAIIAggCJAIDAkACHgAEPwECAgI7AgQCBQIGAgcCCAIJAhwCCwIMAg0CCAIIAggCCAIIAggCCAIIAggCCAIIAggCCAIIAggCCAIIAiQCAwKKAh4ABD8BAgICUwIEAgUCBgIHAggCCQIhAgsCDAINAggCCAIIAggCCAIIAggCCAIIAggCCAIIAggCCAIIAggCCAIkAgMCVAIeAAQ/AQICAjYCBAIFAgYCBwIIAgkCCgILAgwCDQIIAggCCAIIAggCCAIIAggCCAIIAggCCAIIAggCCAIIAggCJAIDAosCHgAEPwECAgJJAgQCBQIGAgcCCAIJAhwCCwIMAg0CCAIIAggCCAIIAggCCAIIAggCCAIIAggCCAIIAggCCAIIAiQCAwKMAh4ABD8BAgICTAIEAgUCBgIHAggCCQIcAgsCDAINAggCCAIIAggCCAIIAggCCAIIAggCCAIIAggCCAIIAggCCAIkAgMCTQIeAAQ/AQICAlACBAIFAgYCBwIIAgkCCgILAgwCDQIIAggCCAIIAggCCAIIAggCCAIIAggCCAIIAggCCAIIAggCJAIDAlECHgAEPwECAgJkAgQCBQIGAgcCCAIJAiECCwIMAg0CCAIIAggCCAIIAggCCAIIAggCCAIIAggCCAIIAggCCAIIAiQCAwKWAh4ABD8BAgICOAIEAgUCBgIHAggCCQIcAgsCDAINAggCCAIIAggCCAIIAggCCAIIAggCCAIIAggCCAIIAggCCAIkAgMCmQIeAAQ/AQICAkMCBAIFAgYCBwIIAgkCIQILAgwCDQIIAggCCAIIAggCCAIIAggCCAIIAnoAAAQACAIIAggCCAIIAggCCAIkAgMCRAIeAAQ/AQICAiYCBAIFAgYCBwIIAgkCIQILAgwCDQIIAggCCAIIAggCCAIIAggCCAIIAggCCAIIAggCCAIIAggCJAIDAicCHgAEPwECAgJ4AgQCBQIGAgcCCAIJAhwCCwIMAg0CCAIIAggCCAIIAggCCAIIAggCCAIIAggCCAIIAggCCAIIAiQCAwK1Ah4ABD8BAgICIAIEAgUCBgIHAggCCQIhAgsCDAINAggCCAIIAggCCAIIAggCCAIIAggCCAIIAggCCAIIAggCCAIkAgMCIgIeAAQ/AQICAhsCBAIFAgYCBwIIAgkCHAILAgwCDQIIAggCCAIIAggCCAIIAggCCAIIAggCCAIIAggCCAIIAggCJAIDAh0CHgAEPwECAgIjAgQCBQIGAgcCCAIJAgoCCwIMAg0CCAIIAggCCAIIAggCCAIIAggCCAIIAggCCAIIAggCCAIIAiQCAwKyAh4ABD8BAgICHgIEAgUCBgIHAggCCQIKAgsCDAINAggCCAIIAggCCAIIAggCCAIIAggCCAIIAggCCAIIAggCCAIkAgMCHwIeAAQ/AQICAgMCBAIFAgYCBwIIAgkCCgILAgwCDQIIAggCCAIIAggCCAIIAggCCAIIAggCCAIIAggCCAIIAggCJAIDAg4CHgAEPwECAgJgAgQCBQIGAgcCCAIJAiECCwIMAg0CCAIIAggCCAIIAggCCAIIAggCCAIIAggCCAIIAggCCAIIAiQCAwKrAh4ABD8BAgICNAIEAgUCBgIHAggCCQIcAgsCDAINAggCCAIIAggCCAIIAggCCAIIAggCCAIIAggCCAIIAggCCAIkAgMCNQIeAAQ/AQICAjICBAIFAgYCBwIIAgkCIQILAgwCDQIIAggCCAIIAggCCAIIAggCCAIIAggCCAIIAggCCAIIAggCJAIDAjMCHgAEPwECAgJ4AgQCBQIGAgcCCAIJAiECCwIMAg0CCAIIAggCCAIIAggCCAIIAggCCAIIAggCCAIIAggCCAIIAiQCAwKHAh4ABD8BAgICNgIEAgUCBgIHAggCCQIhAgsCDAINAggCCAIIAggCCAIIAggCCAIIAggCCAIIAggCCAIIAggCCAIkAgMCNwIeAAQ/AQICAm8CBAIFAgYCBwIIAgkCCgILAgwCDQIIAggCCAIIAggCCAIIAggCCAIIAggCCAIIAggCCAIIAggCJAIDArQCHgAEPwECAgJQAgQCBQIGAgcCCAIJAiECCwIMAg0CCAIIAggCCAIIAggCCAIIAggCCAIIAggCCAIIAggCCAIIAiQCAwKgAh4ABD8BAgICTgIEAgUCBgIHAggCCQIcAnoAAAQACwIMAg0CCAIIAggCCAIIAggCCAIIAggCCAIIAggCCAIIAggCCAIIAiQCAwKmAh4ABD8BAgICWQIEAgUCBgIHAggCCQIhAgsCDAINAggCCAIIAggCCAIIAggCCAIIAggCCAIIAggCCAIIAggCCAIkAgMCrAIeAAQ/AQICAmACBAIFAgYCBwIIAgkCHAILAgwCDQIIAggCCAIIAggCCAIIAggCCAIIAggCCAIIAggCCAIIAggCJAIDAp4CHgAEPwECAgJzAgQCBQIGAgcCCAIJAhwCCwIMAg0CCAIIAggCCAIIAggCCAIIAggCCAIIAggCCAIIAggCCAIIAiQCAwKvAh4ABD8BAgICUwIEAgUCBgIHAggCCQIKAgsCDAINAggCCAIIAggCCAIIAggCCAIIAggCCAIIAggCCAIIAggCCAIkAgMCqQIeAAQ/AQICAkMCBAIFAgYCBwIIAgkCHAILAgwCDQIIAggCCAIIAggCCAIIAggCCAIIAggCCAIIAggCCAIIAggCJAIDApkCHgAEPwECAgJVAgQCBQIGAgcCCAIJAgoCCwIMAg0CCAIIAggCCAIIAggCCAIIAggCCAIIAggCCAIIAggCCAIIAiQCAwKqAh4ABD8BAgICNAIEAgUCBgIHAggCCQIhAgsCDAINAggCCAIIAggCCAIIAggCCAIIAggCCAIIAggCCAIIAggCCAIkAgMCrQIeAAQ/AQICAlcCBAIFAgYCBwIIAgkCIQILAgwCDQIIAggCCAIIAggCCAIIAggCCAIIAggCCAIIAggCCAIIAggCJAIDArYCHgAEPwECAgIuAgQCBQIGAgcCCAIJAgoCCwIMAg0CCAIIAggCCAIIAggCCAIIAggCCAIIAggCCAIIAggCCAIIAiQCAwKwAh4ABD8BAgICJgIEAgUCBgIHAggCCQIcAgsCDAINAggCCAIIAggCCAIIAggCCAIIAggCCAIIAggCCAIIAggCCAIkAgMCrgIeAAQ/AQICAiwCBAIFAgYCBwIIAgkCCgILAgwCDQIIAggCCAIIAggCCAIIAggCCAIIAggCCAIIAggCCAIIAggCJAIDArgCHgAEPwECAgIwAgQCBQIGAgcCCAIJAiECCwIMAg0CCAIIAggCCAIIAggCCAIIAggCCAIIAggCCAIIAggCCAIIAiQCAwK3Ah4ABEABAAk1NDc2MTY4MDgCAgIoAgQCBQIGAgcCCAIJAhwCCwIMAg0CCAIIAggCCAIIAggCCAIIAggCCAIIAggCCAIIAggCCAIIAh4CAwKNAh4ABEABAgICcwIEAgUCBgIHAggCCQIcAgsCDAINAggCCAIIAggCCAIIAggCCAIIAggCCAIIAggCCHoAAAQAAggCCAIIAh4CAwKvAh4ABEABAgICVQIEAgUCBgIHAggCCQIKAgsCDAINAggCCAIIAggCCAIIAggCCAIIAggCCAIIAggCCAIIAggCCAIeAgMCqgIeAARAAQICAh4CBAIFAgYCBwIIAgkCIQILAgwCDQIIAggCCAIIAggCCAIIAggCCAIIAggCCAIIAggCCAIIAggCHgIDApACHgAEQAECAgIwAgQCBQIGAgcCCAIJAgoCCwIMAg0CCAIIAggCCAIIAggCCAIIAggCCAIIAggCCAIIAggCCAIIAh4CAwKGAh4ABEABAgICaQIEAgUCBgIHAggCCQIcAgsCDAINAggCCAIIAggCCAIIAggCCAIIAggCCAIIAggCCAIIAggCCAIeAgMClwIeAARAAQICAgMCBAIFAgYCBwIIAgkCIQILAgwCDQIIAggCCAIIAggCCAIIAggCCAIIAggCCAIIAggCCAIIAggCHgIDAnoCHgAEQAECAgJ4AgQCBQIGAgcCCAIJAiECCwIMAg0CCAIIAggCCAIIAggCCAIIAggCCAIIAggCCAIIAggCCAIIAh4CAwKHAh4ABEABAgICpAIEAgUCBgIHAggCCQIcAgsCDAINAggCCAIIAggCCAIIAggCCAIIAggCCAIIAggCCAIIAggCCAIeAgMCswIeAARAAQICAioCBAIFAgYCBwIIAgkCCgILAgwCDQIIAggCCAIIAggCCAIIAggCCAIIAggCCAIIAggCCAIIAggCHgIDAn4CHgAEQAECAgJzAgQCBQIGAgcCCAIJAiECCwIMAg0CCAIIAggCCAIIAggCCAIIAggCCAIIAggCCAIIAggCCAIIAh4CAwKSAh4ABEABAgICaQIEAgUCBgIHAggCCQIhAgsCDAINAggCCAIIAggCCAIIAggCCAIIAggCCAIIAggCCAIIAggCCAIeAgMCagIeAARAAQICAh4CBAIFAgYCBwIIAgkCHAILAgwCDQIIAggCCAIIAggCCAIIAggCCAIIAggCCAIIAggCCAIIAggCHgIDAoMCHgAEQAECAgJBAgQCBQIGAgcCCAIJAhwCCwIMAg0CCAIIAggCCAIIAggCCAIIAggCCAIIAggCCAIIAggCCAIIAh4CAwKVAh4ABEABAgICWQIEAgUCBgIHAggCCQIKAgsCDAINAggCCAIIAggCCAIIAggCCAIIAggCCAIIAggCCAIIAggCCAIeAgMCWgIeAARAAQICAjgCBAIFAgYCBwIIAgkCIQILAgwCDQIIAggCCAIIAggCCAIIAggCCAIIAggCCAIIAggCCAIIAggCHgIDAkQCHgAEQAECAgI0AgQCBQIGAgcCCAIJAgoCCwIMAg0CCHoAAAQAAggCCAIIAggCCAIIAggCCAIIAggCCAIIAggCCAIIAggCHgIDAokCHgAEQAECAgJQAgQCBQIGAgcCCAIJAhwCCwIMAg0CCAIIAggCCAIIAggCCAIIAggCCAIIAggCCAIIAggCCAIIAh4CAwKYAh4ABEABAgICTAIEAgUCBgIHAggCCQIKAgsCDAINAggCCAIIAggCCAIIAggCCAIIAggCCAIIAggCCAIIAggCCAIeAgMCkQIeAARAAQICAgMCBAIFAgYCBwIIAgkCHAILAgwCDQIIAggCCAIIAggCCAIIAggCCAIIAggCCAIIAggCCAIIAggCHgIDAogCHgAEQAECAgJmAgQCBQIGAgcCCAIJAhwCCwIMAg0CCAIIAggCCAIIAggCCAIIAggCCAIIAggCCAIIAggCCAIIAh4CAwJnAh4ABEABAgICZAIEAgUCBgIHAggCCQIhAgsCDAINAggCCAIIAggCCAIIAggCCAIIAggCCAIIAggCCAIIAggCCAIeAgMClgIeAARAAQICAlcCBAIFAgYCBwIIAgkCCgILAgwCDQIIAggCCAIIAggCCAIIAggCCAIIAggCCAIIAggCCAIIAggCHgIDAlgCHgAEQAECAgJJAgQCBQIGAgcCCAIJAhwCCwIMAg0CCAIIAggCCAIIAggCCAIIAggCCAIIAggCCAIIAggCCAIIAh4CAwKMAh4ABEABAgICOwIEAgUCBgIHAggCCQIcAgsCDAINAggCCAIIAggCCAIIAggCCAIIAggCCAIIAggCCAIIAggCCAIeAgMCigIeAARAAQICAj4CBAIFAgYCBwIIAgkCIQILAgwCDQIIAggCCAIIAggCCAIIAggCCAIIAggCCAIIAggCCAIIAggCHgIDAj8CHgAEQAECAgI7AgQCBQIGAgcCCAIJAgoCCwIMAg0CCAIIAggCCAIIAggCCAIIAggCCAIIAggCCAIIAggCCAIIAh4CAwI8Ah4ABEABAgICfwIEAgUCBgIHAggCCQIhAgsCDAINAggCCAIIAggCCAIIAggCCAIIAggCCAIIAggCCAIIAggCCAIeAgMCjwIeAARAAQICAiYCBAIFAgYCBwIIAgkCHAILAgwCDQIIAggCCAIIAggCCAIIAggCCAIIAggCCAIIAggCCAIIAggCHgIDAq4CHgAEQAECAgJDAgQCBQIGAgcCCAIJAhwCCwIMAg0CCAIIAggCCAIIAggCCAIIAggCCAIIAggCCAIIAggCCAIIAh4CAwKZAh4ABEABAgICkwIEAgUCBgIHAggCCQIhAgsCDAINAggCCAIIAggCCAIIAggCCAIIAggCCAIIAggCCAIIAggCCAIeAgMClAIeAARAAXoAAAQAAgICYAIEAgUCBgIHAggCCQIhAgsCDAINAggCCAIIAggCCAIIAggCCAIIAggCCAIIAggCCAIIAggCCAIeAgMCqwIeAARAAQICAk4CBAIFAgYCBwIIAgkCHAILAgwCDQIIAggCCAIIAggCCAIIAggCCAIIAggCCAIIAggCCAIIAggCHgIDAqYCHgAEQAECAgJFAgQCBQIGAgcCCAIJAhwCCwIMAg0CCAIIAggCCAIIAggCCAIIAggCCAIIAggCCAIIAggCCAIIAh4CAwKoAh4ABEABAgICNgIEAgUCBgIHAggCCQIKAgsCDAINAggCCAIIAggCCAIIAggCCAIIAggCCAIIAggCCAIIAggCCAIeAgMCiwIeAARAAQICAjgCBAIFAgYCBwIIAgkCHAILAgwCDQIIAggCCAIIAggCCAIIAggCCAIIAggCCAIIAggCCAIIAggCHgIDApkCHgAEQAECAgIsAgQCBQIGAgcCCAIJAgoCCwIMAg0CCAIIAggCCAIIAggCCAIIAggCCAIIAggCCAIIAggCCAIIAh4CAwK4Ah4ABEABAgICVwIEAgUCBgIHAggCCQIhAgsCDAINAggCCAIIAggCCAIIAggCCAIIAggCCAIIAggCCAIIAggCCAIeAgMCtgIeAARAAQICAkECBAIFAgYCBwIIAgkCIQILAgwCDQIIAggCCAIIAggCCAIIAggCCAIIAggCCAIIAggCCAIIAggCHgIDAqECHgAEQAECAgIuAgQCBQIGAgcCCAIJAgoCCwIMAg0CCAIIAggCCAIIAggCCAIIAggCCAIIAggCCAIIAggCCAIIAh4CAwKwAh4ABEABAgICUAIEAgUCBgIHAggCCQIhAgsCDAINAggCCAIIAggCCAIIAggCCAIIAggCCAIIAggCCAIIAggCCAIeAgMCoAIeAARAAQICAkMCBAIFAgYCBwIIAgkCIQILAgwCDQIIAggCCAIIAggCCAIIAggCCAIIAggCCAIIAggCCAIIAggCHgIDAkQCHgAEQAECAgImAgQCBQIGAgcCCAIJAiECCwIMAg0CCAIIAggCCAIIAggCCAIIAggCCAIIAggCCAIIAggCCAIIAh4CAwInAh4ABEABAgICHgIEAgUCBgIHAggCCQIKAgsCDAINAggCCAIIAggCCAIIAggCCAIIAggCCAIIAggCCAIIAggCCAIeAgMCHwIeAARAAQICAlkCBAIFAgYCBwIIAgkCHAILAgwCDQIIAggCCAIIAggCCAIIAggCCAIIAggCCAIIAggCCAIIAggCHgIDAp0CHgAEQAECAgJtAgQCBQIGAgcCCAIJAiECCwIMAg0CCAIIAggCCAIIAggCCAIIAggCCHoAAAQAAggCCAIIAggCCAIIAggCHgIDAp8CHgAEQAECAgJgAgQCBQIGAgcCCAIJAhwCCwIMAg0CCAIIAggCCAIIAggCCAIIAggCCAIIAggCCAIIAggCCAIIAh4CAwKeAh4ABEABAgICIwIEAgUCBgIHAggCCQIKAgsCDAINAggCCAIIAggCCAIIAggCCAIIAggCCAIIAggCCAIIAggCCAIeAgMCsgIeAARAAQICAiACBAIFAgYCBwIIAgkCIQILAgwCDQIIAggCCAIIAggCCAIIAggCCAIIAggCCAIIAggCCAIIAggCHgIDAiICHgAEQAECAgKTAgQCBQIGAgcCCAIJAhwCCwIMAg0CCAIIAggCCAIIAggCCAIIAggCCAIIAggCCAIIAggCCAIIAh4CAwKaAh4ABEABAgICPgIEAgUCBgIHAggCCQIKAgsCDAINAggCCAIIAggCCAIIAggCCAIIAggCCAIIAggCCAIIAggCCAIeAgMCpwIeAARAAQICAjACBAIFAgYCBwIIAgkCIQILAgwCDQIIAggCCAIIAggCCAIIAggCCAIIAggCCAIIAggCCAIIAggCHgIDArcCHgAEQAECAgJ4AgQCBQIGAgcCCAIJAhwCCwIMAg0CCAIIAggCCAIIAggCCAIIAggCCAIIAggCCAIIAggCCAIIAh4CAwK1Ah4ABEABAgICZAIEAgUCBgIHAggCCQIKAgsCDAINAggCCAIIAggCCAIIAggCCAIIAggCCAIIAggCCAIIAggCCAIeAgMCowIeAARAAQICAqQCBAIFAgYCBwIIAgkCIQILAgwCDQIIAggCCAIIAggCCAIIAggCCAIIAggCCAIIAggCCAIIAggCHgIDAqUCHgAEQAECAgI0AgQCBQIGAgcCCAIJAiECCwIMAg0CCAIIAggCCAIIAggCCAIIAggCCAIIAggCCAIIAggCCAIIAh4CAwKtAh4ABEABAgICbwIEAgUCBgIHAggCCQIKAgsCDAINAggCCAIIAggCCAIIAggCCAIIAggCCAIIAggCCAIIAggCCAIeAgMCtAIeAARAAQICAlMCBAIFAgYCBwIIAgkCCgILAgwCDQIIAggCCAIIAggCCAIIAggCCAIIAggCCAIIAggCCAIIAggCHgIDAqkCHgAEQAECAgJtAgQCBQIGAgcCCAIJAhwCCwIMAg0CCAIIAggCCAIIAggCCAIIAggCCAIIAggCCAIIAggCCAIIAh4CAwKxAh4ABEABAgICWQIEAgUCBgIHAggCCQIhAgsCDAINAggCCAIIAggCCAIIAggCCAIIAggCCAIIAggCCAIIAggCCAIeAgMCrAIeAARAAQICAjACBAIFAgYCBwIIAgkCHHoAAAQAAgsCDAINAggCCAIIAggCCAIIAggCCAIIAggCCAIIAggCCAIIAggCCAIeAgMCMQIeAARAAQICAigCBAIFAgYCBwIIAgkCCgILAgwCDQIIAggCCAIIAggCCAIIAggCCAIIAggCCAIIAggCCAIIAggCHgIDAikCHgAEQAECAgIyAgQCBQIGAgcCCAIJAiECCwIMAg0CCAIIAggCCAIIAggCCAIIAggCCAIIAggCCAIIAggCCAIIAh4CAwIzAh4ABEABAgICKgIEAgUCBgIHAggCCQIcAgsCDAINAggCCAIIAggCCAIIAggCCAIIAggCCAIIAggCCAIIAggCCAIeAgMCKwIeAARAAQICAjQCBAIFAgYCBwIIAgkCHAILAgwCDQIIAggCCAIIAggCCAIIAggCCAIIAggCCAIIAggCCAIIAggCHgIDAjUCHgAEQAECAgJBAgQCBQIGAgcCCAIJAgoCCwIMAg0CCAIIAggCCAIIAggCCAIIAggCCAIIAggCCAIIAggCCAIIAh4CAwJCAh4ABEABAgICLAIEAgUCBgIHAggCCQIhAgsCDAINAggCCAIIAggCCAIIAggCCAIIAggCCAIIAggCCAIIAggCCAIeAgMCLQIeAARAAQICAlwCBAIFAgYCBwIIAgkCHAILAgwCDQIIAggCCAIIAggCCAIIAggCCAIIAggCCAIIAggCCAIIAggCHgIDAmICHgAEQAECAgIbAgQCBQIGAgcCCAIJAhwCCwIMAg0CCAIIAggCCAIIAggCCAIIAggCCAIIAggCCAIIAggCCAIIAh4CAwIdAh4ABEABAgICXgIEAgUCBgIHAggCCQIKAgsCDAINAggCCAIIAggCCAIIAggCCAIIAggCCAIIAggCCAIIAggCCAIeAgMCmwIeAARAAQICAlMCBAIFAgYCBwIIAgkCIQILAgwCDQIIAggCCAIIAggCCAIIAggCCAIIAggCCAIIAggCCAIIAggCHgIDAlQCHgAEQAECAgJmAgQCBQIGAgcCCAIJAgoCCwIMAg0CCAIIAggCCAIIAggCCAIIAggCCAIIAggCCAIIAggCCAIIAh4CAwKcAh4ABEABAgICMgIEAgUCBgIHAggCCQIcAgsCDAINAggCCAIIAggCCAIIAggCCAIIAggCCAIIAggCCAIIAggCCAIeAgMCUgIeAARAAQICAgMCBAIFAgYCBwIIAgkCCgILAgwCDQIIAggCCAIIAggCCAIIAggCCAIIAggCCAIIAggCCAIIAggCHgIDAg4CHgAEQAECAgI2AgQCBQIGAgcCCAIJAiECCwIMAg0CCAIIAggCCAIIAggCCAIIAggCCAIIAggCCAIIAggCCAIIAh4CA3oAAAQAAjcCHgAEQAECAgJMAgQCBQIGAgcCCAIJAhwCCwIMAg0CCAIIAggCCAIIAggCCAIIAggCCAIIAggCCAIIAggCCAIIAh4CAwJNAh4ABEABAgICUAIEAgUCBgIHAggCCQIKAgsCDAINAggCCAIIAggCCAIIAggCCAIIAggCCAIIAggCCAIIAggCCAIeAgMCUQIeAARAAQICAk4CBAIFAgYCBwIIAgkCIQILAgwCDQIIAggCCAIIAggCCAIIAggCCAIIAggCCAIIAggCCAIIAggCHgIDAk8CHgAEQAECAgJXAgQCBQIGAgcCCAIJAhwCCwIMAg0CCAIIAggCCAIIAggCCAIIAggCCAIIAggCCAIIAggCCAIIAh4CAwKiAh4ABEABAgICRQIEAgUCBgIHAggCCQIhAgsCDAINAggCCAIIAggCCAIIAggCCAIIAggCCAIIAggCCAIIAggCCAIeAgMCRgIeAARAAQICAhsCBAIFAgYCBwIIAgkCIQILAgwCDQIIAggCCAIIAggCCAIIAggCCAIIAggCCAIIAggCCAIIAggCHgIDAkACHgAEQAECAgIgAgQCBQIGAgcCCAIJAgoCCwIMAg0CCAIIAggCCAIIAggCCAIIAggCCAIIAggCCAIIAggCCAIIAh4CAwKOAh4ABEABAgICIAIEAgUCBgIHAggCCQIcAgsCDAINAggCCAIIAggCCAIIAggCCAIIAggCCAIIAggCCAIIAggCCAIeAgMCOgIeAARAAQICAioCBAIFAgYCBwIIAgkCIQILAgwCDQIIAggCCAIIAggCCAIIAggCCAIIAggCCAIIAggCCAIIAggCHgIDAj0CHgAEQAECAgJeAgQCBQIGAgcCCAIJAiECCwIMAg0CCAIIAggCCAIIAggCCAIIAggCCAIIAggCCAIIAggCCAIIAh4CAwJxAh4ABEABAgICRwIEAgUCBgIHAggCCQIhAgsCDAINAggCCAIIAggCCAIIAggCCAIIAggCCAIIAggCCAIIAggCCAIeAgMCSAIeAARAAQICAkkCBAIFAgYCBwIIAgkCCgILAgwCDQIIAggCCAIIAggCCAIIAggCCAIIAggCCAIIAggCCAIIAggCHgIDAkoCHgAEQAECAgJkAgQCBQIGAgcCCAIJAhwCCwIMAg0CCAIIAggCCAIIAggCCAIIAggCCAIIAggCCAIIAggCCAIIAh4CAwJlAh4ABEABAgICZgIEAgUCBgIHAggCCQIhAgsCDAINAggCCAIIAggCCAIIAggCCAIIAggCCAIIAggCCAIIAggCCAIeAgMCfQIeAARAAQICAkwCBAIFAgYCBwIIAgkCIQILAgwCDQIIAggCCAIIAggCCHoAAAQAAggCCAIIAggCCAIIAggCCAIIAggCCAIeAgMCYwIeAARAAQICAjYCBAIFAgYCBwIIAgkCHAILAgwCDQIIAggCCAIIAggCCAIIAggCCAIIAggCCAIIAggCCAIIAggCHgIDAksCHgAEQAECAgI4AgQCBQIGAgcCCAIJAgoCCwIMAg0CCAIIAggCCAIIAggCCAIIAggCCAIIAggCCAIIAggCCAIIAh4CAwI5Ah4ABEABAgICeAIEAgUCBgIHAggCCQIKAgsCDAINAggCCAIIAggCCAIIAggCCAIIAggCCAIIAggCCAIIAggCCAIeAgMCeQIeAARAAQICAkUCBAIFAgYCBwIIAgkCCgILAgwCDQIIAggCCAIIAggCCAIIAggCCAIIAggCCAIIAggCCAIIAggCHgIDAmwCHgAEQAECAgIuAgQCBQIGAgcCCAIJAhwCCwIMAg0CCAIIAggCCAIIAggCCAIIAggCCAIIAggCCAIIAggCCAIIAh4CAwJ2Ah4ABEABAgICbwIEAgUCBgIHAggCCQIhAgsCDAINAggCCAIIAggCCAIIAggCCAIIAggCCAIIAggCCAIIAggCCAIeAgMChAIeAARAAQICAhsCBAIFAgYCBwIIAgkCCgILAgwCDQIIAggCCAIIAggCCAIIAggCCAIIAggCCAIIAggCCAIIAggCHgIDAoUCHgAEQAECAgIjAgQCBQIGAgcCCAIJAhwCCwIMAg0CCAIIAggCCAIIAggCCAIIAggCCAIIAggCCAIIAggCCAIIAh4CAwIkAh4ABEABAgICXgIEAgUCBgIHAggCCQIcAgsCDAINAggCCAIIAggCCAIIAggCCAIIAggCCAIIAggCCAIIAggCCAIeAgMCXwIeAARAAQICAkkCBAIFAgYCBwIIAgkCIQILAgwCDQIIAggCCAIIAggCCAIIAggCCAIIAggCCAIIAggCCAIIAggCHgIDAoECHgAEQAECAgJVAgQCBQIGAgcCCAIJAiECCwIMAg0CCAIIAggCCAIIAggCCAIIAggCCAIIAggCCAIIAggCCAIIAh4CAwJWAh4ABEABAgICYAIEAgUCBgIHAggCCQIKAgsCDAINAggCCAIIAggCCAIIAggCCAIIAggCCAIIAggCCAIIAggCCAIeAgMCYQIeAARAAQICAn8CBAIFAgYCBwIIAgkCHAILAgwCDQIIAggCCAIIAggCCAIIAggCCAIIAggCCAIIAggCCAIIAggCHgIDAoACHgAEQAECAgI+AgQCBQIGAgcCCAIJAhwCCwIMAg0CCAIIAggCCAIIAggCCAIIAggCCAIIAggCCAIIAggCCAIIAh4CAwJbAh4ABEABAgICOwIEAgUCBnoAAAQAAgcCCAIJAiECCwIMAg0CCAIIAggCCAIIAggCCAIIAggCCAIIAggCCAIIAggCCAIIAh4CAwKCAh4ABEABAgICRwIEAgUCBgIHAggCCQIcAgsCDAINAggCCAIIAggCCAIIAggCCAIIAggCCAIIAggCCAIIAggCCAIeAgMCawIeAARAAQICAigCBAIFAgYCBwIIAgkCIQILAgwCDQIIAggCCAIIAggCCAIIAggCCAIIAggCCAIIAggCCAIIAggCHgIDAnsCHgAEQAECAgIuAgQCBQIGAgcCCAIJAiECCwIMAg0CCAIIAggCCAIIAggCCAIIAggCCAIIAggCCAIIAggCCAIIAh4CAwIvAh4ABEABAgICTgIEAgUCBgIHAggCCQIKAgsCDAINAggCCAIIAggCCAIIAggCCAIIAggCCAIIAggCCAIIAggCCAIeAgMCaAIeAARAAQICAlwCBAIFAgYCBwIIAgkCIQILAgwCDQIIAggCCAIIAggCCAIIAggCCAIIAggCCAIIAggCCAIIAggCHgIDAl0CHgAEQAECAgJVAgQCBQIGAgcCCAIJAhwCCwIMAg0CCAIIAggCCAIIAggCCAIIAggCCAIIAggCCAIIAggCCAIIAh4CAwJ3Ah4ABEABAgICLAIEAgUCBgIHAggCCQIcAgsCDAINAggCCAIIAggCCAIIAggCCAIIAggCCAIIAggCCAIIAggCCAIeAgMCfAIeAARAAQICAlMCBAIFAgYCBwIIAgkCHAILAgwCDQIIAggCCAIIAggCCAIIAggCCAIIAggCCAIIAggCCAIIAggCHgIDAnICHgAEQAECAgImAgQCBQIGAgcCCAIJAgoCCwIMAg0CCAIIAggCCAIIAggCCAIIAggCCAIIAggCCAIIAggCCAIIAh4CAwJ1Ah4ABEABAgICIwIEAgUCBgIHAggCCQIhAgsCDAINAggCCAIIAggCCAIIAggCCAIIAggCCAIIAggCCAIIAggCCAIeAgMCJQIeAARAAQICAm0CBAIFAgYCBwIIAgkCCgILAgwCDQIIAggCCAIIAggCCAIIAggCCAIIAggCCAIIAggCCAIIAggCHgIDAm4CHgAEQAECAgJzAgQCBQIGAgcCCAIJAgoCCwIMAg0CCAIIAggCCAIIAggCCAIIAggCCAIIAggCCAIIAggCCAIIAh4CAwJ0Ah4ABEABAgICQwIEAgUCBgIHAggCCQIKAgsCDAINAggCCAIIAggCCAIIAggCCAIIAggCCAIIAggCCAIIAggCCAIeAgMCOQIeAARAAQICAm8CBAIFAgYCBwIIAgkCHAILAgwCDQIIAggCCAIIAggCCAIIAggCCAIIAggCCAIIAggCCHoAAAQAAggCCAIeAgMCcAIeAARBAQAJNTQ3NjIwMjg4AgICOwIEAgUCBgIHAggCCQIcAgsCuwINAggCCAIIAggCCAIIAggCCAIIAggCCAIIAggCCAIIAggCCAIhAgMC3QIeAARBAQICAkkCBAIFAgYCBwIIAgkCHAILArsCDQIIAggCCAIIAggCCAIIAggCCAIIAggCCAIIAggCCAIIAggCIQIDAtwCHgAEQQECAgJZAgQCBQIGAgcCCAIJAiECCwK7Ag0CCAIIAggCCAIIAggCCAIIAggCCAIIAggCCAIIAggCCAIIAiECAwLhAh4ABEEBAgICbwIEAgUCBgIHAggCCQIcAgsCuwINAggCCAIIAggCCAIIAggCCAIIAggCCAIIAggCCAIIAggCCAIhAgMEGgECHgAEQQECAgJXAgQCBQIGAgcCCAIJAiECCwK7Ag0CCAIIAggCCAIIAggCCAIIAggCCAIIAggCCAIIAggCCAIIAiECAwLbAh4ABEEBAgICOAIEAgUCBgIHAggCCQIcAgsCuwINAggCCAIIAggCCAIIAggCCAIIAggCCAIIAggCCAIIAggCCAIhAgMC2AIeAARBAQICAmQCBAIFAgYCBwIIAgkCIQILArsCDQIIAggCCAIIAggCCAIIAggCCAIIAggCCAIIAggCCAIIAggCIQIDBBEBAh4ABEEBAgICKgIEAgUCBgIHAggCCQK6AgsCuwINAggCCAIIAggCCAIIAggCCAIIAggCCAIIAggCCAIIAggCCAIhAgMEEgECHgAEQQECAgIbAgQCBQIGAgcCCAIJAroCCwK7Ag0CCAIIAggCCAIIAggCCAIIAggCCAIIAggCCAIIAggCCAIIAiECAwQYAQIeAARBAQICAjICBAIFAgYCBwIIAgkCugILArsCDQIIAggCCAIIAggCCAIIAggCCAIIAggCCAIIAggCCAIIAggCIQIDAuMCHgAEQQECAgJMAgQCBQIGAgcCCAIJAiECCwK7Ag0CCAIIAggCCAIIAggCCAIIAggCCAIIAggCCAIIAggCCAIIAiECAwL+Ah4ABEEBAgICLAIEAgUCBgIHAggCCQK6AgsCuwINAggCCAIIAggCCAIIAggCCAIIAggCCAIIAggCCAIIAggCCAIhAgMEAwECHgAEQQECAgIjAgQCBQIGAgcCCAIJAroCCwK7Ag0CCAIIAggCCAIIAggCCAIIAggCCAIIAggCCAIIAggCCAIIAiECAwQZAQIeAARBAQICAmQCBAIFAgYCBwIIAgkCHAILArsCDQIIAggCCAIIAggCCAIIAggCCAIIAggCCAIIAggCCAIIAggCIQIDBCMBAh4ABEEBAgICVwIEAgUCBnoAAAQAAgcCCAIJAhwCCwK7Ag0CCAIIAggCCAIIAggCCAIIAggCCAIIAggCCAIIAggCCAIIAiECAwQAAQIeAARBAQICAmACBAIFAgYCBwIIAgkCIQILArsCDQIIAggCCAIIAggCCAIIAggCCAIIAggCCAIIAggCCAIIAggCIQIDAt4CHgAEQQECAgIuAgQCBQIGAgcCCAIJAroCCwK7Ag0CCAIIAggCCAIIAggCCAIIAggCCAIIAggCCAIIAggCCAIIAiECAwL/Ah4ABEEBAgICNgIEAgUCBgIHAggCCQK6AgsCuwINAggCCAIIAggCCAIIAggCCAIIAggCCAIIAggCCAIIAggCCAIhAgMC+AIeAARBAQICAlwCBAIFAgYCBwIIAgkCIQILArsCDQIIAggCCAIIAggCCAIIAggCCAIIAggCCAIIAggCCAIIAggCIQIDBB8BAh4ABEEBAgICIAIEAgUCBgIHAggCCQK6AgsCuwINAggCCAIIAggCCAIIAggCCAIIAggCCAIIAggCCAIIAggCCAIhAgMC6AIeAARBAQICAlMCBAIFAgYCBwIIAgkCIQILArsCDQIIAggCCAIIAggCCAIIAggCCAIIAggCCAIIAggCCAIIAggCIQIDBCkBAh4ABEEBAgICVQIEAgUCBgIHAggCCQIhAgsCuwINAggCCAIIAggCCAIIAggCCAIIAggCCAIIAggCCAIIAggCCAIhAgMELAECHgAEQQECAgJ4AgQCBQIGAgcCCAIJAiECCwK7Ag0CCAIIAggCCAIIAggCCAIIAggCCAIIAggCCAIIAggCCAIIAiECAwLmAh4ABEEBAgICbwIEAgUCBgIHAggCCQIhAgsCuwINAggCCAIIAggCCAIIAggCCAIIAggCCAIIAggCCAIIAggCCAIhAgMEDwECHgAEQQECAgJMAgQCBQIGAgcCCAIJAhwCCwK7Ag0CCAIIAggCCAIIAggCCAIIAggCCAIIAggCCAIIAggCCAIIAiECAwL0Ah4ABEEBAgICMAIEAgUCBgIHAggCCQK6AgsCuwINAggCCAIIAggCCAIIAggCCAIIAggCCAIIAggCCAIIAggCCAIhAgMC6gIeAARBAQICAjQCBAIFAgYCBwIIAgkCugILArsCDQIIAggCCAIIAggCCAIIAggCCAIIAggCCAIIAggCCAIIAggCIQIDAtcCHgAEQQECAgIeAgQCBQIGAgcCCAIJAhwCCwK7Ag0CCAIIAggCCAIIAggCCAIIAggCCAIIAggCCAIIAggCCAIIAiECAwQoAQIeAARBAQICAmYCBAIFAgYCBwIIAgkCugILArsCDQIIAggCCAIIAggCCAIIAggCCAIIAggCCHoAAAQAAggCCAIIAggCCAIhAgMC8gIeAARBAQICAkcCBAIFAgYCBwIIAgkCugILArsCDQIIAggCCAIIAggCCAIIAggCCAIIAggCCAIIAggCCAIIAggCIQIDBAYBAh4ABEEBAgICMAIEAgUCBgIHAggCCQIcAgsCuwINAggCCAIIAggCCAIIAggCCAIIAggCCAIIAggCCAIIAggCCAIhAgMEBAECHgAEQQECAgI+AgQCBQIGAgcCCAIJAroCCwK7Ag0CCAIIAggCCAIIAggCCAIIAggCCAIIAggCCAIIAggCCAIIAiECAwL1Ah4ABEEBAgICNAIEAgUCBgIHAggCCQIhAgsCuwINAggCCAIIAggCCAIIAggCCAIIAggCCAIIAggCCAIIAggCCAIhAgMC9gIeAARBAQICAl4CBAIFAgYCBwIIAgkCugILArsCDQIIAggCCAIIAggCCAIIAggCCAIIAggCCAIIAggCCAIIAggCIQIDAvcCHgAEQQECAgJcAgQCBQIGAgcCCAIJAroCCwK7Ag0CCAIIAggCCAIIAggCCAIIAggCCAIIAggCCAIIAggCCAIIAiECAwQdAQIeAARBAQICAlACBAIFAgYCBwIIAgkCugILArsCDQIIAggCCAIIAggCCAIIAggCCAIIAggCCAIIAggCCAIIAggCIQIDAucCHgAEQQECAgJtAgQCBQIGAgcCCAIJAhwCCwK7Ag0CCAIIAggCCAIIAggCCAIIAggCCAIIAggCCAIIAggCCAIIAiECAwLGAh4ABEEBAgICcwIEAgUCBgIHAggCCQIcAgsCuwINAggCCAIIAggCCAIIAggCCAIIAggCCAIIAggCCAIIAggCCAIhAgMCxAIeAARBAQICAkECBAIFAgYCBwIIAgkCugILArsCDQIIAggCCAIIAggCCAIIAggCCAIIAggCCAIIAggCCAIIAggCIQIDAvoCHgAEQQECAgIeAgQCBQIGAgcCCAIJAiECCwK7Ag0CCAIIAggCCAIIAggCCAIIAggCCAIIAggCCAIIAggCCAIIAiECAwLJAh4ABEEBAgICNgIEAgUCBgIHAggCCQIhAgsCuwINAggCCAIIAggCCAIIAggCCAIIAggCCAIIAggCCAIIAggCCAIhAgMEBQECHgAEQQECAgJvAgQCBQIGAgcCCAIJAroCCwK7Ag0CCAIIAggCCAIIAggCCAIIAggCCAIIAggCCAIIAggCCAIIAiECAwLSAh4ABEEBAgICVQIEAgUCBgIHAggCCQK6AgsCuwINAggCCAIIAggCCAIIAggCCAIIAggCCAIIAggCCAIIAggCCAIhAgMCygIeAARBAQICAlMCBAIFAgYCBwIIAgkCunoAAAQAAgsCuwINAggCCAIIAggCCAIIAggCCAIIAggCCAIIAggCCAIIAggCCAIhAgMC0wIeAARBAQICAjQCBAIFAgYCBwIIAgkCHAILArsCDQIIAggCCAIIAggCCAIIAggCCAIIAggCCAIIAggCCAIIAggCIQIDBAIBAh4ABEEBAgICWQIEAgUCBgIHAggCCQIcAgsCuwINAggCCAIIAggCCAIIAggCCAIIAggCCAIIAggCCAIIAggCCAIhAgMECwECHgAEQQECAgIwAgQCBQIGAgcCCAIJAiECCwK7Ag0CCAIIAggCCAIIAggCCAIIAggCCAIIAggCCAIIAggCCAIIAiECAwLxAh4ABEEBAgICMgIEAgUCBgIHAggCCQIhAgsCuwINAggCCAIIAggCCAIIAggCCAIIAggCCAIIAggCCAIIAggCCAIhAgMEAQECHgAEQQECAgJkAgQCBQIGAgcCCAIJAroCCwK7Ag0CCAIIAggCCAIIAggCCAIIAggCCAIIAggCCAIIAggCCAIIAiECAwK8Ah4ABEEBAgICUAIEAgUCBgIHAggCCQIhAgsCuwINAggCCAIIAggCCAIIAggCCAIIAggCCAIIAggCCAIIAggCCAIhAgMCxwIeAARBAQICAngCBAIFAgYCBwIIAgkCHAILArsCDQIIAggCCAIIAggCCAIIAggCCAIIAggCCAIIAggCCAIIAggCIQIDAtoCHgAEQQECAgIgAgQCBQIGAgcCCAIJAiECCwK7Ag0CCAIIAggCCAIIAggCCAIIAggCCAIIAggCCAIIAggCCAIIAiECAwQJAQIeAARBAQICAmACBAIFAgYCBwIIAgkCHAILArsCDQIIAggCCAIIAggCCAIIAggCCAIIAggCCAIIAggCCAIIAggCIQIDBAoBAh4ABEEBAgICIAIEAgUCBgIHAggCCQIcAgsCuwINAggCCAIIAggCCAIIAggCCAIIAggCCAIIAggCCAIIAggCCAIhAgMEHAECHgAEQQECAgJeAgQCBQIGAgcCCAIJAiECCwK7Ag0CCAIIAggCCAIIAggCCAIIAggCCAIIAggCCAIIAggCCAIIAiECAwQWAQIeAARBAQICAh4CBAIFAgYCBwIIAgkCugILArsCDQIIAggCCAIIAggCCAIIAggCCAIIAggCCAIIAggCCAIIAggCIQIDAuACHgAEQQECAgI2AgQCBQIGAgcCCAIJAhwCCwK7Ag0CCAIIAggCCAIIAggCCAIIAggCCAIIAggCCAIIAggCCAIIAiECAwQTAQIeAARBAQICAiYCBAIFAgYCBwIIAgkCHAILArsCDQIIAggCCAIIAggCCAIIAggCCAIIAggCCAIIAggCCHoAAAQAAggCCAIhAgMC3wIeAARBAQICAmYCBAIFAgYCBwIIAgkCIQILArsCDQIIAggCCAIIAggCCAIIAggCCAIIAggCCAIIAggCCAIIAggCIQIDBBUBAh4ABEEBAgICRQIEAgUCBgIHAggCCQIhAgsCuwINAggCCAIIAggCCAIIAggCCAIIAggCCAIIAggCCAIIAggCCAIhAgMC1gIeAARBAQICAkcCBAIFAgYCBwIIAgkCIQILArsCDQIIAggCCAIIAggCCAIIAggCCAIIAggCCAIIAggCCAIIAggCIQIDBCIBAh4ABEEBAgICQQIEAgUCBgIHAggCCQIhAgsCuwINAggCCAIIAggCCAIIAggCCAIIAggCCAIIAggCCAIIAggCCAIhAgMCzgIeAARBAQICAkUCBAIFAgYCBwIIAgkCHAILArsCDQIIAggCCAIIAggCCAIIAggCCAIIAggCCAIIAggCCAIIAggCIQIDAuQCHgAEQQECAgJOAgQCBQIGAgcCCAIJAhwCCwK7Ag0CCAIIAggCCAIIAggCCAIIAggCCAIIAggCCAIIAggCCAIIAiECAwLlAh4ABEEBAgICPgIEAgUCBgIHAggCCQIhAgsCuwINAggCCAIIAggCCAIIAggCCAIIAggCCAIIAggCCAIIAggCCAIhAgMEGwECHgAEQQECAgJmAgQCBQIGAgcCCAIJAhwCCwK7Ag0CCAIIAggCCAIIAggCCAIIAggCCAIIAggCCAIIAggCCAIIAiECAwLMAh4ABEEBAgICQwIEAgUCBgIHAggCCQIcAgsCuwINAggCCAIIAggCCAIIAggCCAIIAggCCAIIAggCCAIIAggCCAIhAgMC2AIeAARBAQICAngCBAIFAgYCBwIIAgkCugILArsCDQIIAggCCAIIAggCCAIIAggCCAIIAggCCAIIAggCCAIIAggCIQIDAsgCHgAEQQECAgJJAgQCBQIGAgcCCAIJAroCCwK7Ag0CCAIIAggCCAIIAggCCAIIAggCCAIIAggCCAIIAggCCAIIAiECAwQkAQIeAARBAQICAjsCBAIFAgYCBwIIAgkCugILArsCDQIIAggCCAIIAggCCAIIAggCCAIIAggCCAIIAggCCAIIAggCIQIDBCUBAh4ABEEBAgICRwIEAgUCBgIHAggCCQIcAgsCuwINAggCCAIIAggCCAIIAggCCAIIAggCCAIIAggCCAIIAggCCAIhAgMEJgECHgAEQQECAgI+AgQCBQIGAgcCCAIJAhwCCwK7Ag0CCAIIAggCCAIIAggCCAIIAggCCAIIAggCCAIIAggCCAIIAiECAwQnAQIeAARBAQICAm0CBAIFAgYCBwIIAgkCIQILAnoAAAQAuwINAggCCAIIAggCCAIIAggCCAIIAggCCAIIAggCCAIIAggCCAIhAgMC6QIeAARBAQICAmkCBAIFAgYCBwIIAgkCugILArsCDQIIAggCCAIIAggCCAIIAggCCAIIAggCCAIIAggCCAIIAggCIQIDBBcBAh4ABEEBAgICGwIEAgUCBgIHAggCCQIcAgsCuwINAggCCAIIAggCCAIIAggCCAIIAggCCAIIAggCCAIIAggCCAIhAgMC7QIeAARBAQICAjgCBAIFAgYCBwIIAgkCugILArsCDQIIAggCCAIIAggCCAIIAggCCAIIAggCCAIIAggCCAIIAggCIQIDAjkCHgAEQQECAgIuAgQCBQIGAgcCCAIJAiECCwK7Ag0CCAIIAggCCAIIAggCCAIIAggCCAIIAggCCAIIAggCCAIIAiECAwQhAQIeAARBAQICAiwCBAIFAgYCBwIIAgkCIQILArsCDQIIAggCCAIIAggCCAIIAggCCAIIAggCCAIIAggCCAIIAggCIQIDBCoBAh4ABEEBAgICUAIEAgUCBgIHAggCCQIcAgsCuwINAggCCAIIAggCCAIIAggCCAIIAggCCAIIAggCCAIIAggCCAIhAgMCvgIeAARBAQICAnMCBAIFAgYCBwIIAgkCIQILArsCDQIIAggCCAIIAggCCAIIAggCCAIIAggCCAIIAggCCAIIAggCIQIDAr0CHgAEQQECAgIyAgQCBQIGAgcCCAIJAhwCCwK7Ag0CCAIIAggCCAIIAggCCAIIAggCCAIIAggCCAIIAggCCAIIAiECAwQNAQIeAARBAQICAioCBAIFAgYCBwIIAgkCHAILArsCDQIIAggCCAIIAggCCAIIAggCCAIIAggCCAIIAggCCAIIAggCIQIDAuICHgAEQQECAgJOAgQCBQIGAgcCCAIJAiECCwK7Ag0CCAIIAggCCAIIAggCCAIIAggCCAIIAggCCAIIAggCCAIIAiECAwLZAh4ABEEBAgICJgIEAgUCBgIHAggCCQIhAgsCuwINAggCCAIIAggCCAIIAggCCAIIAggCCAIIAggCCAIIAggCCAIhAgMC7AIeAARBAQICAgMCBAIFAgYCBwIIAgkCugILArsCDQIIAggCCAIIAggCCAIIAggCCAIIAggCCAIIAggCCAIIAggCIQIDBBQBAh4ABEEBAgICKAIEAgUCBgIHAggCCQK6AgsCuwINAggCCAIIAggCCAIIAggCCAIIAggCCAIIAggCCAIIAggCCAIhAgMEKwECHgAEQQECAgJXAgQCBQIGAgcCCAIJAroCCwK7Ag0CCAIIAggCCAIIAggCCAIIAggCCAIIAggCCAIIAggCCAIIAnoAAAQAIQIDAusCHgAEQQECAgJBAgQCBQIGAgcCCAIJAhwCCwK7Ag0CCAIIAggCCAIIAggCCAIIAggCCAIIAggCCAIIAggCCAIIAiECAwK/Ah4ABEEBAgICQwIEAgUCBgIHAggCCQIhAgsCuwINAggCCAIIAggCCAIIAggCCAIIAggCCAIIAggCCAIIAggCCAIhAgMC0QIeAARBAQICAmkCBAIFAgYCBwIIAgkCHAILArsCDQIIAggCCAIIAggCCAIIAggCCAIIAggCCAIIAggCCAIIAggCIQIDAsACHgAEQQECAgJgAgQCBQIGAgcCCAIJAroCCwK7Ag0CCAIIAggCCAIIAggCCAIIAggCCAIIAggCCAIIAggCCAIIAiECAwLFAh4ABEEBAgICKgIEAgUCBgIHAggCCQIhAgsCuwINAggCCAIIAggCCAIIAggCCAIIAggCCAIIAggCCAIIAggCCAIhAgMC/QIeAARBAQICAlUCBAIFAgYCBwIIAgkCHAILArsCDQIIAggCCAIIAggCCAIIAggCCAIIAggCCAIIAggCCAIIAggCIQIDAvwCHgAEQQECAgIDAgQCBQIGAgcCCAIJAiECCwK7Ag0CCAIIAggCCAIIAggCCAIIAggCCAIIAggCCAIIAggCCAIIAiECAwLCAh4ABEEBAgICWQIEAgUCBgIHAggCCQK6AgsCuwINAggCCAIIAggCCAIIAggCCAIIAggCCAIIAggCCAIIAggCCAIhAgMCwwIeAARBAQICAgMCBAIFAgYCBwIIAgkCHAILArsCDQIIAggCCAIIAggCCAIIAggCCAIIAggCCAIIAggCCAIIAggCIQIDAs0CHgAEQQECAgJTAgQCBQIGAgcCCAIJAhwCCwK7Ag0CCAIIAggCCAIIAggCCAIIAggCCAIIAggCCAIIAggCCAIIAiECAwL7Ah4ABEEBAgICGwIEAgUCBgIHAggCCQIhAgsCuwINAggCCAIIAggCCAIIAggCCAIIAggCCAIIAggCCAIIAggCCAIhAgMC+QIeAARBAQICAigCBAIFAgYCBwIIAgkCHAILArsCDQIIAggCCAIIAggCCAIIAggCCAIIAggCCAIIAggCCAIIAggCIQIDAssCHgAEQQECAgJMAgQCBQIGAgcCCAIJAroCCwK7Ag0CCAIIAggCCAIIAggCCAIIAggCCAIIAggCCAIIAggCCAIIAiECAwQeAQIeAARBAQICAiMCBAIFAgYCBwIIAgkCIQILArsCDQIIAggCCAIIAggCCAIIAggCCAIIAggCCAIIAggCCAIIAggCIQIDBCABAh4ABEEBAgICOAIEAgUCBgIHAggCCQIhAgsCuwINAggCCAIIAnoAAAQACAIIAggCCAIIAggCCAIIAggCCAIIAggCCAIIAiECAwLRAh4ABEEBAgICXgIEAgUCBgIHAggCCQIcAgsCuwINAggCCAIIAggCCAIIAggCCAIIAggCCAIIAggCCAIIAggCCAIhAgMC1QIeAARBAQICAkkCBAIFAgYCBwIIAgkCIQILArsCDQIIAggCCAIIAggCCAIIAggCCAIIAggCCAIIAggCCAIIAggCIQIDAtQCHgAEQQECAgImAgQCBQIGAgcCCAIJAroCCwK7Ag0CCAIIAggCCAIIAggCCAIIAggCCAIIAggCCAIIAggCCAIIAiECAwLzAh4ABEEBAgICbQIEAgUCBgIHAggCCQK6AgsCuwINAggCCAIIAggCCAIIAggCCAIIAggCCAIIAggCCAIIAggCCAIhAgMEBwECHgAEQQECAgJDAgQCBQIGAgcCCAIJAroCCwK7Ag0CCAIIAggCCAIIAggCCAIIAggCCAIIAggCCAIIAggCCAIIAiECAwI5Ah4ABEEBAgICaQIEAgUCBgIHAggCCQIhAgsCuwINAggCCAIIAggCCAIIAggCCAIIAggCCAIIAggCCAIIAggCCAIhAgMCzwIeAARBAQICAlwCBAIFAgYCBwIIAgkCHAILArsCDQIIAggCCAIIAggCCAIIAggCCAIIAggCCAIIAggCCAIIAggCIQIDAu4CHgAEQQECAgJOAgQCBQIGAgcCCAIJAroCCwK7Ag0CCAIIAggCCAIIAggCCAIIAggCCAIIAggCCAIIAggCCAIIAiECAwLwAh4ABEEBAgICRQIEAgUCBgIHAggCCQK6AgsCuwINAggCCAIIAggCCAIIAggCCAIIAggCCAIIAggCCAIIAggCCAIhAgMC7wIeAARBAQICAiwCBAIFAgYCBwIIAgkCHAILArsCDQIIAggCCAIIAggCCAIIAggCCAIIAggCCAIIAggCCAIIAggCIQIDBBABAh4ABEEBAgICLgIEAgUCBgIHAggCCQIcAgsCuwINAggCCAIIAggCCAIIAggCCAIIAggCCAIIAggCCAIIAggCCAIhAgMEDgECHgAEQQECAgIoAgQCBQIGAgcCCAIJAiECCwK7Ag0CCAIIAggCCAIIAggCCAIIAggCCAIIAggCCAIIAggCCAIIAiECAwLBAh4ABEEBAgICcwIEAgUCBgIHAggCCQK6AgsCuwINAggCCAIIAggCCAIIAggCCAIIAggCCAIIAggCCAIIAggCCAIhAgMECAECHgAEQQECAgI7AgQCBQIGAgcCCAIJAiECCwK7Ag0CCAIIAggCCAIIAggCCAIIAggCCAIIAggCCAIIAggCCAIIAiECAwLQAh4ABEEBAnoAAAQAAgIjAgQCBQIGAgcCCAIJAhwCCwK7Ag0CCAIIAggCCAIIAggCCAIIAggCCAIIAggCCAIIAggCCAIIAiECAwQMAQIeAARCAQAJNTQ3NjYxODcyAgICcwIEAgUCBgIHAggCCQIcAgsCuwINAggCCAIIAggCCAIIAggCCAIIAggCCAIIAggCCAIIAggCCAIXAgMCxAIeAARCAQICAigCBAIFAgYCBwIIAgkCHAILArsCDQIIAggCCAIIAggCCAIIAggCCAIIAggCCAIIAggCCAIIAggCFwIDAssCHgAEQgECAgJcAgQCBQIGAgcCCAIJAroCCwK7Ag0CCAIIAggCCAIIAggCCAIIAggCCAIIAggCCAIIAggCCAIIAhcCAwQdAQIeAARCAQICAmkCBAIFAgYCBwIIAgkCHAILArsCDQIIAggCCAIIAggCCAIIAggCCAIIAggCCAIIAggCCAIIAggCFwIDAsACHgAEQgECAgIDAgQCBQIGAgcCCAIJAiECCwK7Ag0CCAIIAggCCAIIAggCCAIIAggCCAIIAggCCAIIAggCCAIIAhcCAwLCAh4ABEIBAgICWQIEAgUCBgIHAggCCQK6AgsCuwINAggCCAIIAggCCAIIAggCCAIIAggCCAIIAggCCAIIAggCCAIXAgMCwwIeAARCAQICAm0CBAIFAgYCBwIIAgkCHAILArsCDQIIAggCCAIIAggCCAIIAggCCAIIAggCCAIIAggCCAIIAggCFwIDAsYCHgAEQgECAgJVAgQCBQIGAgcCCAIJAroCCwK7Ag0CCAIIAggCCAIIAggCCAIIAggCCAIIAggCCAIIAggCCAIIAhcCAwLKAh4ABEIBAgICeAIEAgUCBgIHAggCCQIhAgsCuwINAggCCAIIAggCCAIIAggCCAIIAggCCAIIAggCCAIIAggCCAIXAgMC5gIeAARCAQICAmACBAIFAgYCBwIIAgkCugILArsCDQIIAggCCAIIAggCCAIIAggCCAIIAggCCAIIAggCCAIIAggCFwIDAsUCHgAEQgECAgIDAgQCBQIGAgcCCAIJAhwCCwK7Ag0CCAIIAggCCAIIAggCCAIIAggCCAIIAggCCAIIAggCCAIIAhcCAwLNAh4ABEIBAgICTAIEAgUCBgIHAggCCQK6AgsCuwINAggCCAIIAggCCAIIAggCCAIIAggCCAIIAggCCAIIAggCCAIXAgMEHgECHgAEQgECAgIeAgQCBQIGAgcCCAIJAiECCwK7Ag0CCAIIAggCCAIIAggCCAIIAggCCAIIAggCCAIIAggCCAIIAhcCAwLJAh4ABEIBAgICSQIEAgUCBgIHAggCCQIhAgsCuwINAggCCAIIAnoAAAQACAIIAggCCAIIAggCCAIIAggCCAIIAggCCAIIAhcCAwLUAh4ABEIBAgICbwIEAgUCBgIHAggCCQK6AgsCuwINAggCCAIIAggCCAIIAggCCAIIAggCCAIIAggCCAIIAggCCAIXAgMC0gIeAARCAQICAjsCBAIFAgYCBwIIAgkCIQILArsCDQIIAggCCAIIAggCCAIIAggCCAIIAggCCAIIAggCCAIIAggCFwIDAtACHgAEQgECAgIoAgQCBQIGAgcCCAIJAiECCwK7Ag0CCAIIAggCCAIIAggCCAIIAggCCAIIAggCCAIIAggCCAIIAhcCAwLBAh4ABEIBAgICOAIEAgUCBgIHAggCCQIhAgsCuwINAggCCAIIAggCCAIIAggCCAIIAggCCAIIAggCCAIIAggCCAIXAgMC0QIeAARCAQICAioCBAIFAgYCBwIIAgkCugILArsCDQIIAggCCAIIAggCCAIIAggCCAIIAggCCAIIAggCCAIIAggCFwIDBBIBAh4ABEIBAgICaQIEAgUCBgIHAggCCQIhAgsCuwINAggCCAIIAggCCAIIAggCCAIIAggCCAIIAggCCAIIAggCCAIXAgMCzwIeAARCAQICAl4CBAIFAgYCBwIIAgkCHAILArsCDQIIAggCCAIIAggCCAIIAggCCAIIAggCCAIIAggCCAIIAggCFwIDAtUCHgAEQgECAgJXAgQCBQIGAgcCCAIJAiECCwK7Ag0CCAIIAggCCAIIAggCCAIIAggCCAIIAggCCAIIAggCCAIIAhcCAwLbAh4ABEIBAgICUwIEAgUCBgIHAggCCQK6AgsCuwINAggCCAIIAggCCAIIAggCCAIIAggCCAIIAggCCAIIAggCCAIXAgMC0wIeAARCAQICAngCBAIFAgYCBwIIAgkCHAILArsCDQIIAggCCAIIAggCCAIIAggCCAIIAggCCAIIAggCCAIIAggCFwIDAtoCHgAEQgECAgJkAgQCBQIGAgcCCAIJAroCCwK7Ag0CCAIIAggCCAIIAggCCAIIAggCCAIIAggCCAIIAggCCAIIAhcCAwK8Ah4ABEIBAgICQwIEAgUCBgIHAggCCQIcAgsCuwINAggCCAIIAggCCAIIAggCCAIIAggCCAIIAggCCAIIAggCCAIXAgMC2AIeAARCAQICAiYCBAIFAgYCBwIIAgkCHAILArsCDQIIAggCCAIIAggCCAIIAggCCAIIAggCCAIIAggCCAIIAggCFwIDAt8CHgAEQgECAgJZAgQCBQIGAgcCCAIJAiECCwK7Ag0CCAIIAggCCAIIAggCCAIIAggCCAIIAggCCAIIAggCCAIIAhcCAwLhAh4ABEIBAgICHnoAAAQAAgQCBQIGAgcCCAIJAroCCwK7Ag0CCAIIAggCCAIIAggCCAIIAggCCAIIAggCCAIIAggCCAIIAhcCAwLgAh4ABEIBAgICSQIEAgUCBgIHAggCCQIcAgsCuwINAggCCAIIAggCCAIIAggCCAIIAggCCAIIAggCCAIIAggCCAIXAgMC3AIeAARCAQICAkwCBAIFAgYCBwIIAgkCIQILArsCDQIIAggCCAIIAggCCAIIAggCCAIIAggCCAIIAggCCAIIAggCFwIDAv4CHgAEQgECAgJFAgQCBQIGAgcCCAIJAhwCCwK7Ag0CCAIIAggCCAIIAggCCAIIAggCCAIIAggCCAIIAggCCAIIAhcCAwLkAh4ABEIBAgICZgIEAgUCBgIHAggCCQIcAgsCuwINAggCCAIIAggCCAIIAggCCAIIAggCCAIIAggCCAIIAggCCAIXAgMCzAIeAARCAQICAjICBAIFAgYCBwIIAgkCugILArsCDQIIAggCCAIIAggCCAIIAggCCAIIAggCCAIIAggCCAIIAggCFwIDAuMCHgAEQgECAgI7AgQCBQIGAgcCCAIJAhwCCwK7Ag0CCAIIAggCCAIIAggCCAIIAggCCAIIAggCCAIIAggCCAIIAhcCAwLdAh4ABEIBAgICTgIEAgUCBgIHAggCCQIcAgsCuwINAggCCAIIAggCCAIIAggCCAIIAggCCAIIAggCCAIIAggCCAIXAgMC5QIeAARCAQICAngCBAIFAgYCBwIIAgkCugILArsCDQIIAggCCAIIAggCCAIIAggCCAIIAggCCAIIAggCCAIIAggCFwIDAsgCHgAEQgECAgI2AgQCBQIGAgcCCAIJAroCCwK7Ag0CCAIIAggCCAIIAggCCAIIAggCCAIIAggCCAIIAggCCAIIAhcCAwL4Ah4ABEIBAgICYAIEAgUCBgIHAggCCQIhAgsCuwINAggCCAIIAggCCAIIAggCCAIIAggCCAIIAggCCAIIAggCCAIXAgMC3gIeAARCAQICAjACBAIFAgYCBwIIAgkCugILArsCDQIIAggCCAIIAggCCAIIAggCCAIIAggCCAIIAggCCAIIAggCFwIDAuoCHgAEQgECAgIbAgQCBQIGAgcCCAIJAhwCCwK7Ag0CCAIIAggCCAIIAggCCAIIAggCCAIIAggCCAIIAggCCAIIAhcCAwLtAh4ABEIBAgICJgIEAgUCBgIHAggCCQIhAgsCuwINAggCCAIIAggCCAIIAggCCAIIAggCCAIIAggCCAIIAggCCAIXAgMC7AIeAARCAQICAkwCBAIFAgYCBwIIAgkCHAILArsCDQIIAggCCAIIAggCCAIIAggCCAIIAggCCHoAAAQAAggCCAIIAggCCAIXAgMC9AIeAARCAQICAiACBAIFAgYCBwIIAgkCugILArsCDQIIAggCCAIIAggCCAIIAggCCAIIAggCCAIIAggCCAIIAggCFwIDAugCHgAEQgECAgJFAgQCBQIGAgcCCAIJAiECCwK7Ag0CCAIIAggCCAIIAggCCAIIAggCCAIIAggCCAIIAggCCAIIAhcCAwLWAh4ABEIBAgICNAIEAgUCBgIHAggCCQK6AgsCuwINAggCCAIIAggCCAIIAggCCAIIAggCCAIIAggCCAIIAggCCAIXAgMC1wIeAARCAQICAlcCBAIFAgYCBwIIAgkCugILArsCDQIIAggCCAIIAggCCAIIAggCCAIIAggCCAIIAggCCAIIAggCFwIDAusCHgAEQgECAgI4AgQCBQIGAgcCCAIJAhwCCwK7Ag0CCAIIAggCCAIIAggCCAIIAggCCAIIAggCCAIIAggCCAIIAhcCAwLYAh4ABEIBAgICKgIEAgUCBgIHAggCCQIcAgsCuwINAggCCAIIAggCCAIIAggCCAIIAggCCAIIAggCCAIIAggCCAIXAgMC4gIeAARCAQICAk4CBAIFAgYCBwIIAgkCIQILArsCDQIIAggCCAIIAggCCAIIAggCCAIIAggCCAIIAggCCAIIAggCFwIDAtkCHgAEQgECAgJzAgQCBQIGAgcCCAIJAiECCwK7Ag0CCAIIAggCCAIIAggCCAIIAggCCAIIAggCCAIIAggCCAIIAhcCAwK9Ah4ABEIBAgICbQIEAgUCBgIHAggCCQIhAgsCuwINAggCCAIIAggCCAIIAggCCAIIAggCCAIIAggCCAIIAggCCAIXAgMC6QIeAARCAQICAkMCBAIFAgYCBwIIAgkCIQILArsCDQIIAggCCAIIAggCCAIIAggCCAIIAggCCAIIAggCCAIIAggCFwIDAtECHgAEQgECAgJHAgQCBQIGAgcCCAIJAroCCwK7Ag0CCAIIAggCCAIIAggCCAIIAggCCAIIAggCCAIIAggCCAIIAhcCAwQGAQIeAARCAQICAlACBAIFAgYCBwIIAgkCugILArsCDQIIAggCCAIIAggCCAIIAggCCAIIAggCCAIIAggCCAIIAggCFwIDAucCHgAEQgECAgIwAgQCBQIGAgcCCAIJAhwCCwK7Ag0CCAIIAggCCAIIAggCCAIIAggCCAIIAggCCAIIAggCCAIIAhcCAwQEAQIeAARCAQICAl4CBAIFAgYCBwIIAgkCugILArsCDQIIAggCCAIIAggCCAIIAggCCAIIAggCCAIIAggCCAIIAggCFwIDAvcCHgAEQgECAgI+AgQCBQIGAgcCCAIJAroCC3oAAAQAArsCDQIIAggCCAIIAggCCAIIAggCCAIIAggCCAIIAggCCAIIAggCFwIDAvUCHgAEQgECAgI0AgQCBQIGAgcCCAIJAiECCwK7Ag0CCAIIAggCCAIIAggCCAIIAggCCAIIAggCCAIIAggCCAIIAhcCAwL2Ah4ABEIBAgICMgIEAgUCBgIHAggCCQIhAgsCuwINAggCCAIIAggCCAIIAggCCAIIAggCCAIIAggCCAIIAggCCAIXAgMEAQECHgAEQgECAgJTAgQCBQIGAgcCCAIJAhwCCwK7Ag0CCAIIAggCCAIIAggCCAIIAggCCAIIAggCCAIIAggCCAIIAhcCAwL7Ah4ABEIBAgICVQIEAgUCBgIHAggCCQIcAgsCuwINAggCCAIIAggCCAIIAggCCAIIAggCCAIIAggCCAIIAggCCAIXAgMC/AIeAARCAQICAi4CBAIFAgYCBwIIAgkCIQILArsCDQIIAggCCAIIAggCCAIIAggCCAIIAggCCAIIAggCCAIIAggCFwIDBCEBAh4ABEIBAgICNAIEAgUCBgIHAggCCQIcAgsCuwINAggCCAIIAggCCAIIAggCCAIIAggCCAIIAggCCAIIAggCCAIXAgMEAgECHgAEQgECAgIqAgQCBQIGAgcCCAIJAiECCwK7Ag0CCAIIAggCCAIIAggCCAIIAggCCAIIAggCCAIIAggCCAIIAhcCAwL9Ah4ABEIBAgICaQIEAgUCBgIHAggCCQK6AgsCuwINAggCCAIIAggCCAIIAggCCAIIAggCCAIIAggCCAIIAggCCAIXAgMEFwECHgAEQgECAgIbAgQCBQIGAgcCCAIJAiECCwK7Ag0CCAIIAggCCAIIAggCCAIIAggCCAIIAggCCAIIAggCCAIIAhcCAwL5Ah4ABEIBAgICQQIEAgUCBgIHAggCCQK6AgsCuwINAggCCAIIAggCCAIIAggCCAIIAggCCAIIAggCCAIIAggCCAIXAgMC+gIeAARCAQICAiMCBAIFAgYCBwIIAgkCIQILArsCDQIIAggCCAIIAggCCAIIAggCCAIIAggCCAIIAggCCAIIAggCFwIDBCABAh4ABEIBAgICQwIEAgUCBgIHAggCCQK6AgsCuwINAggCCAIIAggCCAIIAggCCAIIAggCCAIIAggCCAIIAggCCAIXAgMCOQIeAARCAQICAiYCBAIFAgYCBwIIAgkCugILArsCDQIIAggCCAIIAggCCAIIAggCCAIIAggCCAIIAggCCAIIAggCFwIDAvMCHgAEQgECAgIgAgQCBQIGAgcCCAIJAiECCwK7Ag0CCAIIAggCCAIIAggCCAIIAggCCAIIAggCCAIIAggCCAIIAnoAAAQAFwIDBAkBAh4ABEIBAgICcwIEAgUCBgIHAggCCQK6AgsCuwINAggCCAIIAggCCAIIAggCCAIIAggCCAIIAggCCAIIAggCCAIXAgMECAECHgAEQgECAgI2AgQCBQIGAgcCCAIJAiECCwK7Ag0CCAIIAggCCAIIAggCCAIIAggCCAIIAggCCAIIAggCCAIIAhcCAwQFAQIeAARCAQICAiwCBAIFAgYCBwIIAgkCHAILArsCDQIIAggCCAIIAggCCAIIAggCCAIIAggCCAIIAggCCAIIAggCFwIDBBABAh4ABEIBAgICMAIEAgUCBgIHAggCCQIhAgsCuwINAggCCAIIAggCCAIIAggCCAIIAggCCAIIAggCCAIIAggCCAIXAgMC8QIeAARCAQICAm0CBAIFAgYCBwIIAgkCugILArsCDQIIAggCCAIIAggCCAIIAggCCAIIAggCCAIIAggCCAIIAggCFwIDBAcBAh4ABEIBAgICWQIEAgUCBgIHAggCCQIcAgsCuwINAggCCAIIAggCCAIIAggCCAIIAggCCAIIAggCCAIIAggCCAIXAgMECwECHgAEQgECAgJcAgQCBQIGAgcCCAIJAhwCCwK7Ag0CCAIIAggCCAIIAggCCAIIAggCCAIIAggCCAIIAggCCAIIAhcCAwLuAh4ABEIBAgICRQIEAgUCBgIHAggCCQK6AgsCuwINAggCCAIIAggCCAIIAggCCAIIAggCCAIIAggCCAIIAggCCAIXAgMC7wIeAARCAQICAk4CBAIFAgYCBwIIAgkCugILArsCDQIIAggCCAIIAggCCAIIAggCCAIIAggCCAIIAggCCAIIAggCFwIDAvACHgAEQgECAgIuAgQCBQIGAgcCCAIJAhwCCwK7Ag0CCAIIAggCCAIIAggCCAIIAggCCAIIAggCCAIIAggCCAIIAhcCAwQOAQIeAARCAQICAmACBAIFAgYCBwIIAgkCHAILArsCDQIIAggCCAIIAggCCAIIAggCCAIIAggCCAIIAggCCAIIAggCFwIDBAoBAh4ABEIBAgICIwIEAgUCBgIHAggCCQIcAgsCuwINAggCCAIIAggCCAIIAggCCAIIAggCCAIIAggCCAIIAggCCAIXAgMEDAECHgAEQgECAgIbAgQCBQIGAgcCCAIJAroCCwK7Ag0CCAIIAggCCAIIAggCCAIIAggCCAIIAggCCAIIAggCCAIIAhcCAwQYAQIeAARCAQICAiMCBAIFAgYCBwIIAgkCugILArsCDQIIAggCCAIIAggCCAIIAggCCAIIAggCCAIIAggCCAIIAggCFwIDBBkBAh4ABEIBAgICZAIEAgUCBgIHAggCCQIcAgsCu3oAAAQAAg0CCAIIAggCCAIIAggCCAIIAggCCAIIAggCCAIIAggCCAIIAhcCAwQjAQIeAARCAQICAj4CBAIFAgYCBwIIAgkCIQILArsCDQIIAggCCAIIAggCCAIIAggCCAIIAggCCAIIAggCCAIIAggCFwIDBBsBAh4ABEIBAgICbwIEAgUCBgIHAggCCQIcAgsCuwINAggCCAIIAggCCAIIAggCCAIIAggCCAIIAggCCAIIAggCCAIXAgMEGgECHgAEQgECAgJBAgQCBQIGAgcCCAIJAiECCwK7Ag0CCAIIAggCCAIIAggCCAIIAggCCAIIAggCCAIIAggCCAIIAhcCAwLOAh4ABEIBAgICUAIEAgUCBgIHAggCCQIhAgsCuwINAggCCAIIAggCCAIIAggCCAIIAggCCAIIAggCCAIIAggCCAIXAgMCxwIeAARCAQICAmYCBAIFAgYCBwIIAgkCIQILArsCDQIIAggCCAIIAggCCAIIAggCCAIIAggCCAIIAggCCAIIAggCFwIDBBUBAh4ABEIBAgICRwIEAgUCBgIHAggCCQIhAgsCuwINAggCCAIIAggCCAIIAggCCAIIAggCCAIIAggCCAIIAggCCAIXAgMEIgECHgAEQgECAgJXAgQCBQIGAgcCCAIJAhwCCwK7Ag0CCAIIAggCCAIIAggCCAIIAggCCAIIAggCCAIIAggCCAIIAhcCAwQAAQIeAARCAQICAiwCBAIFAgYCBwIIAgkCugILArsCDQIIAggCCAIIAggCCAIIAggCCAIIAggCCAIIAggCCAIIAggCFwIDBAMBAh4ABEIBAgICOAIEAgUCBgIHAggCCQK6AgsCuwINAggCCAIIAggCCAIIAggCCAIIAggCCAIIAggCCAIIAggCCAIXAgMCOQIeAARCAQICAiACBAIFAgYCBwIIAgkCHAILArsCDQIIAggCCAIIAggCCAIIAggCCAIIAggCCAIIAggCCAIIAggCFwIDBBwBAh4ABEIBAgICXgIEAgUCBgIHAggCCQIhAgsCuwINAggCCAIIAggCCAIIAggCCAIIAggCCAIIAggCCAIIAggCCAIXAgMEFgECHgAEQgECAgIuAgQCBQIGAgcCCAIJAroCCwK7Ag0CCAIIAggCCAIIAggCCAIIAggCCAIIAggCCAIIAggCCAIIAhcCAwL/Ah4ABEIBAgICXAIEAgUCBgIHAggCCQIhAgsCuwINAggCCAIIAggCCAIIAggCCAIIAggCCAIIAggCCAIIAggCCAIXAgMEHwECHgAEQgECAgIoAgQCBQIGAgcCCAIJAroCCwK7Ag0CCAIIAggCCAIIAggCCAIIAggCCAIIAggCCAIIAggCCHoAAAQAAggCFwIDBCsBAh4ABEIBAgICUAIEAgUCBgIHAggCCQIcAgsCuwINAggCCAIIAggCCAIIAggCCAIIAggCCAIIAggCCAIIAggCCAIXAgMCvgIeAARCAQICAkECBAIFAgYCBwIIAgkCHAILArsCDQIIAggCCAIIAggCCAIIAggCCAIIAggCCAIIAggCCAIIAggCFwIDAr8CHgAEQgECAgI7AgQCBQIGAgcCCAIJAroCCwK7Ag0CCAIIAggCCAIIAggCCAIIAggCCAIIAggCCAIIAggCCAIIAhcCAwQlAQIeAARCAQICAkkCBAIFAgYCBwIIAgkCugILArsCDQIIAggCCAIIAggCCAIIAggCCAIIAggCCAIIAggCCAIIAggCFwIDBCQBAh4ABEIBAgICRwIEAgUCBgIHAggCCQIcAgsCuwINAggCCAIIAggCCAIIAggCCAIIAggCCAIIAggCCAIIAggCCAIXAgMEJgECHgAEQgECAgIyAgQCBQIGAgcCCAIJAhwCCwK7Ag0CCAIIAggCCAIIAggCCAIIAggCCAIIAggCCAIIAggCCAIIAhcCAwQNAQIeAARCAQICAj4CBAIFAgYCBwIIAgkCHAILArsCDQIIAggCCAIIAggCCAIIAggCCAIIAggCCAIIAggCCAIIAggCFwIDBCcBAh4ABEIBAgICZAIEAgUCBgIHAggCCQIhAgsCuwINAggCCAIIAggCCAIIAggCCAIIAggCCAIIAggCCAIIAggCCAIXAgMEEQECHgAEQgECAgIDAgQCBQIGAgcCCAIJAroCCwK7Ag0CCAIIAggCCAIIAggCCAIIAggCCAIIAggCCAIIAggCCAIIAhcCAwQUAQIeAARCAQICAiwCBAIFAgYCBwIIAgkCIQILArsCDQIIAggCCAIIAggCCAIIAggCCAIIAggCCAIIAggCCAIIAggCFwIDBCoBAh4ABEIBAgICZgIEAgUCBgIHAggCCQK6AgsCuwINAggCCAIIAggCCAIIAggCCAIIAggCCAIIAggCCAIIAggCCAIXAgMC8gIeAARCAQICAlUCBAIFAgYCBwIIAgkCIQILArsCDQIIAggCCAIIAggCCAIIAggCCAIIAggCCAIIAggCCAIIAggCFwIDBCwBAh4ABEIBAgICNgIEAgUCBgIHAggCCQIcAgsCuwINAggCCAIIAggCCAIIAggCCAIIAggCCAIIAggCCAIIAggCCAIXAgMEEwECHgAEQgECAgJTAgQCBQIGAgcCCAIJAiECCwK7Ag0CCAIIAggCCAIIAggCCAIIAggCCAIIAggCCAIIAggCCAIIAhcCAwQpAQIeAARCAQICAm8CBAIFAgYCBwIIAgkCIXoAAAQAAgsCuwINAggCCAIIAggCCAIIAggCCAIIAggCCAIIAggCCAIIAggCCAIXAgMEDwECHgAEQgECAgIeAgQCBQIGAgcCCAIJAhwCCwK7Ag0CCAIIAggCCAIIAggCCAIIAggCCAIIAggCCAIIAggCCAIIAhcCAwQoAQIeAARDAQAJNTQ3NjYwNzEyAgICKAIEAgUCBgIHAggCCQIcAgsCDAINAggCCAIIAggCCAIIAggCCAIIAggCCAIIAggCCAIIAggCCAIWAgMCjQIeAARDAQICAn8CBAIFAgYCBwIIAgkCIQILAgwCDQIIAggCCAIIAggCCAIIAggCCAIIAggCCAIIAggCCAIIAggCFgIDAo8CHgAEQwECAgJzAgQCBQIGAgcCCAIJAhwCCwIMAg0CCAIIAggCCAIIAggCCAIIAggCCAIIAggCCAIIAggCCAIIAhYCAwKvAh4ABEMBAgICUwIEAgUCBgIHAggCCQIKAgsCDAINAggCCAIIAggCCAIIAggCCAIIAggCCAIIAggCCAIIAggCCAIWAgMCqQIeAARDAQICAmkCBAIFAgYCBwIIAgkCHAILAgwCDQIIAggCCAIIAggCCAIIAggCCAIIAggCCAIIAggCCAIIAggCFgIDApcCHgAEQwECAgIwAgQCBQIGAgcCCAIJAgoCCwIMAg0CCAIIAggCCAIIAggCCAIIAggCCAIIAggCCAIIAggCCAIIAhYCAwKGAh4ABEMBAgICHgIEAgUCBgIHAggCCQIhAgsCDAINAggCCAIIAggCCAIIAggCCAIIAggCCAIIAggCCAIIAggCCAIWAgMCkAIeAARDAQICAgMCBAIFAgYCBwIIAgkCHAILAgwCDQIIAggCCAIIAggCCAIIAggCCAIIAggCCAIIAggCCAIIAggCFgIDAogCHgAEQwECAgJ4AgQCBQIGAgcCCAIJAiECCwIMAg0CCAIIAggCCAIIAggCCAIIAggCCAIIAggCCAIIAggCCAIIAhYCAwKHAh4ABEMBAgICOAIEAgUCBgIHAggCCQIhAgsCDAINAggCCAIIAggCCAIIAggCCAIIAggCCAIIAggCCAIIAggCCAIWAgMCRAIeAARDAQICAioCBAIFAgYCBwIIAgkCCgILAgwCDQIIAggCCAIIAggCCAIIAggCCAIIAggCCAIIAggCCAIIAggCFgIDAn4CHgAEQwECAgJ/AgQCBQIGAgcCCAIJAhwCCwIMAg0CCAIIAggCCAIIAggCCAIIAggCCAIIAggCCAIIAggCCAIIAhYCAwKAAh4ABEMBAgICHgIEAgUCBgIHAggCCQIcAgsCDAINAggCCAIIAggCCAIIAggCCAIIAggCCAIIAnoAAAQACAIIAggCCAIIAhYCAwKDAh4ABEMBAgICaQIEAgUCBgIHAggCCQIhAgsCDAINAggCCAIIAggCCAIIAggCCAIIAggCCAIIAggCCAIIAggCCAIWAgMCagIeAARDAQICAlACBAIFAgYCBwIIAgkCHAILAgwCDQIIAggCCAIIAggCCAIIAggCCAIIAggCCAIIAggCCAIIAggCFgIDApgCHgAEQwECAgI0AgQCBQIGAgcCCAIJAgoCCwIMAg0CCAIIAggCCAIIAggCCAIIAggCCAIIAggCCAIIAggCCAIIAhYCAwKJAh4ABEMBAgICbwIEAgUCBgIHAggCCQIhAgsCDAINAggCCAIIAggCCAIIAggCCAIIAggCCAIIAggCCAIIAggCCAIWAgMChAIeAARDAQICAlcCBAIFAgYCBwIIAgkCCgILAgwCDQIIAggCCAIIAggCCAIIAggCCAIIAggCCAIIAggCCAIIAggCFgIDAlgCHgAEQwECAgJtAgQCBQIGAgcCCAIJAiECCwIMAg0CCAIIAggCCAIIAggCCAIIAggCCAIIAggCCAIIAggCCAIIAhYCAwKfAh4ABEMBAgICQQIEAgUCBgIHAggCCQIcAgsCDAINAggCCAIIAggCCAIIAggCCAIIAggCCAIIAggCCAIIAggCCAIWAgMClQIeAARDAQICAnMCBAIFAgYCBwIIAgkCIQILAgwCDQIIAggCCAIIAggCCAIIAggCCAIIAggCCAIIAggCCAIIAggCFgIDApICHgAEQwECAgJkAgQCBQIGAgcCCAIJAiECCwIMAg0CCAIIAggCCAIIAggCCAIIAggCCAIIAggCCAIIAggCCAIIAhYCAwKWAh4ABEMBAgICTAIEAgUCBgIHAggCCQIKAgsCDAINAggCCAIIAggCCAIIAggCCAIIAggCCAIIAggCCAIIAggCCAIWAgMCkQIeAARDAQICAjgCBAIFAgYCBwIIAgkCHAILAgwCDQIIAggCCAIIAggCCAIIAggCCAIIAggCCAIIAggCCAIIAggCFgIDApkCHgAEQwECAgJJAgQCBQIGAgcCCAIJAgoCCwIMAg0CCAIIAggCCAIIAggCCAIIAggCCAIIAggCCAIIAggCCAIIAhYCAwJKAh4ABEMBAgICSQIEAgUCBgIHAggCCQIcAgsCDAINAggCCAIIAggCCAIIAggCCAIIAggCCAIIAggCCAIIAggCCAIWAgMCjAIeAARDAQICAm8CBAIFAgYCBwIIAgkCHAILAgwCDQIIAggCCAIIAggCCAIIAggCCAIIAggCCAIIAggCCAIIAggCFgIDAnACHgAEQwECAgJHAgQCBQIGAgcCCAIJAiECCwIMAnoAAAQADQIIAggCCAIIAggCCAIIAggCCAIIAggCCAIIAggCCAIIAggCFgIDAkgCHgAEQwECAgIgAgQCBQIGAgcCCAIJAgoCCwIMAg0CCAIIAggCCAIIAggCCAIIAggCCAIIAggCCAIIAggCCAIIAhYCAwKOAh4ABEMBAgICOAIEAgUCBgIHAggCCQIKAgsCDAINAggCCAIIAggCCAIIAggCCAIIAggCCAIIAggCCAIIAggCCAIWAgMCOQIeAARDAQICAjsCBAIFAgYCBwIIAgkCHAILAgwCDQIIAggCCAIIAggCCAIIAggCCAIIAggCCAIIAggCCAIIAggCFgIDAooCHgAEQwECAgJeAgQCBQIGAgcCCAIJAiECCwIMAg0CCAIIAggCCAIIAggCCAIIAggCCAIIAggCCAIIAggCCAIIAhYCAwJxAh4ABEMBAgICZAIEAgUCBgIHAggCCQIcAgsCDAINAggCCAIIAggCCAIIAggCCAIIAggCCAIIAggCCAIIAggCCAIWAgMCZQIeAARDAQICAngCBAIFAgYCBwIIAgkCCgILAgwCDQIIAggCCAIIAggCCAIIAggCCAIIAggCCAIIAggCCAIIAggCFgIDAnkCHgAEQwECAgJmAgQCBQIGAgcCCAIJAhwCCwIMAg0CCAIIAggCCAIIAggCCAIIAggCCAIIAggCCAIIAggCCAIIAhYCAwJnAh4ABEMBAgICTAIEAgUCBgIHAggCCQIhAgsCDAINAggCCAIIAggCCAIIAggCCAIIAggCCAIIAggCCAIIAggCCAIWAgMCYwIeAARDAQICAkUCBAIFAgYCBwIIAgkCCgILAgwCDQIIAggCCAIIAggCCAIIAggCCAIIAggCCAIIAggCCAIIAggCFgIDAmwCHgAEQwECAgJVAgQCBQIGAgcCCAIJAiECCwIMAg0CCAIIAggCCAIIAggCCAIIAggCCAIIAggCCAIIAggCCAIIAhYCAwJWAh4ABEMBAgICXgIEAgUCBgIHAggCCQIcAgsCDAINAggCCAIIAggCCAIIAggCCAIIAggCCAIIAggCCAIIAggCCAIWAgMCXwIeAARDAQICAhsCBAIFAgYCBwIIAgkCCgILAgwCDQIIAggCCAIIAggCCAIIAggCCAIIAggCCAIIAggCCAIIAggCFgIDAoUCHgAEQwECAgJZAgQCBQIGAgcCCAIJAgoCCwIMAg0CCAIIAggCCAIIAggCCAIIAggCCAIIAggCCAIIAggCCAIIAhYCAwJaAh4ABEMBAgICPgIEAgUCBgIHAggCCQIcAgsCDAINAggCCAIIAggCCAIIAggCCAIIAggCCAIIAggCCAIIAggCCAIWAgMCWwIeAHoAAAQABEMBAgICSQIEAgUCBgIHAggCCQIhAgsCDAINAggCCAIIAggCCAIIAggCCAIIAggCCAIIAggCCAIIAggCCAIWAgMCgQIeAARDAQICAjsCBAIFAgYCBwIIAgkCIQILAgwCDQIIAggCCAIIAggCCAIIAggCCAIIAggCCAIIAggCCAIIAggCFgIDAoICHgAEQwECAgIjAgQCBQIGAgcCCAIJAhwCCwIMAg0CCAIIAggCCAIIAggCCAIIAggCCAIIAggCCAIIAggCCAIIAhYCAwIkAh4ABEMBAgICYAIEAgUCBgIHAggCCQIKAgsCDAINAggCCAIIAggCCAIIAggCCAIIAggCCAIIAggCCAIIAggCCAIWAgMCYQIeAARDAQICAkcCBAIFAgYCBwIIAgkCHAILAgwCDQIIAggCCAIIAggCCAIIAggCCAIIAggCCAIIAggCCAIIAggCFgIDAmsCHgAEQwECAgIoAgQCBQIGAgcCCAIJAiECCwIMAg0CCAIIAggCCAIIAggCCAIIAggCCAIIAggCCAIIAggCCAIIAhYCAwJ7Ah4ABEMBAgICLgIEAgUCBgIHAggCCQIcAgsCDAINAggCCAIIAggCCAIIAggCCAIIAggCCAIIAggCCAIIAggCCAIWAgMCdgIeAARDAQICAk4CBAIFAgYCBwIIAgkCCgILAgwCDQIIAggCCAIIAggCCAIIAggCCAIIAggCCAIIAggCCAIIAggCFgIDAmgCHgAEQwECAgJcAgQCBQIGAgcCCAIJAiECCwIMAg0CCAIIAggCCAIIAggCCAIIAggCCAIIAggCCAIIAggCCAIIAhYCAwJdAh4ABEMBAgICLAIEAgUCBgIHAggCCQIcAgsCDAINAggCCAIIAggCCAIIAggCCAIIAggCCAIIAggCCAIIAggCCAIWAgMCfAIeAARDAQICAlMCBAIFAgYCBwIIAgkCHAILAgwCDQIIAggCCAIIAggCCAIIAggCCAIIAggCCAIIAggCCAIIAggCFgIDAnICHgAEQwECAgJDAgQCBQIGAgcCCAIJAgoCCwIMAg0CCAIIAggCCAIIAggCCAIIAggCCAIIAggCCAIIAggCCAIIAhYCAwI5Ah4ABEMBAgICZgIEAgUCBgIHAggCCQIhAgsCDAINAggCCAIIAggCCAIIAggCCAIIAggCCAIIAggCCAIIAggCCAIWAgMCfQIeAARDAQICAnMCBAIFAgYCBwIIAgkCCgILAgwCDQIIAggCCAIIAggCCAIIAggCCAIIAggCCAIIAggCCAIIAggCFgIDAnQCHgAEQwECAgImAgQCBQIGAgcCCAIJAgoCCwIMAg0CCAIIAggCCAIIAggCCAIIAnoAAAQACAIIAggCCAIIAggCCAIIAggCFgIDAnUCHgAEQwECAgIDAgQCBQIGAgcCCAIJAiECCwIMAg0CCAIIAggCCAIIAggCCAIIAggCCAIIAggCCAIIAggCCAIIAhYCAwJ6Ah4ABEMBAgICbQIEAgUCBgIHAggCCQIKAgsCDAINAggCCAIIAggCCAIIAggCCAIIAggCCAIIAggCCAIIAggCCAIWAgMCbgIeAARDAQICAlUCBAIFAgYCBwIIAgkCHAILAgwCDQIIAggCCAIIAggCCAIIAggCCAIIAggCCAIIAggCCAIIAggCFgIDAncCHgAEQwECAgIwAgQCBQIGAgcCCAIJAhwCCwIMAg0CCAIIAggCCAIIAggCCAIIAggCCAIIAggCCAIIAggCCAIIAhYCAwIxAh4ABEMBAgICGwIEAgUCBgIHAggCCQIhAgsCDAINAggCCAIIAggCCAIIAggCCAIIAggCCAIIAggCCAIIAggCCAIWAgMCQAIeAARDAQICAigCBAIFAgYCBwIIAgkCCgILAgwCDQIIAggCCAIIAggCCAIIAggCCAIIAggCCAIIAggCCAIIAggCFgIDAikCHgAEQwECAgIjAgQCBQIGAgcCCAIJAiECCwIMAg0CCAIIAggCCAIIAggCCAIIAggCCAIIAggCCAIIAggCCAIIAhYCAwIlAh4ABEMBAgICMgIEAgUCBgIHAggCCQIhAgsCDAINAggCCAIIAggCCAIIAggCCAIIAggCCAIIAggCCAIIAggCCAIWAgMCMwIeAARDAQICAjQCBAIFAgYCBwIIAgkCHAILAgwCDQIIAggCCAIIAggCCAIIAggCCAIIAggCCAIIAggCCAIIAggCFgIDAjUCHgAEQwECAgIuAgQCBQIGAgcCCAIJAiECCwIMAg0CCAIIAggCCAIIAggCCAIIAggCCAIIAggCCAIIAggCCAIIAhYCAwIvAh4ABEMBAgICXAIEAgUCBgIHAggCCQIcAgsCDAINAggCCAIIAggCCAIIAggCCAIIAggCCAIIAggCCAIIAggCCAIWAgMCYgIeAARDAQICAiwCBAIFAgYCBwIIAgkCIQILAgwCDQIIAggCCAIIAggCCAIIAggCCAIIAggCCAIIAggCCAIIAggCFgIDAi0CHgAEQwECAgI+AgQCBQIGAgcCCAIJAgoCCwIMAg0CCAIIAggCCAIIAggCCAIIAggCCAIIAggCCAIIAggCCAIIAhYCAwKnAh4ABEMBAgICKgIEAgUCBgIHAggCCQIcAgsCDAINAggCCAIIAggCCAIIAggCCAIIAggCCAIIAggCCAIIAggCCAIWAgMCKwIeAARDAQICAhsCBAIFAgYCBwIIAnoAAAQACQIcAgsCDAINAggCCAIIAggCCAIIAggCCAIIAggCCAIIAggCCAIIAggCCAIWAgMCHQIeAARDAQICAkwCBAIFAgYCBwIIAgkCHAILAgwCDQIIAggCCAIIAggCCAIIAggCCAIIAggCCAIIAggCCAIIAggCFgIDAk0CHgAEQwECAgI2AgQCBQIGAgcCCAIJAiECCwIMAg0CCAIIAggCCAIIAggCCAIIAggCCAIIAggCCAIIAggCCAIIAhYCAwI3Ah4ABEMBAgICHgIEAgUCBgIHAggCCQIKAgsCDAINAggCCAIIAggCCAIIAggCCAIIAggCCAIIAggCCAIIAggCCAIWAgMCHwIeAARDAQICAmYCBAIFAgYCBwIIAgkCCgILAgwCDQIIAggCCAIIAggCCAIIAggCCAIIAggCCAIIAggCCAIIAggCFgIDApwCHgAEQwECAgJTAgQCBQIGAgcCCAIJAiECCwIMAg0CCAIIAggCCAIIAggCCAIIAggCCAIIAggCCAIIAggCCAIIAhYCAwJUAh4ABEMBAgICQwIEAgUCBgIHAggCCQIhAgsCDAINAggCCAIIAggCCAIIAggCCAIIAggCCAIIAggCCAIIAggCCAIWAgMCRAIeAARDAQICAgMCBAIFAgYCBwIIAgkCCgILAgwCDQIIAggCCAIIAggCCAIIAggCCAIIAggCCAIIAggCCAIIAggCFgIDAg4CHgAEQwECAgJBAgQCBQIGAgcCCAIJAgoCCwIMAg0CCAIIAggCCAIIAggCCAIIAggCCAIIAggCCAIIAggCCAIIAhYCAwJCAh4ABEMBAgICRQIEAgUCBgIHAggCCQIhAgsCDAINAggCCAIIAggCCAIIAggCCAIIAggCCAIIAggCCAIIAggCCAIWAgMCRgIeAARDAQICAk4CBAIFAgYCBwIIAgkCIQILAgwCDQIIAggCCAIIAggCCAIIAggCCAIIAggCCAIIAggCCAIIAggCFgIDAk8CHgAEQwECAgI2AgQCBQIGAgcCCAIJAhwCCwIMAg0CCAIIAggCCAIIAggCCAIIAggCCAIIAggCCAIIAggCCAIIAhYCAwJLAh4ABEMBAgICKgIEAgUCBgIHAggCCQIhAgsCDAINAggCCAIIAggCCAIIAggCCAIIAggCCAIIAggCCAIIAggCCAIWAgMCPQIeAARDAQICAlACBAIFAgYCBwIIAgkCCgILAgwCDQIIAggCCAIIAggCCAIIAggCCAIIAggCCAIIAggCCAIIAggCFgIDAlECHgAEQwECAgIyAgQCBQIGAgcCCAIJAhwCCwIMAg0CCAIIAggCCAIIAggCCAIIAggCCAIIAggCCAIIAggCCAIIAnoAAAQAFgIDAlICHgAEQwECAgIgAgQCBQIGAgcCCAIJAhwCCwIMAg0CCAIIAggCCAIIAggCCAIIAggCCAIIAggCCAIIAggCCAIIAhYCAwI6Ah4ABEMBAgICkwIEAgUCBgIHAggCCQIhAgsCDAINAggCCAIIAggCCAIIAggCCAIIAggCCAIIAggCCAIIAggCCAIWAgMClAIeAARDAQICAj4CBAIFAgYCBwIIAgkCIQILAgwCDQIIAggCCAIIAggCCAIIAggCCAIIAggCCAIIAggCCAIIAggCFgIDAj8CHgAEQwECAgJZAgQCBQIGAgcCCAIJAiECCwIMAg0CCAIIAggCCAIIAggCCAIIAggCCAIIAggCCAIIAggCCAIIAhYCAwKsAh4ABEMBAgICQwIEAgUCBgIHAggCCQIcAgsCDAINAggCCAIIAggCCAIIAggCCAIIAggCCAIIAggCCAIIAggCCAIWAgMCmQIeAARDAQICAjsCBAIFAgYCBwIIAgkCCgILAgwCDQIIAggCCAIIAggCCAIIAggCCAIIAggCCAIIAggCCAIIAggCFgIDAjwCHgAEQwECAgJOAgQCBQIGAgcCCAIJAhwCCwIMAg0CCAIIAggCCAIIAggCCAIIAggCCAIIAggCCAIIAggCCAIIAhYCAwKmAh4ABEMBAgICVwIEAgUCBgIHAggCCQIhAgsCDAINAggCCAIIAggCCAIIAggCCAIIAggCCAIIAggCCAIIAggCCAIWAgMCtgIeAARDAQICAjYCBAIFAgYCBwIIAgkCCgILAgwCDQIIAggCCAIIAggCCAIIAggCCAIIAggCCAIIAggCCAIIAggCFgIDAosCHgAEQwECAgIuAgQCBQIGAgcCCAIJAgoCCwIMAg0CCAIIAggCCAIIAggCCAIIAggCCAIIAggCCAIIAggCCAIIAhYCAwKwAh4ABEMBAgICYAIEAgUCBgIHAggCCQIhAgsCDAINAggCCAIIAggCCAIIAggCCAIIAggCCAIIAggCCAIIAggCCAIWAgMCqwIeAARDAQICAlcCBAIFAgYCBwIIAgkCHAILAgwCDQIIAggCCAIIAggCCAIIAggCCAIIAggCCAIIAggCCAIIAggCFgIDAqICHgAEQwECAgJkAgQCBQIGAgcCCAIJAgoCCwIMAg0CCAIIAggCCAIIAggCCAIIAggCCAIIAggCCAIIAggCCAIIAhYCAwKjAh4ABEMBAgICQQIEAgUCBgIHAggCCQIhAgsCDAINAggCCAIIAggCCAIIAggCCAIIAggCCAIIAggCCAIIAggCCAIWAgMCoQIeAARDAQICAiMCBAIFAgYCBwIIAgkCCgILAgwCDQIIAggCCAIIAnoAAAQACAIIAggCCAIIAggCCAIIAggCCAIIAggCCAIWAgMCsgIeAARDAQICAiYCBAIFAgYCBwIIAgkCIQILAgwCDQIIAggCCAIIAggCCAIIAggCCAIIAggCCAIIAggCCAIIAggCFgIDAicCHgAEQwECAgJFAgQCBQIGAgcCCAIJAhwCCwIMAg0CCAIIAggCCAIIAggCCAIIAggCCAIIAggCCAIIAggCCAIIAhYCAwKoAh4ABEMBAgICUAIEAgUCBgIHAggCCQIhAgsCDAINAggCCAIIAggCCAIIAggCCAIIAggCCAIIAggCCAIIAggCCAIWAgMCoAIeAARDAQICAlkCBAIFAgYCBwIIAgkCHAILAgwCDQIIAggCCAIIAggCCAIIAggCCAIIAggCCAIIAggCCAIIAggCFgIDAp0CHgAEQwECAgIgAgQCBQIGAgcCCAIJAiECCwIMAg0CCAIIAggCCAIIAggCCAIIAggCCAIIAggCCAIIAggCCAIIAhYCAwIiAh4ABEMBAgICkwIEAgUCBgIHAggCCQIcAgsCDAINAggCCAIIAggCCAIIAggCCAIIAggCCAIIAggCCAIIAggCCAIWAgMCmgIeAARDAQICAl4CBAIFAgYCBwIIAgkCCgILAgwCDQIIAggCCAIIAggCCAIIAggCCAIIAggCCAIIAggCCAIIAggCFgIDApsCHgAEQwECAgJgAgQCBQIGAgcCCAIJAhwCCwIMAg0CCAIIAggCCAIIAggCCAIIAggCCAIIAggCCAIIAggCCAIIAhYCAwKeAh4ABEMBAgICpAIEAgUCBgIHAggCCQIcAgsCDAINAggCCAIIAggCCAIIAggCCAIIAggCCAIIAggCCAIIAggCCAIWAgMCswIeAARDAQICAqQCBAIFAgYCBwIIAgkCIQILAgwCDQIIAggCCAIIAggCCAIIAggCCAIIAggCCAIIAggCCAIIAggCFgIDAqUCHgAEQwECAgJtAgQCBQIGAgcCCAIJAhwCCwIMAg0CCAIIAggCCAIIAggCCAIIAggCCAIIAggCCAIIAggCCAIIAhYCAwKxAh4ABEMBAgICeAIEAgUCBgIHAggCCQIcAgsCDAINAggCCAIIAggCCAIIAggCCAIIAggCCAIIAggCCAIIAggCCAIWAgMCtQIeAARDAQICAiwCBAIFAgYCBwIIAgkCCgILAgwCDQIIAggCCAIIAggCCAIIAggCCAIIAggCCAIIAggCCAIIAggCFgIDArgCHgAEQwECAgI0AgQCBQIGAgcCCAIJAiECCwIMAg0CCAIIAggCCAIIAggCCAIIAggCCAIIAggCCAIIAggCCAIIAhYCAwKtAh4ABEMBAgICMAIEAnoAAAELBQIGAgcCCAIJAiECCwIMAg0CCAIIAggCCAIIAggCCAIIAggCCAIIAggCCAIIAggCCAIIAhYCAwK3Ah4ABEMBAgICbwIEAgUCBgIHAggCCQIKAgsCDAINAggCCAIIAggCCAIIAggCCAIIAggCCAIIAggCCAIIAggCCAIWAgMCtAIeAARDAQICAlUCBAIFAgYCBwIIAgkCCgILAgwCDQIIAggCCAIIAggCCAIIAggCCAIIAggCCAIIAggCCAIIAggCFgIDAqoCHgAEQwECAgImAgQCBQIGAgcCCAIJAhwCCwIMAg0CCAIIAggCCAIIAggCCAIIAggCCAIIAggCCAIIAggCCAIIAhYCAwKu]]></xxe4awand>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Document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2017-08-31T07:00:00+00:00</OpenedDate>
    <SignificantOrder xmlns="dc463f71-b30c-4ab2-9473-d307f9d35888">false</SignificantOrder>
    <Date1 xmlns="dc463f71-b30c-4ab2-9473-d307f9d35888">2018-01-23T08:00:00+00:00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170932</DocketNumber>
    <DelegatedOrder xmlns="dc463f71-b30c-4ab2-9473-d307f9d35888">false</DelegatedOrd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1af0c028-e016-4365-948e-cc2e26d65303" ContentTypeId="0x0101006E56B4D1795A2E4DB2F0B01679ED314A" PreviousValue="true"/>
</file>

<file path=customXml/item5.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02BCD095027324CAE9E5703D430B589" ma:contentTypeVersion="104" ma:contentTypeDescription="" ma:contentTypeScope="" ma:versionID="9f0d0700f2f050768a889fad1b856c8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73172a68e7f9fac6748cf5da6db34b2"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093825-66A0-401C-8E78-C7BCA03DE35D}">
  <ds:schemaRefs>
    <ds:schemaRef ds:uri="http://www.excel4apps.com"/>
  </ds:schemaRefs>
</ds:datastoreItem>
</file>

<file path=customXml/itemProps2.xml><?xml version="1.0" encoding="utf-8"?>
<ds:datastoreItem xmlns:ds="http://schemas.openxmlformats.org/officeDocument/2006/customXml" ds:itemID="{4252F9E3-E69A-4943-AE26-9EC8B497CD61}">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6a7bd91e-004b-490a-8704-e368d63d59a0"/>
    <ds:schemaRef ds:uri="http://www.w3.org/XML/1998/namespace"/>
  </ds:schemaRefs>
</ds:datastoreItem>
</file>

<file path=customXml/itemProps3.xml><?xml version="1.0" encoding="utf-8"?>
<ds:datastoreItem xmlns:ds="http://schemas.openxmlformats.org/officeDocument/2006/customXml" ds:itemID="{4ABC1F6C-E2C6-4388-BBDF-6F3CA4792A95}">
  <ds:schemaRefs>
    <ds:schemaRef ds:uri="http://schemas.microsoft.com/sharepoint/v3/contenttype/forms"/>
  </ds:schemaRefs>
</ds:datastoreItem>
</file>

<file path=customXml/itemProps4.xml><?xml version="1.0" encoding="utf-8"?>
<ds:datastoreItem xmlns:ds="http://schemas.openxmlformats.org/officeDocument/2006/customXml" ds:itemID="{FE0C06DC-BFAE-49DF-8F69-F0AB96BEA316}"/>
</file>

<file path=customXml/itemProps5.xml><?xml version="1.0" encoding="utf-8"?>
<ds:datastoreItem xmlns:ds="http://schemas.openxmlformats.org/officeDocument/2006/customXml" ds:itemID="{DFA6480E-4919-404A-B04C-0EDEB42B6AC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40</vt:i4>
      </vt:variant>
    </vt:vector>
  </HeadingPairs>
  <TitlesOfParts>
    <vt:vector size="64" baseType="lpstr">
      <vt:lpstr>PGA Graphs 2012-13</vt:lpstr>
      <vt:lpstr>JE</vt:lpstr>
      <vt:lpstr>Jan</vt:lpstr>
      <vt:lpstr>Feb</vt:lpstr>
      <vt:lpstr>Mar</vt:lpstr>
      <vt:lpstr>Apr</vt:lpstr>
      <vt:lpstr>May</vt:lpstr>
      <vt:lpstr>Jun</vt:lpstr>
      <vt:lpstr>Jul</vt:lpstr>
      <vt:lpstr>COMPARE JULY VS AUG</vt:lpstr>
      <vt:lpstr>Aug</vt:lpstr>
      <vt:lpstr>Sep</vt:lpstr>
      <vt:lpstr>Oct</vt:lpstr>
      <vt:lpstr>Nov</vt:lpstr>
      <vt:lpstr>Dec</vt:lpstr>
      <vt:lpstr>WA - Def-Amtz (current)</vt:lpstr>
      <vt:lpstr>PGA Graphs 2013-14</vt:lpstr>
      <vt:lpstr>ID Amort 191015</vt:lpstr>
      <vt:lpstr>ID Amort 191000</vt:lpstr>
      <vt:lpstr>WA Def 191010</vt:lpstr>
      <vt:lpstr>ID Def 191010</vt:lpstr>
      <vt:lpstr>ID Holdback 191015</vt:lpstr>
      <vt:lpstr>Amortization of JP Deferral</vt:lpstr>
      <vt:lpstr>WA Amort 191000</vt:lpstr>
      <vt:lpstr>'Amortization of JP Deferral'!Print_Area</vt:lpstr>
      <vt:lpstr>Apr!Print_Area</vt:lpstr>
      <vt:lpstr>Aug!Print_Area</vt:lpstr>
      <vt:lpstr>'COMPARE JULY VS AUG'!Print_Area</vt:lpstr>
      <vt:lpstr>Dec!Print_Area</vt:lpstr>
      <vt:lpstr>Feb!Print_Area</vt:lpstr>
      <vt:lpstr>'ID Amort 191000'!Print_Area</vt:lpstr>
      <vt:lpstr>'ID Amort 191015'!Print_Area</vt:lpstr>
      <vt:lpstr>'ID Def 191010'!Print_Area</vt:lpstr>
      <vt:lpstr>'ID Holdback 191015'!Print_Area</vt:lpstr>
      <vt:lpstr>Jan!Print_Area</vt:lpstr>
      <vt:lpstr>JE!Print_Area</vt:lpstr>
      <vt:lpstr>Jul!Print_Area</vt:lpstr>
      <vt:lpstr>Jun!Print_Area</vt:lpstr>
      <vt:lpstr>Mar!Print_Area</vt:lpstr>
      <vt:lpstr>May!Print_Area</vt:lpstr>
      <vt:lpstr>Nov!Print_Area</vt:lpstr>
      <vt:lpstr>Oct!Print_Area</vt:lpstr>
      <vt:lpstr>'PGA Graphs 2012-13'!Print_Area</vt:lpstr>
      <vt:lpstr>'PGA Graphs 2013-14'!Print_Area</vt:lpstr>
      <vt:lpstr>Sep!Print_Area</vt:lpstr>
      <vt:lpstr>'WA - Def-Amtz (current)'!Print_Area</vt:lpstr>
      <vt:lpstr>'WA Amort 191000'!Print_Area</vt:lpstr>
      <vt:lpstr>'WA Def 191010'!Print_Area</vt:lpstr>
      <vt:lpstr>Apr!Print_Titles</vt:lpstr>
      <vt:lpstr>Aug!Print_Titles</vt:lpstr>
      <vt:lpstr>'COMPARE JULY VS AUG'!Print_Titles</vt:lpstr>
      <vt:lpstr>Dec!Print_Titles</vt:lpstr>
      <vt:lpstr>Feb!Print_Titles</vt:lpstr>
      <vt:lpstr>'ID Def 191010'!Print_Titles</vt:lpstr>
      <vt:lpstr>'ID Holdback 191015'!Print_Titles</vt:lpstr>
      <vt:lpstr>Jan!Print_Titles</vt:lpstr>
      <vt:lpstr>Jul!Print_Titles</vt:lpstr>
      <vt:lpstr>Jun!Print_Titles</vt:lpstr>
      <vt:lpstr>Mar!Print_Titles</vt:lpstr>
      <vt:lpstr>May!Print_Titles</vt:lpstr>
      <vt:lpstr>Nov!Print_Titles</vt:lpstr>
      <vt:lpstr>Oct!Print_Titles</vt:lpstr>
      <vt:lpstr>Sep!Print_Titles</vt:lpstr>
      <vt:lpstr>'WA Def 191010'!Print_Titles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Preferred Customer</dc:creator>
  <cp:lastModifiedBy>Huey, Lorilyn (UTC)</cp:lastModifiedBy>
  <cp:lastPrinted>2018-01-06T23:07:23Z</cp:lastPrinted>
  <dcterms:created xsi:type="dcterms:W3CDTF">2003-05-01T14:02:57Z</dcterms:created>
  <dcterms:modified xsi:type="dcterms:W3CDTF">2018-01-23T22:06:45Z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0x0101006E56B4D1795A2E4DB2F0B01679ED314A00A02BCD095027324CAE9E5703D430B589</vt:lpwstr>
  </property>
  <property fmtid="{D5CDD505-2E9C-101B-9397-08002B2CF9AE}" pid="3" name="_docset_NoMedatataSyncRequired">
    <vt:lpwstr>False</vt:lpwstr>
  </property>
  <property fmtid="{D5CDD505-2E9C-101B-9397-08002B2CF9AE}" pid="4" name="IsEFSEC">
    <vt:bool>false</vt:bool>
  </property>
</Properties>
</file>