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home.utc.wa.gov/sites/ue-200900/Staffs Testimony and Exhibits/"/>
    </mc:Choice>
  </mc:AlternateContent>
  <xr:revisionPtr revIDLastSave="0" documentId="13_ncr:1_{5FFFC0F3-D17A-40C0-80D2-F6BA5973DF9D}" xr6:coauthVersionLast="47" xr6:coauthVersionMax="47" xr10:uidLastSave="{00000000-0000-0000-0000-000000000000}"/>
  <workbookProtection workbookAlgorithmName="SHA-512" workbookHashValue="7Ie7akEs1RcJqeqjAAbpRC84cIwA/v+yiqUT3QR+IMCuHq6GPLLyxAkUibrVXQsrN60D1uRAo2rhV8F4DcKYUA==" workbookSaltValue="OaMTSMmOU1Ejk+QyUrzJzQ==" workbookSpinCount="100000" lockStructure="1"/>
  <bookViews>
    <workbookView xWindow="-110" yWindow="-110" windowWidth="19420" windowHeight="10420" activeTab="5" xr2:uid="{00000000-000D-0000-FFFF-FFFF00000000}"/>
  </bookViews>
  <sheets>
    <sheet name="PROP0SED RATES" sheetId="54" r:id="rId1"/>
    <sheet name="RR SUMMARY" sheetId="55" r:id="rId2"/>
    <sheet name="CF" sheetId="56" r:id="rId3"/>
    <sheet name="ADJ DETAIL INPUT" sheetId="1" r:id="rId4"/>
    <sheet name="Acerno_Cache_XXXXX" sheetId="78" state="veryHidden" r:id="rId5"/>
    <sheet name="COMPARISON" sheetId="69" r:id="rId6"/>
    <sheet name="ADJ SUMMARY" sheetId="3" r:id="rId7"/>
    <sheet name="DEBT CALC" sheetId="75" r:id="rId8"/>
    <sheet name="ROO INPUT" sheetId="5" r:id="rId9"/>
    <sheet name="LEAD SHEETS-DO NOT ENTER" sheetId="76" r:id="rId10"/>
  </sheets>
  <externalReferences>
    <externalReference r:id="rId11"/>
    <externalReference r:id="rId12"/>
    <externalReference r:id="rId13"/>
  </externalReferences>
  <definedNames>
    <definedName name="ID_Elec" localSheetId="2">[1]DebtCalc!#REF!</definedName>
    <definedName name="ID_Elec" localSheetId="5">#REF!</definedName>
    <definedName name="ID_Elec" localSheetId="7">'DEBT CALC'!$A$86:$F$163</definedName>
    <definedName name="ID_Elec" localSheetId="9">#REF!</definedName>
    <definedName name="ID_Elec" localSheetId="0">[2]DebtCalc!#REF!</definedName>
    <definedName name="ID_Elec" localSheetId="1">[2]DebtCalc!#REF!</definedName>
    <definedName name="ID_Gas" localSheetId="7">'DEBT CALC'!#REF!</definedName>
    <definedName name="ID_Gas" localSheetId="9">#REF!</definedName>
    <definedName name="_xlnm.Print_Area" localSheetId="3">'ADJ DETAIL INPUT'!$A$2:$AW$83</definedName>
    <definedName name="_xlnm.Print_Area" localSheetId="6">'ADJ SUMMARY'!$A$1:$F$54</definedName>
    <definedName name="_xlnm.Print_Area" localSheetId="2">CF!$A$1:$F$29</definedName>
    <definedName name="_xlnm.Print_Area" localSheetId="5">COMPARISON!$A$1:$L$60</definedName>
    <definedName name="_xlnm.Print_Area" localSheetId="7">'DEBT CALC'!$A$1:$I$64</definedName>
    <definedName name="_xlnm.Print_Area" localSheetId="9">'LEAD SHEETS-DO NOT ENTER'!$A$2:$AP$82</definedName>
    <definedName name="_xlnm.Print_Area" localSheetId="0">'PROP0SED RATES'!$A$1:$J$81</definedName>
    <definedName name="_xlnm.Print_Area" localSheetId="8">'ROO INPUT'!$A$3:$G$82</definedName>
    <definedName name="_xlnm.Print_Area" localSheetId="1">'RR SUMMARY'!$A$1:$H$33,'RR SUMMARY'!$I$1:$O$19</definedName>
    <definedName name="Print_for_CBReport" localSheetId="5">COMPARISON!$A$10:$I$56</definedName>
    <definedName name="Print_for_Checking" localSheetId="5">COMPARISON!$A$10:$I$56</definedName>
    <definedName name="Print_for_Checking" localSheetId="7">'[3]ADJ SUMMARY'!$A$1:'[3]ADJ SUMMARY'!#REF!</definedName>
    <definedName name="_xlnm.Print_Titles" localSheetId="3">'ADJ DETAIL INPUT'!$A:$D,'ADJ DETAIL INPUT'!$2:$10</definedName>
    <definedName name="_xlnm.Print_Titles" localSheetId="9">'LEAD SHEETS-DO NOT ENTER'!$A:$D,'LEAD SHEETS-DO NOT ENTER'!$2:$11</definedName>
    <definedName name="Summary" localSheetId="7">#REF!</definedName>
    <definedName name="Summary" localSheetId="9">#REF!</definedName>
    <definedName name="WA_Elec" localSheetId="2">[1]DebtCalc!#REF!</definedName>
    <definedName name="WA_Elec" localSheetId="5">#REF!</definedName>
    <definedName name="WA_Elec" localSheetId="7">'DEBT CALC'!$A$1:$F$85</definedName>
    <definedName name="WA_Elec" localSheetId="9">#REF!</definedName>
    <definedName name="WA_Elec" localSheetId="0">[2]DebtCalc!#REF!</definedName>
    <definedName name="WA_Elec" localSheetId="1">[2]DebtCalc!#REF!</definedName>
    <definedName name="WA_Gas" localSheetId="7">'DEBT CALC'!#REF!</definedName>
    <definedName name="WA_Gas" localSheetId="9">#REF!</definedName>
    <definedName name="Z_5BE913A1_B14F_11D2_B0DC_0000832CDFF0_.wvu.Cols" localSheetId="3" hidden="1">'ADJ DETAIL INPUT'!$W:$AU</definedName>
    <definedName name="Z_5BE913A1_B14F_11D2_B0DC_0000832CDFF0_.wvu.Cols" localSheetId="9" hidden="1">'LEAD SHEETS-DO NOT ENTER'!$AB:$AD</definedName>
    <definedName name="Z_5BE913A1_B14F_11D2_B0DC_0000832CDFF0_.wvu.PrintArea" localSheetId="3" hidden="1">'ADJ DETAIL INPUT'!$E$11:$AU$82</definedName>
    <definedName name="Z_5BE913A1_B14F_11D2_B0DC_0000832CDFF0_.wvu.PrintArea" localSheetId="6" hidden="1">'ADJ SUMMARY'!$A$1:$F$50</definedName>
    <definedName name="Z_5BE913A1_B14F_11D2_B0DC_0000832CDFF0_.wvu.PrintArea" localSheetId="5" hidden="1">COMPARISON!$A$10:$I$56</definedName>
    <definedName name="Z_5BE913A1_B14F_11D2_B0DC_0000832CDFF0_.wvu.PrintArea" localSheetId="9" hidden="1">'LEAD SHEETS-DO NOT ENTER'!$E$12:$AD$83</definedName>
    <definedName name="Z_5BE913A1_B14F_11D2_B0DC_0000832CDFF0_.wvu.PrintArea" localSheetId="8" hidden="1">'ROO INPUT'!$A$3:$G$82</definedName>
    <definedName name="Z_5BE913A1_B14F_11D2_B0DC_0000832CDFF0_.wvu.PrintTitles" localSheetId="3" hidden="1">'ADJ DETAIL INPUT'!$A:$D,'ADJ DETAIL INPUT'!$2:$10</definedName>
    <definedName name="Z_5BE913A1_B14F_11D2_B0DC_0000832CDFF0_.wvu.PrintTitles" localSheetId="9" hidden="1">'LEAD SHEETS-DO NOT ENTER'!$A:$D,'LEAD SHEETS-DO NOT ENTER'!$2:$11</definedName>
    <definedName name="Z_5BE913A1_B14F_11D2_B0DC_0000832CDFF0_.wvu.Rows" localSheetId="6" hidden="1">'ADJ SUMMARY'!$26:$26,'ADJ SUMMARY'!$29:$50,'ADJ SUMMARY'!#REF!</definedName>
    <definedName name="Z_5BE913A1_B14F_11D2_B0DC_0000832CDFF0_.wvu.Rows" localSheetId="5" hidden="1">COMPARISON!$31:$31,COMPARISON!$34:$56,COMPARISON!#REF!</definedName>
    <definedName name="Z_A15D1964_B049_11D2_8670_0000832CEEE8_.wvu.Cols" localSheetId="3" hidden="1">'ADJ DETAIL INPUT'!$W:$AU</definedName>
    <definedName name="Z_A15D1964_B049_11D2_8670_0000832CEEE8_.wvu.Cols" localSheetId="9" hidden="1">'LEAD SHEETS-DO NOT ENTER'!$AB:$AD</definedName>
    <definedName name="Z_A15D1964_B049_11D2_8670_0000832CEEE8_.wvu.PrintArea" localSheetId="3" hidden="1">'ADJ DETAIL INPUT'!$E$11:$AU$82</definedName>
    <definedName name="Z_A15D1964_B049_11D2_8670_0000832CEEE8_.wvu.PrintArea" localSheetId="6" hidden="1">'ADJ SUMMARY'!$A$1:$F$50</definedName>
    <definedName name="Z_A15D1964_B049_11D2_8670_0000832CEEE8_.wvu.PrintArea" localSheetId="5" hidden="1">COMPARISON!$A$10:$I$56</definedName>
    <definedName name="Z_A15D1964_B049_11D2_8670_0000832CEEE8_.wvu.PrintArea" localSheetId="9" hidden="1">'LEAD SHEETS-DO NOT ENTER'!$E$12:$AD$83</definedName>
    <definedName name="Z_A15D1964_B049_11D2_8670_0000832CEEE8_.wvu.PrintArea" localSheetId="8" hidden="1">'ROO INPUT'!$A$3:$G$82</definedName>
    <definedName name="Z_A15D1964_B049_11D2_8670_0000832CEEE8_.wvu.PrintTitles" localSheetId="3" hidden="1">'ADJ DETAIL INPUT'!$A:$D,'ADJ DETAIL INPUT'!$2:$10</definedName>
    <definedName name="Z_A15D1964_B049_11D2_8670_0000832CEEE8_.wvu.PrintTitles" localSheetId="9" hidden="1">'LEAD SHEETS-DO NOT ENTER'!$A:$D,'LEAD SHEETS-DO NOT ENTER'!$2:$11</definedName>
    <definedName name="Z_A15D1964_B049_11D2_8670_0000832CEEE8_.wvu.Rows" localSheetId="6" hidden="1">'ADJ SUMMARY'!$26:$26,'ADJ SUMMARY'!$29:$50,'ADJ SUMMARY'!#REF!</definedName>
    <definedName name="Z_A15D1964_B049_11D2_8670_0000832CEEE8_.wvu.Rows" localSheetId="5" hidden="1">COMPARISON!$31:$31,COMPARISON!$34:$56,COMPARISON!#REF!</definedName>
  </definedNames>
  <calcPr calcId="191029"/>
  <customWorkbookViews>
    <customWorkbookView name="Kathy Mitchell - Personal View" guid="{A15D1964-B049-11D2-8670-0000832CEEE8}" mergeInterval="0" personalView="1" maximized="1" windowWidth="796" windowHeight="436" activeSheetId="1"/>
    <customWorkbookView name="Don Falkner - Personal View" guid="{5BE913A1-B14F-11D2-B0DC-0000832CDFF0}" mergeInterval="0" personalView="1" maximized="1" windowWidth="1020" windowHeight="604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O70" i="1" l="1"/>
  <c r="AO64" i="1"/>
  <c r="AO44" i="1"/>
  <c r="AN72" i="1"/>
  <c r="AN65" i="1"/>
  <c r="AM70" i="1"/>
  <c r="AM64" i="1"/>
  <c r="AM45" i="1"/>
  <c r="AL71" i="1"/>
  <c r="AL70" i="1"/>
  <c r="AK64" i="1"/>
  <c r="AK70" i="1"/>
  <c r="AK44" i="1"/>
  <c r="F46" i="1"/>
  <c r="G46" i="1"/>
  <c r="H46" i="1"/>
  <c r="I46" i="1"/>
  <c r="J46" i="1"/>
  <c r="K46" i="1"/>
  <c r="L46" i="1"/>
  <c r="M46" i="1"/>
  <c r="N46" i="1"/>
  <c r="O46" i="1"/>
  <c r="P46" i="1"/>
  <c r="Q46" i="1"/>
  <c r="R46" i="1"/>
  <c r="S46" i="1"/>
  <c r="T46" i="1"/>
  <c r="U46" i="1"/>
  <c r="V46" i="1"/>
  <c r="W46" i="1"/>
  <c r="X46" i="1"/>
  <c r="Y46" i="1"/>
  <c r="Z46" i="1"/>
  <c r="AA46" i="1"/>
  <c r="AB46" i="1"/>
  <c r="AC46" i="1"/>
  <c r="AD46" i="1"/>
  <c r="AE46" i="1"/>
  <c r="AF46" i="1"/>
  <c r="AG46" i="1"/>
  <c r="AH46" i="1"/>
  <c r="AI46" i="1"/>
  <c r="AJ46" i="1"/>
  <c r="AK46" i="1"/>
  <c r="P12" i="55" l="1"/>
  <c r="L15" i="55"/>
  <c r="N10" i="55"/>
  <c r="AM65" i="1" l="1"/>
  <c r="AL44" i="1" l="1"/>
  <c r="AP33" i="1" l="1"/>
  <c r="G52" i="69" l="1"/>
  <c r="G51" i="69"/>
  <c r="G50" i="69"/>
  <c r="G49" i="69"/>
  <c r="G48" i="69"/>
  <c r="G47" i="69"/>
  <c r="G46" i="69"/>
  <c r="G45" i="69"/>
  <c r="G44" i="69"/>
  <c r="G43" i="69"/>
  <c r="G42" i="69"/>
  <c r="G41" i="69"/>
  <c r="G40" i="69"/>
  <c r="G39" i="69"/>
  <c r="G38" i="69"/>
  <c r="G37" i="69"/>
  <c r="G36" i="69"/>
  <c r="G35" i="69"/>
  <c r="G32" i="69"/>
  <c r="G31" i="69"/>
  <c r="G30" i="69"/>
  <c r="G29" i="69"/>
  <c r="G28" i="69"/>
  <c r="G27" i="69"/>
  <c r="G26" i="69"/>
  <c r="G25" i="69"/>
  <c r="G24" i="69"/>
  <c r="G23" i="69"/>
  <c r="G22" i="69"/>
  <c r="G21" i="69"/>
  <c r="G20" i="69"/>
  <c r="G19" i="69"/>
  <c r="G18" i="69"/>
  <c r="G11" i="69"/>
  <c r="G12" i="69"/>
  <c r="G13" i="69"/>
  <c r="G14" i="69"/>
  <c r="G10" i="69"/>
  <c r="G16" i="69" l="1"/>
  <c r="G33" i="69"/>
  <c r="G55" i="69" s="1"/>
  <c r="L57" i="69" s="1"/>
  <c r="B50" i="69" l="1"/>
  <c r="B49" i="69"/>
  <c r="B48" i="69"/>
  <c r="B47" i="69"/>
  <c r="B46" i="69"/>
  <c r="B37" i="69"/>
  <c r="B36" i="69"/>
  <c r="AS8" i="76" l="1"/>
  <c r="AS9" i="76"/>
  <c r="AS10" i="76"/>
  <c r="AS11" i="76"/>
  <c r="AS12" i="76"/>
  <c r="AQ8" i="76" l="1"/>
  <c r="AR8" i="76"/>
  <c r="AQ9" i="76"/>
  <c r="AR9" i="76"/>
  <c r="AQ10" i="76"/>
  <c r="AR10" i="76"/>
  <c r="AQ11" i="76"/>
  <c r="AR11" i="76"/>
  <c r="AQ12" i="76"/>
  <c r="AR12" i="76"/>
  <c r="AR15" i="76"/>
  <c r="AR16" i="76"/>
  <c r="AR17" i="76"/>
  <c r="AR22" i="76"/>
  <c r="AR23" i="76"/>
  <c r="AR24" i="76"/>
  <c r="AR28" i="76"/>
  <c r="AR29" i="76"/>
  <c r="AR30" i="76"/>
  <c r="AR34" i="76"/>
  <c r="AR35" i="76"/>
  <c r="AR36" i="76"/>
  <c r="AR39" i="76"/>
  <c r="AR40" i="76"/>
  <c r="AR41" i="76"/>
  <c r="AR44" i="76"/>
  <c r="AR45" i="76"/>
  <c r="AR47" i="76"/>
  <c r="AR56" i="76"/>
  <c r="AR57" i="76"/>
  <c r="AR63" i="76"/>
  <c r="AR64" i="76"/>
  <c r="AR65" i="76"/>
  <c r="AR69" i="76"/>
  <c r="AR70" i="76"/>
  <c r="AR71" i="76"/>
  <c r="AR74" i="76"/>
  <c r="AR76" i="76"/>
  <c r="AR77" i="76"/>
  <c r="AR78" i="76"/>
  <c r="AR79" i="76"/>
  <c r="AR66" i="76" l="1"/>
  <c r="AR72" i="76"/>
  <c r="AR73" i="76" s="1"/>
  <c r="AR75" i="76" s="1"/>
  <c r="AR82" i="76" s="1"/>
  <c r="AR31" i="76"/>
  <c r="AR18" i="76"/>
  <c r="AR37" i="76"/>
  <c r="AR25" i="76"/>
  <c r="C53" i="3"/>
  <c r="B53" i="3"/>
  <c r="A53" i="3"/>
  <c r="AV71" i="1" l="1"/>
  <c r="AV65" i="1"/>
  <c r="AV72" i="1" s="1"/>
  <c r="AV74" i="1" s="1"/>
  <c r="AV81" i="1" s="1"/>
  <c r="AV36" i="1"/>
  <c r="AV30" i="1"/>
  <c r="AV24" i="1"/>
  <c r="AV17" i="1"/>
  <c r="E53" i="3" l="1"/>
  <c r="X44" i="1" l="1"/>
  <c r="AL8" i="76" l="1"/>
  <c r="AM8" i="76"/>
  <c r="AN8" i="76"/>
  <c r="AO8" i="76"/>
  <c r="AP8" i="76"/>
  <c r="AL9" i="76"/>
  <c r="AM9" i="76"/>
  <c r="AN9" i="76"/>
  <c r="AO9" i="76"/>
  <c r="AP9" i="76"/>
  <c r="AL10" i="76"/>
  <c r="AM10" i="76"/>
  <c r="AN10" i="76"/>
  <c r="AO10" i="76"/>
  <c r="AP10" i="76"/>
  <c r="AL12" i="76"/>
  <c r="AM12" i="76"/>
  <c r="AN12" i="76"/>
  <c r="AO12" i="76"/>
  <c r="AP12" i="76"/>
  <c r="AL15" i="76"/>
  <c r="AM15" i="76"/>
  <c r="AN15" i="76"/>
  <c r="AO15" i="76"/>
  <c r="AP15" i="76"/>
  <c r="AL16" i="76"/>
  <c r="AM16" i="76"/>
  <c r="AN16" i="76"/>
  <c r="AO16" i="76"/>
  <c r="AP16" i="76"/>
  <c r="AL17" i="76"/>
  <c r="AM17" i="76"/>
  <c r="AN17" i="76"/>
  <c r="AO17" i="76"/>
  <c r="AP17" i="76"/>
  <c r="AL22" i="76"/>
  <c r="AM22" i="76"/>
  <c r="AN22" i="76"/>
  <c r="AO22" i="76"/>
  <c r="AP22" i="76"/>
  <c r="AL23" i="76"/>
  <c r="AM23" i="76"/>
  <c r="AN23" i="76"/>
  <c r="AO23" i="76"/>
  <c r="AP23" i="76"/>
  <c r="AL24" i="76"/>
  <c r="AM24" i="76"/>
  <c r="AN24" i="76"/>
  <c r="AO24" i="76"/>
  <c r="AP24" i="76"/>
  <c r="AL28" i="76"/>
  <c r="AM28" i="76"/>
  <c r="AN28" i="76"/>
  <c r="AO28" i="76"/>
  <c r="AP28" i="76"/>
  <c r="AL29" i="76"/>
  <c r="AM29" i="76"/>
  <c r="AN29" i="76"/>
  <c r="AO29" i="76"/>
  <c r="AP29" i="76"/>
  <c r="AL30" i="76"/>
  <c r="AM30" i="76"/>
  <c r="AN30" i="76"/>
  <c r="AO30" i="76"/>
  <c r="AP30" i="76"/>
  <c r="AL34" i="76"/>
  <c r="AM34" i="76"/>
  <c r="AN34" i="76"/>
  <c r="AO34" i="76"/>
  <c r="AP34" i="76"/>
  <c r="AL35" i="76"/>
  <c r="AM35" i="76"/>
  <c r="AO35" i="76"/>
  <c r="AP35" i="76"/>
  <c r="AL36" i="76"/>
  <c r="AM36" i="76"/>
  <c r="AN36" i="76"/>
  <c r="AO36" i="76"/>
  <c r="AO37" i="76" s="1"/>
  <c r="AP36" i="76"/>
  <c r="AL39" i="76"/>
  <c r="AM39" i="76"/>
  <c r="AN39" i="76"/>
  <c r="AO39" i="76"/>
  <c r="AP39" i="76"/>
  <c r="AL40" i="76"/>
  <c r="AM40" i="76"/>
  <c r="AN40" i="76"/>
  <c r="AO40" i="76"/>
  <c r="AP40" i="76"/>
  <c r="AL41" i="76"/>
  <c r="AM41" i="76"/>
  <c r="AN41" i="76"/>
  <c r="AO41" i="76"/>
  <c r="AP41" i="76"/>
  <c r="AL44" i="76"/>
  <c r="AM44" i="76"/>
  <c r="AN44" i="76"/>
  <c r="AO44" i="76"/>
  <c r="AP44" i="76"/>
  <c r="AL45" i="76"/>
  <c r="AM45" i="76"/>
  <c r="AN45" i="76"/>
  <c r="AO45" i="76"/>
  <c r="AP45" i="76"/>
  <c r="AL46" i="76"/>
  <c r="AM46" i="76"/>
  <c r="AN46" i="76"/>
  <c r="AO46" i="76"/>
  <c r="AP46" i="76"/>
  <c r="AL47" i="76"/>
  <c r="AM47" i="76"/>
  <c r="AN47" i="76"/>
  <c r="AO47" i="76"/>
  <c r="AP47" i="76"/>
  <c r="AL56" i="76"/>
  <c r="AM56" i="76"/>
  <c r="AN56" i="76"/>
  <c r="AO56" i="76"/>
  <c r="AP56" i="76"/>
  <c r="AL57" i="76"/>
  <c r="AM57" i="76"/>
  <c r="AN57" i="76"/>
  <c r="AO57" i="76"/>
  <c r="AP57" i="76"/>
  <c r="AL63" i="76"/>
  <c r="AM63" i="76"/>
  <c r="AN63" i="76"/>
  <c r="AO63" i="76"/>
  <c r="AP63" i="76"/>
  <c r="AL64" i="76"/>
  <c r="AM64" i="76"/>
  <c r="AO64" i="76"/>
  <c r="AP64" i="76"/>
  <c r="AL65" i="76"/>
  <c r="AM65" i="76"/>
  <c r="AO65" i="76"/>
  <c r="AP65" i="76"/>
  <c r="AP66" i="76" s="1"/>
  <c r="AL69" i="76"/>
  <c r="AM69" i="76"/>
  <c r="AN69" i="76"/>
  <c r="AO69" i="76"/>
  <c r="AP69" i="76"/>
  <c r="AL70" i="76"/>
  <c r="AM70" i="76"/>
  <c r="AO70" i="76"/>
  <c r="AP70" i="76"/>
  <c r="AL71" i="76"/>
  <c r="AM71" i="76"/>
  <c r="AO71" i="76"/>
  <c r="AP71" i="76"/>
  <c r="AL74" i="76"/>
  <c r="AM74" i="76"/>
  <c r="AO74" i="76"/>
  <c r="AP74" i="76"/>
  <c r="AL76" i="76"/>
  <c r="AM76" i="76"/>
  <c r="AN76" i="76"/>
  <c r="AO76" i="76"/>
  <c r="AP76" i="76"/>
  <c r="AL77" i="76"/>
  <c r="AM77" i="76"/>
  <c r="AN77" i="76"/>
  <c r="AO77" i="76"/>
  <c r="AP77" i="76"/>
  <c r="AL78" i="76"/>
  <c r="AM78" i="76"/>
  <c r="AN78" i="76"/>
  <c r="AO78" i="76"/>
  <c r="AP78" i="76"/>
  <c r="AL79" i="76"/>
  <c r="AM79" i="76"/>
  <c r="AN79" i="76"/>
  <c r="AO79" i="76"/>
  <c r="AP79" i="76"/>
  <c r="AP72" i="76" l="1"/>
  <c r="AO25" i="76"/>
  <c r="AO66" i="76"/>
  <c r="AO73" i="76" s="1"/>
  <c r="AO75" i="76" s="1"/>
  <c r="AO82" i="76" s="1"/>
  <c r="AO31" i="76"/>
  <c r="AO72" i="76"/>
  <c r="AO48" i="76"/>
  <c r="AP18" i="76"/>
  <c r="AL18" i="76"/>
  <c r="AM18" i="76"/>
  <c r="AN18" i="76"/>
  <c r="AO18" i="76"/>
  <c r="AP73" i="76"/>
  <c r="AP75" i="76" s="1"/>
  <c r="AP82" i="76" s="1"/>
  <c r="AN48" i="76"/>
  <c r="AN31" i="76"/>
  <c r="AN25" i="76"/>
  <c r="AP48" i="76"/>
  <c r="AM48" i="76"/>
  <c r="AP37" i="76"/>
  <c r="AL37" i="76"/>
  <c r="AP31" i="76"/>
  <c r="AL31" i="76"/>
  <c r="AP25" i="76"/>
  <c r="AL25" i="76"/>
  <c r="AM25" i="76"/>
  <c r="AL72" i="76"/>
  <c r="AM72" i="76"/>
  <c r="AM66" i="76"/>
  <c r="AL66" i="76"/>
  <c r="AL48" i="76"/>
  <c r="AM37" i="76"/>
  <c r="AM31" i="76"/>
  <c r="AO49" i="76" l="1"/>
  <c r="AO51" i="76" s="1"/>
  <c r="AM73" i="76"/>
  <c r="AM75" i="76" s="1"/>
  <c r="AM82" i="76" s="1"/>
  <c r="AM49" i="76"/>
  <c r="AM51" i="76" s="1"/>
  <c r="AP49" i="76"/>
  <c r="AP51" i="76" s="1"/>
  <c r="AL49" i="76"/>
  <c r="AL51" i="76" s="1"/>
  <c r="AL73" i="76"/>
  <c r="AL75" i="76" s="1"/>
  <c r="AL82" i="76" s="1"/>
  <c r="AN35" i="76"/>
  <c r="AN37" i="76" s="1"/>
  <c r="AN49" i="76" s="1"/>
  <c r="AN51" i="76" s="1"/>
  <c r="AN74" i="76"/>
  <c r="AN71" i="76"/>
  <c r="AN70" i="76"/>
  <c r="AN64" i="76"/>
  <c r="AN65" i="76"/>
  <c r="AN72" i="76" l="1"/>
  <c r="AN66" i="76"/>
  <c r="C44" i="3"/>
  <c r="B45" i="75" s="1"/>
  <c r="B44" i="3"/>
  <c r="C43" i="3"/>
  <c r="B44" i="75" s="1"/>
  <c r="B43" i="3"/>
  <c r="AN17" i="1"/>
  <c r="AO17" i="1"/>
  <c r="AN24" i="1"/>
  <c r="AO24" i="1"/>
  <c r="AN30" i="1"/>
  <c r="AO30" i="1"/>
  <c r="AN36" i="1"/>
  <c r="AO36" i="1"/>
  <c r="AN47" i="1"/>
  <c r="AO47" i="1"/>
  <c r="AO65" i="1"/>
  <c r="AN71" i="1"/>
  <c r="AO71" i="1"/>
  <c r="AN73" i="76" l="1"/>
  <c r="AN75" i="76" s="1"/>
  <c r="AN82" i="76" s="1"/>
  <c r="AN74" i="1"/>
  <c r="AN81" i="1" s="1"/>
  <c r="AO72" i="1"/>
  <c r="AO74" i="1" s="1"/>
  <c r="AO48" i="1"/>
  <c r="AO50" i="1" s="1"/>
  <c r="AO53" i="1" s="1"/>
  <c r="AM54" i="76" s="1"/>
  <c r="AN48" i="1"/>
  <c r="AN50" i="1" s="1"/>
  <c r="AN53" i="1" s="1"/>
  <c r="AL54" i="76" s="1"/>
  <c r="AO81" i="1" l="1"/>
  <c r="E43" i="3"/>
  <c r="F44" i="75" s="1"/>
  <c r="G44" i="75" s="1"/>
  <c r="I48" i="69"/>
  <c r="X70" i="1"/>
  <c r="X64" i="1"/>
  <c r="E44" i="3" l="1"/>
  <c r="F45" i="75" s="1"/>
  <c r="G45" i="75" s="1"/>
  <c r="I49" i="69"/>
  <c r="AA8" i="76"/>
  <c r="AA9" i="76"/>
  <c r="AA10" i="76"/>
  <c r="AA12" i="76"/>
  <c r="AA15" i="76"/>
  <c r="AA16" i="76"/>
  <c r="AA17" i="76"/>
  <c r="AA22" i="76"/>
  <c r="AA23" i="76"/>
  <c r="AA24" i="76"/>
  <c r="AA28" i="76"/>
  <c r="AA29" i="76"/>
  <c r="AA30" i="76"/>
  <c r="AA34" i="76"/>
  <c r="AA35" i="76"/>
  <c r="AA36" i="76"/>
  <c r="AA39" i="76"/>
  <c r="AA40" i="76"/>
  <c r="AA41" i="76"/>
  <c r="AA44" i="76"/>
  <c r="AA45" i="76"/>
  <c r="AA46" i="76"/>
  <c r="AA47" i="76"/>
  <c r="AA56" i="76"/>
  <c r="AA57" i="76"/>
  <c r="AA63" i="76"/>
  <c r="AA64" i="76"/>
  <c r="AA65" i="76"/>
  <c r="AA69" i="76"/>
  <c r="AA70" i="76"/>
  <c r="AA71" i="76"/>
  <c r="AA74" i="76"/>
  <c r="AA76" i="76"/>
  <c r="AA77" i="76"/>
  <c r="AA78" i="76"/>
  <c r="AA79" i="76"/>
  <c r="C32" i="3"/>
  <c r="B33" i="75" s="1"/>
  <c r="B32" i="3"/>
  <c r="AC71" i="1"/>
  <c r="AC65" i="1"/>
  <c r="AC72" i="1" s="1"/>
  <c r="AC74" i="1" s="1"/>
  <c r="AC81" i="1" s="1"/>
  <c r="AC47" i="1"/>
  <c r="AC36" i="1"/>
  <c r="AC30" i="1"/>
  <c r="AC24" i="1"/>
  <c r="AC17" i="1"/>
  <c r="E32" i="3" l="1"/>
  <c r="F33" i="75" s="1"/>
  <c r="I37" i="69"/>
  <c r="AA18" i="76"/>
  <c r="AA72" i="76"/>
  <c r="AA48" i="76"/>
  <c r="AA66" i="76"/>
  <c r="AA25" i="76"/>
  <c r="G33" i="75"/>
  <c r="AC48" i="1"/>
  <c r="AC50" i="1" s="1"/>
  <c r="AC53" i="1" s="1"/>
  <c r="AA54" i="76" s="1"/>
  <c r="AA31" i="76"/>
  <c r="AA37" i="76"/>
  <c r="Z8" i="76"/>
  <c r="Z9" i="76"/>
  <c r="Z10" i="76"/>
  <c r="Z12" i="76"/>
  <c r="Z15" i="76"/>
  <c r="Z16" i="76"/>
  <c r="Z17" i="76"/>
  <c r="Z22" i="76"/>
  <c r="Z23" i="76"/>
  <c r="Z24" i="76"/>
  <c r="Z28" i="76"/>
  <c r="Z29" i="76"/>
  <c r="Z30" i="76"/>
  <c r="Z34" i="76"/>
  <c r="Z35" i="76"/>
  <c r="Z36" i="76"/>
  <c r="Z39" i="76"/>
  <c r="Z40" i="76"/>
  <c r="Z41" i="76"/>
  <c r="Z44" i="76"/>
  <c r="Z45" i="76"/>
  <c r="Z46" i="76"/>
  <c r="Z47" i="76"/>
  <c r="Z56" i="76"/>
  <c r="Z57" i="76"/>
  <c r="Z63" i="76"/>
  <c r="Z64" i="76"/>
  <c r="Z65" i="76"/>
  <c r="Z69" i="76"/>
  <c r="Z70" i="76"/>
  <c r="Z71" i="76"/>
  <c r="Z74" i="76"/>
  <c r="Z76" i="76"/>
  <c r="Z77" i="76"/>
  <c r="Z78" i="76"/>
  <c r="Z79" i="76"/>
  <c r="C31" i="3"/>
  <c r="B32" i="75" s="1"/>
  <c r="B31" i="3"/>
  <c r="AB10" i="1"/>
  <c r="AB71" i="1"/>
  <c r="AB65" i="1"/>
  <c r="AB47" i="1"/>
  <c r="AB36" i="1"/>
  <c r="AB30" i="1"/>
  <c r="AB24" i="1"/>
  <c r="AB17" i="1"/>
  <c r="AC10" i="1" l="1"/>
  <c r="A37" i="69" s="1"/>
  <c r="A36" i="69"/>
  <c r="AA49" i="76"/>
  <c r="AA51" i="76" s="1"/>
  <c r="AB72" i="1"/>
  <c r="AB74" i="1" s="1"/>
  <c r="AB81" i="1" s="1"/>
  <c r="AA73" i="76"/>
  <c r="AA75" i="76" s="1"/>
  <c r="AA82" i="76" s="1"/>
  <c r="A31" i="3"/>
  <c r="A32" i="75" s="1"/>
  <c r="Z11" i="76"/>
  <c r="A32" i="3"/>
  <c r="A33" i="75" s="1"/>
  <c r="AA11" i="76"/>
  <c r="AD10" i="1"/>
  <c r="Z66" i="76"/>
  <c r="Z18" i="76"/>
  <c r="Z72" i="76"/>
  <c r="Z48" i="76"/>
  <c r="Z25" i="76"/>
  <c r="Z31" i="76"/>
  <c r="Z37" i="76"/>
  <c r="AB48" i="1"/>
  <c r="AB50" i="1" s="1"/>
  <c r="AB53" i="1" s="1"/>
  <c r="Z54" i="76" s="1"/>
  <c r="E31" i="3" l="1"/>
  <c r="F32" i="75" s="1"/>
  <c r="G32" i="75" s="1"/>
  <c r="I36" i="69"/>
  <c r="Z73" i="76"/>
  <c r="Z75" i="76" s="1"/>
  <c r="Z82" i="76" s="1"/>
  <c r="Z49" i="76"/>
  <c r="Z51" i="76" s="1"/>
  <c r="AA16" i="1" l="1"/>
  <c r="AJ8" i="76" l="1"/>
  <c r="AK8" i="76"/>
  <c r="AJ9" i="76"/>
  <c r="AK9" i="76"/>
  <c r="AJ10" i="76"/>
  <c r="AK10" i="76"/>
  <c r="AJ12" i="76"/>
  <c r="AK12" i="76"/>
  <c r="AJ15" i="76"/>
  <c r="AK15" i="76"/>
  <c r="AJ16" i="76"/>
  <c r="AK16" i="76"/>
  <c r="AJ17" i="76"/>
  <c r="AK17" i="76"/>
  <c r="AJ22" i="76"/>
  <c r="AK22" i="76"/>
  <c r="AJ23" i="76"/>
  <c r="AK23" i="76"/>
  <c r="AJ24" i="76"/>
  <c r="AK24" i="76"/>
  <c r="AJ28" i="76"/>
  <c r="AK28" i="76"/>
  <c r="AJ29" i="76"/>
  <c r="AK29" i="76"/>
  <c r="AJ30" i="76"/>
  <c r="AK30" i="76"/>
  <c r="AJ34" i="76"/>
  <c r="AK34" i="76"/>
  <c r="AJ35" i="76"/>
  <c r="AK35" i="76"/>
  <c r="AJ36" i="76"/>
  <c r="AK36" i="76"/>
  <c r="AJ39" i="76"/>
  <c r="AK39" i="76"/>
  <c r="AJ40" i="76"/>
  <c r="AK40" i="76"/>
  <c r="AJ41" i="76"/>
  <c r="AK41" i="76"/>
  <c r="AJ44" i="76"/>
  <c r="AK44" i="76"/>
  <c r="AJ45" i="76"/>
  <c r="AK45" i="76"/>
  <c r="AJ46" i="76"/>
  <c r="AK46" i="76"/>
  <c r="AJ47" i="76"/>
  <c r="AK47" i="76"/>
  <c r="AJ56" i="76"/>
  <c r="AK56" i="76"/>
  <c r="AJ57" i="76"/>
  <c r="AK57" i="76"/>
  <c r="AJ63" i="76"/>
  <c r="AK63" i="76"/>
  <c r="AJ64" i="76"/>
  <c r="AK64" i="76"/>
  <c r="AJ65" i="76"/>
  <c r="AK65" i="76"/>
  <c r="AJ69" i="76"/>
  <c r="AK69" i="76"/>
  <c r="AJ70" i="76"/>
  <c r="AK70" i="76"/>
  <c r="AJ71" i="76"/>
  <c r="AK71" i="76"/>
  <c r="AJ74" i="76"/>
  <c r="AK74" i="76"/>
  <c r="AJ76" i="76"/>
  <c r="AK76" i="76"/>
  <c r="AJ77" i="76"/>
  <c r="AK77" i="76"/>
  <c r="AJ78" i="76"/>
  <c r="AK78" i="76"/>
  <c r="AJ79" i="76"/>
  <c r="AK79" i="76"/>
  <c r="B49" i="75"/>
  <c r="C45" i="3"/>
  <c r="B46" i="75" s="1"/>
  <c r="C42" i="3"/>
  <c r="B43" i="75" s="1"/>
  <c r="C41" i="3"/>
  <c r="B42" i="75" s="1"/>
  <c r="B45" i="3"/>
  <c r="B42" i="3"/>
  <c r="B41" i="3"/>
  <c r="AS71" i="1"/>
  <c r="AS65" i="1"/>
  <c r="AS47" i="1"/>
  <c r="AS36" i="1"/>
  <c r="AS30" i="1"/>
  <c r="AS24" i="1"/>
  <c r="AS17" i="1"/>
  <c r="AP71" i="1"/>
  <c r="AP65" i="1"/>
  <c r="AP47" i="1"/>
  <c r="AP36" i="1"/>
  <c r="AP30" i="1"/>
  <c r="AP24" i="1"/>
  <c r="AP17" i="1"/>
  <c r="AM71" i="1"/>
  <c r="AM47" i="1"/>
  <c r="AM36" i="1"/>
  <c r="AM30" i="1"/>
  <c r="AM24" i="1"/>
  <c r="AM17" i="1"/>
  <c r="AL65" i="1"/>
  <c r="AL47" i="1"/>
  <c r="AL36" i="1"/>
  <c r="AL30" i="1"/>
  <c r="AL24" i="1"/>
  <c r="AL17" i="1"/>
  <c r="AJ71" i="1"/>
  <c r="AJ65" i="1"/>
  <c r="AJ47" i="1"/>
  <c r="AJ36" i="1"/>
  <c r="AJ30" i="1"/>
  <c r="AJ24" i="1"/>
  <c r="AJ17" i="1"/>
  <c r="F314" i="5"/>
  <c r="F313" i="5"/>
  <c r="F312" i="5"/>
  <c r="F311" i="5"/>
  <c r="F310" i="5"/>
  <c r="F79" i="5" s="1"/>
  <c r="F309" i="5"/>
  <c r="F308" i="5"/>
  <c r="F307" i="5"/>
  <c r="F306" i="5"/>
  <c r="F305" i="5"/>
  <c r="F304" i="5"/>
  <c r="F303" i="5"/>
  <c r="F302" i="5"/>
  <c r="F301" i="5"/>
  <c r="F300" i="5"/>
  <c r="F297" i="5"/>
  <c r="F296" i="5"/>
  <c r="F295" i="5"/>
  <c r="F74" i="5" s="1"/>
  <c r="F294" i="5"/>
  <c r="F293" i="5"/>
  <c r="F292" i="5"/>
  <c r="F291" i="5"/>
  <c r="F290" i="5"/>
  <c r="F289" i="5"/>
  <c r="F288" i="5"/>
  <c r="F287" i="5"/>
  <c r="F286" i="5"/>
  <c r="F285" i="5"/>
  <c r="F284" i="5"/>
  <c r="F283" i="5"/>
  <c r="F282" i="5"/>
  <c r="F281" i="5"/>
  <c r="F280" i="5"/>
  <c r="F279" i="5"/>
  <c r="F278" i="5"/>
  <c r="F277" i="5"/>
  <c r="F276" i="5"/>
  <c r="F275" i="5"/>
  <c r="F274" i="5"/>
  <c r="F70" i="5" s="1"/>
  <c r="F273" i="5"/>
  <c r="F69" i="5" s="1"/>
  <c r="F272" i="5"/>
  <c r="F271" i="5"/>
  <c r="F270" i="5"/>
  <c r="F269" i="5"/>
  <c r="F268" i="5"/>
  <c r="F267" i="5"/>
  <c r="F266" i="5"/>
  <c r="F265" i="5"/>
  <c r="F264" i="5"/>
  <c r="F263" i="5"/>
  <c r="F262" i="5"/>
  <c r="F261" i="5"/>
  <c r="F260" i="5"/>
  <c r="F259" i="5"/>
  <c r="F258" i="5"/>
  <c r="F257" i="5"/>
  <c r="F256" i="5"/>
  <c r="F255" i="5"/>
  <c r="F254" i="5"/>
  <c r="F64" i="5" s="1"/>
  <c r="F253" i="5"/>
  <c r="F252" i="5"/>
  <c r="F251" i="5"/>
  <c r="F250" i="5"/>
  <c r="F249" i="5"/>
  <c r="F248" i="5"/>
  <c r="F247" i="5"/>
  <c r="F246" i="5"/>
  <c r="F245" i="5"/>
  <c r="F244" i="5"/>
  <c r="F243" i="5"/>
  <c r="F242" i="5"/>
  <c r="F241" i="5"/>
  <c r="F240" i="5"/>
  <c r="F239" i="5"/>
  <c r="F238" i="5"/>
  <c r="F63" i="5" s="1"/>
  <c r="F237" i="5"/>
  <c r="F236" i="5"/>
  <c r="F235" i="5"/>
  <c r="F234" i="5"/>
  <c r="F233" i="5"/>
  <c r="F232" i="5"/>
  <c r="F231" i="5"/>
  <c r="F230" i="5"/>
  <c r="F229" i="5"/>
  <c r="F228" i="5"/>
  <c r="F227" i="5"/>
  <c r="F226" i="5"/>
  <c r="F225" i="5"/>
  <c r="F224" i="5"/>
  <c r="F223" i="5"/>
  <c r="F222" i="5"/>
  <c r="F221" i="5"/>
  <c r="F220" i="5"/>
  <c r="F57" i="5" s="1"/>
  <c r="F219" i="5"/>
  <c r="F56" i="5" s="1"/>
  <c r="F218" i="5"/>
  <c r="F54" i="5" s="1"/>
  <c r="F217" i="5"/>
  <c r="F216" i="5"/>
  <c r="F215" i="5"/>
  <c r="F214" i="5"/>
  <c r="F213" i="5"/>
  <c r="F212" i="5"/>
  <c r="F211" i="5"/>
  <c r="F210" i="5"/>
  <c r="F209" i="5"/>
  <c r="F208" i="5"/>
  <c r="F207" i="5"/>
  <c r="F206" i="5"/>
  <c r="F205" i="5"/>
  <c r="F204" i="5"/>
  <c r="F203" i="5"/>
  <c r="F202" i="5"/>
  <c r="F201" i="5"/>
  <c r="F200" i="5"/>
  <c r="F199" i="5"/>
  <c r="F198" i="5"/>
  <c r="F197" i="5"/>
  <c r="F196" i="5"/>
  <c r="F195" i="5"/>
  <c r="F194" i="5"/>
  <c r="F193" i="5"/>
  <c r="F192" i="5"/>
  <c r="F191" i="5"/>
  <c r="F190" i="5"/>
  <c r="F44" i="5" s="1"/>
  <c r="F189" i="5"/>
  <c r="F188" i="5"/>
  <c r="F187" i="5"/>
  <c r="F186" i="5"/>
  <c r="F185" i="5"/>
  <c r="F184" i="5"/>
  <c r="F183" i="5"/>
  <c r="F182" i="5"/>
  <c r="F181" i="5"/>
  <c r="F180" i="5"/>
  <c r="F179" i="5"/>
  <c r="F178" i="5"/>
  <c r="F177" i="5"/>
  <c r="F176" i="5"/>
  <c r="F41" i="5" s="1"/>
  <c r="F175" i="5"/>
  <c r="F174" i="5"/>
  <c r="F173" i="5"/>
  <c r="F172" i="5"/>
  <c r="F171" i="5"/>
  <c r="F170" i="5"/>
  <c r="F169" i="5"/>
  <c r="F168" i="5"/>
  <c r="F167" i="5"/>
  <c r="F166" i="5"/>
  <c r="F165" i="5"/>
  <c r="F164" i="5"/>
  <c r="F163" i="5"/>
  <c r="F162" i="5"/>
  <c r="F161" i="5"/>
  <c r="F160" i="5"/>
  <c r="F159" i="5"/>
  <c r="F158" i="5"/>
  <c r="F157" i="5"/>
  <c r="F156" i="5"/>
  <c r="F155" i="5"/>
  <c r="F154" i="5"/>
  <c r="F153" i="5"/>
  <c r="F36" i="5" s="1"/>
  <c r="F152" i="5"/>
  <c r="F35" i="5" s="1"/>
  <c r="F151" i="5"/>
  <c r="F150" i="5"/>
  <c r="F34" i="5" s="1"/>
  <c r="F149" i="5"/>
  <c r="F148" i="5"/>
  <c r="F147" i="5"/>
  <c r="F146" i="5"/>
  <c r="F145" i="5"/>
  <c r="F144" i="5"/>
  <c r="F143" i="5"/>
  <c r="F142" i="5"/>
  <c r="F141" i="5"/>
  <c r="F140" i="5"/>
  <c r="F139" i="5"/>
  <c r="F138" i="5"/>
  <c r="F137" i="5"/>
  <c r="F136" i="5"/>
  <c r="F135" i="5"/>
  <c r="F134" i="5"/>
  <c r="F133" i="5"/>
  <c r="F132" i="5"/>
  <c r="F131" i="5"/>
  <c r="F130" i="5"/>
  <c r="F129" i="5"/>
  <c r="F128" i="5"/>
  <c r="F127" i="5"/>
  <c r="F126" i="5"/>
  <c r="F125" i="5"/>
  <c r="F124" i="5"/>
  <c r="F123" i="5"/>
  <c r="F30" i="5" s="1"/>
  <c r="F122" i="5"/>
  <c r="F121" i="5"/>
  <c r="F120" i="5"/>
  <c r="F119" i="5"/>
  <c r="F28" i="5" s="1"/>
  <c r="F118" i="5"/>
  <c r="F117" i="5"/>
  <c r="F116" i="5"/>
  <c r="F115" i="5"/>
  <c r="F114" i="5"/>
  <c r="F113" i="5"/>
  <c r="F112" i="5"/>
  <c r="F111" i="5"/>
  <c r="F110" i="5"/>
  <c r="F109" i="5"/>
  <c r="F108" i="5"/>
  <c r="F22" i="5" s="1"/>
  <c r="F107" i="5"/>
  <c r="F106" i="5"/>
  <c r="F105" i="5"/>
  <c r="F104" i="5"/>
  <c r="F103" i="5"/>
  <c r="F102" i="5"/>
  <c r="F101" i="5"/>
  <c r="F100" i="5"/>
  <c r="F99" i="5"/>
  <c r="F98" i="5"/>
  <c r="F97" i="5"/>
  <c r="F96" i="5"/>
  <c r="F95" i="5"/>
  <c r="F94" i="5"/>
  <c r="F15" i="5" s="1"/>
  <c r="F93" i="5"/>
  <c r="F92" i="5"/>
  <c r="F91" i="5"/>
  <c r="F90" i="5"/>
  <c r="F89" i="5"/>
  <c r="F88" i="5"/>
  <c r="G79" i="5"/>
  <c r="G78" i="5"/>
  <c r="G77" i="5"/>
  <c r="E77" i="5" s="1"/>
  <c r="G76" i="5"/>
  <c r="G74" i="5"/>
  <c r="G71" i="5"/>
  <c r="G70" i="5"/>
  <c r="G69" i="5"/>
  <c r="H68" i="5"/>
  <c r="G65" i="5"/>
  <c r="G64" i="5"/>
  <c r="G63" i="5"/>
  <c r="G57" i="5"/>
  <c r="G56" i="5"/>
  <c r="G54" i="5"/>
  <c r="E47" i="5"/>
  <c r="H47" i="5" s="1"/>
  <c r="G46" i="5"/>
  <c r="G45" i="5"/>
  <c r="G44" i="5"/>
  <c r="G41" i="5"/>
  <c r="G40" i="5"/>
  <c r="F40" i="5"/>
  <c r="G39" i="5"/>
  <c r="F39" i="5"/>
  <c r="G36" i="5"/>
  <c r="G35" i="5"/>
  <c r="G34" i="5"/>
  <c r="G30" i="5"/>
  <c r="G29" i="5"/>
  <c r="G28" i="5"/>
  <c r="G24" i="5"/>
  <c r="G23" i="5"/>
  <c r="G22" i="5"/>
  <c r="H21" i="5"/>
  <c r="G17" i="5"/>
  <c r="G16" i="5"/>
  <c r="G15" i="5"/>
  <c r="F29" i="5" l="1"/>
  <c r="AJ72" i="76"/>
  <c r="E57" i="5"/>
  <c r="H57" i="5" s="1"/>
  <c r="F24" i="5"/>
  <c r="E24" i="5" s="1"/>
  <c r="H24" i="5" s="1"/>
  <c r="F76" i="5"/>
  <c r="E76" i="5" s="1"/>
  <c r="H76" i="5" s="1"/>
  <c r="E35" i="5"/>
  <c r="H35" i="5" s="1"/>
  <c r="AL72" i="1"/>
  <c r="AL74" i="1" s="1"/>
  <c r="AL81" i="1" s="1"/>
  <c r="F23" i="5"/>
  <c r="E23" i="5" s="1"/>
  <c r="H23" i="5" s="1"/>
  <c r="E69" i="5"/>
  <c r="H69" i="5" s="1"/>
  <c r="E70" i="5"/>
  <c r="H70" i="5" s="1"/>
  <c r="F17" i="5"/>
  <c r="E17" i="5" s="1"/>
  <c r="H17" i="5" s="1"/>
  <c r="G48" i="5"/>
  <c r="E30" i="5"/>
  <c r="H30" i="5" s="1"/>
  <c r="F45" i="5"/>
  <c r="E45" i="5" s="1"/>
  <c r="H45" i="5" s="1"/>
  <c r="E56" i="5"/>
  <c r="H56" i="5" s="1"/>
  <c r="E74" i="5"/>
  <c r="H74" i="5" s="1"/>
  <c r="AS72" i="1"/>
  <c r="AS74" i="1" s="1"/>
  <c r="AS81" i="1" s="1"/>
  <c r="F49" i="75" s="1"/>
  <c r="G49" i="75" s="1"/>
  <c r="F31" i="5"/>
  <c r="F71" i="5"/>
  <c r="E71" i="5" s="1"/>
  <c r="H71" i="5" s="1"/>
  <c r="E39" i="5"/>
  <c r="H39" i="5" s="1"/>
  <c r="E41" i="5"/>
  <c r="H41" i="5" s="1"/>
  <c r="E54" i="5"/>
  <c r="H54" i="5" s="1"/>
  <c r="E64" i="5"/>
  <c r="H64" i="5" s="1"/>
  <c r="AP48" i="1"/>
  <c r="AP50" i="1" s="1"/>
  <c r="AP53" i="1" s="1"/>
  <c r="AN54" i="76" s="1"/>
  <c r="AP72" i="1"/>
  <c r="AP74" i="1" s="1"/>
  <c r="AP81" i="1" s="1"/>
  <c r="G37" i="5"/>
  <c r="AK66" i="76"/>
  <c r="E63" i="5"/>
  <c r="F46" i="5"/>
  <c r="E46" i="5" s="1"/>
  <c r="E79" i="5"/>
  <c r="H77" i="5" s="1"/>
  <c r="G25" i="5"/>
  <c r="F65" i="5"/>
  <c r="E65" i="5" s="1"/>
  <c r="H65" i="5" s="1"/>
  <c r="F78" i="5"/>
  <c r="E78" i="5" s="1"/>
  <c r="E29" i="5"/>
  <c r="H29" i="5" s="1"/>
  <c r="E36" i="5"/>
  <c r="H36" i="5" s="1"/>
  <c r="G66" i="5"/>
  <c r="G31" i="5"/>
  <c r="AK72" i="76"/>
  <c r="G18" i="5"/>
  <c r="E34" i="5"/>
  <c r="H34" i="5" s="1"/>
  <c r="E40" i="5"/>
  <c r="H40" i="5" s="1"/>
  <c r="G72" i="5"/>
  <c r="AJ48" i="1"/>
  <c r="AJ50" i="1" s="1"/>
  <c r="AJ53" i="1" s="1"/>
  <c r="AJ72" i="1"/>
  <c r="AJ74" i="1" s="1"/>
  <c r="AJ81" i="1" s="1"/>
  <c r="AJ66" i="76"/>
  <c r="AK48" i="76"/>
  <c r="AK31" i="76"/>
  <c r="AK18" i="76"/>
  <c r="AJ48" i="76"/>
  <c r="AJ31" i="76"/>
  <c r="AJ18" i="76"/>
  <c r="AK37" i="76"/>
  <c r="AK25" i="76"/>
  <c r="AJ37" i="76"/>
  <c r="AJ25" i="76"/>
  <c r="AM72" i="1"/>
  <c r="AM74" i="1" s="1"/>
  <c r="AM81" i="1" s="1"/>
  <c r="AM48" i="1"/>
  <c r="AM50" i="1" s="1"/>
  <c r="AM53" i="1" s="1"/>
  <c r="AK54" i="76" s="1"/>
  <c r="AL48" i="1"/>
  <c r="AL50" i="1" s="1"/>
  <c r="AL53" i="1" s="1"/>
  <c r="AJ54" i="76" s="1"/>
  <c r="AS48" i="1"/>
  <c r="AS50" i="1" s="1"/>
  <c r="AS53" i="1" s="1"/>
  <c r="E15" i="5"/>
  <c r="F37" i="5"/>
  <c r="F16" i="5"/>
  <c r="E16" i="5" s="1"/>
  <c r="H16" i="5" s="1"/>
  <c r="E22" i="5"/>
  <c r="E28" i="5"/>
  <c r="E44" i="5"/>
  <c r="E42" i="3" l="1"/>
  <c r="F43" i="75" s="1"/>
  <c r="G43" i="75" s="1"/>
  <c r="I47" i="69"/>
  <c r="E41" i="3"/>
  <c r="F42" i="75" s="1"/>
  <c r="G42" i="75" s="1"/>
  <c r="I46" i="69"/>
  <c r="E45" i="3"/>
  <c r="F46" i="75" s="1"/>
  <c r="G46" i="75" s="1"/>
  <c r="I50" i="69"/>
  <c r="AJ73" i="76"/>
  <c r="AJ75" i="76" s="1"/>
  <c r="AJ82" i="76" s="1"/>
  <c r="G49" i="5"/>
  <c r="G51" i="5" s="1"/>
  <c r="G59" i="5" s="1"/>
  <c r="E72" i="5"/>
  <c r="F25" i="5"/>
  <c r="F72" i="5"/>
  <c r="AK73" i="76"/>
  <c r="AK75" i="76" s="1"/>
  <c r="AK82" i="76" s="1"/>
  <c r="E66" i="5"/>
  <c r="F48" i="5"/>
  <c r="F49" i="5" s="1"/>
  <c r="E37" i="5"/>
  <c r="H37" i="5" s="1"/>
  <c r="G73" i="5"/>
  <c r="G75" i="5" s="1"/>
  <c r="G82" i="5" s="1"/>
  <c r="F66" i="5"/>
  <c r="H63" i="5"/>
  <c r="AK49" i="76"/>
  <c r="AK51" i="76" s="1"/>
  <c r="AJ49" i="76"/>
  <c r="AJ51" i="76" s="1"/>
  <c r="H44" i="5"/>
  <c r="E48" i="5"/>
  <c r="E18" i="5"/>
  <c r="H15" i="5"/>
  <c r="E31" i="5"/>
  <c r="H31" i="5" s="1"/>
  <c r="H28" i="5"/>
  <c r="F18" i="5"/>
  <c r="H22" i="5"/>
  <c r="E25" i="5"/>
  <c r="E73" i="5" l="1"/>
  <c r="E75" i="5" s="1"/>
  <c r="E82" i="5" s="1"/>
  <c r="H72" i="5"/>
  <c r="F73" i="5"/>
  <c r="F75" i="5" s="1"/>
  <c r="F82" i="5" s="1"/>
  <c r="H66" i="5"/>
  <c r="F51" i="5"/>
  <c r="F59" i="5" s="1"/>
  <c r="H48" i="5"/>
  <c r="H25" i="5"/>
  <c r="E49" i="5"/>
  <c r="H49" i="5" s="1"/>
  <c r="H18" i="5"/>
  <c r="H82" i="5" l="1"/>
  <c r="F84" i="5"/>
  <c r="E51" i="5"/>
  <c r="E59" i="5" s="1"/>
  <c r="H51" i="5" l="1"/>
  <c r="E84" i="5"/>
  <c r="H59" i="5"/>
  <c r="F16" i="69" l="1"/>
  <c r="E16" i="69"/>
  <c r="AG35" i="76" l="1"/>
  <c r="N11" i="55" l="1"/>
  <c r="N13" i="55"/>
  <c r="X17" i="1"/>
  <c r="X24" i="1"/>
  <c r="X30" i="1"/>
  <c r="X36" i="1"/>
  <c r="X47" i="1"/>
  <c r="X65" i="1"/>
  <c r="X71" i="1"/>
  <c r="N15" i="55" l="1"/>
  <c r="X72" i="1"/>
  <c r="X74" i="1" s="1"/>
  <c r="X81" i="1" s="1"/>
  <c r="X48" i="1"/>
  <c r="X50" i="1" s="1"/>
  <c r="X53" i="1" s="1"/>
  <c r="AG71" i="1" l="1"/>
  <c r="AG65" i="1"/>
  <c r="AG47" i="1"/>
  <c r="AG36" i="1"/>
  <c r="AG30" i="1"/>
  <c r="AG24" i="1"/>
  <c r="AG17" i="1"/>
  <c r="AG72" i="1" l="1"/>
  <c r="AG74" i="1" s="1"/>
  <c r="AG81" i="1" s="1"/>
  <c r="AG48" i="1"/>
  <c r="AG50" i="1" s="1"/>
  <c r="AG53" i="1" l="1"/>
  <c r="B14" i="69" l="1"/>
  <c r="X8" i="76"/>
  <c r="X9" i="76"/>
  <c r="X10" i="76"/>
  <c r="X12" i="76"/>
  <c r="X15" i="76"/>
  <c r="X16" i="76"/>
  <c r="X17" i="76"/>
  <c r="X22" i="76"/>
  <c r="X23" i="76"/>
  <c r="X24" i="76"/>
  <c r="X28" i="76"/>
  <c r="X29" i="76"/>
  <c r="X30" i="76"/>
  <c r="X34" i="76"/>
  <c r="X35" i="76"/>
  <c r="X36" i="76"/>
  <c r="X39" i="76"/>
  <c r="X40" i="76"/>
  <c r="X41" i="76"/>
  <c r="X44" i="76"/>
  <c r="X45" i="76"/>
  <c r="X46" i="76"/>
  <c r="X47" i="76"/>
  <c r="X56" i="76"/>
  <c r="X57" i="76"/>
  <c r="X63" i="76"/>
  <c r="X64" i="76"/>
  <c r="X65" i="76"/>
  <c r="X69" i="76"/>
  <c r="X70" i="76"/>
  <c r="X71" i="76"/>
  <c r="X74" i="76"/>
  <c r="X76" i="76"/>
  <c r="X77" i="76"/>
  <c r="X78" i="76"/>
  <c r="X79" i="76"/>
  <c r="I8" i="76"/>
  <c r="I9" i="76"/>
  <c r="I12" i="76"/>
  <c r="I15" i="76"/>
  <c r="I16" i="76"/>
  <c r="I17" i="76"/>
  <c r="I22" i="76"/>
  <c r="I23" i="76"/>
  <c r="I24" i="76"/>
  <c r="I28" i="76"/>
  <c r="I29" i="76"/>
  <c r="I30" i="76"/>
  <c r="I34" i="76"/>
  <c r="I35" i="76"/>
  <c r="I36" i="76"/>
  <c r="I39" i="76"/>
  <c r="I40" i="76"/>
  <c r="I41" i="76"/>
  <c r="I44" i="76"/>
  <c r="I45" i="76"/>
  <c r="I46" i="76"/>
  <c r="I47" i="76"/>
  <c r="I56" i="76"/>
  <c r="I57" i="76"/>
  <c r="I63" i="76"/>
  <c r="I64" i="76"/>
  <c r="I65" i="76"/>
  <c r="I69" i="76"/>
  <c r="I70" i="76"/>
  <c r="I71" i="76"/>
  <c r="I74" i="76"/>
  <c r="I76" i="76"/>
  <c r="I77" i="76"/>
  <c r="I78" i="76"/>
  <c r="I79" i="76"/>
  <c r="X48" i="76" l="1"/>
  <c r="X18" i="76"/>
  <c r="X31" i="76"/>
  <c r="I66" i="76"/>
  <c r="I25" i="76"/>
  <c r="X37" i="76"/>
  <c r="X25" i="76"/>
  <c r="X66" i="76"/>
  <c r="X72" i="76"/>
  <c r="I72" i="76"/>
  <c r="I31" i="76"/>
  <c r="I48" i="76"/>
  <c r="I37" i="76"/>
  <c r="I18" i="76"/>
  <c r="X73" i="76" l="1"/>
  <c r="X75" i="76" s="1"/>
  <c r="X82" i="76" s="1"/>
  <c r="I73" i="76"/>
  <c r="I75" i="76" s="1"/>
  <c r="I82" i="76" s="1"/>
  <c r="X49" i="76"/>
  <c r="X51" i="76" s="1"/>
  <c r="I49" i="76"/>
  <c r="I51" i="76" s="1"/>
  <c r="C12" i="3"/>
  <c r="B15" i="75" s="1"/>
  <c r="B12" i="3"/>
  <c r="I71" i="1"/>
  <c r="I65" i="1"/>
  <c r="I47" i="1"/>
  <c r="I36" i="1"/>
  <c r="I30" i="1"/>
  <c r="I24" i="1"/>
  <c r="I17" i="1"/>
  <c r="I72" i="1" l="1"/>
  <c r="I74" i="1" s="1"/>
  <c r="I81" i="1" s="1"/>
  <c r="I48" i="1"/>
  <c r="I50" i="1" s="1"/>
  <c r="I53" i="1" s="1"/>
  <c r="I54" i="76" s="1"/>
  <c r="E12" i="3" l="1"/>
  <c r="F15" i="75" s="1"/>
  <c r="G15" i="75" s="1"/>
  <c r="I14" i="69"/>
  <c r="E21" i="56" l="1"/>
  <c r="E23" i="56" s="1"/>
  <c r="E25" i="56" l="1"/>
  <c r="E27" i="56" s="1"/>
  <c r="F21" i="55" s="1"/>
  <c r="J9" i="69" l="1"/>
  <c r="AV54" i="1"/>
  <c r="BA39" i="1" s="1"/>
  <c r="F13" i="55" l="1"/>
  <c r="BA40" i="1"/>
  <c r="AZ40" i="1" s="1"/>
  <c r="BA43" i="1" s="1"/>
  <c r="AR55" i="76"/>
  <c r="AN54" i="1"/>
  <c r="AL55" i="76" s="1"/>
  <c r="AL59" i="76" s="1"/>
  <c r="AO54" i="1"/>
  <c r="AM55" i="76" s="1"/>
  <c r="AM59" i="76" s="1"/>
  <c r="AC54" i="1"/>
  <c r="AB54" i="1"/>
  <c r="AL54" i="1"/>
  <c r="AS54" i="1"/>
  <c r="AJ54" i="1"/>
  <c r="AJ58" i="1" s="1"/>
  <c r="AP54" i="1"/>
  <c r="AN55" i="76" s="1"/>
  <c r="AN59" i="76" s="1"/>
  <c r="AG54" i="1"/>
  <c r="AG58" i="1" s="1"/>
  <c r="X54" i="1"/>
  <c r="X58" i="1" s="1"/>
  <c r="I54" i="1"/>
  <c r="I58" i="1" s="1"/>
  <c r="E86" i="1"/>
  <c r="C27" i="3"/>
  <c r="B30" i="75" s="1"/>
  <c r="B27" i="3"/>
  <c r="AO58" i="1" l="1"/>
  <c r="H49" i="69" s="1"/>
  <c r="AN58" i="1"/>
  <c r="H48" i="69" s="1"/>
  <c r="Z55" i="76"/>
  <c r="Z59" i="76" s="1"/>
  <c r="AB58" i="1"/>
  <c r="AA55" i="76"/>
  <c r="AA59" i="76" s="1"/>
  <c r="AC58" i="1"/>
  <c r="AS58" i="1"/>
  <c r="AP58" i="1"/>
  <c r="AK55" i="76"/>
  <c r="AK59" i="76" s="1"/>
  <c r="AM58" i="1"/>
  <c r="AJ55" i="76"/>
  <c r="AJ59" i="76" s="1"/>
  <c r="AL58" i="1"/>
  <c r="AJ88" i="1"/>
  <c r="AG88" i="1"/>
  <c r="I55" i="76"/>
  <c r="I59" i="76" s="1"/>
  <c r="I88" i="1"/>
  <c r="H14" i="69"/>
  <c r="D12" i="3"/>
  <c r="B32" i="69"/>
  <c r="B30" i="69"/>
  <c r="J48" i="69" l="1"/>
  <c r="K48" i="69"/>
  <c r="L48" i="69" s="1"/>
  <c r="J14" i="69"/>
  <c r="K14" i="69"/>
  <c r="L14" i="69" s="1"/>
  <c r="J49" i="69"/>
  <c r="K49" i="69"/>
  <c r="L49" i="69" s="1"/>
  <c r="D42" i="3"/>
  <c r="H47" i="69"/>
  <c r="D32" i="3"/>
  <c r="H37" i="69"/>
  <c r="D41" i="3"/>
  <c r="H46" i="69"/>
  <c r="D45" i="3"/>
  <c r="H50" i="69"/>
  <c r="D31" i="3"/>
  <c r="H36" i="69"/>
  <c r="AN88" i="1"/>
  <c r="D43" i="3"/>
  <c r="AO88" i="1"/>
  <c r="D44" i="3"/>
  <c r="AC88" i="1"/>
  <c r="AB88" i="1"/>
  <c r="AL88" i="1"/>
  <c r="AP88" i="1"/>
  <c r="AM88" i="1"/>
  <c r="AS88" i="1"/>
  <c r="X55" i="76"/>
  <c r="X54" i="76"/>
  <c r="J36" i="69" l="1"/>
  <c r="K36" i="69"/>
  <c r="L36" i="69" s="1"/>
  <c r="K46" i="69"/>
  <c r="L46" i="69" s="1"/>
  <c r="J46" i="69"/>
  <c r="J47" i="69"/>
  <c r="K47" i="69"/>
  <c r="L47" i="69" s="1"/>
  <c r="J37" i="69"/>
  <c r="K37" i="69"/>
  <c r="L37" i="69" s="1"/>
  <c r="K50" i="69"/>
  <c r="L50" i="69" s="1"/>
  <c r="J50" i="69"/>
  <c r="X59" i="76"/>
  <c r="E27" i="3"/>
  <c r="F30" i="75" s="1"/>
  <c r="I32" i="69"/>
  <c r="G30" i="75" l="1"/>
  <c r="AI71" i="1" l="1"/>
  <c r="AI65" i="1"/>
  <c r="AI47" i="1"/>
  <c r="AI36" i="1"/>
  <c r="AI30" i="1"/>
  <c r="AI24" i="1"/>
  <c r="AI17" i="1"/>
  <c r="AF71" i="1"/>
  <c r="AF65" i="1"/>
  <c r="AF47" i="1"/>
  <c r="AF36" i="1"/>
  <c r="AF30" i="1"/>
  <c r="AF24" i="1"/>
  <c r="AF17" i="1"/>
  <c r="AD71" i="1"/>
  <c r="AD65" i="1"/>
  <c r="AD72" i="1" s="1"/>
  <c r="AD74" i="1" s="1"/>
  <c r="AD81" i="1" s="1"/>
  <c r="AD54" i="1" s="1"/>
  <c r="AD47" i="1"/>
  <c r="AD36" i="1"/>
  <c r="AD30" i="1"/>
  <c r="AD24" i="1"/>
  <c r="AD17" i="1"/>
  <c r="AI48" i="1" l="1"/>
  <c r="AF72" i="1"/>
  <c r="AF74" i="1" s="1"/>
  <c r="AF81" i="1" s="1"/>
  <c r="AF54" i="1" s="1"/>
  <c r="AI72" i="1"/>
  <c r="AI74" i="1" s="1"/>
  <c r="AI81" i="1" s="1"/>
  <c r="AI54" i="1" s="1"/>
  <c r="AD48" i="1"/>
  <c r="AD50" i="1" s="1"/>
  <c r="AD53" i="1" s="1"/>
  <c r="AI50" i="1"/>
  <c r="AI53" i="1" s="1"/>
  <c r="AF48" i="1"/>
  <c r="AF50" i="1" s="1"/>
  <c r="AF53" i="1" s="1"/>
  <c r="AD58" i="1" l="1"/>
  <c r="AF58" i="1"/>
  <c r="AI58" i="1"/>
  <c r="V8" i="76" l="1"/>
  <c r="V9" i="76"/>
  <c r="V12" i="76"/>
  <c r="V15" i="76"/>
  <c r="V16" i="76"/>
  <c r="V17" i="76"/>
  <c r="V22" i="76"/>
  <c r="V23" i="76"/>
  <c r="V24" i="76"/>
  <c r="V28" i="76"/>
  <c r="V29" i="76"/>
  <c r="V30" i="76"/>
  <c r="V34" i="76"/>
  <c r="V35" i="76"/>
  <c r="V36" i="76"/>
  <c r="V39" i="76"/>
  <c r="V40" i="76"/>
  <c r="V41" i="76"/>
  <c r="V44" i="76"/>
  <c r="V45" i="76"/>
  <c r="V46" i="76"/>
  <c r="V47" i="76"/>
  <c r="V56" i="76"/>
  <c r="V57" i="76"/>
  <c r="V63" i="76"/>
  <c r="V64" i="76"/>
  <c r="V65" i="76"/>
  <c r="V69" i="76"/>
  <c r="V70" i="76"/>
  <c r="V71" i="76"/>
  <c r="V74" i="76"/>
  <c r="V76" i="76"/>
  <c r="V77" i="76"/>
  <c r="V78" i="76"/>
  <c r="V79" i="76"/>
  <c r="C25" i="3"/>
  <c r="B28" i="75" s="1"/>
  <c r="B25" i="3"/>
  <c r="V71" i="1"/>
  <c r="V65" i="1"/>
  <c r="V47" i="1"/>
  <c r="V36" i="1"/>
  <c r="V30" i="1"/>
  <c r="V24" i="1"/>
  <c r="V17" i="1"/>
  <c r="V72" i="1" l="1"/>
  <c r="V74" i="1" s="1"/>
  <c r="V81" i="1" s="1"/>
  <c r="V54" i="1" s="1"/>
  <c r="V48" i="1"/>
  <c r="V50" i="1" s="1"/>
  <c r="V53" i="1" s="1"/>
  <c r="V66" i="76"/>
  <c r="V25" i="76"/>
  <c r="V72" i="76"/>
  <c r="V31" i="76"/>
  <c r="V37" i="76"/>
  <c r="V48" i="76"/>
  <c r="V18" i="76"/>
  <c r="E25" i="3" l="1"/>
  <c r="F28" i="75" s="1"/>
  <c r="G28" i="75" s="1"/>
  <c r="I30" i="69"/>
  <c r="V54" i="76"/>
  <c r="V73" i="76"/>
  <c r="V75" i="76" s="1"/>
  <c r="V82" i="76" s="1"/>
  <c r="V49" i="76"/>
  <c r="V51" i="76" s="1"/>
  <c r="A3" i="76" l="1"/>
  <c r="AE8" i="76" l="1"/>
  <c r="AE9" i="76"/>
  <c r="AE10" i="76"/>
  <c r="AE12" i="76"/>
  <c r="AE15" i="76"/>
  <c r="AE16" i="76"/>
  <c r="AE17" i="76"/>
  <c r="AE22" i="76"/>
  <c r="AE23" i="76"/>
  <c r="AE24" i="76"/>
  <c r="AE28" i="76"/>
  <c r="AE29" i="76"/>
  <c r="AE30" i="76"/>
  <c r="AE34" i="76"/>
  <c r="AE35" i="76"/>
  <c r="AE36" i="76"/>
  <c r="AE39" i="76"/>
  <c r="AE40" i="76"/>
  <c r="AE41" i="76"/>
  <c r="AE44" i="76"/>
  <c r="AE45" i="76"/>
  <c r="AE46" i="76"/>
  <c r="AE47" i="76"/>
  <c r="AE56" i="76"/>
  <c r="AE57" i="76"/>
  <c r="AE63" i="76"/>
  <c r="AE64" i="76"/>
  <c r="AE65" i="76"/>
  <c r="AE69" i="76"/>
  <c r="AE70" i="76"/>
  <c r="AE71" i="76"/>
  <c r="AE74" i="76"/>
  <c r="AE76" i="76"/>
  <c r="AE77" i="76"/>
  <c r="AE78" i="76"/>
  <c r="AE79" i="76"/>
  <c r="U79" i="76"/>
  <c r="U78" i="76"/>
  <c r="U77" i="76"/>
  <c r="U76" i="76"/>
  <c r="U74" i="76"/>
  <c r="U71" i="76"/>
  <c r="U70" i="76"/>
  <c r="U69" i="76"/>
  <c r="U65" i="76"/>
  <c r="U64" i="76"/>
  <c r="U63" i="76"/>
  <c r="U57" i="76"/>
  <c r="U56" i="76"/>
  <c r="U47" i="76"/>
  <c r="U46" i="76"/>
  <c r="U45" i="76"/>
  <c r="U44" i="76"/>
  <c r="U41" i="76"/>
  <c r="U40" i="76"/>
  <c r="U39" i="76"/>
  <c r="U36" i="76"/>
  <c r="U35" i="76"/>
  <c r="U34" i="76"/>
  <c r="U30" i="76"/>
  <c r="U29" i="76"/>
  <c r="U28" i="76"/>
  <c r="U24" i="76"/>
  <c r="U23" i="76"/>
  <c r="U22" i="76"/>
  <c r="U17" i="76"/>
  <c r="U16" i="76"/>
  <c r="U15" i="76"/>
  <c r="U12" i="76"/>
  <c r="U10" i="76"/>
  <c r="U9" i="76"/>
  <c r="U8" i="76"/>
  <c r="U25" i="76" l="1"/>
  <c r="U66" i="76"/>
  <c r="U18" i="76"/>
  <c r="AE66" i="76"/>
  <c r="U37" i="76"/>
  <c r="AE72" i="76"/>
  <c r="AE31" i="76"/>
  <c r="U31" i="76"/>
  <c r="AE37" i="76"/>
  <c r="U48" i="76"/>
  <c r="AE18" i="76"/>
  <c r="AE48" i="76"/>
  <c r="AE25" i="76"/>
  <c r="U72" i="76"/>
  <c r="AF8" i="76"/>
  <c r="AF9" i="76"/>
  <c r="AF10" i="76"/>
  <c r="AF12" i="76"/>
  <c r="AF15" i="76"/>
  <c r="AF16" i="76"/>
  <c r="AF17" i="76"/>
  <c r="AF22" i="76"/>
  <c r="AF23" i="76"/>
  <c r="AF24" i="76"/>
  <c r="AF28" i="76"/>
  <c r="AF29" i="76"/>
  <c r="AF30" i="76"/>
  <c r="AF34" i="76"/>
  <c r="AF35" i="76"/>
  <c r="AF36" i="76"/>
  <c r="AF39" i="76"/>
  <c r="AF40" i="76"/>
  <c r="AF41" i="76"/>
  <c r="AF44" i="76"/>
  <c r="AF45" i="76"/>
  <c r="AF46" i="76"/>
  <c r="AF47" i="76"/>
  <c r="AF56" i="76"/>
  <c r="AF57" i="76"/>
  <c r="AF63" i="76"/>
  <c r="AF64" i="76"/>
  <c r="AF65" i="76"/>
  <c r="AF69" i="76"/>
  <c r="AF70" i="76"/>
  <c r="AF71" i="76"/>
  <c r="AF74" i="76"/>
  <c r="AF76" i="76"/>
  <c r="AF77" i="76"/>
  <c r="AF78" i="76"/>
  <c r="AF79" i="76"/>
  <c r="B51" i="69"/>
  <c r="C46" i="3"/>
  <c r="B47" i="75" s="1"/>
  <c r="B46" i="3"/>
  <c r="AQ71" i="1"/>
  <c r="AQ65" i="1"/>
  <c r="AQ47" i="1"/>
  <c r="AQ36" i="1"/>
  <c r="AQ30" i="1"/>
  <c r="AQ24" i="1"/>
  <c r="AQ17" i="1"/>
  <c r="U49" i="76" l="1"/>
  <c r="U51" i="76" s="1"/>
  <c r="U73" i="76"/>
  <c r="U75" i="76" s="1"/>
  <c r="U82" i="76" s="1"/>
  <c r="AE73" i="76"/>
  <c r="AE75" i="76" s="1"/>
  <c r="AE82" i="76" s="1"/>
  <c r="AE49" i="76"/>
  <c r="AE51" i="76" s="1"/>
  <c r="AQ72" i="1"/>
  <c r="AQ74" i="1" s="1"/>
  <c r="AQ81" i="1" s="1"/>
  <c r="AQ54" i="1" s="1"/>
  <c r="AO55" i="76" s="1"/>
  <c r="AF72" i="76"/>
  <c r="AF66" i="76"/>
  <c r="AF25" i="76"/>
  <c r="AF31" i="76"/>
  <c r="AF37" i="76"/>
  <c r="AF48" i="76"/>
  <c r="AF18" i="76"/>
  <c r="AQ48" i="1"/>
  <c r="AQ50" i="1" s="1"/>
  <c r="AQ53" i="1" l="1"/>
  <c r="AO54" i="76" s="1"/>
  <c r="AO59" i="76" s="1"/>
  <c r="E46" i="3"/>
  <c r="F47" i="75" s="1"/>
  <c r="I51" i="69"/>
  <c r="AF49" i="76"/>
  <c r="AF51" i="76" s="1"/>
  <c r="AF73" i="76"/>
  <c r="AF75" i="76" s="1"/>
  <c r="AF82" i="76" s="1"/>
  <c r="G47" i="75" l="1"/>
  <c r="S38" i="1" l="1"/>
  <c r="S43" i="1"/>
  <c r="AE47" i="1" l="1"/>
  <c r="B42" i="69" l="1"/>
  <c r="AH8" i="76" l="1"/>
  <c r="AI8" i="76"/>
  <c r="AH9" i="76"/>
  <c r="AI9" i="76"/>
  <c r="AH10" i="76"/>
  <c r="AI10" i="76"/>
  <c r="AH12" i="76"/>
  <c r="AI12" i="76"/>
  <c r="AH15" i="76"/>
  <c r="AI15" i="76"/>
  <c r="AH16" i="76"/>
  <c r="AI16" i="76"/>
  <c r="AH17" i="76"/>
  <c r="AI17" i="76"/>
  <c r="AH22" i="76"/>
  <c r="AI22" i="76"/>
  <c r="AH23" i="76"/>
  <c r="AI23" i="76"/>
  <c r="AH24" i="76"/>
  <c r="AI24" i="76"/>
  <c r="AH28" i="76"/>
  <c r="AI28" i="76"/>
  <c r="AH29" i="76"/>
  <c r="AI29" i="76"/>
  <c r="AH30" i="76"/>
  <c r="AI30" i="76"/>
  <c r="AH34" i="76"/>
  <c r="AI34" i="76"/>
  <c r="AH35" i="76"/>
  <c r="AI35" i="76"/>
  <c r="AH36" i="76"/>
  <c r="AI36" i="76"/>
  <c r="AH39" i="76"/>
  <c r="AI39" i="76"/>
  <c r="AH40" i="76"/>
  <c r="AI40" i="76"/>
  <c r="AH41" i="76"/>
  <c r="AI41" i="76"/>
  <c r="AH44" i="76"/>
  <c r="AI44" i="76"/>
  <c r="AH45" i="76"/>
  <c r="AI45" i="76"/>
  <c r="AH46" i="76"/>
  <c r="AI46" i="76"/>
  <c r="AH47" i="76"/>
  <c r="AI47" i="76"/>
  <c r="AH56" i="76"/>
  <c r="AI56" i="76"/>
  <c r="AH57" i="76"/>
  <c r="AI57" i="76"/>
  <c r="AH63" i="76"/>
  <c r="AI63" i="76"/>
  <c r="AH64" i="76"/>
  <c r="AI64" i="76"/>
  <c r="AH65" i="76"/>
  <c r="AI65" i="76"/>
  <c r="AH69" i="76"/>
  <c r="AI69" i="76"/>
  <c r="AH70" i="76"/>
  <c r="AI70" i="76"/>
  <c r="AH71" i="76"/>
  <c r="AI71" i="76"/>
  <c r="AH74" i="76"/>
  <c r="AI74" i="76"/>
  <c r="AH76" i="76"/>
  <c r="AI76" i="76"/>
  <c r="AH77" i="76"/>
  <c r="AI77" i="76"/>
  <c r="AH78" i="76"/>
  <c r="AI78" i="76"/>
  <c r="AH79" i="76"/>
  <c r="AI79" i="76"/>
  <c r="C37" i="3"/>
  <c r="B38" i="75" s="1"/>
  <c r="B37" i="3"/>
  <c r="AH71" i="1"/>
  <c r="AH65" i="1"/>
  <c r="AH47" i="1"/>
  <c r="AH36" i="1"/>
  <c r="AH30" i="1"/>
  <c r="AH24" i="1"/>
  <c r="AH17" i="1"/>
  <c r="AH72" i="1" l="1"/>
  <c r="AH74" i="1" s="1"/>
  <c r="AH81" i="1" s="1"/>
  <c r="AH54" i="1" s="1"/>
  <c r="AH48" i="1"/>
  <c r="AH50" i="1" s="1"/>
  <c r="AI72" i="76"/>
  <c r="AI66" i="76"/>
  <c r="AI48" i="76"/>
  <c r="AI31" i="76"/>
  <c r="AI18" i="76"/>
  <c r="AH48" i="76"/>
  <c r="AH31" i="76"/>
  <c r="AH18" i="76"/>
  <c r="AH66" i="76"/>
  <c r="AI37" i="76"/>
  <c r="AH37" i="76"/>
  <c r="AI25" i="76"/>
  <c r="AH25" i="76"/>
  <c r="AH72" i="76"/>
  <c r="AH53" i="1" l="1"/>
  <c r="AF54" i="76" s="1"/>
  <c r="I42" i="69"/>
  <c r="E37" i="3"/>
  <c r="F38" i="75" s="1"/>
  <c r="G38" i="75" s="1"/>
  <c r="AI49" i="76"/>
  <c r="AI51" i="76" s="1"/>
  <c r="AH49" i="76"/>
  <c r="AH51" i="76" s="1"/>
  <c r="AI73" i="76"/>
  <c r="AI75" i="76" s="1"/>
  <c r="AI82" i="76" s="1"/>
  <c r="AH73" i="76"/>
  <c r="AH75" i="76" s="1"/>
  <c r="AH82" i="76" s="1"/>
  <c r="AC8" i="76" l="1"/>
  <c r="AC9" i="76"/>
  <c r="AC10" i="76"/>
  <c r="AC12" i="76"/>
  <c r="AC15" i="76"/>
  <c r="AC16" i="76"/>
  <c r="AC17" i="76"/>
  <c r="AC22" i="76"/>
  <c r="AC23" i="76"/>
  <c r="AC24" i="76"/>
  <c r="AC28" i="76"/>
  <c r="AC29" i="76"/>
  <c r="AC30" i="76"/>
  <c r="AC34" i="76"/>
  <c r="AC35" i="76"/>
  <c r="AC36" i="76"/>
  <c r="AC39" i="76"/>
  <c r="AC40" i="76"/>
  <c r="AC41" i="76"/>
  <c r="AC44" i="76"/>
  <c r="AC45" i="76"/>
  <c r="AC46" i="76"/>
  <c r="AC47" i="76"/>
  <c r="AC56" i="76"/>
  <c r="AC57" i="76"/>
  <c r="AC63" i="76"/>
  <c r="AC64" i="76"/>
  <c r="AC65" i="76"/>
  <c r="AC69" i="76"/>
  <c r="AC70" i="76"/>
  <c r="AC71" i="76"/>
  <c r="AC74" i="76"/>
  <c r="AC76" i="76"/>
  <c r="AC77" i="76"/>
  <c r="AC78" i="76"/>
  <c r="AC79" i="76"/>
  <c r="AC25" i="76" l="1"/>
  <c r="AC18" i="76"/>
  <c r="AC48" i="76"/>
  <c r="AC66" i="76"/>
  <c r="AC37" i="76"/>
  <c r="AC31" i="76"/>
  <c r="AC72" i="76"/>
  <c r="AE36" i="1"/>
  <c r="AC73" i="76" l="1"/>
  <c r="AC75" i="76" s="1"/>
  <c r="AC82" i="76" s="1"/>
  <c r="AC49" i="76"/>
  <c r="AC51" i="76" s="1"/>
  <c r="AD34" i="76" l="1"/>
  <c r="AD39" i="76"/>
  <c r="AD40" i="76"/>
  <c r="AD44" i="76"/>
  <c r="AD41" i="76"/>
  <c r="R35" i="76" l="1"/>
  <c r="AA43" i="1"/>
  <c r="AA38" i="1"/>
  <c r="AA35" i="1"/>
  <c r="T43" i="1"/>
  <c r="T38" i="1"/>
  <c r="T35" i="1"/>
  <c r="S35" i="1"/>
  <c r="N17" i="1"/>
  <c r="N24" i="1"/>
  <c r="N30" i="1"/>
  <c r="N36" i="1"/>
  <c r="N47" i="1"/>
  <c r="N65" i="1"/>
  <c r="N71" i="1"/>
  <c r="N48" i="1" l="1"/>
  <c r="N50" i="1" s="1"/>
  <c r="N53" i="1" s="1"/>
  <c r="N72" i="1"/>
  <c r="N74" i="1" s="1"/>
  <c r="N81" i="1" s="1"/>
  <c r="N54" i="1" s="1"/>
  <c r="B53" i="69"/>
  <c r="B44" i="69"/>
  <c r="B28" i="69"/>
  <c r="C49" i="3"/>
  <c r="B50" i="75" s="1"/>
  <c r="C39" i="3"/>
  <c r="B40" i="75" s="1"/>
  <c r="B49" i="3"/>
  <c r="B39" i="3"/>
  <c r="C30" i="3"/>
  <c r="B31" i="75" s="1"/>
  <c r="B30" i="3"/>
  <c r="C23" i="3"/>
  <c r="B26" i="75" s="1"/>
  <c r="B23" i="3"/>
  <c r="T8" i="76"/>
  <c r="T9" i="76"/>
  <c r="T10" i="76"/>
  <c r="T12" i="76"/>
  <c r="T15" i="76"/>
  <c r="T16" i="76"/>
  <c r="T17" i="76"/>
  <c r="T22" i="76"/>
  <c r="T23" i="76"/>
  <c r="T24" i="76"/>
  <c r="T28" i="76"/>
  <c r="T29" i="76"/>
  <c r="T30" i="76"/>
  <c r="T34" i="76"/>
  <c r="T35" i="76"/>
  <c r="T36" i="76"/>
  <c r="T39" i="76"/>
  <c r="T40" i="76"/>
  <c r="T41" i="76"/>
  <c r="T44" i="76"/>
  <c r="T45" i="76"/>
  <c r="T46" i="76"/>
  <c r="T47" i="76"/>
  <c r="T56" i="76"/>
  <c r="T57" i="76"/>
  <c r="T63" i="76"/>
  <c r="T64" i="76"/>
  <c r="T65" i="76"/>
  <c r="T69" i="76"/>
  <c r="T70" i="76"/>
  <c r="T71" i="76"/>
  <c r="T74" i="76"/>
  <c r="T76" i="76"/>
  <c r="T77" i="76"/>
  <c r="T78" i="76"/>
  <c r="T79" i="76"/>
  <c r="T18" i="76" l="1"/>
  <c r="T48" i="76"/>
  <c r="T37" i="76"/>
  <c r="T66" i="76"/>
  <c r="T72" i="76"/>
  <c r="T25" i="76"/>
  <c r="T31" i="76"/>
  <c r="T71" i="1"/>
  <c r="T65" i="1"/>
  <c r="T47" i="1"/>
  <c r="T36" i="1"/>
  <c r="T30" i="1"/>
  <c r="T24" i="1"/>
  <c r="T17" i="1"/>
  <c r="I44" i="69" l="1"/>
  <c r="E39" i="3"/>
  <c r="F40" i="75" s="1"/>
  <c r="G40" i="75" s="1"/>
  <c r="T72" i="1"/>
  <c r="T74" i="1" s="1"/>
  <c r="T81" i="1" s="1"/>
  <c r="T54" i="1" s="1"/>
  <c r="T73" i="76"/>
  <c r="T75" i="76" s="1"/>
  <c r="T82" i="76" s="1"/>
  <c r="T49" i="76"/>
  <c r="T51" i="76" s="1"/>
  <c r="AH54" i="76"/>
  <c r="T48" i="1"/>
  <c r="T50" i="1" s="1"/>
  <c r="T53" i="1" s="1"/>
  <c r="E23" i="3" l="1"/>
  <c r="F26" i="75" s="1"/>
  <c r="G26" i="75" s="1"/>
  <c r="I28" i="69"/>
  <c r="T54" i="76"/>
  <c r="A2" i="54"/>
  <c r="B35" i="69" l="1"/>
  <c r="Y10" i="76"/>
  <c r="Y8" i="76"/>
  <c r="Y9" i="76"/>
  <c r="Y12" i="76"/>
  <c r="Y15" i="76"/>
  <c r="Y16" i="76"/>
  <c r="Y17" i="76"/>
  <c r="Y22" i="76"/>
  <c r="Y23" i="76"/>
  <c r="Y24" i="76"/>
  <c r="Y28" i="76"/>
  <c r="Y29" i="76"/>
  <c r="Y30" i="76"/>
  <c r="Y34" i="76"/>
  <c r="Y35" i="76"/>
  <c r="Y36" i="76"/>
  <c r="Y39" i="76"/>
  <c r="Y40" i="76"/>
  <c r="Y41" i="76"/>
  <c r="Y44" i="76"/>
  <c r="Y45" i="76"/>
  <c r="Y46" i="76"/>
  <c r="Y47" i="76"/>
  <c r="Y56" i="76"/>
  <c r="Y57" i="76"/>
  <c r="Y63" i="76"/>
  <c r="Y64" i="76"/>
  <c r="Y65" i="76"/>
  <c r="Y69" i="76"/>
  <c r="Y70" i="76"/>
  <c r="Y71" i="76"/>
  <c r="Y74" i="76"/>
  <c r="Y76" i="76"/>
  <c r="Y77" i="76"/>
  <c r="Y78" i="76"/>
  <c r="Y79" i="76"/>
  <c r="AA71" i="1"/>
  <c r="AA65" i="1"/>
  <c r="AA47" i="1"/>
  <c r="AA36" i="1"/>
  <c r="AA30" i="1"/>
  <c r="AA24" i="1"/>
  <c r="AA17" i="1"/>
  <c r="AA72" i="1" l="1"/>
  <c r="AA74" i="1" s="1"/>
  <c r="AA81" i="1" s="1"/>
  <c r="Y25" i="76"/>
  <c r="Y18" i="76"/>
  <c r="Y31" i="76"/>
  <c r="Y72" i="76"/>
  <c r="Y37" i="76"/>
  <c r="Y66" i="76"/>
  <c r="Y48" i="76"/>
  <c r="AA48" i="1"/>
  <c r="AA50" i="1" s="1"/>
  <c r="AA53" i="1" s="1"/>
  <c r="E30" i="3" l="1"/>
  <c r="F31" i="75" s="1"/>
  <c r="AA54" i="1"/>
  <c r="Y54" i="76"/>
  <c r="I35" i="69"/>
  <c r="Y73" i="76"/>
  <c r="Y75" i="76" s="1"/>
  <c r="Y82" i="76" s="1"/>
  <c r="Y49" i="76"/>
  <c r="Y51" i="76" s="1"/>
  <c r="B43" i="69"/>
  <c r="C38" i="3"/>
  <c r="B39" i="75" s="1"/>
  <c r="B38" i="3"/>
  <c r="G31" i="75" l="1"/>
  <c r="G8" i="76"/>
  <c r="H8" i="76"/>
  <c r="J8" i="76"/>
  <c r="K8" i="76"/>
  <c r="L8" i="76"/>
  <c r="M8" i="76"/>
  <c r="N8" i="76"/>
  <c r="O8" i="76"/>
  <c r="P8" i="76"/>
  <c r="Q8" i="76"/>
  <c r="R8" i="76"/>
  <c r="S8" i="76"/>
  <c r="W8" i="76"/>
  <c r="AB8" i="76"/>
  <c r="AD8" i="76"/>
  <c r="AG8" i="76"/>
  <c r="G9" i="76"/>
  <c r="H9" i="76"/>
  <c r="J9" i="76"/>
  <c r="K9" i="76"/>
  <c r="L9" i="76"/>
  <c r="M9" i="76"/>
  <c r="N9" i="76"/>
  <c r="O9" i="76"/>
  <c r="P9" i="76"/>
  <c r="Q9" i="76"/>
  <c r="R9" i="76"/>
  <c r="S9" i="76"/>
  <c r="W9" i="76"/>
  <c r="AB9" i="76"/>
  <c r="AD9" i="76"/>
  <c r="AG9" i="76"/>
  <c r="G10" i="76"/>
  <c r="J10" i="76"/>
  <c r="K10" i="76"/>
  <c r="N10" i="76"/>
  <c r="O10" i="76"/>
  <c r="P10" i="76"/>
  <c r="Q10" i="76"/>
  <c r="S10" i="76"/>
  <c r="W10" i="76"/>
  <c r="AB10" i="76"/>
  <c r="AD10" i="76"/>
  <c r="AG10" i="76"/>
  <c r="J11" i="76"/>
  <c r="G12" i="76"/>
  <c r="H12" i="76"/>
  <c r="J12" i="76"/>
  <c r="K12" i="76"/>
  <c r="L12" i="76"/>
  <c r="M12" i="76"/>
  <c r="N12" i="76"/>
  <c r="O12" i="76"/>
  <c r="P12" i="76"/>
  <c r="Q12" i="76"/>
  <c r="R12" i="76"/>
  <c r="S12" i="76"/>
  <c r="W12" i="76"/>
  <c r="AB12" i="76"/>
  <c r="AD12" i="76"/>
  <c r="AG12" i="76"/>
  <c r="G15" i="76"/>
  <c r="H15" i="76"/>
  <c r="J15" i="76"/>
  <c r="K15" i="76"/>
  <c r="L15" i="76"/>
  <c r="M15" i="76"/>
  <c r="N15" i="76"/>
  <c r="O15" i="76"/>
  <c r="P15" i="76"/>
  <c r="Q15" i="76"/>
  <c r="R15" i="76"/>
  <c r="S15" i="76"/>
  <c r="W15" i="76"/>
  <c r="AB15" i="76"/>
  <c r="AD15" i="76"/>
  <c r="AG15" i="76"/>
  <c r="G16" i="76"/>
  <c r="H16" i="76"/>
  <c r="J16" i="76"/>
  <c r="K16" i="76"/>
  <c r="L16" i="76"/>
  <c r="M16" i="76"/>
  <c r="N16" i="76"/>
  <c r="O16" i="76"/>
  <c r="P16" i="76"/>
  <c r="Q16" i="76"/>
  <c r="R16" i="76"/>
  <c r="S16" i="76"/>
  <c r="W16" i="76"/>
  <c r="AB16" i="76"/>
  <c r="AD16" i="76"/>
  <c r="AG16" i="76"/>
  <c r="G17" i="76"/>
  <c r="H17" i="76"/>
  <c r="J17" i="76"/>
  <c r="K17" i="76"/>
  <c r="L17" i="76"/>
  <c r="M17" i="76"/>
  <c r="N17" i="76"/>
  <c r="O17" i="76"/>
  <c r="P17" i="76"/>
  <c r="Q17" i="76"/>
  <c r="R17" i="76"/>
  <c r="S17" i="76"/>
  <c r="W17" i="76"/>
  <c r="AB17" i="76"/>
  <c r="AD17" i="76"/>
  <c r="AG17" i="76"/>
  <c r="G22" i="76"/>
  <c r="H22" i="76"/>
  <c r="J22" i="76"/>
  <c r="K22" i="76"/>
  <c r="L22" i="76"/>
  <c r="M22" i="76"/>
  <c r="N22" i="76"/>
  <c r="O22" i="76"/>
  <c r="P22" i="76"/>
  <c r="Q22" i="76"/>
  <c r="R22" i="76"/>
  <c r="S22" i="76"/>
  <c r="W22" i="76"/>
  <c r="AB22" i="76"/>
  <c r="AD22" i="76"/>
  <c r="AG22" i="76"/>
  <c r="G23" i="76"/>
  <c r="H23" i="76"/>
  <c r="J23" i="76"/>
  <c r="K23" i="76"/>
  <c r="L23" i="76"/>
  <c r="M23" i="76"/>
  <c r="N23" i="76"/>
  <c r="O23" i="76"/>
  <c r="P23" i="76"/>
  <c r="Q23" i="76"/>
  <c r="R23" i="76"/>
  <c r="S23" i="76"/>
  <c r="W23" i="76"/>
  <c r="AD23" i="76"/>
  <c r="AG23" i="76"/>
  <c r="G24" i="76"/>
  <c r="H24" i="76"/>
  <c r="J24" i="76"/>
  <c r="K24" i="76"/>
  <c r="L24" i="76"/>
  <c r="M24" i="76"/>
  <c r="N24" i="76"/>
  <c r="O24" i="76"/>
  <c r="P24" i="76"/>
  <c r="Q24" i="76"/>
  <c r="R24" i="76"/>
  <c r="S24" i="76"/>
  <c r="W24" i="76"/>
  <c r="AB24" i="76"/>
  <c r="AD24" i="76"/>
  <c r="AG24" i="76"/>
  <c r="G28" i="76"/>
  <c r="H28" i="76"/>
  <c r="J28" i="76"/>
  <c r="K28" i="76"/>
  <c r="L28" i="76"/>
  <c r="M28" i="76"/>
  <c r="N28" i="76"/>
  <c r="O28" i="76"/>
  <c r="P28" i="76"/>
  <c r="Q28" i="76"/>
  <c r="R28" i="76"/>
  <c r="S28" i="76"/>
  <c r="W28" i="76"/>
  <c r="AD28" i="76"/>
  <c r="AG28" i="76"/>
  <c r="G29" i="76"/>
  <c r="H29" i="76"/>
  <c r="J29" i="76"/>
  <c r="K29" i="76"/>
  <c r="L29" i="76"/>
  <c r="M29" i="76"/>
  <c r="N29" i="76"/>
  <c r="O29" i="76"/>
  <c r="P29" i="76"/>
  <c r="Q29" i="76"/>
  <c r="R29" i="76"/>
  <c r="S29" i="76"/>
  <c r="W29" i="76"/>
  <c r="AB29" i="76"/>
  <c r="AD29" i="76"/>
  <c r="AG29" i="76"/>
  <c r="G30" i="76"/>
  <c r="H30" i="76"/>
  <c r="J30" i="76"/>
  <c r="K30" i="76"/>
  <c r="L30" i="76"/>
  <c r="M30" i="76"/>
  <c r="N30" i="76"/>
  <c r="O30" i="76"/>
  <c r="P30" i="76"/>
  <c r="Q30" i="76"/>
  <c r="R30" i="76"/>
  <c r="S30" i="76"/>
  <c r="W30" i="76"/>
  <c r="AB30" i="76"/>
  <c r="AD30" i="76"/>
  <c r="AG30" i="76"/>
  <c r="G34" i="76"/>
  <c r="H34" i="76"/>
  <c r="J34" i="76"/>
  <c r="K34" i="76"/>
  <c r="L34" i="76"/>
  <c r="M34" i="76"/>
  <c r="N34" i="76"/>
  <c r="O34" i="76"/>
  <c r="P34" i="76"/>
  <c r="Q34" i="76"/>
  <c r="R34" i="76"/>
  <c r="S34" i="76"/>
  <c r="W34" i="76"/>
  <c r="AG34" i="76"/>
  <c r="G35" i="76"/>
  <c r="H35" i="76"/>
  <c r="J35" i="76"/>
  <c r="K35" i="76"/>
  <c r="L35" i="76"/>
  <c r="M35" i="76"/>
  <c r="N35" i="76"/>
  <c r="O35" i="76"/>
  <c r="P35" i="76"/>
  <c r="Q35" i="76"/>
  <c r="S35" i="76"/>
  <c r="W35" i="76"/>
  <c r="AB35" i="76"/>
  <c r="AD35" i="76"/>
  <c r="G36" i="76"/>
  <c r="H36" i="76"/>
  <c r="J36" i="76"/>
  <c r="K36" i="76"/>
  <c r="L36" i="76"/>
  <c r="M36" i="76"/>
  <c r="N36" i="76"/>
  <c r="O36" i="76"/>
  <c r="P36" i="76"/>
  <c r="Q36" i="76"/>
  <c r="R36" i="76"/>
  <c r="S36" i="76"/>
  <c r="W36" i="76"/>
  <c r="AB36" i="76"/>
  <c r="AD36" i="76"/>
  <c r="AG36" i="76"/>
  <c r="G39" i="76"/>
  <c r="H39" i="76"/>
  <c r="J39" i="76"/>
  <c r="K39" i="76"/>
  <c r="L39" i="76"/>
  <c r="M39" i="76"/>
  <c r="N39" i="76"/>
  <c r="O39" i="76"/>
  <c r="P39" i="76"/>
  <c r="Q39" i="76"/>
  <c r="R39" i="76"/>
  <c r="S39" i="76"/>
  <c r="W39" i="76"/>
  <c r="AG39" i="76"/>
  <c r="G40" i="76"/>
  <c r="H40" i="76"/>
  <c r="J40" i="76"/>
  <c r="K40" i="76"/>
  <c r="L40" i="76"/>
  <c r="M40" i="76"/>
  <c r="N40" i="76"/>
  <c r="O40" i="76"/>
  <c r="P40" i="76"/>
  <c r="Q40" i="76"/>
  <c r="R40" i="76"/>
  <c r="S40" i="76"/>
  <c r="W40" i="76"/>
  <c r="AG40" i="76"/>
  <c r="G41" i="76"/>
  <c r="H41" i="76"/>
  <c r="J41" i="76"/>
  <c r="K41" i="76"/>
  <c r="L41" i="76"/>
  <c r="M41" i="76"/>
  <c r="N41" i="76"/>
  <c r="O41" i="76"/>
  <c r="P41" i="76"/>
  <c r="Q41" i="76"/>
  <c r="R41" i="76"/>
  <c r="S41" i="76"/>
  <c r="W41" i="76"/>
  <c r="AG41" i="76"/>
  <c r="G44" i="76"/>
  <c r="H44" i="76"/>
  <c r="J44" i="76"/>
  <c r="K44" i="76"/>
  <c r="L44" i="76"/>
  <c r="M44" i="76"/>
  <c r="N44" i="76"/>
  <c r="O44" i="76"/>
  <c r="P44" i="76"/>
  <c r="Q44" i="76"/>
  <c r="R44" i="76"/>
  <c r="S44" i="76"/>
  <c r="W44" i="76"/>
  <c r="AG44" i="76"/>
  <c r="G45" i="76"/>
  <c r="H45" i="76"/>
  <c r="J45" i="76"/>
  <c r="K45" i="76"/>
  <c r="L45" i="76"/>
  <c r="M45" i="76"/>
  <c r="N45" i="76"/>
  <c r="O45" i="76"/>
  <c r="P45" i="76"/>
  <c r="Q45" i="76"/>
  <c r="R45" i="76"/>
  <c r="S45" i="76"/>
  <c r="W45" i="76"/>
  <c r="AB45" i="76"/>
  <c r="AD45" i="76"/>
  <c r="AG45" i="76"/>
  <c r="G46" i="76"/>
  <c r="H46" i="76"/>
  <c r="J46" i="76"/>
  <c r="K46" i="76"/>
  <c r="L46" i="76"/>
  <c r="M46" i="76"/>
  <c r="N46" i="76"/>
  <c r="O46" i="76"/>
  <c r="P46" i="76"/>
  <c r="Q46" i="76"/>
  <c r="R46" i="76"/>
  <c r="S46" i="76"/>
  <c r="W46" i="76"/>
  <c r="AB46" i="76"/>
  <c r="AD46" i="76"/>
  <c r="AG46" i="76"/>
  <c r="G47" i="76"/>
  <c r="H47" i="76"/>
  <c r="J47" i="76"/>
  <c r="K47" i="76"/>
  <c r="L47" i="76"/>
  <c r="M47" i="76"/>
  <c r="N47" i="76"/>
  <c r="O47" i="76"/>
  <c r="P47" i="76"/>
  <c r="Q47" i="76"/>
  <c r="R47" i="76"/>
  <c r="S47" i="76"/>
  <c r="W47" i="76"/>
  <c r="AB47" i="76"/>
  <c r="AD47" i="76"/>
  <c r="AG47" i="76"/>
  <c r="O54" i="76"/>
  <c r="O55" i="76"/>
  <c r="W55" i="76"/>
  <c r="G56" i="76"/>
  <c r="H56" i="76"/>
  <c r="J56" i="76"/>
  <c r="K56" i="76"/>
  <c r="L56" i="76"/>
  <c r="M56" i="76"/>
  <c r="N56" i="76"/>
  <c r="O56" i="76"/>
  <c r="P56" i="76"/>
  <c r="Q56" i="76"/>
  <c r="R56" i="76"/>
  <c r="S56" i="76"/>
  <c r="W56" i="76"/>
  <c r="AB56" i="76"/>
  <c r="AD56" i="76"/>
  <c r="AG56" i="76"/>
  <c r="G57" i="76"/>
  <c r="H57" i="76"/>
  <c r="J57" i="76"/>
  <c r="K57" i="76"/>
  <c r="L57" i="76"/>
  <c r="M57" i="76"/>
  <c r="N57" i="76"/>
  <c r="O57" i="76"/>
  <c r="P57" i="76"/>
  <c r="Q57" i="76"/>
  <c r="R57" i="76"/>
  <c r="S57" i="76"/>
  <c r="W57" i="76"/>
  <c r="AB57" i="76"/>
  <c r="AD57" i="76"/>
  <c r="AG57" i="76"/>
  <c r="G63" i="76"/>
  <c r="H63" i="76"/>
  <c r="J63" i="76"/>
  <c r="K63" i="76"/>
  <c r="L63" i="76"/>
  <c r="M63" i="76"/>
  <c r="N63" i="76"/>
  <c r="O63" i="76"/>
  <c r="P63" i="76"/>
  <c r="Q63" i="76"/>
  <c r="R63" i="76"/>
  <c r="S63" i="76"/>
  <c r="W63" i="76"/>
  <c r="AB63" i="76"/>
  <c r="AD63" i="76"/>
  <c r="AG63" i="76"/>
  <c r="G64" i="76"/>
  <c r="H64" i="76"/>
  <c r="J64" i="76"/>
  <c r="K64" i="76"/>
  <c r="L64" i="76"/>
  <c r="M64" i="76"/>
  <c r="N64" i="76"/>
  <c r="O64" i="76"/>
  <c r="P64" i="76"/>
  <c r="Q64" i="76"/>
  <c r="R64" i="76"/>
  <c r="S64" i="76"/>
  <c r="W64" i="76"/>
  <c r="AB64" i="76"/>
  <c r="AD64" i="76"/>
  <c r="AG64" i="76"/>
  <c r="G65" i="76"/>
  <c r="H65" i="76"/>
  <c r="J65" i="76"/>
  <c r="K65" i="76"/>
  <c r="L65" i="76"/>
  <c r="M65" i="76"/>
  <c r="N65" i="76"/>
  <c r="O65" i="76"/>
  <c r="P65" i="76"/>
  <c r="Q65" i="76"/>
  <c r="R65" i="76"/>
  <c r="S65" i="76"/>
  <c r="W65" i="76"/>
  <c r="AB65" i="76"/>
  <c r="AD65" i="76"/>
  <c r="AG65" i="76"/>
  <c r="G69" i="76"/>
  <c r="H69" i="76"/>
  <c r="J69" i="76"/>
  <c r="K69" i="76"/>
  <c r="L69" i="76"/>
  <c r="M69" i="76"/>
  <c r="N69" i="76"/>
  <c r="O69" i="76"/>
  <c r="P69" i="76"/>
  <c r="Q69" i="76"/>
  <c r="R69" i="76"/>
  <c r="S69" i="76"/>
  <c r="W69" i="76"/>
  <c r="AB69" i="76"/>
  <c r="AD69" i="76"/>
  <c r="AG69" i="76"/>
  <c r="G70" i="76"/>
  <c r="H70" i="76"/>
  <c r="J70" i="76"/>
  <c r="K70" i="76"/>
  <c r="L70" i="76"/>
  <c r="M70" i="76"/>
  <c r="N70" i="76"/>
  <c r="O70" i="76"/>
  <c r="P70" i="76"/>
  <c r="Q70" i="76"/>
  <c r="R70" i="76"/>
  <c r="S70" i="76"/>
  <c r="W70" i="76"/>
  <c r="AB70" i="76"/>
  <c r="AD70" i="76"/>
  <c r="AG70" i="76"/>
  <c r="G71" i="76"/>
  <c r="H71" i="76"/>
  <c r="J71" i="76"/>
  <c r="K71" i="76"/>
  <c r="L71" i="76"/>
  <c r="M71" i="76"/>
  <c r="N71" i="76"/>
  <c r="O71" i="76"/>
  <c r="P71" i="76"/>
  <c r="Q71" i="76"/>
  <c r="R71" i="76"/>
  <c r="S71" i="76"/>
  <c r="W71" i="76"/>
  <c r="AB71" i="76"/>
  <c r="AD71" i="76"/>
  <c r="AG71" i="76"/>
  <c r="G74" i="76"/>
  <c r="H74" i="76"/>
  <c r="J74" i="76"/>
  <c r="K74" i="76"/>
  <c r="L74" i="76"/>
  <c r="M74" i="76"/>
  <c r="N74" i="76"/>
  <c r="O74" i="76"/>
  <c r="P74" i="76"/>
  <c r="Q74" i="76"/>
  <c r="R74" i="76"/>
  <c r="S74" i="76"/>
  <c r="W74" i="76"/>
  <c r="AB74" i="76"/>
  <c r="AD74" i="76"/>
  <c r="AG74" i="76"/>
  <c r="G76" i="76"/>
  <c r="H76" i="76"/>
  <c r="J76" i="76"/>
  <c r="K76" i="76"/>
  <c r="L76" i="76"/>
  <c r="M76" i="76"/>
  <c r="N76" i="76"/>
  <c r="O76" i="76"/>
  <c r="P76" i="76"/>
  <c r="Q76" i="76"/>
  <c r="R76" i="76"/>
  <c r="S76" i="76"/>
  <c r="W76" i="76"/>
  <c r="AB76" i="76"/>
  <c r="AD76" i="76"/>
  <c r="AG76" i="76"/>
  <c r="G77" i="76"/>
  <c r="H77" i="76"/>
  <c r="J77" i="76"/>
  <c r="K77" i="76"/>
  <c r="L77" i="76"/>
  <c r="M77" i="76"/>
  <c r="N77" i="76"/>
  <c r="O77" i="76"/>
  <c r="P77" i="76"/>
  <c r="Q77" i="76"/>
  <c r="R77" i="76"/>
  <c r="S77" i="76"/>
  <c r="W77" i="76"/>
  <c r="AB77" i="76"/>
  <c r="AD77" i="76"/>
  <c r="AG77" i="76"/>
  <c r="G78" i="76"/>
  <c r="H78" i="76"/>
  <c r="J78" i="76"/>
  <c r="K78" i="76"/>
  <c r="L78" i="76"/>
  <c r="M78" i="76"/>
  <c r="N78" i="76"/>
  <c r="O78" i="76"/>
  <c r="P78" i="76"/>
  <c r="Q78" i="76"/>
  <c r="R78" i="76"/>
  <c r="S78" i="76"/>
  <c r="W78" i="76"/>
  <c r="AB78" i="76"/>
  <c r="AD78" i="76"/>
  <c r="AG78" i="76"/>
  <c r="G79" i="76"/>
  <c r="H79" i="76"/>
  <c r="J79" i="76"/>
  <c r="K79" i="76"/>
  <c r="L79" i="76"/>
  <c r="M79" i="76"/>
  <c r="N79" i="76"/>
  <c r="O79" i="76"/>
  <c r="P79" i="76"/>
  <c r="Q79" i="76"/>
  <c r="R79" i="76"/>
  <c r="S79" i="76"/>
  <c r="W79" i="76"/>
  <c r="AB79" i="76"/>
  <c r="AD79" i="76"/>
  <c r="AG79" i="76"/>
  <c r="G66" i="76" l="1"/>
  <c r="P18" i="76"/>
  <c r="J18" i="76"/>
  <c r="AB72" i="76"/>
  <c r="K72" i="76"/>
  <c r="O66" i="76"/>
  <c r="G18" i="76"/>
  <c r="H18" i="76"/>
  <c r="AG72" i="76"/>
  <c r="S72" i="76"/>
  <c r="O72" i="76"/>
  <c r="S66" i="76"/>
  <c r="K66" i="76"/>
  <c r="W72" i="76"/>
  <c r="W66" i="76"/>
  <c r="AG31" i="76"/>
  <c r="AG18" i="76"/>
  <c r="M18" i="76"/>
  <c r="AG37" i="76"/>
  <c r="H48" i="76"/>
  <c r="W48" i="76"/>
  <c r="S48" i="76"/>
  <c r="O48" i="76"/>
  <c r="K48" i="76"/>
  <c r="L72" i="76"/>
  <c r="G72" i="76"/>
  <c r="AG66" i="76"/>
  <c r="AB66" i="76"/>
  <c r="H25" i="76"/>
  <c r="W31" i="76"/>
  <c r="L18" i="76"/>
  <c r="G31" i="76"/>
  <c r="R31" i="76"/>
  <c r="J31" i="76"/>
  <c r="H31" i="76"/>
  <c r="L48" i="76"/>
  <c r="G48" i="76"/>
  <c r="AD37" i="76"/>
  <c r="N37" i="76"/>
  <c r="J37" i="76"/>
  <c r="H37" i="76"/>
  <c r="J25" i="76"/>
  <c r="M48" i="76"/>
  <c r="J48" i="76"/>
  <c r="P37" i="76"/>
  <c r="G37" i="76"/>
  <c r="R37" i="76"/>
  <c r="N31" i="76"/>
  <c r="AD18" i="76"/>
  <c r="P48" i="76"/>
  <c r="Q37" i="76"/>
  <c r="M37" i="76"/>
  <c r="Q31" i="76"/>
  <c r="M31" i="76"/>
  <c r="R25" i="76"/>
  <c r="P25" i="76"/>
  <c r="G25" i="76"/>
  <c r="Q48" i="76"/>
  <c r="L31" i="76"/>
  <c r="R18" i="76"/>
  <c r="N18" i="76"/>
  <c r="R48" i="76"/>
  <c r="W37" i="76"/>
  <c r="S37" i="76"/>
  <c r="O37" i="76"/>
  <c r="K37" i="76"/>
  <c r="M25" i="76"/>
  <c r="N25" i="76"/>
  <c r="Q25" i="76"/>
  <c r="P31" i="76"/>
  <c r="L37" i="76"/>
  <c r="L25" i="76"/>
  <c r="Q18" i="76"/>
  <c r="P66" i="76"/>
  <c r="L66" i="76"/>
  <c r="AD48" i="76"/>
  <c r="AD31" i="76"/>
  <c r="AD25" i="76"/>
  <c r="P72" i="76"/>
  <c r="N48" i="76"/>
  <c r="R72" i="76"/>
  <c r="N72" i="76"/>
  <c r="J72" i="76"/>
  <c r="R66" i="76"/>
  <c r="N66" i="76"/>
  <c r="J66" i="76"/>
  <c r="AD72" i="76"/>
  <c r="Q66" i="76"/>
  <c r="M66" i="76"/>
  <c r="H66" i="76"/>
  <c r="AG48" i="76"/>
  <c r="W25" i="76"/>
  <c r="S25" i="76"/>
  <c r="O25" i="76"/>
  <c r="K25" i="76"/>
  <c r="W18" i="76"/>
  <c r="S18" i="76"/>
  <c r="O18" i="76"/>
  <c r="K18" i="76"/>
  <c r="Q72" i="76"/>
  <c r="M72" i="76"/>
  <c r="H72" i="76"/>
  <c r="AD66" i="76"/>
  <c r="AG25" i="76"/>
  <c r="S31" i="76"/>
  <c r="O31" i="76"/>
  <c r="K31" i="76"/>
  <c r="AB18" i="76"/>
  <c r="K73" i="76" l="1"/>
  <c r="K75" i="76" s="1"/>
  <c r="K82" i="76" s="1"/>
  <c r="AG73" i="76"/>
  <c r="AG75" i="76" s="1"/>
  <c r="AG82" i="76" s="1"/>
  <c r="W73" i="76"/>
  <c r="W75" i="76" s="1"/>
  <c r="W82" i="76" s="1"/>
  <c r="G73" i="76"/>
  <c r="G75" i="76" s="1"/>
  <c r="G82" i="76" s="1"/>
  <c r="O73" i="76"/>
  <c r="O75" i="76" s="1"/>
  <c r="O82" i="76" s="1"/>
  <c r="S73" i="76"/>
  <c r="S75" i="76" s="1"/>
  <c r="S82" i="76" s="1"/>
  <c r="AB73" i="76"/>
  <c r="AB75" i="76" s="1"/>
  <c r="AB82" i="76" s="1"/>
  <c r="L73" i="76"/>
  <c r="L75" i="76" s="1"/>
  <c r="L82" i="76" s="1"/>
  <c r="L49" i="76"/>
  <c r="L51" i="76" s="1"/>
  <c r="H49" i="76"/>
  <c r="H51" i="76" s="1"/>
  <c r="R49" i="76"/>
  <c r="R51" i="76" s="1"/>
  <c r="W49" i="76"/>
  <c r="W51" i="76" s="1"/>
  <c r="M49" i="76"/>
  <c r="M51" i="76" s="1"/>
  <c r="J49" i="76"/>
  <c r="J51" i="76" s="1"/>
  <c r="N49" i="76"/>
  <c r="N51" i="76" s="1"/>
  <c r="G49" i="76"/>
  <c r="G51" i="76" s="1"/>
  <c r="P49" i="76"/>
  <c r="P51" i="76" s="1"/>
  <c r="Q49" i="76"/>
  <c r="Q51" i="76" s="1"/>
  <c r="AD73" i="76"/>
  <c r="AD75" i="76" s="1"/>
  <c r="AD82" i="76" s="1"/>
  <c r="Q73" i="76"/>
  <c r="Q75" i="76" s="1"/>
  <c r="Q82" i="76" s="1"/>
  <c r="P73" i="76"/>
  <c r="P75" i="76" s="1"/>
  <c r="P82" i="76" s="1"/>
  <c r="AG49" i="76"/>
  <c r="AG51" i="76" s="1"/>
  <c r="R73" i="76"/>
  <c r="R75" i="76" s="1"/>
  <c r="R82" i="76" s="1"/>
  <c r="S49" i="76"/>
  <c r="S51" i="76" s="1"/>
  <c r="K49" i="76"/>
  <c r="K51" i="76" s="1"/>
  <c r="J73" i="76"/>
  <c r="J75" i="76" s="1"/>
  <c r="J82" i="76" s="1"/>
  <c r="N73" i="76"/>
  <c r="N75" i="76" s="1"/>
  <c r="N82" i="76" s="1"/>
  <c r="AD49" i="76"/>
  <c r="AD51" i="76" s="1"/>
  <c r="M73" i="76"/>
  <c r="M75" i="76" s="1"/>
  <c r="M82" i="76" s="1"/>
  <c r="H73" i="76"/>
  <c r="H75" i="76" s="1"/>
  <c r="H82" i="76" s="1"/>
  <c r="O49" i="76"/>
  <c r="O51" i="76" s="1"/>
  <c r="O59" i="76" s="1"/>
  <c r="AB44" i="76"/>
  <c r="AB48" i="76" s="1"/>
  <c r="AB39" i="76"/>
  <c r="AB34" i="76"/>
  <c r="AB37" i="76" s="1"/>
  <c r="AB41" i="76" l="1"/>
  <c r="AB40" i="76"/>
  <c r="AB28" i="76"/>
  <c r="AB31" i="76" s="1"/>
  <c r="AB23" i="76"/>
  <c r="AB25" i="76" s="1"/>
  <c r="I43" i="69" l="1"/>
  <c r="AB49" i="76"/>
  <c r="AB51" i="76" s="1"/>
  <c r="F79" i="76"/>
  <c r="E38" i="3" l="1"/>
  <c r="F39" i="75" s="1"/>
  <c r="G39" i="75" s="1"/>
  <c r="AG54" i="76"/>
  <c r="K10" i="1" l="1"/>
  <c r="K11" i="76" s="1"/>
  <c r="L10" i="1" l="1"/>
  <c r="L11" i="76" s="1"/>
  <c r="B19" i="69"/>
  <c r="B20" i="69"/>
  <c r="C14" i="3"/>
  <c r="B17" i="75" s="1"/>
  <c r="B14" i="3"/>
  <c r="M10" i="1" l="1"/>
  <c r="K71" i="1"/>
  <c r="K65" i="1"/>
  <c r="K47" i="1"/>
  <c r="K36" i="1"/>
  <c r="K30" i="1"/>
  <c r="K24" i="1"/>
  <c r="K17" i="1"/>
  <c r="M11" i="76" l="1"/>
  <c r="N10" i="1"/>
  <c r="N11" i="76" s="1"/>
  <c r="K72" i="1"/>
  <c r="K74" i="1" s="1"/>
  <c r="K81" i="1" s="1"/>
  <c r="K48" i="1"/>
  <c r="K50" i="1" s="1"/>
  <c r="K53" i="1" s="1"/>
  <c r="E14" i="3" l="1"/>
  <c r="F17" i="75" s="1"/>
  <c r="G17" i="75" s="1"/>
  <c r="K54" i="1"/>
  <c r="O10" i="1"/>
  <c r="O11" i="76" s="1"/>
  <c r="I19" i="69"/>
  <c r="K54" i="76"/>
  <c r="P10" i="1" l="1"/>
  <c r="P11" i="76" s="1"/>
  <c r="Q10" i="1" l="1"/>
  <c r="Q11" i="76" s="1"/>
  <c r="AB37" i="55"/>
  <c r="B52" i="69"/>
  <c r="B45" i="69"/>
  <c r="R10" i="1" l="1"/>
  <c r="R11" i="76" s="1"/>
  <c r="S10" i="1" l="1"/>
  <c r="T10" i="1" s="1"/>
  <c r="U10" i="1" s="1"/>
  <c r="V10" i="1" s="1"/>
  <c r="W10" i="1" s="1"/>
  <c r="C47" i="3"/>
  <c r="B48" i="75" s="1"/>
  <c r="B47" i="3"/>
  <c r="C40" i="3"/>
  <c r="B41" i="75" s="1"/>
  <c r="B40" i="3"/>
  <c r="AR71" i="1"/>
  <c r="AR65" i="1"/>
  <c r="AR47" i="1"/>
  <c r="AR36" i="1"/>
  <c r="AR30" i="1"/>
  <c r="AR24" i="1"/>
  <c r="AR17" i="1"/>
  <c r="AT71" i="1"/>
  <c r="AT65" i="1"/>
  <c r="AT47" i="1"/>
  <c r="AT36" i="1"/>
  <c r="AT30" i="1"/>
  <c r="AT24" i="1"/>
  <c r="AT17" i="1"/>
  <c r="AK71" i="1"/>
  <c r="AK65" i="1"/>
  <c r="AK47" i="1"/>
  <c r="AK36" i="1"/>
  <c r="AK30" i="1"/>
  <c r="AK24" i="1"/>
  <c r="AK17" i="1"/>
  <c r="X10" i="1" l="1"/>
  <c r="X11" i="76" s="1"/>
  <c r="AK72" i="1"/>
  <c r="AK74" i="1" s="1"/>
  <c r="AK81" i="1" s="1"/>
  <c r="U11" i="76"/>
  <c r="A30" i="69"/>
  <c r="AR72" i="1"/>
  <c r="AR74" i="1" s="1"/>
  <c r="AR81" i="1" s="1"/>
  <c r="AR54" i="1" s="1"/>
  <c r="AP55" i="76" s="1"/>
  <c r="S11" i="76"/>
  <c r="AT72" i="1"/>
  <c r="AT74" i="1" s="1"/>
  <c r="AT81" i="1" s="1"/>
  <c r="AT54" i="1" s="1"/>
  <c r="AR48" i="1"/>
  <c r="AR50" i="1" s="1"/>
  <c r="AT48" i="1"/>
  <c r="AT50" i="1" s="1"/>
  <c r="AT53" i="1" s="1"/>
  <c r="AK48" i="1"/>
  <c r="AK50" i="1" s="1"/>
  <c r="AK53" i="1" s="1"/>
  <c r="AK54" i="1" l="1"/>
  <c r="AU94" i="1"/>
  <c r="A32" i="69"/>
  <c r="A27" i="3"/>
  <c r="A30" i="75" s="1"/>
  <c r="AR53" i="1"/>
  <c r="AP54" i="76" s="1"/>
  <c r="AP59" i="76" s="1"/>
  <c r="AI54" i="76"/>
  <c r="A25" i="3"/>
  <c r="A28" i="75" s="1"/>
  <c r="V11" i="76"/>
  <c r="I53" i="69"/>
  <c r="E49" i="3"/>
  <c r="F50" i="75" s="1"/>
  <c r="G50" i="75" s="1"/>
  <c r="A28" i="69"/>
  <c r="A23" i="3"/>
  <c r="A26" i="75" s="1"/>
  <c r="T11" i="76"/>
  <c r="I45" i="69"/>
  <c r="E47" i="3"/>
  <c r="F48" i="75" s="1"/>
  <c r="G48" i="75" s="1"/>
  <c r="I52" i="69"/>
  <c r="E40" i="3"/>
  <c r="F41" i="75" s="1"/>
  <c r="G41" i="75" s="1"/>
  <c r="F63" i="76" l="1"/>
  <c r="F8" i="76"/>
  <c r="F9" i="76"/>
  <c r="F10" i="76"/>
  <c r="F12" i="76"/>
  <c r="F15" i="76"/>
  <c r="F16" i="76"/>
  <c r="F17" i="76"/>
  <c r="F22" i="76"/>
  <c r="F23" i="76"/>
  <c r="F24" i="76"/>
  <c r="F28" i="76"/>
  <c r="F29" i="76"/>
  <c r="F30" i="76"/>
  <c r="F34" i="76"/>
  <c r="F35" i="76"/>
  <c r="F36" i="76"/>
  <c r="F39" i="76"/>
  <c r="F40" i="76"/>
  <c r="F41" i="76"/>
  <c r="F44" i="76"/>
  <c r="F45" i="76"/>
  <c r="F46" i="76"/>
  <c r="F47" i="76"/>
  <c r="F56" i="76"/>
  <c r="F57" i="76"/>
  <c r="F64" i="76"/>
  <c r="F65" i="76"/>
  <c r="F69" i="76"/>
  <c r="F70" i="76"/>
  <c r="F71" i="76"/>
  <c r="F74" i="76"/>
  <c r="F76" i="76"/>
  <c r="F77" i="76"/>
  <c r="F78" i="76"/>
  <c r="E12" i="76"/>
  <c r="E11" i="76"/>
  <c r="E10" i="76"/>
  <c r="E9" i="76"/>
  <c r="E8" i="76"/>
  <c r="W11" i="76" l="1"/>
  <c r="F72" i="76"/>
  <c r="F31" i="76"/>
  <c r="F18" i="76"/>
  <c r="F66" i="76"/>
  <c r="F25" i="76"/>
  <c r="F37" i="76"/>
  <c r="F48" i="76"/>
  <c r="F73" i="76" l="1"/>
  <c r="F75" i="76" s="1"/>
  <c r="F49" i="76"/>
  <c r="F51" i="76" s="1"/>
  <c r="U36" i="1" l="1"/>
  <c r="U30" i="1"/>
  <c r="U24" i="1"/>
  <c r="U17" i="1"/>
  <c r="Q36" i="1" l="1"/>
  <c r="P36" i="1"/>
  <c r="R36" i="1"/>
  <c r="Q30" i="1"/>
  <c r="P30" i="1"/>
  <c r="R30" i="1"/>
  <c r="Q24" i="1"/>
  <c r="P24" i="1"/>
  <c r="R24" i="1"/>
  <c r="Q17" i="1"/>
  <c r="P17" i="1"/>
  <c r="R17" i="1"/>
  <c r="G59" i="75" l="1"/>
  <c r="E45" i="1" l="1"/>
  <c r="E46" i="76" s="1"/>
  <c r="F82" i="76"/>
  <c r="I54" i="54"/>
  <c r="I71" i="54"/>
  <c r="I65" i="54"/>
  <c r="I30" i="54"/>
  <c r="I24" i="54"/>
  <c r="E78" i="1"/>
  <c r="E54" i="1"/>
  <c r="W17" i="1"/>
  <c r="F17" i="1"/>
  <c r="G17" i="1"/>
  <c r="H17" i="1"/>
  <c r="S17" i="1"/>
  <c r="J17" i="1"/>
  <c r="L17" i="1"/>
  <c r="M17" i="1"/>
  <c r="O17" i="1"/>
  <c r="E76" i="1" l="1"/>
  <c r="E77" i="76" s="1"/>
  <c r="E77" i="1"/>
  <c r="Y77" i="1" s="1"/>
  <c r="I72" i="54"/>
  <c r="I74" i="54" s="1"/>
  <c r="I80" i="54" s="1"/>
  <c r="F78" i="54"/>
  <c r="E79" i="76"/>
  <c r="Y45" i="1"/>
  <c r="F45" i="54"/>
  <c r="F54" i="54"/>
  <c r="E55" i="76"/>
  <c r="F76" i="54" l="1"/>
  <c r="E78" i="76"/>
  <c r="F77" i="54"/>
  <c r="A4" i="75"/>
  <c r="A89" i="75" s="1"/>
  <c r="B35" i="3"/>
  <c r="B34" i="3"/>
  <c r="B33" i="3"/>
  <c r="B26" i="3"/>
  <c r="B36" i="3"/>
  <c r="B24" i="3"/>
  <c r="B20" i="3"/>
  <c r="B19" i="3"/>
  <c r="B21" i="3"/>
  <c r="B18" i="3"/>
  <c r="B17" i="3"/>
  <c r="B16" i="3"/>
  <c r="B15" i="3"/>
  <c r="B13" i="3"/>
  <c r="B22" i="3"/>
  <c r="B11" i="3"/>
  <c r="B10" i="3"/>
  <c r="B9" i="3"/>
  <c r="B8" i="3"/>
  <c r="C147" i="75"/>
  <c r="C146" i="75"/>
  <c r="B133" i="75"/>
  <c r="F131" i="75"/>
  <c r="A87" i="75"/>
  <c r="A86" i="75"/>
  <c r="C84" i="75"/>
  <c r="C162" i="75" s="1"/>
  <c r="C83" i="75"/>
  <c r="C161" i="75" s="1"/>
  <c r="C80" i="75"/>
  <c r="C158" i="75" s="1"/>
  <c r="C79" i="75"/>
  <c r="C157" i="75" s="1"/>
  <c r="C76" i="75"/>
  <c r="C154" i="75" s="1"/>
  <c r="C75" i="75"/>
  <c r="C153" i="75" s="1"/>
  <c r="C74" i="75"/>
  <c r="C152" i="75" s="1"/>
  <c r="C70" i="75"/>
  <c r="E77" i="75" s="1"/>
  <c r="I10" i="75"/>
  <c r="F135" i="75" l="1"/>
  <c r="F139" i="75" s="1"/>
  <c r="F142" i="75" s="1"/>
  <c r="C85" i="75"/>
  <c r="D84" i="75" s="1"/>
  <c r="C148" i="75"/>
  <c r="E155" i="75" s="1"/>
  <c r="C155" i="75"/>
  <c r="D154" i="75" s="1"/>
  <c r="C159" i="75"/>
  <c r="D158" i="75" s="1"/>
  <c r="C163" i="75"/>
  <c r="D161" i="75" s="1"/>
  <c r="D163" i="75" s="1"/>
  <c r="C81" i="75"/>
  <c r="D79" i="75" s="1"/>
  <c r="C77" i="75"/>
  <c r="D75" i="75" s="1"/>
  <c r="E75" i="75" s="1"/>
  <c r="E85" i="75" s="1"/>
  <c r="D80" i="75" l="1"/>
  <c r="D81" i="75" s="1"/>
  <c r="D153" i="75"/>
  <c r="D83" i="75"/>
  <c r="D85" i="75" s="1"/>
  <c r="D152" i="75"/>
  <c r="E152" i="75" s="1"/>
  <c r="E159" i="75" s="1"/>
  <c r="E158" i="75" s="1"/>
  <c r="E154" i="75"/>
  <c r="D162" i="75"/>
  <c r="E84" i="75"/>
  <c r="D76" i="75"/>
  <c r="E76" i="75" s="1"/>
  <c r="D74" i="75"/>
  <c r="D157" i="75"/>
  <c r="D155" i="75" l="1"/>
  <c r="E153" i="75"/>
  <c r="E163" i="75" s="1"/>
  <c r="E161" i="75" s="1"/>
  <c r="E83" i="75"/>
  <c r="D77" i="75"/>
  <c r="E74" i="75"/>
  <c r="E81" i="75" s="1"/>
  <c r="E157" i="75"/>
  <c r="D159" i="75"/>
  <c r="E162" i="75" l="1"/>
  <c r="E79" i="75"/>
  <c r="E80" i="75"/>
  <c r="F24" i="1" l="1"/>
  <c r="G24" i="1"/>
  <c r="H24" i="1"/>
  <c r="S24" i="1"/>
  <c r="J24" i="1"/>
  <c r="L24" i="1"/>
  <c r="M24" i="1"/>
  <c r="O24" i="1"/>
  <c r="W24" i="1"/>
  <c r="AE24" i="1"/>
  <c r="AE17" i="1"/>
  <c r="Y42" i="1" l="1"/>
  <c r="A3" i="54"/>
  <c r="C4" i="56" s="1"/>
  <c r="A4" i="54"/>
  <c r="A1" i="54"/>
  <c r="A4" i="1"/>
  <c r="A4" i="76" s="1"/>
  <c r="A5" i="1"/>
  <c r="A5" i="76" s="1"/>
  <c r="A2" i="1"/>
  <c r="F10" i="1"/>
  <c r="A1" i="3" l="1"/>
  <c r="A2" i="76"/>
  <c r="A4" i="3"/>
  <c r="A4" i="55"/>
  <c r="G10" i="1"/>
  <c r="G11" i="76" s="1"/>
  <c r="F11" i="76"/>
  <c r="H10" i="1" l="1"/>
  <c r="H11" i="76" l="1"/>
  <c r="I10" i="1"/>
  <c r="A30" i="3"/>
  <c r="A31" i="75" s="1"/>
  <c r="Y11" i="76"/>
  <c r="A35" i="69"/>
  <c r="A12" i="3" l="1"/>
  <c r="A15" i="75" s="1"/>
  <c r="I11" i="76"/>
  <c r="A14" i="69"/>
  <c r="C36" i="3" l="1"/>
  <c r="B37" i="75" s="1"/>
  <c r="B41" i="69"/>
  <c r="Y76" i="1" l="1"/>
  <c r="Y78" i="1" l="1"/>
  <c r="AE54" i="76" l="1"/>
  <c r="I41" i="69"/>
  <c r="E36" i="3"/>
  <c r="F37" i="75" s="1"/>
  <c r="G37" i="75" s="1"/>
  <c r="E62" i="1"/>
  <c r="E68" i="1"/>
  <c r="E69" i="76" s="1"/>
  <c r="E69" i="1"/>
  <c r="E73" i="1"/>
  <c r="E75" i="1"/>
  <c r="E76" i="76" s="1"/>
  <c r="E14" i="1"/>
  <c r="Y14" i="1" s="1"/>
  <c r="AU14" i="1" s="1"/>
  <c r="E21" i="1"/>
  <c r="E22" i="76" s="1"/>
  <c r="E22" i="1"/>
  <c r="E23" i="76" s="1"/>
  <c r="E27" i="1"/>
  <c r="E29" i="1"/>
  <c r="E30" i="76" s="1"/>
  <c r="E33" i="1"/>
  <c r="E34" i="1"/>
  <c r="E35" i="76" s="1"/>
  <c r="E35" i="1"/>
  <c r="E38" i="1"/>
  <c r="E39" i="76" s="1"/>
  <c r="E39" i="1"/>
  <c r="E40" i="76" s="1"/>
  <c r="E40" i="1"/>
  <c r="E43" i="1"/>
  <c r="E46" i="1"/>
  <c r="E53" i="1"/>
  <c r="E55" i="1"/>
  <c r="E56" i="1"/>
  <c r="B40" i="69"/>
  <c r="B39" i="69"/>
  <c r="B38" i="69"/>
  <c r="B31" i="69"/>
  <c r="B29" i="69"/>
  <c r="B25" i="69"/>
  <c r="B24" i="69"/>
  <c r="B26" i="69"/>
  <c r="B23" i="69"/>
  <c r="B22" i="69"/>
  <c r="B21" i="69"/>
  <c r="B18" i="69"/>
  <c r="B27" i="69"/>
  <c r="B13" i="69"/>
  <c r="A13" i="69"/>
  <c r="B12" i="69"/>
  <c r="A12" i="69"/>
  <c r="B11" i="69"/>
  <c r="A11" i="69"/>
  <c r="B10" i="69"/>
  <c r="A10" i="69"/>
  <c r="C24" i="3"/>
  <c r="B27" i="75" s="1"/>
  <c r="C35" i="3"/>
  <c r="B36" i="75" s="1"/>
  <c r="C34" i="3"/>
  <c r="B35" i="75" s="1"/>
  <c r="E70" i="1"/>
  <c r="E63" i="1"/>
  <c r="E64" i="76" s="1"/>
  <c r="E64" i="1"/>
  <c r="E65" i="76" s="1"/>
  <c r="E44" i="1"/>
  <c r="E45" i="76" s="1"/>
  <c r="E28" i="1"/>
  <c r="E29" i="76" s="1"/>
  <c r="E23" i="1"/>
  <c r="E24" i="76" s="1"/>
  <c r="E15" i="1"/>
  <c r="E16" i="76" s="1"/>
  <c r="C33" i="3"/>
  <c r="B34" i="75" s="1"/>
  <c r="A10" i="3"/>
  <c r="A13" i="75" s="1"/>
  <c r="C10" i="3"/>
  <c r="B13" i="75" s="1"/>
  <c r="A11" i="3"/>
  <c r="A14" i="75" s="1"/>
  <c r="C11" i="3"/>
  <c r="B14" i="75" s="1"/>
  <c r="C22" i="3"/>
  <c r="B25" i="75" s="1"/>
  <c r="C13" i="3"/>
  <c r="B16" i="75" s="1"/>
  <c r="C15" i="3"/>
  <c r="B18" i="75" s="1"/>
  <c r="C16" i="3"/>
  <c r="B19" i="75" s="1"/>
  <c r="C17" i="3"/>
  <c r="B20" i="75" s="1"/>
  <c r="C18" i="3"/>
  <c r="B21" i="75" s="1"/>
  <c r="C21" i="3"/>
  <c r="B24" i="75" s="1"/>
  <c r="C19" i="3"/>
  <c r="B22" i="75" s="1"/>
  <c r="C20" i="3"/>
  <c r="B23" i="75" s="1"/>
  <c r="C26" i="3"/>
  <c r="B29" i="75" s="1"/>
  <c r="C8" i="3"/>
  <c r="B11" i="75" s="1"/>
  <c r="A9" i="3"/>
  <c r="A12" i="75" s="1"/>
  <c r="C9" i="3"/>
  <c r="B12" i="75" s="1"/>
  <c r="A8" i="3"/>
  <c r="A11" i="75" s="1"/>
  <c r="AW14" i="1" l="1"/>
  <c r="AS15" i="76" s="1"/>
  <c r="AQ15" i="76"/>
  <c r="E54" i="76"/>
  <c r="E34" i="76"/>
  <c r="F33" i="54"/>
  <c r="E87" i="1"/>
  <c r="E63" i="76"/>
  <c r="E66" i="76" s="1"/>
  <c r="Y62" i="1"/>
  <c r="E41" i="76"/>
  <c r="E15" i="76"/>
  <c r="H14" i="54"/>
  <c r="Y70" i="1"/>
  <c r="E71" i="76"/>
  <c r="Y56" i="1"/>
  <c r="E57" i="76"/>
  <c r="F43" i="54"/>
  <c r="E44" i="76"/>
  <c r="Y35" i="1"/>
  <c r="E36" i="76"/>
  <c r="E37" i="76" s="1"/>
  <c r="F27" i="54"/>
  <c r="E28" i="76"/>
  <c r="Y73" i="1"/>
  <c r="E74" i="76"/>
  <c r="E47" i="76"/>
  <c r="Y55" i="1"/>
  <c r="E56" i="76"/>
  <c r="E25" i="76"/>
  <c r="Y69" i="1"/>
  <c r="E70" i="76"/>
  <c r="F73" i="54"/>
  <c r="F35" i="54"/>
  <c r="F56" i="54"/>
  <c r="Y75" i="1"/>
  <c r="F75" i="54"/>
  <c r="Y68" i="1"/>
  <c r="E71" i="1"/>
  <c r="E24" i="1"/>
  <c r="E47" i="1"/>
  <c r="E65" i="1"/>
  <c r="Y43" i="1"/>
  <c r="Y27" i="1"/>
  <c r="E30" i="1"/>
  <c r="F28" i="54"/>
  <c r="Y28" i="1"/>
  <c r="F46" i="54"/>
  <c r="F38" i="54"/>
  <c r="Y38" i="1"/>
  <c r="F29" i="54"/>
  <c r="Y29" i="1"/>
  <c r="F23" i="54"/>
  <c r="Y23" i="1"/>
  <c r="F63" i="54"/>
  <c r="Y63" i="1"/>
  <c r="F53" i="54"/>
  <c r="F39" i="54"/>
  <c r="Y39" i="1"/>
  <c r="Y33" i="1"/>
  <c r="AU33" i="1" s="1"/>
  <c r="F21" i="54"/>
  <c r="Y21" i="1"/>
  <c r="AU21" i="1" s="1"/>
  <c r="AQ22" i="76" s="1"/>
  <c r="F64" i="54"/>
  <c r="Y64" i="1"/>
  <c r="F40" i="54"/>
  <c r="Y40" i="1"/>
  <c r="F34" i="54"/>
  <c r="Y34" i="1"/>
  <c r="F22" i="54"/>
  <c r="Y22" i="1"/>
  <c r="F62" i="54"/>
  <c r="F15" i="54"/>
  <c r="Y15" i="1"/>
  <c r="F44" i="54"/>
  <c r="Y44" i="1"/>
  <c r="F14" i="54"/>
  <c r="F55" i="54"/>
  <c r="W47" i="1"/>
  <c r="F68" i="54"/>
  <c r="S71" i="1"/>
  <c r="F70" i="54"/>
  <c r="L47" i="1"/>
  <c r="O47" i="1"/>
  <c r="F69" i="54"/>
  <c r="O30" i="1"/>
  <c r="U47" i="1"/>
  <c r="U48" i="1" s="1"/>
  <c r="G36" i="1"/>
  <c r="M30" i="1"/>
  <c r="G30" i="1"/>
  <c r="M36" i="1"/>
  <c r="J36" i="1"/>
  <c r="F30" i="1"/>
  <c r="S36" i="1"/>
  <c r="L36" i="1"/>
  <c r="M47" i="1"/>
  <c r="R47" i="1"/>
  <c r="P47" i="1"/>
  <c r="Q47" i="1"/>
  <c r="U71" i="1"/>
  <c r="Q65" i="1"/>
  <c r="M65" i="1"/>
  <c r="H65" i="1"/>
  <c r="S30" i="1"/>
  <c r="J30" i="1"/>
  <c r="AE30" i="1"/>
  <c r="M71" i="1"/>
  <c r="H71" i="1"/>
  <c r="E36" i="1"/>
  <c r="F47" i="1"/>
  <c r="F36" i="1"/>
  <c r="H47" i="1"/>
  <c r="H36" i="1"/>
  <c r="L30" i="1"/>
  <c r="O36" i="1"/>
  <c r="Q71" i="1"/>
  <c r="P65" i="1"/>
  <c r="O71" i="1"/>
  <c r="W36" i="1"/>
  <c r="W71" i="1"/>
  <c r="R71" i="1"/>
  <c r="L71" i="1"/>
  <c r="S65" i="1"/>
  <c r="F65" i="1"/>
  <c r="W30" i="1"/>
  <c r="H30" i="1"/>
  <c r="W65" i="1"/>
  <c r="R65" i="1"/>
  <c r="F71" i="1"/>
  <c r="S47" i="1"/>
  <c r="AE65" i="1"/>
  <c r="U65" i="1"/>
  <c r="P71" i="1"/>
  <c r="O65" i="1"/>
  <c r="L65" i="1"/>
  <c r="J71" i="1"/>
  <c r="G71" i="1"/>
  <c r="G47" i="1"/>
  <c r="J47" i="1"/>
  <c r="AE71" i="1"/>
  <c r="J65" i="1"/>
  <c r="G65" i="1"/>
  <c r="E16" i="1"/>
  <c r="AW33" i="1" l="1"/>
  <c r="AS34" i="76" s="1"/>
  <c r="AQ34" i="76"/>
  <c r="H21" i="54"/>
  <c r="AW21" i="1"/>
  <c r="AS22" i="76" s="1"/>
  <c r="AC89" i="1"/>
  <c r="AC83" i="1" s="1"/>
  <c r="AO89" i="1"/>
  <c r="AO83" i="1" s="1"/>
  <c r="AN89" i="1"/>
  <c r="AN83" i="1" s="1"/>
  <c r="AS89" i="1"/>
  <c r="AS83" i="1" s="1"/>
  <c r="AB89" i="1"/>
  <c r="AB83" i="1" s="1"/>
  <c r="AM89" i="1"/>
  <c r="AM83" i="1" s="1"/>
  <c r="AP89" i="1"/>
  <c r="AP83" i="1" s="1"/>
  <c r="AG89" i="1"/>
  <c r="AG83" i="1" s="1"/>
  <c r="AJ89" i="1"/>
  <c r="AJ83" i="1" s="1"/>
  <c r="AL89" i="1"/>
  <c r="AL83" i="1" s="1"/>
  <c r="I89" i="1"/>
  <c r="I83" i="1" s="1"/>
  <c r="W72" i="1"/>
  <c r="W74" i="1" s="1"/>
  <c r="W81" i="1" s="1"/>
  <c r="I31" i="69" s="1"/>
  <c r="J72" i="1"/>
  <c r="R72" i="1"/>
  <c r="O72" i="1"/>
  <c r="O74" i="1" s="1"/>
  <c r="L72" i="1"/>
  <c r="L74" i="1" s="1"/>
  <c r="S72" i="1"/>
  <c r="S74" i="1" s="1"/>
  <c r="U72" i="1"/>
  <c r="U74" i="1" s="1"/>
  <c r="G72" i="1"/>
  <c r="G74" i="1" s="1"/>
  <c r="G81" i="1" s="1"/>
  <c r="G54" i="1" s="1"/>
  <c r="E72" i="1"/>
  <c r="E74" i="1" s="1"/>
  <c r="E81" i="1" s="1"/>
  <c r="P72" i="1"/>
  <c r="M72" i="1"/>
  <c r="H72" i="1"/>
  <c r="F72" i="1"/>
  <c r="Q72" i="1"/>
  <c r="AE72" i="1"/>
  <c r="H48" i="1"/>
  <c r="H50" i="1" s="1"/>
  <c r="E72" i="76"/>
  <c r="E73" i="76" s="1"/>
  <c r="E31" i="76"/>
  <c r="E48" i="76"/>
  <c r="E17" i="1"/>
  <c r="E17" i="76"/>
  <c r="R48" i="1"/>
  <c r="R50" i="1" s="1"/>
  <c r="L48" i="1"/>
  <c r="L50" i="1" s="1"/>
  <c r="L53" i="1" s="1"/>
  <c r="W48" i="1"/>
  <c r="W50" i="1" s="1"/>
  <c r="Q48" i="1"/>
  <c r="Q50" i="1" s="1"/>
  <c r="Q53" i="1" s="1"/>
  <c r="P48" i="1"/>
  <c r="P50" i="1" s="1"/>
  <c r="F47" i="54"/>
  <c r="F65" i="54"/>
  <c r="J48" i="1"/>
  <c r="J50" i="1" s="1"/>
  <c r="F48" i="1"/>
  <c r="F50" i="1" s="1"/>
  <c r="M48" i="1"/>
  <c r="M50" i="1" s="1"/>
  <c r="O48" i="1"/>
  <c r="O50" i="1" s="1"/>
  <c r="AE48" i="1"/>
  <c r="AE50" i="1" s="1"/>
  <c r="S48" i="1"/>
  <c r="S50" i="1" s="1"/>
  <c r="S53" i="1" s="1"/>
  <c r="G48" i="1"/>
  <c r="AB54" i="76"/>
  <c r="Y47" i="1"/>
  <c r="Y36" i="1"/>
  <c r="F30" i="54"/>
  <c r="F36" i="54"/>
  <c r="F71" i="54"/>
  <c r="F24" i="54"/>
  <c r="E48" i="1"/>
  <c r="Y24" i="1"/>
  <c r="Y16" i="1"/>
  <c r="U50" i="1"/>
  <c r="F16" i="54"/>
  <c r="F17" i="54" s="1"/>
  <c r="F53" i="1" l="1"/>
  <c r="F54" i="76" s="1"/>
  <c r="P53" i="1"/>
  <c r="P54" i="76" s="1"/>
  <c r="R53" i="1"/>
  <c r="R54" i="76" s="1"/>
  <c r="AE53" i="1"/>
  <c r="AC54" i="76" s="1"/>
  <c r="J53" i="1"/>
  <c r="J54" i="76" s="1"/>
  <c r="H53" i="1"/>
  <c r="H54" i="76" s="1"/>
  <c r="U53" i="1"/>
  <c r="U54" i="76" s="1"/>
  <c r="M53" i="1"/>
  <c r="M54" i="76" s="1"/>
  <c r="E26" i="3"/>
  <c r="F29" i="75" s="1"/>
  <c r="G29" i="75" s="1"/>
  <c r="E10" i="3"/>
  <c r="F13" i="75" s="1"/>
  <c r="G13" i="75" s="1"/>
  <c r="I12" i="69"/>
  <c r="F72" i="54"/>
  <c r="F74" i="54" s="1"/>
  <c r="F80" i="54" s="1"/>
  <c r="E75" i="76"/>
  <c r="E82" i="76" s="1"/>
  <c r="Y17" i="1"/>
  <c r="E49" i="76"/>
  <c r="E18" i="76"/>
  <c r="U81" i="1"/>
  <c r="S81" i="1"/>
  <c r="S54" i="1" s="1"/>
  <c r="O81" i="1"/>
  <c r="I23" i="69" s="1"/>
  <c r="L81" i="1"/>
  <c r="L54" i="1" s="1"/>
  <c r="AE74" i="1"/>
  <c r="J74" i="1"/>
  <c r="M74" i="1"/>
  <c r="P74" i="1"/>
  <c r="F74" i="1"/>
  <c r="R74" i="1"/>
  <c r="Q54" i="76"/>
  <c r="Q74" i="1"/>
  <c r="Q81" i="1" s="1"/>
  <c r="Q54" i="1" s="1"/>
  <c r="H74" i="1"/>
  <c r="H81" i="1" s="1"/>
  <c r="F48" i="54"/>
  <c r="F50" i="54" s="1"/>
  <c r="F58" i="54" s="1"/>
  <c r="AD54" i="76"/>
  <c r="S54" i="76"/>
  <c r="L54" i="76"/>
  <c r="N54" i="76"/>
  <c r="Y71" i="1"/>
  <c r="Y30" i="1"/>
  <c r="Y48" i="1" s="1"/>
  <c r="Y65" i="1"/>
  <c r="G50" i="1"/>
  <c r="G53" i="1" s="1"/>
  <c r="I10" i="69"/>
  <c r="E8" i="3"/>
  <c r="E11" i="75" s="1"/>
  <c r="E51" i="75" s="1"/>
  <c r="E50" i="1"/>
  <c r="E24" i="3" l="1"/>
  <c r="F27" i="75" s="1"/>
  <c r="G27" i="75" s="1"/>
  <c r="U54" i="1"/>
  <c r="E11" i="3"/>
  <c r="F14" i="75" s="1"/>
  <c r="G14" i="75" s="1"/>
  <c r="H54" i="1"/>
  <c r="I25" i="69"/>
  <c r="E18" i="3"/>
  <c r="F21" i="75" s="1"/>
  <c r="G21" i="75" s="1"/>
  <c r="E22" i="3"/>
  <c r="F25" i="75" s="1"/>
  <c r="G25" i="75" s="1"/>
  <c r="Y72" i="1"/>
  <c r="Y74" i="1" s="1"/>
  <c r="Y81" i="1" s="1"/>
  <c r="I20" i="69"/>
  <c r="E15" i="3"/>
  <c r="F18" i="75" s="1"/>
  <c r="G18" i="75" s="1"/>
  <c r="I27" i="69"/>
  <c r="I22" i="69"/>
  <c r="E20" i="3"/>
  <c r="F23" i="75" s="1"/>
  <c r="G23" i="75" s="1"/>
  <c r="E51" i="76"/>
  <c r="E59" i="76" s="1"/>
  <c r="I29" i="69"/>
  <c r="I13" i="69"/>
  <c r="E17" i="3"/>
  <c r="F20" i="75" s="1"/>
  <c r="G20" i="75" s="1"/>
  <c r="G54" i="76"/>
  <c r="P81" i="1"/>
  <c r="AE81" i="1"/>
  <c r="AE54" i="1" s="1"/>
  <c r="J81" i="1"/>
  <c r="J54" i="1" s="1"/>
  <c r="M81" i="1"/>
  <c r="M54" i="1" s="1"/>
  <c r="R81" i="1"/>
  <c r="R54" i="1" s="1"/>
  <c r="F81" i="1"/>
  <c r="E35" i="3"/>
  <c r="F36" i="75" s="1"/>
  <c r="G36" i="75" s="1"/>
  <c r="I40" i="69"/>
  <c r="Y50" i="1"/>
  <c r="E58" i="1"/>
  <c r="E82" i="1" s="1"/>
  <c r="G11" i="75"/>
  <c r="F54" i="1" l="1"/>
  <c r="H94" i="1"/>
  <c r="E19" i="3"/>
  <c r="F22" i="75" s="1"/>
  <c r="G22" i="75" s="1"/>
  <c r="P54" i="1"/>
  <c r="G14" i="54"/>
  <c r="I24" i="69"/>
  <c r="I18" i="69"/>
  <c r="E21" i="3"/>
  <c r="F24" i="75" s="1"/>
  <c r="G24" i="75" s="1"/>
  <c r="E33" i="3"/>
  <c r="F34" i="75" s="1"/>
  <c r="G34" i="75" s="1"/>
  <c r="I21" i="69"/>
  <c r="E13" i="3"/>
  <c r="F16" i="75" s="1"/>
  <c r="I26" i="69"/>
  <c r="O58" i="1"/>
  <c r="E16" i="3"/>
  <c r="F19" i="75" s="1"/>
  <c r="G19" i="75" s="1"/>
  <c r="E34" i="3"/>
  <c r="F35" i="75" s="1"/>
  <c r="G35" i="75" s="1"/>
  <c r="I39" i="69"/>
  <c r="I38" i="69"/>
  <c r="I11" i="69"/>
  <c r="I16" i="69" s="1"/>
  <c r="E9" i="3"/>
  <c r="F12" i="75" s="1"/>
  <c r="H10" i="69"/>
  <c r="D8" i="3"/>
  <c r="F8" i="3" s="1"/>
  <c r="F81" i="54"/>
  <c r="J10" i="69" l="1"/>
  <c r="K10" i="69"/>
  <c r="L10" i="69" s="1"/>
  <c r="F51" i="75"/>
  <c r="G16" i="75"/>
  <c r="G12" i="75"/>
  <c r="G51" i="75" s="1"/>
  <c r="D18" i="3"/>
  <c r="H23" i="69"/>
  <c r="I33" i="69"/>
  <c r="I55" i="69" s="1"/>
  <c r="E28" i="3"/>
  <c r="E50" i="3" s="1"/>
  <c r="E54" i="3" s="1"/>
  <c r="F33" i="69"/>
  <c r="F55" i="69" s="1"/>
  <c r="J23" i="69" l="1"/>
  <c r="K23" i="69"/>
  <c r="L23" i="69" s="1"/>
  <c r="E33" i="69"/>
  <c r="E55" i="69" s="1"/>
  <c r="AU15" i="1" l="1"/>
  <c r="AQ16" i="76" s="1"/>
  <c r="AU64" i="1"/>
  <c r="AQ65" i="76" s="1"/>
  <c r="AU34" i="1"/>
  <c r="AQ35" i="76" s="1"/>
  <c r="AU22" i="1"/>
  <c r="AQ23" i="76" s="1"/>
  <c r="AQ25" i="76" s="1"/>
  <c r="AU45" i="1"/>
  <c r="AQ46" i="76" s="1"/>
  <c r="AU70" i="1"/>
  <c r="AQ71" i="76" s="1"/>
  <c r="AU35" i="1"/>
  <c r="AQ36" i="76" s="1"/>
  <c r="AU78" i="1"/>
  <c r="AQ79" i="76" s="1"/>
  <c r="AU46" i="1"/>
  <c r="AQ47" i="76" s="1"/>
  <c r="AU40" i="1"/>
  <c r="AQ41" i="76" s="1"/>
  <c r="AU38" i="1"/>
  <c r="AQ39" i="76" s="1"/>
  <c r="AU75" i="1"/>
  <c r="AQ76" i="76" s="1"/>
  <c r="AU27" i="1"/>
  <c r="AQ28" i="76" s="1"/>
  <c r="AU56" i="1"/>
  <c r="AQ57" i="76" s="1"/>
  <c r="AU28" i="1"/>
  <c r="AQ29" i="76" s="1"/>
  <c r="AU44" i="1"/>
  <c r="AQ45" i="76" s="1"/>
  <c r="AU16" i="1"/>
  <c r="AQ17" i="76" s="1"/>
  <c r="AU23" i="1"/>
  <c r="AQ24" i="76" s="1"/>
  <c r="AU55" i="1"/>
  <c r="AQ56" i="76" s="1"/>
  <c r="AU39" i="1"/>
  <c r="AQ40" i="76" s="1"/>
  <c r="AU68" i="1"/>
  <c r="AQ69" i="76" s="1"/>
  <c r="AU69" i="1"/>
  <c r="AQ70" i="76" s="1"/>
  <c r="AU73" i="1"/>
  <c r="AQ74" i="76" s="1"/>
  <c r="AU29" i="1"/>
  <c r="AQ30" i="76" s="1"/>
  <c r="AU63" i="1"/>
  <c r="AQ64" i="76" s="1"/>
  <c r="H33" i="54"/>
  <c r="AU43" i="1"/>
  <c r="AQ44" i="76" s="1"/>
  <c r="AU76" i="1"/>
  <c r="AQ77" i="76" s="1"/>
  <c r="AU77" i="1"/>
  <c r="AQ78" i="76" s="1"/>
  <c r="AU62" i="1"/>
  <c r="AQ63" i="76" s="1"/>
  <c r="AQ66" i="76" l="1"/>
  <c r="AQ37" i="76"/>
  <c r="AQ48" i="76"/>
  <c r="AQ72" i="76"/>
  <c r="AQ31" i="76"/>
  <c r="AQ18" i="76"/>
  <c r="H29" i="54"/>
  <c r="AW29" i="1"/>
  <c r="AS30" i="76" s="1"/>
  <c r="H39" i="54"/>
  <c r="AW39" i="1"/>
  <c r="AS40" i="76" s="1"/>
  <c r="H44" i="54"/>
  <c r="AW44" i="1"/>
  <c r="AS45" i="76" s="1"/>
  <c r="H75" i="54"/>
  <c r="AW75" i="1"/>
  <c r="AS76" i="76" s="1"/>
  <c r="H78" i="54"/>
  <c r="AW78" i="1"/>
  <c r="AS79" i="76" s="1"/>
  <c r="H22" i="54"/>
  <c r="AW22" i="1"/>
  <c r="AS23" i="76" s="1"/>
  <c r="H43" i="54"/>
  <c r="AW43" i="1"/>
  <c r="AS44" i="76" s="1"/>
  <c r="H55" i="54"/>
  <c r="AW55" i="1"/>
  <c r="AS56" i="76" s="1"/>
  <c r="H28" i="54"/>
  <c r="AW28" i="1"/>
  <c r="AS29" i="76" s="1"/>
  <c r="H38" i="54"/>
  <c r="AW38" i="1"/>
  <c r="AS39" i="76" s="1"/>
  <c r="H35" i="54"/>
  <c r="AW35" i="1"/>
  <c r="AS36" i="76" s="1"/>
  <c r="H34" i="54"/>
  <c r="AW34" i="1"/>
  <c r="H76" i="54"/>
  <c r="AW76" i="1"/>
  <c r="AS77" i="76" s="1"/>
  <c r="H62" i="54"/>
  <c r="AW62" i="1"/>
  <c r="AS63" i="76" s="1"/>
  <c r="H69" i="54"/>
  <c r="AW69" i="1"/>
  <c r="AS70" i="76" s="1"/>
  <c r="H23" i="54"/>
  <c r="AW23" i="1"/>
  <c r="AS24" i="76" s="1"/>
  <c r="H56" i="54"/>
  <c r="AW56" i="1"/>
  <c r="AS57" i="76" s="1"/>
  <c r="H40" i="54"/>
  <c r="AW40" i="1"/>
  <c r="AS41" i="76" s="1"/>
  <c r="H70" i="54"/>
  <c r="AW70" i="1"/>
  <c r="AS71" i="76" s="1"/>
  <c r="H64" i="54"/>
  <c r="AW64" i="1"/>
  <c r="AS65" i="76" s="1"/>
  <c r="H77" i="54"/>
  <c r="AW77" i="1"/>
  <c r="AS78" i="76" s="1"/>
  <c r="H63" i="54"/>
  <c r="AW63" i="1"/>
  <c r="AS64" i="76" s="1"/>
  <c r="H68" i="54"/>
  <c r="AW68" i="1"/>
  <c r="H16" i="54"/>
  <c r="AW16" i="1"/>
  <c r="AS17" i="76" s="1"/>
  <c r="H27" i="54"/>
  <c r="AW27" i="1"/>
  <c r="H46" i="54"/>
  <c r="AW46" i="1"/>
  <c r="AS47" i="76" s="1"/>
  <c r="H45" i="54"/>
  <c r="H15" i="54"/>
  <c r="F25" i="55" s="1"/>
  <c r="AW15" i="1"/>
  <c r="H73" i="54"/>
  <c r="AW73" i="1"/>
  <c r="AS74" i="76" s="1"/>
  <c r="AU36" i="1"/>
  <c r="AU47" i="1"/>
  <c r="AU71" i="1"/>
  <c r="AU24" i="1"/>
  <c r="AU65" i="1"/>
  <c r="AU30" i="1"/>
  <c r="AU17" i="1"/>
  <c r="AQ73" i="76" l="1"/>
  <c r="AQ75" i="76" s="1"/>
  <c r="AQ82" i="76" s="1"/>
  <c r="AQ49" i="76"/>
  <c r="AQ51" i="76" s="1"/>
  <c r="AS66" i="76"/>
  <c r="AS25" i="76"/>
  <c r="AW17" i="1"/>
  <c r="AS16" i="76"/>
  <c r="AS18" i="76" s="1"/>
  <c r="AW36" i="1"/>
  <c r="AS35" i="76"/>
  <c r="AS37" i="76" s="1"/>
  <c r="AW30" i="1"/>
  <c r="AS28" i="76"/>
  <c r="AS31" i="76" s="1"/>
  <c r="AW71" i="1"/>
  <c r="AS69" i="76"/>
  <c r="AS72" i="76" s="1"/>
  <c r="AW65" i="1"/>
  <c r="AW24" i="1"/>
  <c r="G21" i="54"/>
  <c r="AU72" i="1"/>
  <c r="AU74" i="1" s="1"/>
  <c r="AU81" i="1" s="1"/>
  <c r="F11" i="55" s="1"/>
  <c r="AU48" i="1"/>
  <c r="AU50" i="1" s="1"/>
  <c r="AW72" i="1" l="1"/>
  <c r="AW74" i="1" s="1"/>
  <c r="AW81" i="1" s="1"/>
  <c r="AS73" i="76"/>
  <c r="AS75" i="76" s="1"/>
  <c r="AS82" i="76" s="1"/>
  <c r="J28" i="54"/>
  <c r="J34" i="54" l="1"/>
  <c r="G70" i="54"/>
  <c r="G68" i="54"/>
  <c r="G38" i="54"/>
  <c r="J73" i="54"/>
  <c r="G76" i="54"/>
  <c r="G35" i="54"/>
  <c r="G69" i="54"/>
  <c r="G28" i="54"/>
  <c r="J70" i="54"/>
  <c r="J76" i="54"/>
  <c r="J78" i="54"/>
  <c r="G78" i="54"/>
  <c r="J69" i="54"/>
  <c r="H71" i="54"/>
  <c r="J68" i="54"/>
  <c r="G34" i="54"/>
  <c r="H30" i="54"/>
  <c r="G73" i="54"/>
  <c r="J64" i="54"/>
  <c r="G64" i="54"/>
  <c r="J55" i="54"/>
  <c r="G55" i="54"/>
  <c r="G27" i="54"/>
  <c r="J27" i="54"/>
  <c r="J23" i="54"/>
  <c r="G23" i="54"/>
  <c r="G75" i="54"/>
  <c r="J75" i="54"/>
  <c r="J40" i="54"/>
  <c r="G40" i="54"/>
  <c r="J16" i="54"/>
  <c r="G16" i="54"/>
  <c r="G22" i="54"/>
  <c r="J22" i="54"/>
  <c r="J56" i="54"/>
  <c r="G56" i="54"/>
  <c r="H24" i="54"/>
  <c r="J21" i="54"/>
  <c r="J77" i="54"/>
  <c r="G77" i="54"/>
  <c r="G62" i="54"/>
  <c r="J62" i="54"/>
  <c r="J15" i="54"/>
  <c r="G15" i="54"/>
  <c r="H17" i="54"/>
  <c r="G39" i="54"/>
  <c r="J39" i="54"/>
  <c r="G46" i="54"/>
  <c r="J46" i="54"/>
  <c r="J29" i="54"/>
  <c r="G29" i="54"/>
  <c r="G45" i="54"/>
  <c r="J45" i="54"/>
  <c r="G44" i="54"/>
  <c r="J44" i="54"/>
  <c r="G43" i="54"/>
  <c r="H47" i="54"/>
  <c r="G71" i="54" l="1"/>
  <c r="G63" i="54"/>
  <c r="G65" i="54" s="1"/>
  <c r="J33" i="54"/>
  <c r="H36" i="54"/>
  <c r="H48" i="54" s="1"/>
  <c r="H50" i="54" s="1"/>
  <c r="G33" i="54"/>
  <c r="G36" i="54" s="1"/>
  <c r="H65" i="54"/>
  <c r="H72" i="54" s="1"/>
  <c r="H74" i="54" s="1"/>
  <c r="H80" i="54" s="1"/>
  <c r="J63" i="54"/>
  <c r="J65" i="54" s="1"/>
  <c r="J71" i="54"/>
  <c r="J24" i="54"/>
  <c r="G30" i="54"/>
  <c r="J30" i="54"/>
  <c r="G24" i="54"/>
  <c r="G17" i="54"/>
  <c r="G47" i="54"/>
  <c r="G72" i="54" l="1"/>
  <c r="G74" i="54" s="1"/>
  <c r="G80" i="54" s="1"/>
  <c r="J72" i="54"/>
  <c r="J74" i="54" s="1"/>
  <c r="J80" i="54" s="1"/>
  <c r="G48" i="54"/>
  <c r="G50" i="54" s="1"/>
  <c r="A18" i="69" l="1"/>
  <c r="A13" i="3"/>
  <c r="A16" i="75" s="1"/>
  <c r="A14" i="3" l="1"/>
  <c r="A17" i="75" s="1"/>
  <c r="A19" i="69"/>
  <c r="A20" i="69" l="1"/>
  <c r="A15" i="3"/>
  <c r="A18" i="75" s="1"/>
  <c r="A21" i="69" l="1"/>
  <c r="A16" i="3"/>
  <c r="A19" i="75" s="1"/>
  <c r="A22" i="69" l="1"/>
  <c r="A17" i="3"/>
  <c r="A20" i="75" s="1"/>
  <c r="A23" i="69" l="1"/>
  <c r="A18" i="3"/>
  <c r="A21" i="75" s="1"/>
  <c r="A24" i="69" l="1"/>
  <c r="A19" i="3"/>
  <c r="A22" i="75" s="1"/>
  <c r="A25" i="69" l="1"/>
  <c r="A20" i="3"/>
  <c r="A23" i="75" s="1"/>
  <c r="A26" i="69" l="1"/>
  <c r="A21" i="3"/>
  <c r="A24" i="75" s="1"/>
  <c r="A22" i="3" l="1"/>
  <c r="A25" i="75" s="1"/>
  <c r="A27" i="69"/>
  <c r="A24" i="3" l="1"/>
  <c r="A27" i="75" s="1"/>
  <c r="A29" i="69"/>
  <c r="A31" i="69" l="1"/>
  <c r="E8" i="75"/>
  <c r="A26" i="3"/>
  <c r="A29" i="75" s="1"/>
  <c r="E55" i="75" l="1"/>
  <c r="S55" i="76"/>
  <c r="S59" i="76" s="1"/>
  <c r="E88" i="1"/>
  <c r="E89" i="1" s="1"/>
  <c r="E83" i="1" s="1"/>
  <c r="G55" i="76"/>
  <c r="G59" i="76" s="1"/>
  <c r="AR58" i="1"/>
  <c r="P58" i="1"/>
  <c r="J55" i="76"/>
  <c r="J59" i="76" s="1"/>
  <c r="R58" i="1"/>
  <c r="M55" i="76"/>
  <c r="M59" i="76" s="1"/>
  <c r="F15" i="55"/>
  <c r="K55" i="76"/>
  <c r="K59" i="76" s="1"/>
  <c r="L58" i="1"/>
  <c r="N55" i="76"/>
  <c r="N59" i="76" s="1"/>
  <c r="AH55" i="76"/>
  <c r="AH59" i="76" s="1"/>
  <c r="H55" i="76"/>
  <c r="H59" i="76" s="1"/>
  <c r="T55" i="76"/>
  <c r="T59" i="76" s="1"/>
  <c r="AA58" i="1"/>
  <c r="U55" i="76"/>
  <c r="U59" i="76" s="1"/>
  <c r="AC55" i="76"/>
  <c r="AC59" i="76" s="1"/>
  <c r="F58" i="1"/>
  <c r="AG55" i="76"/>
  <c r="AG59" i="76" s="1"/>
  <c r="I33" i="75" l="1"/>
  <c r="I44" i="75"/>
  <c r="I45" i="75"/>
  <c r="I32" i="75"/>
  <c r="I47" i="75"/>
  <c r="I48" i="75"/>
  <c r="I49" i="75"/>
  <c r="I46" i="75"/>
  <c r="I50" i="75"/>
  <c r="I37" i="75"/>
  <c r="I36" i="75"/>
  <c r="I41" i="75"/>
  <c r="I35" i="75"/>
  <c r="I40" i="75"/>
  <c r="I42" i="75"/>
  <c r="I43" i="75"/>
  <c r="I39" i="75"/>
  <c r="I34" i="75"/>
  <c r="I38" i="75"/>
  <c r="I15" i="75"/>
  <c r="I30" i="75"/>
  <c r="AK58" i="1"/>
  <c r="AK88" i="1" s="1"/>
  <c r="D27" i="3"/>
  <c r="H32" i="69"/>
  <c r="X88" i="1"/>
  <c r="E57" i="75"/>
  <c r="AD88" i="1"/>
  <c r="AF88" i="1"/>
  <c r="AI88" i="1"/>
  <c r="V55" i="76"/>
  <c r="V59" i="76" s="1"/>
  <c r="V58" i="1"/>
  <c r="V88" i="1" s="1"/>
  <c r="I18" i="75"/>
  <c r="I20" i="75"/>
  <c r="I24" i="75"/>
  <c r="I21" i="75"/>
  <c r="I25" i="75"/>
  <c r="I28" i="75"/>
  <c r="I31" i="75"/>
  <c r="I23" i="75"/>
  <c r="I22" i="75"/>
  <c r="I29" i="75"/>
  <c r="I27" i="75"/>
  <c r="I26" i="75"/>
  <c r="I19" i="75"/>
  <c r="I17" i="75"/>
  <c r="AE55" i="76"/>
  <c r="AE59" i="76" s="1"/>
  <c r="AQ58" i="1"/>
  <c r="AH58" i="1"/>
  <c r="H42" i="69" s="1"/>
  <c r="AF55" i="76"/>
  <c r="AF59" i="76" s="1"/>
  <c r="S58" i="1"/>
  <c r="D22" i="3" s="1"/>
  <c r="O88" i="1"/>
  <c r="G58" i="1"/>
  <c r="H12" i="69" s="1"/>
  <c r="I12" i="75"/>
  <c r="I16" i="75"/>
  <c r="AI55" i="76"/>
  <c r="AI59" i="76" s="1"/>
  <c r="R55" i="76"/>
  <c r="R59" i="76" s="1"/>
  <c r="I13" i="75"/>
  <c r="AT58" i="1"/>
  <c r="D49" i="3" s="1"/>
  <c r="AD55" i="76"/>
  <c r="AD59" i="76" s="1"/>
  <c r="J58" i="1"/>
  <c r="H18" i="69" s="1"/>
  <c r="F55" i="75"/>
  <c r="F57" i="75" s="1"/>
  <c r="I11" i="75"/>
  <c r="M58" i="1"/>
  <c r="D16" i="3" s="1"/>
  <c r="I14" i="75"/>
  <c r="F55" i="76"/>
  <c r="F59" i="76" s="1"/>
  <c r="P55" i="76"/>
  <c r="P59" i="76" s="1"/>
  <c r="N58" i="1"/>
  <c r="D17" i="3" s="1"/>
  <c r="K58" i="1"/>
  <c r="D14" i="3" s="1"/>
  <c r="D39" i="3"/>
  <c r="U58" i="1"/>
  <c r="D24" i="3" s="1"/>
  <c r="T58" i="1"/>
  <c r="D23" i="3" s="1"/>
  <c r="L55" i="76"/>
  <c r="L59" i="76" s="1"/>
  <c r="H58" i="1"/>
  <c r="D11" i="3" s="1"/>
  <c r="AB55" i="76"/>
  <c r="AB59" i="76" s="1"/>
  <c r="Y54" i="1"/>
  <c r="AU54" i="1" s="1"/>
  <c r="AQ55" i="76" s="1"/>
  <c r="AE58" i="1"/>
  <c r="D34" i="3" s="1"/>
  <c r="Q55" i="76"/>
  <c r="Q59" i="76" s="1"/>
  <c r="Q58" i="1"/>
  <c r="H25" i="69" s="1"/>
  <c r="Y55" i="76"/>
  <c r="Y59" i="76" s="1"/>
  <c r="D9" i="3"/>
  <c r="H11" i="69"/>
  <c r="F88" i="1"/>
  <c r="D15" i="3"/>
  <c r="H20" i="69"/>
  <c r="L88" i="1"/>
  <c r="D33" i="3"/>
  <c r="H38" i="69"/>
  <c r="H40" i="69"/>
  <c r="D35" i="3"/>
  <c r="D47" i="3"/>
  <c r="H52" i="69"/>
  <c r="AR88" i="1"/>
  <c r="D19" i="3"/>
  <c r="H24" i="69"/>
  <c r="P88" i="1"/>
  <c r="D30" i="3"/>
  <c r="H35" i="69"/>
  <c r="AA88" i="1"/>
  <c r="D21" i="3"/>
  <c r="H26" i="69"/>
  <c r="R88" i="1"/>
  <c r="J40" i="69" l="1"/>
  <c r="K40" i="69"/>
  <c r="L40" i="69" s="1"/>
  <c r="J26" i="69"/>
  <c r="K26" i="69"/>
  <c r="L26" i="69" s="1"/>
  <c r="J18" i="69"/>
  <c r="K18" i="69"/>
  <c r="L18" i="69" s="1"/>
  <c r="K42" i="69"/>
  <c r="L42" i="69" s="1"/>
  <c r="J42" i="69"/>
  <c r="K32" i="69"/>
  <c r="L32" i="69" s="1"/>
  <c r="J32" i="69"/>
  <c r="K38" i="69"/>
  <c r="L38" i="69" s="1"/>
  <c r="J38" i="69"/>
  <c r="K24" i="69"/>
  <c r="L24" i="69" s="1"/>
  <c r="J24" i="69"/>
  <c r="J25" i="69"/>
  <c r="K25" i="69"/>
  <c r="L25" i="69" s="1"/>
  <c r="K20" i="69"/>
  <c r="L20" i="69" s="1"/>
  <c r="J20" i="69"/>
  <c r="K12" i="69"/>
  <c r="L12" i="69" s="1"/>
  <c r="J12" i="69"/>
  <c r="J52" i="69"/>
  <c r="K52" i="69"/>
  <c r="L52" i="69" s="1"/>
  <c r="J35" i="69"/>
  <c r="K35" i="69"/>
  <c r="L35" i="69" s="1"/>
  <c r="J11" i="69"/>
  <c r="K11" i="69"/>
  <c r="L11" i="69" s="1"/>
  <c r="E61" i="75"/>
  <c r="E64" i="75" s="1"/>
  <c r="G57" i="75"/>
  <c r="I57" i="75"/>
  <c r="I64" i="75" s="1"/>
  <c r="I51" i="75"/>
  <c r="H54" i="54"/>
  <c r="AW54" i="1"/>
  <c r="AS55" i="76" s="1"/>
  <c r="H45" i="69"/>
  <c r="D40" i="3"/>
  <c r="AD89" i="1"/>
  <c r="AD83" i="1" s="1"/>
  <c r="R89" i="1"/>
  <c r="R83" i="1" s="1"/>
  <c r="AK89" i="1"/>
  <c r="AK83" i="1" s="1"/>
  <c r="AA89" i="1"/>
  <c r="AA83" i="1" s="1"/>
  <c r="L89" i="1"/>
  <c r="L83" i="1" s="1"/>
  <c r="V89" i="1"/>
  <c r="V83" i="1" s="1"/>
  <c r="AR89" i="1"/>
  <c r="AR83" i="1" s="1"/>
  <c r="O89" i="1"/>
  <c r="O83" i="1" s="1"/>
  <c r="AI89" i="1"/>
  <c r="AI83" i="1" s="1"/>
  <c r="P89" i="1"/>
  <c r="P83" i="1" s="1"/>
  <c r="F89" i="1"/>
  <c r="F83" i="1" s="1"/>
  <c r="AF89" i="1"/>
  <c r="AF83" i="1" s="1"/>
  <c r="X89" i="1"/>
  <c r="X83" i="1" s="1"/>
  <c r="D25" i="3"/>
  <c r="H30" i="69"/>
  <c r="D36" i="3"/>
  <c r="H41" i="69"/>
  <c r="AH88" i="1"/>
  <c r="D37" i="3"/>
  <c r="H51" i="69"/>
  <c r="D46" i="3"/>
  <c r="AQ88" i="1"/>
  <c r="S88" i="1"/>
  <c r="H27" i="69"/>
  <c r="N88" i="1"/>
  <c r="K88" i="1"/>
  <c r="D10" i="3"/>
  <c r="G88" i="1"/>
  <c r="H53" i="69"/>
  <c r="D38" i="3"/>
  <c r="H43" i="69"/>
  <c r="J88" i="1"/>
  <c r="AT88" i="1"/>
  <c r="T88" i="1"/>
  <c r="D13" i="3"/>
  <c r="H28" i="69"/>
  <c r="M88" i="1"/>
  <c r="H21" i="69"/>
  <c r="H19" i="69"/>
  <c r="H44" i="69"/>
  <c r="H22" i="69"/>
  <c r="U88" i="1"/>
  <c r="H29" i="69"/>
  <c r="Q88" i="1"/>
  <c r="H39" i="69"/>
  <c r="H88" i="1"/>
  <c r="H13" i="69"/>
  <c r="AE88" i="1"/>
  <c r="D20" i="3"/>
  <c r="J21" i="69" l="1"/>
  <c r="K21" i="69"/>
  <c r="L21" i="69" s="1"/>
  <c r="J22" i="69"/>
  <c r="K22" i="69"/>
  <c r="L22" i="69" s="1"/>
  <c r="J44" i="69"/>
  <c r="K44" i="69"/>
  <c r="L44" i="69" s="1"/>
  <c r="K28" i="69"/>
  <c r="L28" i="69" s="1"/>
  <c r="J28" i="69"/>
  <c r="K27" i="69"/>
  <c r="L27" i="69" s="1"/>
  <c r="J27" i="69"/>
  <c r="K51" i="69"/>
  <c r="L51" i="69" s="1"/>
  <c r="J51" i="69"/>
  <c r="K39" i="69"/>
  <c r="L39" i="69" s="1"/>
  <c r="J39" i="69"/>
  <c r="J55" i="69" s="1"/>
  <c r="K41" i="69"/>
  <c r="L41" i="69" s="1"/>
  <c r="J41" i="69"/>
  <c r="K13" i="69"/>
  <c r="L13" i="69" s="1"/>
  <c r="J13" i="69"/>
  <c r="J16" i="69" s="1"/>
  <c r="K29" i="69"/>
  <c r="L29" i="69" s="1"/>
  <c r="J29" i="69"/>
  <c r="K19" i="69"/>
  <c r="L19" i="69" s="1"/>
  <c r="J19" i="69"/>
  <c r="J43" i="69"/>
  <c r="K43" i="69"/>
  <c r="L43" i="69" s="1"/>
  <c r="J30" i="69"/>
  <c r="K30" i="69"/>
  <c r="L30" i="69" s="1"/>
  <c r="K45" i="69"/>
  <c r="L45" i="69" s="1"/>
  <c r="J45" i="69"/>
  <c r="L16" i="69"/>
  <c r="K16" i="69"/>
  <c r="W53" i="1"/>
  <c r="Y53" i="1" s="1"/>
  <c r="H16" i="69"/>
  <c r="AE89" i="1"/>
  <c r="AE83" i="1" s="1"/>
  <c r="K89" i="1"/>
  <c r="K83" i="1" s="1"/>
  <c r="AQ89" i="1"/>
  <c r="AQ83" i="1" s="1"/>
  <c r="U89" i="1"/>
  <c r="U83" i="1" s="1"/>
  <c r="J89" i="1"/>
  <c r="J83" i="1" s="1"/>
  <c r="S89" i="1"/>
  <c r="S83" i="1" s="1"/>
  <c r="AH89" i="1"/>
  <c r="AH83" i="1" s="1"/>
  <c r="Q89" i="1"/>
  <c r="Q83" i="1" s="1"/>
  <c r="M89" i="1"/>
  <c r="M83" i="1" s="1"/>
  <c r="T89" i="1"/>
  <c r="T83" i="1" s="1"/>
  <c r="N89" i="1"/>
  <c r="N83" i="1" s="1"/>
  <c r="H89" i="1"/>
  <c r="H83" i="1" s="1"/>
  <c r="AT89" i="1"/>
  <c r="AT83" i="1" s="1"/>
  <c r="G89" i="1"/>
  <c r="G83" i="1" s="1"/>
  <c r="F61" i="75"/>
  <c r="F64" i="75" s="1"/>
  <c r="G64" i="75" s="1"/>
  <c r="J65" i="75" l="1"/>
  <c r="J54" i="54"/>
  <c r="G54" i="54"/>
  <c r="G61" i="75"/>
  <c r="W58" i="1"/>
  <c r="W54" i="76"/>
  <c r="W59" i="76" s="1"/>
  <c r="Y58" i="1" l="1"/>
  <c r="Y88" i="1" s="1"/>
  <c r="AU53" i="1"/>
  <c r="AQ54" i="76" s="1"/>
  <c r="AQ59" i="76" s="1"/>
  <c r="H31" i="69"/>
  <c r="D26" i="3"/>
  <c r="D28" i="3" s="1"/>
  <c r="W88" i="1"/>
  <c r="K31" i="69" l="1"/>
  <c r="J31" i="69"/>
  <c r="J33" i="69" s="1"/>
  <c r="D50" i="3"/>
  <c r="F50" i="3" s="1"/>
  <c r="H53" i="54"/>
  <c r="F28" i="3"/>
  <c r="Y89" i="1"/>
  <c r="Y83" i="1" s="1"/>
  <c r="W89" i="1"/>
  <c r="W83" i="1" s="1"/>
  <c r="AU58" i="1"/>
  <c r="F17" i="55" s="1"/>
  <c r="H33" i="69"/>
  <c r="L31" i="69" l="1"/>
  <c r="L33" i="69" s="1"/>
  <c r="L55" i="69" s="1"/>
  <c r="L58" i="69" s="1"/>
  <c r="K33" i="69"/>
  <c r="K55" i="69"/>
  <c r="L59" i="69" s="1"/>
  <c r="AU88" i="1"/>
  <c r="L60" i="69" l="1"/>
  <c r="H55" i="69"/>
  <c r="AU89" i="1"/>
  <c r="AU83" i="1" s="1"/>
  <c r="BA42" i="1" s="1"/>
  <c r="BA44" i="1" s="1"/>
  <c r="BA45" i="1" s="1"/>
  <c r="BA46" i="1" l="1"/>
  <c r="AV45" i="1" s="1"/>
  <c r="H58" i="54"/>
  <c r="H81" i="54" s="1"/>
  <c r="G53" i="54"/>
  <c r="G58" i="54" s="1"/>
  <c r="F19" i="55"/>
  <c r="AR46" i="76" l="1"/>
  <c r="AR48" i="76" s="1"/>
  <c r="AR49" i="76" s="1"/>
  <c r="AR51" i="76" s="1"/>
  <c r="AV47" i="1"/>
  <c r="AV48" i="1" s="1"/>
  <c r="AV50" i="1" s="1"/>
  <c r="AW45" i="1"/>
  <c r="F23" i="55"/>
  <c r="AS46" i="76" l="1"/>
  <c r="AS48" i="76" s="1"/>
  <c r="AS49" i="76" s="1"/>
  <c r="AS51" i="76" s="1"/>
  <c r="AW47" i="1"/>
  <c r="AW48" i="1" s="1"/>
  <c r="AW50" i="1" s="1"/>
  <c r="AV53" i="1"/>
  <c r="AV58" i="1" s="1"/>
  <c r="J12" i="56"/>
  <c r="J17" i="56" s="1"/>
  <c r="I43" i="54" s="1"/>
  <c r="I47" i="54" s="1"/>
  <c r="F27" i="55"/>
  <c r="F31" i="55"/>
  <c r="D53" i="3" l="1"/>
  <c r="D54" i="3" s="1"/>
  <c r="F54" i="3" s="1"/>
  <c r="AV88" i="1"/>
  <c r="AV89" i="1" s="1"/>
  <c r="AV83" i="1" s="1"/>
  <c r="G23" i="55" s="1"/>
  <c r="AR54" i="76"/>
  <c r="AR59" i="76" s="1"/>
  <c r="AW53" i="1"/>
  <c r="AS54" i="76" s="1"/>
  <c r="AS59" i="76" s="1"/>
  <c r="I14" i="54"/>
  <c r="J14" i="54" s="1"/>
  <c r="J17" i="54" s="1"/>
  <c r="J15" i="56"/>
  <c r="I38" i="54" s="1"/>
  <c r="J38" i="54" s="1"/>
  <c r="J19" i="56"/>
  <c r="I35" i="54" s="1"/>
  <c r="J35" i="54" s="1"/>
  <c r="J36" i="54" s="1"/>
  <c r="J43" i="54"/>
  <c r="J47" i="54" s="1"/>
  <c r="G31" i="55" l="1"/>
  <c r="G27" i="55"/>
  <c r="AW58" i="1"/>
  <c r="AW88" i="1" s="1"/>
  <c r="AW89" i="1" s="1"/>
  <c r="AW83" i="1" s="1"/>
  <c r="I17" i="54"/>
  <c r="I36" i="54"/>
  <c r="I48" i="54" s="1"/>
  <c r="J48" i="54"/>
  <c r="J50" i="54" s="1"/>
  <c r="J21" i="56"/>
  <c r="J23" i="56" s="1"/>
  <c r="J25" i="56" s="1"/>
  <c r="J27" i="56" s="1"/>
  <c r="J29" i="56" s="1"/>
  <c r="J30" i="56" s="1"/>
  <c r="I50" i="54" l="1"/>
  <c r="I53" i="54"/>
  <c r="J53" i="54" s="1"/>
  <c r="J58" i="54" s="1"/>
  <c r="J81" i="54" s="1"/>
  <c r="I58" i="54" l="1"/>
  <c r="A33" i="3" l="1"/>
  <c r="A34" i="75" s="1"/>
  <c r="A38" i="69"/>
  <c r="AB11" i="76"/>
  <c r="AE10" i="1"/>
  <c r="AC11" i="76" s="1"/>
  <c r="A34" i="3" l="1"/>
  <c r="A35" i="75" s="1"/>
  <c r="A39" i="69"/>
  <c r="AF10" i="1"/>
  <c r="A35" i="3" l="1"/>
  <c r="A36" i="75" s="1"/>
  <c r="AD11" i="76"/>
  <c r="A40" i="69"/>
  <c r="AG10" i="1"/>
  <c r="AH10" i="1" l="1"/>
  <c r="AE11" i="76"/>
  <c r="A36" i="3"/>
  <c r="A37" i="75" s="1"/>
  <c r="A41" i="69"/>
  <c r="AI10" i="1" l="1"/>
  <c r="A37" i="3"/>
  <c r="A38" i="75" s="1"/>
  <c r="AF11" i="76"/>
  <c r="A42" i="69"/>
  <c r="A43" i="69" l="1"/>
  <c r="A38" i="3"/>
  <c r="A39" i="75" s="1"/>
  <c r="AJ10" i="1"/>
  <c r="AG11" i="76"/>
  <c r="A39" i="3" l="1"/>
  <c r="A40" i="75" s="1"/>
  <c r="A44" i="69"/>
  <c r="AH11" i="76"/>
  <c r="AK10" i="1"/>
  <c r="A40" i="3" l="1"/>
  <c r="A41" i="75" s="1"/>
  <c r="AI11" i="76"/>
  <c r="A45" i="69"/>
  <c r="AL10" i="1"/>
  <c r="A46" i="69" s="1"/>
  <c r="AM10" i="1" l="1"/>
  <c r="A41" i="3"/>
  <c r="A42" i="75" s="1"/>
  <c r="AJ11" i="76"/>
  <c r="AN10" i="1" l="1"/>
  <c r="A47" i="69"/>
  <c r="AO10" i="1"/>
  <c r="A49" i="69" s="1"/>
  <c r="A43" i="3"/>
  <c r="A44" i="75" s="1"/>
  <c r="AK11" i="76"/>
  <c r="A42" i="3"/>
  <c r="A43" i="75" s="1"/>
  <c r="AL11" i="76" l="1"/>
  <c r="A48" i="69"/>
  <c r="AM11" i="76"/>
  <c r="AP10" i="1"/>
  <c r="A44" i="3"/>
  <c r="A45" i="75" s="1"/>
  <c r="AN11" i="76" l="1"/>
  <c r="A50" i="69"/>
  <c r="A45" i="3"/>
  <c r="A46" i="75" s="1"/>
  <c r="AQ10" i="1"/>
  <c r="AR10" i="1" s="1"/>
  <c r="AO11" i="76" l="1"/>
  <c r="A51" i="69"/>
  <c r="A46" i="3"/>
  <c r="A47" i="75" s="1"/>
  <c r="AP11" i="76" l="1"/>
  <c r="A52" i="69"/>
  <c r="A47" i="3"/>
  <c r="A48" i="75" s="1"/>
  <c r="AT10" i="1"/>
  <c r="A49" i="75"/>
  <c r="A53" i="69" l="1"/>
  <c r="A49" i="3"/>
  <c r="A50" i="7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rzk7kq</author>
  </authors>
  <commentList>
    <comment ref="B67" authorId="0" shapeId="0" xr:uid="{00000000-0006-0000-0600-000001000000}">
      <text>
        <r>
          <rPr>
            <b/>
            <sz val="8"/>
            <color indexed="81"/>
            <rFont val="Tahoma"/>
            <family val="2"/>
          </rPr>
          <t xml:space="preserve">rzk7kq: </t>
        </r>
        <r>
          <rPr>
            <sz val="8"/>
            <color indexed="81"/>
            <rFont val="Tahoma"/>
            <family val="2"/>
          </rPr>
          <t xml:space="preserve">
AFUDC Equity - all 419100 accounts
AFUDC Debt - all 432000 accounts</t>
        </r>
      </text>
    </comment>
    <comment ref="F133" authorId="0" shapeId="0" xr:uid="{00000000-0006-0000-0600-000002000000}">
      <text>
        <r>
          <rPr>
            <b/>
            <sz val="8"/>
            <color indexed="81"/>
            <rFont val="Tahoma"/>
            <family val="2"/>
          </rPr>
          <t>rzk7kq:</t>
        </r>
        <r>
          <rPr>
            <sz val="8"/>
            <color indexed="81"/>
            <rFont val="Tahoma"/>
            <family val="2"/>
          </rPr>
          <t xml:space="preserve">
ID excludes STD
Cap Structure at 12/31/2005 provided by Paul Kimball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Avista Corp Employee</author>
  </authors>
  <commentList>
    <comment ref="B101" authorId="0" shapeId="0" xr:uid="{00000000-0006-0000-0700-000001000000}">
      <text>
        <r>
          <rPr>
            <b/>
            <sz val="8"/>
            <color indexed="81"/>
            <rFont val="Tahoma"/>
            <family val="2"/>
          </rPr>
          <t>5/6/02 - This is revenue from JP Releases</t>
        </r>
      </text>
    </comment>
  </commentList>
</comments>
</file>

<file path=xl/sharedStrings.xml><?xml version="1.0" encoding="utf-8"?>
<sst xmlns="http://schemas.openxmlformats.org/spreadsheetml/2006/main" count="1023" uniqueCount="610">
  <si>
    <t>Per</t>
  </si>
  <si>
    <t xml:space="preserve">Deferred </t>
  </si>
  <si>
    <t xml:space="preserve">Eliminate </t>
  </si>
  <si>
    <t>Regulatory</t>
  </si>
  <si>
    <t>Injuries</t>
  </si>
  <si>
    <t>Restate</t>
  </si>
  <si>
    <t>Office Space</t>
  </si>
  <si>
    <t>Line</t>
  </si>
  <si>
    <t xml:space="preserve">Results </t>
  </si>
  <si>
    <t>FIT</t>
  </si>
  <si>
    <t xml:space="preserve">B &amp; O </t>
  </si>
  <si>
    <t>Property</t>
  </si>
  <si>
    <t>Expense</t>
  </si>
  <si>
    <t>Debt</t>
  </si>
  <si>
    <t>Charges to</t>
  </si>
  <si>
    <t>Pro Forma</t>
  </si>
  <si>
    <t>No.</t>
  </si>
  <si>
    <t>DESCRIPTION</t>
  </si>
  <si>
    <t>Report</t>
  </si>
  <si>
    <t>Rate Base</t>
  </si>
  <si>
    <t>Adjustment</t>
  </si>
  <si>
    <t>Taxes</t>
  </si>
  <si>
    <t>Tax</t>
  </si>
  <si>
    <t>Damages</t>
  </si>
  <si>
    <t>Interest</t>
  </si>
  <si>
    <t>Total</t>
  </si>
  <si>
    <t>a</t>
  </si>
  <si>
    <t>b</t>
  </si>
  <si>
    <t>c</t>
  </si>
  <si>
    <t>d</t>
  </si>
  <si>
    <t>e</t>
  </si>
  <si>
    <t>f</t>
  </si>
  <si>
    <t>REVENUES</t>
  </si>
  <si>
    <t>Total General Business</t>
  </si>
  <si>
    <t>Total Transportation</t>
  </si>
  <si>
    <t>Other Revenues</t>
  </si>
  <si>
    <t>Total Gas Revenues</t>
  </si>
  <si>
    <t>EXPENSES</t>
  </si>
  <si>
    <t>City Gate Purchases</t>
  </si>
  <si>
    <t>Purchased Gas Expense</t>
  </si>
  <si>
    <t>Net Nat Gas Storage Trans</t>
  </si>
  <si>
    <t>Total Production</t>
  </si>
  <si>
    <t>Underground Storage</t>
  </si>
  <si>
    <t>Operating Expenses</t>
  </si>
  <si>
    <t>Depreciation</t>
  </si>
  <si>
    <t>Total Underground Storage</t>
  </si>
  <si>
    <t>Distribution</t>
  </si>
  <si>
    <t>Total Distribution</t>
  </si>
  <si>
    <t>Customer Accounting</t>
  </si>
  <si>
    <t>Customer Service &amp; Information</t>
  </si>
  <si>
    <t>Sales Expenses</t>
  </si>
  <si>
    <t>Administrative &amp; General</t>
  </si>
  <si>
    <t>Total Admin. &amp; General</t>
  </si>
  <si>
    <t>Total Gas Expense</t>
  </si>
  <si>
    <t>OPERATING INCOME BEFORE FIT</t>
  </si>
  <si>
    <t>FEDERAL INCOME TAX</t>
  </si>
  <si>
    <t>Current Accrual</t>
  </si>
  <si>
    <t>Deferred FIT</t>
  </si>
  <si>
    <t>Amort ITC</t>
  </si>
  <si>
    <t>NET OPERATING INCOME</t>
  </si>
  <si>
    <t>RATE BASE: PLANT IN SERVICE</t>
  </si>
  <si>
    <t>Distribution Plant</t>
  </si>
  <si>
    <t>General Plant</t>
  </si>
  <si>
    <t>Total Plant in Service</t>
  </si>
  <si>
    <t>ACCUMULATED DEPRECIATION</t>
  </si>
  <si>
    <t>DEFERRED FIT</t>
  </si>
  <si>
    <t>GAS INVENTORY</t>
  </si>
  <si>
    <t>GAIN ON SALE OF BUILDING</t>
  </si>
  <si>
    <t>TOTAL RATE BASE</t>
  </si>
  <si>
    <t>Washington Gas</t>
  </si>
  <si>
    <t>Column</t>
  </si>
  <si>
    <t>Description</t>
  </si>
  <si>
    <t xml:space="preserve">NOI   </t>
  </si>
  <si>
    <t>ROR</t>
  </si>
  <si>
    <t xml:space="preserve">     Actual </t>
  </si>
  <si>
    <t xml:space="preserve">     Restated Total</t>
  </si>
  <si>
    <t>PER RESULTS OF</t>
  </si>
  <si>
    <t>OPERATIONS REPORTS</t>
  </si>
  <si>
    <t xml:space="preserve">(000'S OF DOLLARS)   </t>
  </si>
  <si>
    <t>GAS</t>
  </si>
  <si>
    <t>System</t>
  </si>
  <si>
    <t>Washington</t>
  </si>
  <si>
    <t>Idaho</t>
  </si>
  <si>
    <t>Check</t>
  </si>
  <si>
    <t xml:space="preserve">Total General Business </t>
  </si>
  <si>
    <t xml:space="preserve">Total Transportation </t>
  </si>
  <si>
    <t xml:space="preserve">   Total Gas Revenues</t>
  </si>
  <si>
    <t xml:space="preserve">   City Gate Purchases</t>
  </si>
  <si>
    <t xml:space="preserve">   Purchased Gas Expense</t>
  </si>
  <si>
    <t xml:space="preserve">   Net Nat. Gas Storage Trans</t>
  </si>
  <si>
    <t xml:space="preserve">      Total Production</t>
  </si>
  <si>
    <t xml:space="preserve">   Operating Expenses</t>
  </si>
  <si>
    <t xml:space="preserve">   Depreciation</t>
  </si>
  <si>
    <t xml:space="preserve">   Taxes</t>
  </si>
  <si>
    <t xml:space="preserve">      Total Underground Storage</t>
  </si>
  <si>
    <t xml:space="preserve">      Total Distribution</t>
  </si>
  <si>
    <t>Sales</t>
  </si>
  <si>
    <t>Administrative and General</t>
  </si>
  <si>
    <t xml:space="preserve">      Total Admin. &amp; General</t>
  </si>
  <si>
    <t>Operating Income before FIT</t>
  </si>
  <si>
    <t>Federal Income Taxes</t>
  </si>
  <si>
    <t xml:space="preserve">   Current Accrual</t>
  </si>
  <si>
    <t xml:space="preserve">   Deferred FIT</t>
  </si>
  <si>
    <t xml:space="preserve">   Amort ITC</t>
  </si>
  <si>
    <t>RATE BASE</t>
  </si>
  <si>
    <t>PLANT IN SERVICE</t>
  </si>
  <si>
    <t xml:space="preserve">   Underground Storage</t>
  </si>
  <si>
    <t xml:space="preserve">   Distribution Plant</t>
  </si>
  <si>
    <t xml:space="preserve">   General Plant incl Intangible</t>
  </si>
  <si>
    <t xml:space="preserve">      Total Plant in Service</t>
  </si>
  <si>
    <t>DEFERRED TAXES</t>
  </si>
  <si>
    <t xml:space="preserve"> </t>
  </si>
  <si>
    <t>AVISTA UTILITIES</t>
  </si>
  <si>
    <t>Uncollectible</t>
  </si>
  <si>
    <t>Gas Cost Adjust</t>
  </si>
  <si>
    <t>(000's)</t>
  </si>
  <si>
    <t>Adjustment Description</t>
  </si>
  <si>
    <t>Adjustments</t>
  </si>
  <si>
    <t>Restated Debt Interest</t>
  </si>
  <si>
    <t>Increase (Decrease) in Interest Expense</t>
  </si>
  <si>
    <t>FIT Rate</t>
  </si>
  <si>
    <t>Increase (Decrease) in FIT</t>
  </si>
  <si>
    <t>Weighted Average Cost of Debt</t>
  </si>
  <si>
    <t xml:space="preserve">     Pro Forma Total</t>
  </si>
  <si>
    <t>Restate Debt Interest</t>
  </si>
  <si>
    <t>Labor</t>
  </si>
  <si>
    <t>Non-Exec</t>
  </si>
  <si>
    <t>Exec</t>
  </si>
  <si>
    <t>Jeanne</t>
  </si>
  <si>
    <t>Net</t>
  </si>
  <si>
    <t>Excise</t>
  </si>
  <si>
    <t xml:space="preserve">Line </t>
  </si>
  <si>
    <t>Capital</t>
  </si>
  <si>
    <t>Weighted</t>
  </si>
  <si>
    <t>Component</t>
  </si>
  <si>
    <t>Structure</t>
  </si>
  <si>
    <t>Cost</t>
  </si>
  <si>
    <t>Proposed Rate of Return</t>
  </si>
  <si>
    <t>Net Operating Income Requirement</t>
  </si>
  <si>
    <t>Pro Forma Net Operating Income</t>
  </si>
  <si>
    <t>Net Operating Income Deficiency</t>
  </si>
  <si>
    <t>Conversion Factor</t>
  </si>
  <si>
    <t>WITH PRESENT RATES</t>
  </si>
  <si>
    <t>Actual Per</t>
  </si>
  <si>
    <t>Proposed</t>
  </si>
  <si>
    <t>Revenues &amp;</t>
  </si>
  <si>
    <t>Related Exp</t>
  </si>
  <si>
    <t>(000's OF DOLLARS)</t>
  </si>
  <si>
    <t xml:space="preserve">Pro Forma Rate Base </t>
  </si>
  <si>
    <t>Factor</t>
  </si>
  <si>
    <t>Revenues</t>
  </si>
  <si>
    <t>Expense:</t>
  </si>
  <si>
    <t xml:space="preserve">  Uncollectibles  </t>
  </si>
  <si>
    <t xml:space="preserve">  Commission Fees </t>
  </si>
  <si>
    <t xml:space="preserve">  Washington Excise Tax  </t>
  </si>
  <si>
    <t xml:space="preserve">    Total Expense</t>
  </si>
  <si>
    <t>Net Operating Income Before FIT</t>
  </si>
  <si>
    <t>REVENUE CONVERSION FACTOR</t>
  </si>
  <si>
    <t>All Inputs</t>
  </si>
  <si>
    <t>NOI Requirement</t>
  </si>
  <si>
    <t>Benefits</t>
  </si>
  <si>
    <t>Restating</t>
  </si>
  <si>
    <t>DIFFERENCE</t>
  </si>
  <si>
    <t>REVENUE REQUIREMENT</t>
  </si>
  <si>
    <t>Item</t>
  </si>
  <si>
    <t>NET PLANT</t>
  </si>
  <si>
    <t xml:space="preserve">WORKING CAPITAL </t>
  </si>
  <si>
    <t>WORKING CAPITAL</t>
  </si>
  <si>
    <t>Done</t>
  </si>
  <si>
    <t>Not Done</t>
  </si>
  <si>
    <t>Debt Interest</t>
  </si>
  <si>
    <t>Adjsutment Number</t>
  </si>
  <si>
    <t>Workpaper Reference</t>
  </si>
  <si>
    <t>G-ROO</t>
  </si>
  <si>
    <t>G-DFIT</t>
  </si>
  <si>
    <t>G-DDC</t>
  </si>
  <si>
    <t>G-EBO</t>
  </si>
  <si>
    <t>G-UE</t>
  </si>
  <si>
    <t>G-RE</t>
  </si>
  <si>
    <t>G-ID</t>
  </si>
  <si>
    <t>G-FIT</t>
  </si>
  <si>
    <t>G-NGL</t>
  </si>
  <si>
    <t>G-OSC</t>
  </si>
  <si>
    <t>G-MR</t>
  </si>
  <si>
    <t>G-RI</t>
  </si>
  <si>
    <t>G-DI</t>
  </si>
  <si>
    <t>G-PLN</t>
  </si>
  <si>
    <t>G-PLE</t>
  </si>
  <si>
    <t>G-PEB</t>
  </si>
  <si>
    <t>Depreciation/Amortization</t>
  </si>
  <si>
    <t xml:space="preserve">WASHINGTON NATURAL GAS RESULTS </t>
  </si>
  <si>
    <t>ACCUMULATED DEPRECIATION/AMORT</t>
  </si>
  <si>
    <t>Net Plant After DFIT</t>
  </si>
  <si>
    <t>Production Expenses</t>
  </si>
  <si>
    <t>DEFREED TAXES</t>
  </si>
  <si>
    <t xml:space="preserve">Blue = Input </t>
  </si>
  <si>
    <t>Reconciliation</t>
  </si>
  <si>
    <t>FIT Expense</t>
  </si>
  <si>
    <t>Line No. 27</t>
  </si>
  <si>
    <t>ROO</t>
  </si>
  <si>
    <t>TOTAL</t>
  </si>
  <si>
    <t>Below</t>
  </si>
  <si>
    <t>Not Necessary - this calcuation should not be removed from above to determine adj. - LMA</t>
  </si>
  <si>
    <t>Capitalized Interest</t>
  </si>
  <si>
    <t>Equity AFUDC</t>
  </si>
  <si>
    <t>updated for 2006</t>
  </si>
  <si>
    <t>Borrowed AFUDC</t>
  </si>
  <si>
    <t xml:space="preserve">   Capitalized Interest</t>
  </si>
  <si>
    <t>Allocated</t>
  </si>
  <si>
    <t>Amount</t>
  </si>
  <si>
    <t>Percentage</t>
  </si>
  <si>
    <t>Electric CWIP</t>
  </si>
  <si>
    <t>Gas CWIP</t>
  </si>
  <si>
    <t>WPNG CWIP</t>
  </si>
  <si>
    <t xml:space="preserve">   Total</t>
  </si>
  <si>
    <t>WA Electric CWIP</t>
  </si>
  <si>
    <t>ID Electric CWIP</t>
  </si>
  <si>
    <t>WA Gas CWIP</t>
  </si>
  <si>
    <t>ID Gas CWIP</t>
  </si>
  <si>
    <t>Idaho - Electric</t>
  </si>
  <si>
    <t>Restated Rate Base</t>
  </si>
  <si>
    <t>ID excludes STD</t>
  </si>
  <si>
    <t xml:space="preserve"> Interest Per Results (E-FIT-12A)</t>
  </si>
  <si>
    <t>updated for 2007 LMA</t>
  </si>
  <si>
    <t>WP Ref</t>
  </si>
  <si>
    <t>Washington - GAS</t>
  </si>
  <si>
    <t>Interest Per Results (G-FIT-12A)</t>
  </si>
  <si>
    <t>Annette</t>
  </si>
  <si>
    <t>Credits</t>
  </si>
  <si>
    <t xml:space="preserve">Production Expenses </t>
  </si>
  <si>
    <t xml:space="preserve">   Debt Interest</t>
  </si>
  <si>
    <t>SALES OF GAS:</t>
  </si>
  <si>
    <t>Residential</t>
  </si>
  <si>
    <t>4812XX</t>
  </si>
  <si>
    <t>Commercial - Firm &amp; Interruptible</t>
  </si>
  <si>
    <t>4813XX</t>
  </si>
  <si>
    <t>Industrial-Firm</t>
  </si>
  <si>
    <t>Interruptible</t>
  </si>
  <si>
    <t>499XXX</t>
  </si>
  <si>
    <t>Unbilled Revenue</t>
  </si>
  <si>
    <t>Interdepartmental Revenue</t>
  </si>
  <si>
    <t>TOTAL SALES TO ULTIMATE CUSTOMERS</t>
  </si>
  <si>
    <t>OTHER OPERATING REVENUES:</t>
  </si>
  <si>
    <t>Sales for Resale</t>
  </si>
  <si>
    <t>Miscellaneous Service Revenues</t>
  </si>
  <si>
    <t>Transportation For Others</t>
  </si>
  <si>
    <t>Rent from Gas Property</t>
  </si>
  <si>
    <t>Other Gas Revenues</t>
  </si>
  <si>
    <t>TOTAL OTHER OPERATING REVENUES</t>
  </si>
  <si>
    <t>TOTAL GAS REVENUES</t>
  </si>
  <si>
    <t>PRODUCTION EXPENSES:</t>
  </si>
  <si>
    <t>804/805</t>
  </si>
  <si>
    <t>808XXX</t>
  </si>
  <si>
    <t>Net Natural Gas Storage Transactions</t>
  </si>
  <si>
    <t>Gas Used for Products Extraction</t>
  </si>
  <si>
    <t>Other Gas Expenses</t>
  </si>
  <si>
    <t>Gas Technology Institute (GTI) Expenses</t>
  </si>
  <si>
    <t>TOTAL PRODUCTION EXPENSES</t>
  </si>
  <si>
    <t>UNDERGROUND STORAGE EXPENSES:</t>
  </si>
  <si>
    <t>Supervision &amp; Engineering</t>
  </si>
  <si>
    <t>Other Expenses</t>
  </si>
  <si>
    <t>Other Equipment</t>
  </si>
  <si>
    <t>TOTAL UNDERGROUND STORAGE OPER EXP</t>
  </si>
  <si>
    <t>Depreciation Expense-Underground Storage</t>
  </si>
  <si>
    <t>Amortization Expense-Underground Storage</t>
  </si>
  <si>
    <t>Taxes Other Than FIT</t>
  </si>
  <si>
    <t>TOTAL UG STORAGE DEPR/AMRT/NON-FIT TAXES</t>
  </si>
  <si>
    <t>TOTAL UNDERGROUND STORAGE EXPENSES</t>
  </si>
  <si>
    <t>DISTRIBUTION EXPENSES:</t>
  </si>
  <si>
    <t xml:space="preserve">  OPERATION</t>
  </si>
  <si>
    <t>Distribution Load Dispatching</t>
  </si>
  <si>
    <t>Mains &amp; Services Expenses</t>
  </si>
  <si>
    <t>Measuring &amp; Reg Sta Exp-General</t>
  </si>
  <si>
    <t>Measuring &amp; Reg Sta Exp-Industrial</t>
  </si>
  <si>
    <t>Measuring &amp; Reg Sta Exp-City Gate</t>
  </si>
  <si>
    <t>Meter &amp; House Regulator Expenses</t>
  </si>
  <si>
    <t>Customer Installation Expenses</t>
  </si>
  <si>
    <t>Rents</t>
  </si>
  <si>
    <t xml:space="preserve">  MAINTENANCE</t>
  </si>
  <si>
    <t>Mains</t>
  </si>
  <si>
    <t>Services</t>
  </si>
  <si>
    <t>Meters &amp; House Regulators</t>
  </si>
  <si>
    <t>TOTAL DISTRIBUTION OPERATING EXP</t>
  </si>
  <si>
    <t>Depreciation Expense-Distribution</t>
  </si>
  <si>
    <t>TOTAL DISTR DEPR/AMRT/NON-FIT TAXES</t>
  </si>
  <si>
    <t>TOTAL DISTRIBUTION EXPENSES</t>
  </si>
  <si>
    <t>CUSTOMER ACCOUNTS EXPENSES:</t>
  </si>
  <si>
    <t>Supervision</t>
  </si>
  <si>
    <t>Meter Reading Expenses</t>
  </si>
  <si>
    <t>903XXX</t>
  </si>
  <si>
    <t>Customer Records &amp; Collection Expenses</t>
  </si>
  <si>
    <t>Uncollectible Accounts</t>
  </si>
  <si>
    <t>Misc Customer Accounts</t>
  </si>
  <si>
    <t>TOTAL CUSTOMER ACCOUNTS EXPENSES</t>
  </si>
  <si>
    <t>CUSTOMER SERVICE &amp; INFO EXPENSES:</t>
  </si>
  <si>
    <t>908XXX</t>
  </si>
  <si>
    <t>Customer Assistance Expenses</t>
  </si>
  <si>
    <t>Advertising</t>
  </si>
  <si>
    <t>Misc Customer Service &amp; Info Exp</t>
  </si>
  <si>
    <t>TOTAL CUSTOMER SERVICE &amp; INFO EXP</t>
  </si>
  <si>
    <t>SALES EXPENSES:</t>
  </si>
  <si>
    <t>Demonstrating &amp; Selling Expenses</t>
  </si>
  <si>
    <t>Miscellaneous Sales Expenses</t>
  </si>
  <si>
    <t>TOTAL SALES EXPENSES</t>
  </si>
  <si>
    <t>ADMINISTRATIVE &amp; GENERAL EXPENSES:</t>
  </si>
  <si>
    <t>Salaries</t>
  </si>
  <si>
    <t>Office Supplies &amp; Expenses</t>
  </si>
  <si>
    <t>Admin. Expenses Transferred - Credit</t>
  </si>
  <si>
    <t>Outside Services Employed</t>
  </si>
  <si>
    <t>Property Insurance Premium</t>
  </si>
  <si>
    <t>925XXX</t>
  </si>
  <si>
    <t>Injuries and Damages</t>
  </si>
  <si>
    <t>926XXX</t>
  </si>
  <si>
    <t>Employee Pensions and Benefits</t>
  </si>
  <si>
    <t>Regulatory Commission Expenses</t>
  </si>
  <si>
    <t>Miscellaneous General Expenses</t>
  </si>
  <si>
    <t>Maintenance of General Plant</t>
  </si>
  <si>
    <t>TOTAL ADMIN &amp; GEN OPERATING EXP</t>
  </si>
  <si>
    <t>Depreciation Expense-General Plant</t>
  </si>
  <si>
    <t>Amortization Expense - General Plant - 303000</t>
  </si>
  <si>
    <t>Amortization Expense - Misc IT Intangible Plant - 3031XX</t>
  </si>
  <si>
    <t>Amortization Expense-General Plant - 390200, 396200</t>
  </si>
  <si>
    <t>WA GRC Jackson Prairie O&amp;M Deferral</t>
  </si>
  <si>
    <t>DSIT Amortization - ID</t>
  </si>
  <si>
    <t>407425</t>
  </si>
  <si>
    <t>WA GRC Jackson Prairie Deferral</t>
  </si>
  <si>
    <t>TOTAL A&amp;G DEPR/AMRT/NON-FIT TAXES</t>
  </si>
  <si>
    <t>TOTAL ADMIN &amp; GENERAL EXPENSES</t>
  </si>
  <si>
    <t>TOTAL EXPENSES BEFORE FIT</t>
  </si>
  <si>
    <t>NET OPERATING INCOME BEFORE FIT</t>
  </si>
  <si>
    <t>DEFERRED FEDERAL INCOME TAX</t>
  </si>
  <si>
    <t>AMORTIZED INVESTMENT TAX CREDIT</t>
  </si>
  <si>
    <t>GAS NET OPERATING INCOME</t>
  </si>
  <si>
    <t>INTANGIBLE PLANT:</t>
  </si>
  <si>
    <t>Misc Intangible Plant (303000)</t>
  </si>
  <si>
    <t>3031XX</t>
  </si>
  <si>
    <t>Misc Intangible IT Plant (3031XX)</t>
  </si>
  <si>
    <t xml:space="preserve">  TOTAL INTANGIBLE PLANT</t>
  </si>
  <si>
    <t>UNDERGROUND STORAGE PLANT:</t>
  </si>
  <si>
    <t>350XXX</t>
  </si>
  <si>
    <t>Land &amp; Land Rights</t>
  </si>
  <si>
    <t>351XXX</t>
  </si>
  <si>
    <t>Structures &amp; Improvements</t>
  </si>
  <si>
    <t>352XXX</t>
  </si>
  <si>
    <t>Wells</t>
  </si>
  <si>
    <t>Lines</t>
  </si>
  <si>
    <t>Compressor Station Equipment</t>
  </si>
  <si>
    <t>Measuring &amp; Regulating Equipment</t>
  </si>
  <si>
    <t>Purification Equipment</t>
  </si>
  <si>
    <t>TOTAL UNDERGROUND STORAGE PLANT</t>
  </si>
  <si>
    <t>DISTRIBUTION PLANT:</t>
  </si>
  <si>
    <t>Measuring &amp; Reg Station Equip-General</t>
  </si>
  <si>
    <t>Measuring &amp; Reg Station Equip-City Gate</t>
  </si>
  <si>
    <t>Meters</t>
  </si>
  <si>
    <t>Meter Installations</t>
  </si>
  <si>
    <t>House Regulators</t>
  </si>
  <si>
    <t>House Regulator Installations</t>
  </si>
  <si>
    <t>Industrial Measuring &amp; Reg Sta Equip</t>
  </si>
  <si>
    <t>TOTAL DISTRIBUTION PLANT</t>
  </si>
  <si>
    <t>GENERAL PLANT</t>
  </si>
  <si>
    <t>389XXX</t>
  </si>
  <si>
    <t>390XXX</t>
  </si>
  <si>
    <t>391XXX</t>
  </si>
  <si>
    <t>Office Furniture &amp; Equipment</t>
  </si>
  <si>
    <t>392XXX</t>
  </si>
  <si>
    <t>Transportation Equipment</t>
  </si>
  <si>
    <t>Stores Equipment</t>
  </si>
  <si>
    <t>Tools, Shop &amp; Garage Equipment</t>
  </si>
  <si>
    <t>Laboratory Equipment</t>
  </si>
  <si>
    <t>396XXX</t>
  </si>
  <si>
    <t>Power Operated Equipment</t>
  </si>
  <si>
    <t>397XXX</t>
  </si>
  <si>
    <t>Communications Equipment</t>
  </si>
  <si>
    <t>Miscellaneous Equipment</t>
  </si>
  <si>
    <t>TOTAL GENERAL PLANT</t>
  </si>
  <si>
    <t xml:space="preserve">  TOTAL PLANT IN SERVICE</t>
  </si>
  <si>
    <t xml:space="preserve">  TOTAL ACCUMULATED DEPRECIATION</t>
  </si>
  <si>
    <t>ACCUMULATED AMORTIZATION</t>
  </si>
  <si>
    <t>General Plant - 303000</t>
  </si>
  <si>
    <t>Misc IT Intangible Plant - 3031XX</t>
  </si>
  <si>
    <t>General Plant - 390200, 396200</t>
  </si>
  <si>
    <t xml:space="preserve">  TOTAL ACCUMULATED AMORTIZATION</t>
  </si>
  <si>
    <t xml:space="preserve">  TOTAL ACCUMULATED DEPR/AMORT</t>
  </si>
  <si>
    <t>NET GAS UTILITY PLANT before DFIT</t>
  </si>
  <si>
    <t>ACCUMULATED DFIT</t>
  </si>
  <si>
    <t>ADFIT - Gas Plant In Service</t>
  </si>
  <si>
    <t>ADFIT - Common Plant (282900 from C-DTX)</t>
  </si>
  <si>
    <t>ADFIT - Gas portion of Bond Redemptions</t>
  </si>
  <si>
    <t xml:space="preserve">  TOTAL ACCUMULATED DFIT</t>
  </si>
  <si>
    <t>NET GAS UTILITY PLANT</t>
  </si>
  <si>
    <t>OTHER ADJUSTMENTS:</t>
  </si>
  <si>
    <t>Gas Stored - Recoverable Base Gas</t>
  </si>
  <si>
    <t>Gas Inventory--Jackson Prairie</t>
  </si>
  <si>
    <t>Customer Advances</t>
  </si>
  <si>
    <t>Customer Deposits</t>
  </si>
  <si>
    <t>Working Capital</t>
  </si>
  <si>
    <t>DSM Programs</t>
  </si>
  <si>
    <t>TOTAL OTHER ADJUSTMENTS</t>
  </si>
  <si>
    <t>NET RATE BASE</t>
  </si>
  <si>
    <t xml:space="preserve">   Regulatory Amortizations</t>
  </si>
  <si>
    <t>Regulatory Amortizations</t>
  </si>
  <si>
    <t xml:space="preserve">   Depreciation/Amortization</t>
  </si>
  <si>
    <t>ACCUMULATED DEPRECIATION/AMORTIZATION</t>
  </si>
  <si>
    <t xml:space="preserve">      Total Accum. Depreciation/Amort.</t>
  </si>
  <si>
    <t>Total Accumulated Depreciation/Amortization</t>
  </si>
  <si>
    <t>ACCUMULATED DEPREC/AMORT</t>
  </si>
  <si>
    <t>Total Accum. Depreciation/Amort.</t>
  </si>
  <si>
    <t>OTHER</t>
  </si>
  <si>
    <t>Reviewed</t>
  </si>
  <si>
    <t>(Pro Forma Restate Debt)</t>
  </si>
  <si>
    <t>All other</t>
  </si>
  <si>
    <t>Summary</t>
  </si>
  <si>
    <t>Pro Forma Rate of Return</t>
  </si>
  <si>
    <t>G-RET</t>
  </si>
  <si>
    <t>R-Ttl</t>
  </si>
  <si>
    <t>PF-STtl</t>
  </si>
  <si>
    <t xml:space="preserve">FIT / </t>
  </si>
  <si>
    <t xml:space="preserve">DFIT </t>
  </si>
  <si>
    <t>Revenue requirement</t>
  </si>
  <si>
    <t>Pro Forma Adjustments</t>
  </si>
  <si>
    <t>G-RPT</t>
  </si>
  <si>
    <t>G-PPT</t>
  </si>
  <si>
    <t>Working</t>
  </si>
  <si>
    <t>G-WC</t>
  </si>
  <si>
    <t>ADFIT - Common Plant (283750 from C-DTX)</t>
  </si>
  <si>
    <t xml:space="preserve">Pro Forma </t>
  </si>
  <si>
    <t>Restated</t>
  </si>
  <si>
    <t>(1)</t>
  </si>
  <si>
    <t xml:space="preserve">Normalization </t>
  </si>
  <si>
    <t>* Line 8 "Total General Business Revenues" includes special contract transportation revenues.</t>
  </si>
  <si>
    <t>Adjusted</t>
  </si>
  <si>
    <t>WASHINGTON NATURAL GAS</t>
  </si>
  <si>
    <t>PROPOSED COST OF CAPITAL</t>
  </si>
  <si>
    <t xml:space="preserve"> Revenue</t>
  </si>
  <si>
    <t xml:space="preserve">Weather </t>
  </si>
  <si>
    <t>Normalization /</t>
  </si>
  <si>
    <t>Eliminate</t>
  </si>
  <si>
    <t>Adder</t>
  </si>
  <si>
    <t>Schedules</t>
  </si>
  <si>
    <t>G-EAS</t>
  </si>
  <si>
    <t>RATE OF RETURN</t>
  </si>
  <si>
    <t>G-PREV</t>
  </si>
  <si>
    <t>Amortization</t>
  </si>
  <si>
    <t>Tara</t>
  </si>
  <si>
    <t>Provision for Rate Refund</t>
  </si>
  <si>
    <t>Idaho Earnings Test Amortization</t>
  </si>
  <si>
    <t xml:space="preserve">RATE OF RETURN </t>
  </si>
  <si>
    <t>Project Compass Deferral - ID</t>
  </si>
  <si>
    <t>407468</t>
  </si>
  <si>
    <t>RESTATEMENT ADJUSTMENTS</t>
  </si>
  <si>
    <t>PRO FORMA ADJUSTMENTS</t>
  </si>
  <si>
    <t>Capital Adds</t>
  </si>
  <si>
    <t>Restating Adjustments</t>
  </si>
  <si>
    <t>G-WNGC</t>
  </si>
  <si>
    <t>Total Base Distribution Revenues*</t>
  </si>
  <si>
    <t>Total Present Billed Revenue</t>
  </si>
  <si>
    <t>Percentage Billed Revenue Increase</t>
  </si>
  <si>
    <t>Percentage Base Distribution Revenue Increase</t>
  </si>
  <si>
    <t>Joel</t>
  </si>
  <si>
    <t xml:space="preserve">Joel </t>
  </si>
  <si>
    <t>G-PLEAP</t>
  </si>
  <si>
    <t>WA Excess Nat Gas Line Extension</t>
  </si>
  <si>
    <t>Incentives</t>
  </si>
  <si>
    <t>Deferred</t>
  </si>
  <si>
    <t xml:space="preserve">Debits and </t>
  </si>
  <si>
    <t>Gains</t>
  </si>
  <si>
    <t xml:space="preserve"> &amp; Losses</t>
  </si>
  <si>
    <t>&amp;</t>
  </si>
  <si>
    <t>Misc. Restating</t>
  </si>
  <si>
    <t>Non-Util / Non-</t>
  </si>
  <si>
    <t>IS/IT</t>
  </si>
  <si>
    <t>Employee</t>
  </si>
  <si>
    <t>ACTUAL</t>
  </si>
  <si>
    <t>LEAP Deferral</t>
  </si>
  <si>
    <t>AMA Rate</t>
  </si>
  <si>
    <t>Base to EOP</t>
  </si>
  <si>
    <t>Natural Gas</t>
  </si>
  <si>
    <t>Revenue Conversion Factor Rebuttal</t>
  </si>
  <si>
    <t>Revenue Requirement Rebuttal</t>
  </si>
  <si>
    <t>RESULTS</t>
  </si>
  <si>
    <t xml:space="preserve">  Federal Income Tax @ 21%</t>
  </si>
  <si>
    <t>Requested</t>
  </si>
  <si>
    <t>Base Rate Change</t>
  </si>
  <si>
    <t>(000's of</t>
  </si>
  <si>
    <t>Dollars)</t>
  </si>
  <si>
    <t>CALCULATION OF REQUESTED GENERAL REVENUE REQUIREMENT</t>
  </si>
  <si>
    <t>Common</t>
  </si>
  <si>
    <t>Proposed Capital Structure</t>
  </si>
  <si>
    <t>Remove</t>
  </si>
  <si>
    <t>AMI</t>
  </si>
  <si>
    <t>G-AMI</t>
  </si>
  <si>
    <t>Non-Utility</t>
  </si>
  <si>
    <t>Recurring Expense</t>
  </si>
  <si>
    <t>Fee Free</t>
  </si>
  <si>
    <t xml:space="preserve">Insurance </t>
  </si>
  <si>
    <t>Open</t>
  </si>
  <si>
    <t>G-PIT</t>
  </si>
  <si>
    <t>G-PFEE</t>
  </si>
  <si>
    <t>G-PINS</t>
  </si>
  <si>
    <t>WA weighted cost of debt</t>
  </si>
  <si>
    <t>Tax Reform Amortization</t>
  </si>
  <si>
    <t>Amortization WA Excess Natural Gas Line Extension</t>
  </si>
  <si>
    <t>Regulatory Debit - AFUDC Amortization</t>
  </si>
  <si>
    <t>AFUDC Equity DFIT Deferral</t>
  </si>
  <si>
    <t>Existing Meters/ERTs Excess Depreciation Deferral</t>
  </si>
  <si>
    <t>407368</t>
  </si>
  <si>
    <t>Project Compass Amortization</t>
  </si>
  <si>
    <t>407414</t>
  </si>
  <si>
    <t>Regulatory Credits-Deferral-FISERVE</t>
  </si>
  <si>
    <t>407436</t>
  </si>
  <si>
    <t>MDM System</t>
  </si>
  <si>
    <t>Provision for Rate Refund-Tax Reform</t>
  </si>
  <si>
    <t>ADFIT - Common Plant (282919 from C-DTX)</t>
  </si>
  <si>
    <t>Regulatory Asset - AFUDC</t>
  </si>
  <si>
    <t xml:space="preserve">Accumulated Amortization - AFUDC </t>
  </si>
  <si>
    <t>Rate Base-Regulatory Liability-Nonplant Excess</t>
  </si>
  <si>
    <t>ADFIT - WA Excess Nat Gas Line Extension</t>
  </si>
  <si>
    <t>Liz</t>
  </si>
  <si>
    <t>TWELVE MONTHS ENDED DECEMBER 31, 2019</t>
  </si>
  <si>
    <t>Natural Gas Depreciation Study Deferral</t>
  </si>
  <si>
    <t>Regulatory Deferral - AMI</t>
  </si>
  <si>
    <t>AMI Existing Meters/ERTs Deferral A/D</t>
  </si>
  <si>
    <t>Restate 2019</t>
  </si>
  <si>
    <t>G-EOP19</t>
  </si>
  <si>
    <t>G-PAMI</t>
  </si>
  <si>
    <t>Def. Debits, Credits &amp;</t>
  </si>
  <si>
    <t>Regulatory Amorts</t>
  </si>
  <si>
    <t>ARAM</t>
  </si>
  <si>
    <t>DFIT</t>
  </si>
  <si>
    <t>G-ARAM</t>
  </si>
  <si>
    <t>G-PRA</t>
  </si>
  <si>
    <t>Per Miller - 06.30.2020</t>
  </si>
  <si>
    <t>2020 Customer</t>
  </si>
  <si>
    <t>2020</t>
  </si>
  <si>
    <t xml:space="preserve">At Center </t>
  </si>
  <si>
    <t>Programmatic</t>
  </si>
  <si>
    <t>G-PCAP1</t>
  </si>
  <si>
    <t>G-PCAP2</t>
  </si>
  <si>
    <t>G-PCAP3</t>
  </si>
  <si>
    <t>G-PCAP4</t>
  </si>
  <si>
    <t>G-PCAP5</t>
  </si>
  <si>
    <t>Short Lived</t>
  </si>
  <si>
    <t xml:space="preserve">Revenue Requirement </t>
  </si>
  <si>
    <t>October 1, 2021</t>
  </si>
  <si>
    <t>10.2021</t>
  </si>
  <si>
    <t>WITH 10.01.2021 PROPOSED RATES</t>
  </si>
  <si>
    <t>10.01.2021</t>
  </si>
  <si>
    <t>PDF x=redo</t>
  </si>
  <si>
    <t>X</t>
  </si>
  <si>
    <t xml:space="preserve">Kaylene </t>
  </si>
  <si>
    <t>updated for 10/21 - 09/22 rate year</t>
  </si>
  <si>
    <t>2020 Large &amp;</t>
  </si>
  <si>
    <t>Distinct</t>
  </si>
  <si>
    <t>2020 Mandatory</t>
  </si>
  <si>
    <t>&amp; Compliance</t>
  </si>
  <si>
    <t xml:space="preserve">Joe </t>
  </si>
  <si>
    <t>updated for change to uncollectibles rate</t>
  </si>
  <si>
    <t>cover sheet changed</t>
  </si>
  <si>
    <t>updated for new uncollectible rate</t>
  </si>
  <si>
    <t>X - need WPs after final rate base adj</t>
  </si>
  <si>
    <t>Revised to Reflect</t>
  </si>
  <si>
    <t>Filed 2019</t>
  </si>
  <si>
    <t>Tax Return</t>
  </si>
  <si>
    <t>2019</t>
  </si>
  <si>
    <t>ADFIT</t>
  </si>
  <si>
    <t>G-RDFIT</t>
  </si>
  <si>
    <t>TARIFF</t>
  </si>
  <si>
    <t>Billed</t>
  </si>
  <si>
    <t>Net Total</t>
  </si>
  <si>
    <t>After Tariff</t>
  </si>
  <si>
    <t>Net Billed</t>
  </si>
  <si>
    <t>G-Tax</t>
  </si>
  <si>
    <t>4.00T</t>
  </si>
  <si>
    <t>INFORMATIONAL</t>
  </si>
  <si>
    <t>INFORMATIONAL ONLY</t>
  </si>
  <si>
    <t>Other</t>
  </si>
  <si>
    <t>CF WA Elec</t>
  </si>
  <si>
    <t>#176</t>
  </si>
  <si>
    <t>Tariff Schedule 176</t>
  </si>
  <si>
    <t>Overall Bill Impact</t>
  </si>
  <si>
    <t>Net Rev. Req on RB</t>
  </si>
  <si>
    <t>Debt int grossed-up</t>
  </si>
  <si>
    <t>Rev req on RB</t>
  </si>
  <si>
    <t>Net Rev Req  on plant</t>
  </si>
  <si>
    <t>Rev related items</t>
  </si>
  <si>
    <t>GRC</t>
  </si>
  <si>
    <t>Rev Req Needed</t>
  </si>
  <si>
    <t>Actual Net Rate Base excluding AMI and ADFIT adj</t>
  </si>
  <si>
    <t>Tax Customer</t>
  </si>
  <si>
    <t>Credit</t>
  </si>
  <si>
    <t>Tariff 176</t>
  </si>
  <si>
    <t xml:space="preserve">After Tariff #176  Tax Customer Credit </t>
  </si>
  <si>
    <t>Revenue</t>
  </si>
  <si>
    <t>Requirement @</t>
  </si>
  <si>
    <t>AVISTA</t>
  </si>
  <si>
    <t>STAFF</t>
  </si>
  <si>
    <t xml:space="preserve">Requirement @AVA's </t>
  </si>
  <si>
    <t>Avista Proposed</t>
  </si>
  <si>
    <t>Difference</t>
  </si>
  <si>
    <t>ROR impact</t>
  </si>
  <si>
    <t>Staff Position</t>
  </si>
  <si>
    <t>Comparison of Revenue Requirement Adjustments</t>
  </si>
  <si>
    <t>(000's of Dollars)</t>
  </si>
  <si>
    <t>Short-Term Debt</t>
  </si>
  <si>
    <t>Long-Term Debt</t>
  </si>
  <si>
    <t xml:space="preserve">Agreed to </t>
  </si>
  <si>
    <t>AVA Original</t>
  </si>
  <si>
    <t>AVA 2020</t>
  </si>
  <si>
    <t>proposed</t>
  </si>
  <si>
    <t>actual 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</si>
</sst>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2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#,##0;\(#,##0\)"/>
    <numFmt numFmtId="166" formatCode="#,##0\ ;\(#,##0\)"/>
    <numFmt numFmtId="167" formatCode="0.0%"/>
    <numFmt numFmtId="168" formatCode="_(&quot;$&quot;#,###_);_(&quot;$&quot;\ \(#,###\);_(* _);_(@_)"/>
    <numFmt numFmtId="169" formatCode="0.000000"/>
    <numFmt numFmtId="170" formatCode="0.000%"/>
    <numFmt numFmtId="171" formatCode="&quot;x &quot;0.00"/>
    <numFmt numFmtId="172" formatCode="&quot;x &quot;0.000"/>
    <numFmt numFmtId="173" formatCode="_(* #,##0_);_(* \(#,##0\);_(* &quot;-&quot;??_);_(@_)"/>
    <numFmt numFmtId="174" formatCode="_(&quot;$&quot;* #,##0_);_(&quot;$&quot;* \(#,##0\);_(&quot;$&quot;* &quot;-&quot;??_);_(@_)"/>
    <numFmt numFmtId="175" formatCode="0000.00"/>
    <numFmt numFmtId="176" formatCode="0000"/>
    <numFmt numFmtId="177" formatCode="_(* #,##0.00000_);_(* \(#,##0.00000\);_(* &quot;-&quot;_);_(@_)"/>
    <numFmt numFmtId="178" formatCode="_(* #,##0.000000_);_(* \(#,##0.000000\);_(* &quot;-&quot;_);_(@_)"/>
    <numFmt numFmtId="179" formatCode="_(* #,##0.000000_);_(* \(#,##0.000000\);_(* &quot;-&quot;??_);_(@_)"/>
  </numFmts>
  <fonts count="67">
    <font>
      <sz val="10"/>
      <name val="Arial"/>
    </font>
    <font>
      <sz val="10"/>
      <name val="Arial"/>
      <family val="2"/>
    </font>
    <font>
      <sz val="10"/>
      <name val="Geneva"/>
    </font>
    <font>
      <sz val="9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i/>
      <sz val="9"/>
      <name val="Times New Roman"/>
      <family val="1"/>
    </font>
    <font>
      <u/>
      <sz val="9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u/>
      <sz val="10"/>
      <name val="Times New Roman"/>
      <family val="1"/>
    </font>
    <font>
      <sz val="9"/>
      <color indexed="8"/>
      <name val="Times New Roman"/>
      <family val="1"/>
    </font>
    <font>
      <sz val="10"/>
      <color indexed="12"/>
      <name val="Times New Roman"/>
      <family val="1"/>
    </font>
    <font>
      <sz val="10"/>
      <color indexed="10"/>
      <name val="Times New Roman"/>
      <family val="1"/>
    </font>
    <font>
      <i/>
      <sz val="10"/>
      <name val="Times New Roman"/>
      <family val="1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0"/>
      <name val="Times New Roman"/>
      <family val="1"/>
    </font>
    <font>
      <b/>
      <sz val="10"/>
      <color indexed="48"/>
      <name val="Times New Roman"/>
      <family val="1"/>
    </font>
    <font>
      <sz val="10"/>
      <color indexed="48"/>
      <name val="Times New Roman"/>
      <family val="1"/>
    </font>
    <font>
      <b/>
      <sz val="10"/>
      <color indexed="10"/>
      <name val="Times New Roman"/>
      <family val="1"/>
    </font>
    <font>
      <sz val="8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u/>
      <sz val="10"/>
      <color theme="0"/>
      <name val="Arial"/>
      <family val="2"/>
    </font>
    <font>
      <u/>
      <sz val="7.5"/>
      <color theme="0"/>
      <name val="Arial"/>
      <family val="2"/>
    </font>
    <font>
      <sz val="8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  <font>
      <sz val="10"/>
      <name val="Geneva"/>
      <family val="2"/>
    </font>
    <font>
      <sz val="9"/>
      <color rgb="FF0033CC"/>
      <name val="Times New Roman"/>
      <family val="1"/>
    </font>
    <font>
      <b/>
      <sz val="10"/>
      <color indexed="12"/>
      <name val="Times New Roman"/>
      <family val="1"/>
    </font>
    <font>
      <u/>
      <sz val="10"/>
      <color indexed="12"/>
      <name val="Times New Roman"/>
      <family val="1"/>
    </font>
    <font>
      <b/>
      <u/>
      <sz val="10"/>
      <name val="Times New Roman"/>
      <family val="1"/>
    </font>
    <font>
      <b/>
      <sz val="8"/>
      <color indexed="10"/>
      <name val="Times New Roman"/>
      <family val="1"/>
    </font>
    <font>
      <sz val="12"/>
      <color indexed="10"/>
      <name val="Times New Roman"/>
      <family val="1"/>
    </font>
    <font>
      <sz val="11"/>
      <name val="Tms Rmn"/>
    </font>
    <font>
      <i/>
      <sz val="8"/>
      <name val="Times New Roman"/>
      <family val="1"/>
    </font>
    <font>
      <sz val="11"/>
      <name val="Times New Roman"/>
      <family val="1"/>
    </font>
    <font>
      <sz val="10"/>
      <name val="Tahoma"/>
      <family val="2"/>
    </font>
    <font>
      <sz val="12"/>
      <name val="Tms Rmn"/>
    </font>
    <font>
      <b/>
      <u/>
      <sz val="9"/>
      <name val="Times New Roman"/>
      <family val="1"/>
    </font>
    <font>
      <sz val="10"/>
      <color rgb="FF002060"/>
      <name val="Times New Roman"/>
      <family val="1"/>
    </font>
    <font>
      <sz val="10"/>
      <color rgb="FFFF0000"/>
      <name val="Times New Roman"/>
      <family val="1"/>
    </font>
    <font>
      <sz val="12"/>
      <name val="Arial"/>
      <family val="2"/>
    </font>
    <font>
      <sz val="12"/>
      <color indexed="12"/>
      <name val="Times New Roman"/>
      <family val="1"/>
    </font>
    <font>
      <sz val="10"/>
      <color rgb="FF0000FF"/>
      <name val="Times New Roman"/>
      <family val="1"/>
    </font>
    <font>
      <sz val="9"/>
      <color rgb="FF0000FF"/>
      <name val="Times New Roman"/>
      <family val="1"/>
    </font>
    <font>
      <i/>
      <sz val="12"/>
      <name val="Times New Roman"/>
      <family val="1"/>
    </font>
    <font>
      <b/>
      <sz val="10"/>
      <color rgb="FFFF0000"/>
      <name val="Times New Roman"/>
      <family val="1"/>
    </font>
    <font>
      <u/>
      <sz val="10"/>
      <color rgb="FFFF0000"/>
      <name val="Times New Roman"/>
      <family val="1"/>
    </font>
    <font>
      <b/>
      <sz val="9"/>
      <color rgb="FFFF0000"/>
      <name val="Times New Roman"/>
      <family val="1"/>
    </font>
    <font>
      <sz val="9"/>
      <color rgb="FFFF0000"/>
      <name val="Times New Roman"/>
      <family val="1"/>
    </font>
    <font>
      <b/>
      <sz val="8"/>
      <name val="Times New Roman"/>
      <family val="1"/>
    </font>
    <font>
      <u/>
      <sz val="12"/>
      <name val="Times New Roman"/>
      <family val="1"/>
    </font>
    <font>
      <sz val="9"/>
      <name val="Calibri"/>
      <family val="2"/>
    </font>
    <font>
      <b/>
      <sz val="14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u/>
      <sz val="10"/>
      <color theme="1"/>
      <name val="Times New Roman"/>
      <family val="1"/>
    </font>
    <font>
      <sz val="8"/>
      <color theme="1"/>
      <name val="Times New Roman"/>
      <family val="1"/>
    </font>
    <font>
      <sz val="12"/>
      <color theme="1"/>
      <name val="Arial"/>
      <family val="2"/>
    </font>
    <font>
      <b/>
      <sz val="1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33" fillId="0" borderId="0"/>
    <xf numFmtId="44" fontId="1" fillId="0" borderId="0" applyFont="0" applyFill="0" applyBorder="0" applyAlignment="0" applyProtection="0"/>
    <xf numFmtId="0" fontId="39" fillId="3" borderId="0"/>
    <xf numFmtId="0" fontId="23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33" fillId="0" borderId="0"/>
    <xf numFmtId="43" fontId="43" fillId="0" borderId="0" applyFont="0" applyFill="0" applyBorder="0" applyAlignment="0" applyProtection="0"/>
    <xf numFmtId="0" fontId="33" fillId="0" borderId="0"/>
  </cellStyleXfs>
  <cellXfs count="822">
    <xf numFmtId="0" fontId="0" fillId="0" borderId="0" xfId="0"/>
    <xf numFmtId="0" fontId="3" fillId="0" borderId="0" xfId="6" applyFont="1"/>
    <xf numFmtId="0" fontId="3" fillId="0" borderId="0" xfId="6" applyNumberFormat="1" applyFont="1" applyAlignment="1">
      <alignment horizontal="center"/>
    </xf>
    <xf numFmtId="5" fontId="3" fillId="0" borderId="0" xfId="6" applyNumberFormat="1" applyFont="1"/>
    <xf numFmtId="37" fontId="3" fillId="0" borderId="0" xfId="6" applyNumberFormat="1" applyFont="1"/>
    <xf numFmtId="0" fontId="3" fillId="0" borderId="0" xfId="6" applyNumberFormat="1" applyFont="1" applyBorder="1" applyAlignment="1">
      <alignment horizontal="center"/>
    </xf>
    <xf numFmtId="37" fontId="3" fillId="0" borderId="0" xfId="6" applyNumberFormat="1" applyFont="1" applyBorder="1"/>
    <xf numFmtId="10" fontId="3" fillId="0" borderId="0" xfId="7" applyNumberFormat="1" applyFont="1"/>
    <xf numFmtId="0" fontId="4" fillId="0" borderId="0" xfId="0" applyFont="1"/>
    <xf numFmtId="0" fontId="7" fillId="0" borderId="0" xfId="0" applyFont="1" applyAlignment="1">
      <alignment horizontal="center"/>
    </xf>
    <xf numFmtId="37" fontId="3" fillId="0" borderId="0" xfId="0" applyNumberFormat="1" applyFont="1"/>
    <xf numFmtId="5" fontId="11" fillId="0" borderId="12" xfId="0" applyNumberFormat="1" applyFont="1" applyBorder="1"/>
    <xf numFmtId="0" fontId="8" fillId="0" borderId="0" xfId="0" applyFont="1"/>
    <xf numFmtId="0" fontId="8" fillId="0" borderId="0" xfId="0" applyFont="1" applyAlignment="1">
      <alignment horizontal="center"/>
    </xf>
    <xf numFmtId="3" fontId="3" fillId="0" borderId="0" xfId="0" applyNumberFormat="1" applyFont="1"/>
    <xf numFmtId="0" fontId="5" fillId="0" borderId="0" xfId="0" applyFont="1" applyAlignment="1">
      <alignment horizontal="center"/>
    </xf>
    <xf numFmtId="3" fontId="5" fillId="0" borderId="1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3" fontId="5" fillId="0" borderId="5" xfId="0" applyNumberFormat="1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3" fontId="5" fillId="0" borderId="8" xfId="0" applyNumberFormat="1" applyFont="1" applyBorder="1" applyAlignment="1">
      <alignment horizontal="center"/>
    </xf>
    <xf numFmtId="3" fontId="6" fillId="0" borderId="0" xfId="0" applyNumberFormat="1" applyFont="1" applyAlignment="1">
      <alignment horizontal="center"/>
    </xf>
    <xf numFmtId="5" fontId="3" fillId="0" borderId="0" xfId="0" applyNumberFormat="1" applyFont="1"/>
    <xf numFmtId="0" fontId="8" fillId="0" borderId="0" xfId="0" applyFont="1" applyBorder="1"/>
    <xf numFmtId="3" fontId="8" fillId="0" borderId="0" xfId="0" applyNumberFormat="1" applyFont="1"/>
    <xf numFmtId="5" fontId="8" fillId="0" borderId="0" xfId="0" applyNumberFormat="1" applyFont="1"/>
    <xf numFmtId="0" fontId="8" fillId="0" borderId="0" xfId="0" applyFont="1" applyFill="1" applyAlignment="1">
      <alignment horizontal="center"/>
    </xf>
    <xf numFmtId="5" fontId="8" fillId="0" borderId="16" xfId="0" applyNumberFormat="1" applyFont="1" applyBorder="1"/>
    <xf numFmtId="0" fontId="8" fillId="0" borderId="15" xfId="0" applyFont="1" applyBorder="1" applyAlignment="1">
      <alignment horizontal="center"/>
    </xf>
    <xf numFmtId="3" fontId="3" fillId="0" borderId="0" xfId="6" applyNumberFormat="1" applyFont="1"/>
    <xf numFmtId="168" fontId="3" fillId="0" borderId="0" xfId="6" applyNumberFormat="1" applyFont="1"/>
    <xf numFmtId="170" fontId="3" fillId="0" borderId="0" xfId="7" applyNumberFormat="1" applyFont="1" applyBorder="1"/>
    <xf numFmtId="0" fontId="3" fillId="0" borderId="0" xfId="5" applyFont="1"/>
    <xf numFmtId="0" fontId="3" fillId="0" borderId="0" xfId="5" applyNumberFormat="1" applyFont="1" applyAlignment="1">
      <alignment horizontal="center"/>
    </xf>
    <xf numFmtId="0" fontId="5" fillId="0" borderId="0" xfId="5" applyNumberFormat="1" applyFont="1" applyAlignment="1">
      <alignment horizontal="center"/>
    </xf>
    <xf numFmtId="0" fontId="5" fillId="0" borderId="0" xfId="5" applyFont="1" applyAlignment="1">
      <alignment horizontal="center"/>
    </xf>
    <xf numFmtId="3" fontId="5" fillId="0" borderId="13" xfId="0" applyNumberFormat="1" applyFont="1" applyBorder="1" applyAlignment="1">
      <alignment horizontal="centerContinuous"/>
    </xf>
    <xf numFmtId="3" fontId="5" fillId="0" borderId="15" xfId="0" applyNumberFormat="1" applyFont="1" applyBorder="1" applyAlignment="1">
      <alignment horizontal="centerContinuous"/>
    </xf>
    <xf numFmtId="3" fontId="5" fillId="0" borderId="14" xfId="0" applyNumberFormat="1" applyFont="1" applyBorder="1" applyAlignment="1">
      <alignment horizontal="centerContinuous"/>
    </xf>
    <xf numFmtId="0" fontId="5" fillId="0" borderId="1" xfId="5" applyNumberFormat="1" applyFont="1" applyBorder="1" applyAlignment="1">
      <alignment horizontal="center"/>
    </xf>
    <xf numFmtId="0" fontId="5" fillId="0" borderId="2" xfId="5" applyNumberFormat="1" applyFont="1" applyBorder="1" applyAlignment="1">
      <alignment horizontal="center"/>
    </xf>
    <xf numFmtId="0" fontId="5" fillId="0" borderId="2" xfId="5" applyFont="1" applyBorder="1" applyAlignment="1">
      <alignment horizontal="center"/>
    </xf>
    <xf numFmtId="0" fontId="5" fillId="0" borderId="3" xfId="5" applyFont="1" applyBorder="1" applyAlignment="1">
      <alignment horizontal="center"/>
    </xf>
    <xf numFmtId="0" fontId="5" fillId="0" borderId="4" xfId="5" applyFont="1" applyBorder="1" applyAlignment="1">
      <alignment horizontal="center"/>
    </xf>
    <xf numFmtId="0" fontId="5" fillId="0" borderId="5" xfId="5" applyNumberFormat="1" applyFont="1" applyBorder="1" applyAlignment="1">
      <alignment horizontal="center"/>
    </xf>
    <xf numFmtId="0" fontId="5" fillId="0" borderId="6" xfId="5" applyNumberFormat="1" applyFont="1" applyBorder="1" applyAlignment="1">
      <alignment horizontal="center"/>
    </xf>
    <xf numFmtId="0" fontId="5" fillId="0" borderId="6" xfId="5" applyFont="1" applyBorder="1" applyAlignment="1">
      <alignment horizontal="center"/>
    </xf>
    <xf numFmtId="0" fontId="5" fillId="0" borderId="0" xfId="5" applyFont="1" applyBorder="1" applyAlignment="1">
      <alignment horizontal="center"/>
    </xf>
    <xf numFmtId="0" fontId="5" fillId="0" borderId="7" xfId="5" applyFont="1" applyBorder="1" applyAlignment="1">
      <alignment horizontal="center"/>
    </xf>
    <xf numFmtId="0" fontId="5" fillId="0" borderId="8" xfId="5" applyNumberFormat="1" applyFont="1" applyBorder="1" applyAlignment="1">
      <alignment horizontal="center"/>
    </xf>
    <xf numFmtId="0" fontId="5" fillId="0" borderId="9" xfId="5" applyNumberFormat="1" applyFont="1" applyBorder="1" applyAlignment="1">
      <alignment horizontal="center"/>
    </xf>
    <xf numFmtId="0" fontId="5" fillId="0" borderId="9" xfId="5" applyFont="1" applyBorder="1" applyAlignment="1">
      <alignment horizontal="center"/>
    </xf>
    <xf numFmtId="0" fontId="5" fillId="0" borderId="10" xfId="5" applyFont="1" applyBorder="1" applyAlignment="1">
      <alignment horizontal="center"/>
    </xf>
    <xf numFmtId="0" fontId="5" fillId="0" borderId="11" xfId="5" applyFont="1" applyBorder="1" applyAlignment="1">
      <alignment horizontal="center"/>
    </xf>
    <xf numFmtId="0" fontId="6" fillId="0" borderId="0" xfId="5" applyNumberFormat="1" applyFont="1" applyAlignment="1">
      <alignment horizontal="center"/>
    </xf>
    <xf numFmtId="0" fontId="6" fillId="0" borderId="0" xfId="5" applyFont="1" applyAlignment="1">
      <alignment horizontal="center"/>
    </xf>
    <xf numFmtId="10" fontId="3" fillId="0" borderId="0" xfId="6" applyNumberFormat="1" applyFont="1"/>
    <xf numFmtId="37" fontId="3" fillId="0" borderId="0" xfId="5" applyNumberFormat="1" applyFont="1" applyBorder="1" applyAlignment="1">
      <alignment horizontal="center"/>
    </xf>
    <xf numFmtId="0" fontId="3" fillId="0" borderId="0" xfId="5" applyFont="1" applyBorder="1"/>
    <xf numFmtId="37" fontId="3" fillId="0" borderId="12" xfId="6" applyNumberFormat="1" applyFont="1" applyBorder="1"/>
    <xf numFmtId="173" fontId="3" fillId="0" borderId="0" xfId="1" applyNumberFormat="1" applyFont="1"/>
    <xf numFmtId="169" fontId="9" fillId="0" borderId="0" xfId="0" applyNumberFormat="1" applyFont="1" applyAlignment="1">
      <alignment horizontal="center"/>
    </xf>
    <xf numFmtId="169" fontId="17" fillId="0" borderId="0" xfId="0" applyNumberFormat="1" applyFont="1"/>
    <xf numFmtId="14" fontId="17" fillId="0" borderId="0" xfId="0" applyNumberFormat="1" applyFont="1"/>
    <xf numFmtId="0" fontId="17" fillId="0" borderId="0" xfId="0" applyFont="1"/>
    <xf numFmtId="169" fontId="17" fillId="0" borderId="0" xfId="0" applyNumberFormat="1" applyFont="1" applyAlignment="1">
      <alignment horizontal="right"/>
    </xf>
    <xf numFmtId="169" fontId="8" fillId="0" borderId="0" xfId="0" applyNumberFormat="1" applyFont="1"/>
    <xf numFmtId="169" fontId="18" fillId="0" borderId="0" xfId="0" applyNumberFormat="1" applyFont="1" applyAlignment="1">
      <alignment horizontal="center"/>
    </xf>
    <xf numFmtId="5" fontId="8" fillId="0" borderId="0" xfId="1" applyNumberFormat="1" applyFont="1"/>
    <xf numFmtId="173" fontId="8" fillId="0" borderId="0" xfId="1" applyNumberFormat="1" applyFont="1"/>
    <xf numFmtId="173" fontId="8" fillId="0" borderId="15" xfId="1" applyNumberFormat="1" applyFont="1" applyBorder="1"/>
    <xf numFmtId="173" fontId="8" fillId="0" borderId="0" xfId="1" applyNumberFormat="1" applyFont="1" applyBorder="1"/>
    <xf numFmtId="173" fontId="8" fillId="0" borderId="10" xfId="1" applyNumberFormat="1" applyFont="1" applyBorder="1"/>
    <xf numFmtId="164" fontId="8" fillId="0" borderId="12" xfId="1" applyNumberFormat="1" applyFont="1" applyBorder="1"/>
    <xf numFmtId="0" fontId="14" fillId="0" borderId="0" xfId="0" applyFont="1"/>
    <xf numFmtId="0" fontId="20" fillId="0" borderId="0" xfId="0" applyFont="1"/>
    <xf numFmtId="0" fontId="8" fillId="0" borderId="0" xfId="0" applyFont="1" applyFill="1"/>
    <xf numFmtId="3" fontId="22" fillId="0" borderId="0" xfId="0" applyNumberFormat="1" applyFont="1" applyFill="1"/>
    <xf numFmtId="3" fontId="3" fillId="0" borderId="0" xfId="0" applyNumberFormat="1" applyFont="1" applyFill="1"/>
    <xf numFmtId="10" fontId="8" fillId="0" borderId="0" xfId="7" applyNumberFormat="1" applyFont="1"/>
    <xf numFmtId="0" fontId="8" fillId="0" borderId="0" xfId="0" applyFont="1" applyAlignment="1">
      <alignment horizontal="right"/>
    </xf>
    <xf numFmtId="169" fontId="9" fillId="0" borderId="0" xfId="0" applyNumberFormat="1" applyFont="1" applyAlignment="1"/>
    <xf numFmtId="0" fontId="9" fillId="0" borderId="0" xfId="0" applyFont="1" applyAlignment="1">
      <alignment horizontal="centerContinuous"/>
    </xf>
    <xf numFmtId="0" fontId="23" fillId="0" borderId="0" xfId="0" applyFont="1" applyFill="1"/>
    <xf numFmtId="0" fontId="24" fillId="0" borderId="0" xfId="0" applyFont="1" applyFill="1" applyBorder="1" applyAlignment="1">
      <alignment horizontal="center"/>
    </xf>
    <xf numFmtId="5" fontId="23" fillId="0" borderId="0" xfId="0" applyNumberFormat="1" applyFont="1" applyFill="1" applyBorder="1"/>
    <xf numFmtId="0" fontId="24" fillId="0" borderId="0" xfId="0" applyFont="1" applyFill="1" applyBorder="1"/>
    <xf numFmtId="5" fontId="8" fillId="0" borderId="0" xfId="0" applyNumberFormat="1" applyFont="1" applyBorder="1" applyAlignment="1">
      <alignment horizontal="right"/>
    </xf>
    <xf numFmtId="3" fontId="3" fillId="0" borderId="0" xfId="0" applyNumberFormat="1" applyFont="1"/>
    <xf numFmtId="0" fontId="3" fillId="0" borderId="0" xfId="6" applyNumberFormat="1" applyFont="1" applyAlignment="1">
      <alignment horizontal="center"/>
    </xf>
    <xf numFmtId="0" fontId="9" fillId="0" borderId="0" xfId="0" applyFont="1" applyFill="1" applyAlignment="1">
      <alignment horizontal="left"/>
    </xf>
    <xf numFmtId="37" fontId="8" fillId="0" borderId="0" xfId="0" applyNumberFormat="1" applyFont="1"/>
    <xf numFmtId="169" fontId="5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3" fontId="29" fillId="0" borderId="0" xfId="6" applyNumberFormat="1" applyFont="1" applyFill="1"/>
    <xf numFmtId="3" fontId="29" fillId="0" borderId="0" xfId="5" applyNumberFormat="1" applyFont="1" applyFill="1"/>
    <xf numFmtId="0" fontId="29" fillId="0" borderId="0" xfId="6" applyNumberFormat="1" applyFont="1" applyAlignment="1">
      <alignment horizontal="left"/>
    </xf>
    <xf numFmtId="0" fontId="29" fillId="0" borderId="0" xfId="6" applyFont="1"/>
    <xf numFmtId="3" fontId="31" fillId="0" borderId="0" xfId="6" applyNumberFormat="1" applyFont="1" applyFill="1"/>
    <xf numFmtId="3" fontId="29" fillId="0" borderId="0" xfId="6" applyNumberFormat="1" applyFont="1"/>
    <xf numFmtId="3" fontId="30" fillId="0" borderId="0" xfId="6" applyNumberFormat="1" applyFont="1"/>
    <xf numFmtId="3" fontId="32" fillId="0" borderId="0" xfId="6" applyNumberFormat="1" applyFont="1"/>
    <xf numFmtId="3" fontId="30" fillId="0" borderId="0" xfId="6" applyNumberFormat="1" applyFont="1" applyAlignment="1"/>
    <xf numFmtId="0" fontId="30" fillId="0" borderId="0" xfId="6" applyNumberFormat="1" applyFont="1" applyAlignment="1">
      <alignment horizontal="center"/>
    </xf>
    <xf numFmtId="0" fontId="30" fillId="0" borderId="0" xfId="6" applyFont="1" applyAlignment="1">
      <alignment horizontal="center"/>
    </xf>
    <xf numFmtId="3" fontId="30" fillId="0" borderId="0" xfId="6" applyNumberFormat="1" applyFont="1" applyAlignment="1">
      <alignment horizontal="center"/>
    </xf>
    <xf numFmtId="0" fontId="30" fillId="0" borderId="1" xfId="6" applyNumberFormat="1" applyFont="1" applyBorder="1" applyAlignment="1">
      <alignment horizontal="center"/>
    </xf>
    <xf numFmtId="0" fontId="30" fillId="0" borderId="2" xfId="6" applyFont="1" applyBorder="1" applyAlignment="1">
      <alignment horizontal="center"/>
    </xf>
    <xf numFmtId="0" fontId="30" fillId="0" borderId="3" xfId="6" applyFont="1" applyBorder="1" applyAlignment="1">
      <alignment horizontal="center"/>
    </xf>
    <xf numFmtId="0" fontId="29" fillId="0" borderId="4" xfId="6" applyFont="1" applyBorder="1"/>
    <xf numFmtId="3" fontId="30" fillId="0" borderId="1" xfId="6" applyNumberFormat="1" applyFont="1" applyBorder="1" applyAlignment="1">
      <alignment horizontal="center"/>
    </xf>
    <xf numFmtId="0" fontId="30" fillId="0" borderId="5" xfId="6" applyNumberFormat="1" applyFont="1" applyBorder="1" applyAlignment="1">
      <alignment horizontal="center"/>
    </xf>
    <xf numFmtId="0" fontId="30" fillId="0" borderId="6" xfId="6" applyFont="1" applyBorder="1" applyAlignment="1">
      <alignment horizontal="center"/>
    </xf>
    <xf numFmtId="0" fontId="30" fillId="0" borderId="0" xfId="6" applyFont="1" applyBorder="1" applyAlignment="1">
      <alignment horizontal="center"/>
    </xf>
    <xf numFmtId="0" fontId="29" fillId="0" borderId="7" xfId="6" applyFont="1" applyBorder="1"/>
    <xf numFmtId="3" fontId="30" fillId="0" borderId="5" xfId="6" applyNumberFormat="1" applyFont="1" applyBorder="1" applyAlignment="1">
      <alignment horizontal="center"/>
    </xf>
    <xf numFmtId="0" fontId="30" fillId="0" borderId="8" xfId="6" applyNumberFormat="1" applyFont="1" applyBorder="1" applyAlignment="1">
      <alignment horizontal="center"/>
    </xf>
    <xf numFmtId="0" fontId="30" fillId="0" borderId="9" xfId="6" applyFont="1" applyBorder="1" applyAlignment="1">
      <alignment horizontal="center"/>
    </xf>
    <xf numFmtId="0" fontId="30" fillId="0" borderId="10" xfId="6" applyFont="1" applyBorder="1" applyAlignment="1">
      <alignment horizontal="center"/>
    </xf>
    <xf numFmtId="0" fontId="30" fillId="0" borderId="11" xfId="6" applyFont="1" applyBorder="1" applyAlignment="1">
      <alignment horizontal="center"/>
    </xf>
    <xf numFmtId="3" fontId="30" fillId="0" borderId="8" xfId="6" applyNumberFormat="1" applyFont="1" applyBorder="1" applyAlignment="1">
      <alignment horizontal="center"/>
    </xf>
    <xf numFmtId="0" fontId="29" fillId="0" borderId="0" xfId="6" applyNumberFormat="1" applyFont="1" applyAlignment="1">
      <alignment horizontal="center"/>
    </xf>
    <xf numFmtId="5" fontId="29" fillId="0" borderId="0" xfId="6" applyNumberFormat="1" applyFont="1"/>
    <xf numFmtId="37" fontId="29" fillId="0" borderId="0" xfId="6" applyNumberFormat="1" applyFont="1"/>
    <xf numFmtId="0" fontId="29" fillId="0" borderId="0" xfId="6" applyNumberFormat="1" applyFont="1" applyBorder="1" applyAlignment="1">
      <alignment horizontal="center"/>
    </xf>
    <xf numFmtId="37" fontId="29" fillId="0" borderId="0" xfId="6" applyNumberFormat="1" applyFont="1" applyBorder="1"/>
    <xf numFmtId="0" fontId="29" fillId="0" borderId="0" xfId="6" applyFont="1" applyBorder="1"/>
    <xf numFmtId="0" fontId="29" fillId="0" borderId="0" xfId="6" applyNumberFormat="1" applyFont="1" applyFill="1" applyAlignment="1">
      <alignment horizontal="left"/>
    </xf>
    <xf numFmtId="0" fontId="29" fillId="0" borderId="0" xfId="6" applyFont="1" applyFill="1"/>
    <xf numFmtId="0" fontId="29" fillId="0" borderId="0" xfId="5" applyFont="1" applyFill="1"/>
    <xf numFmtId="10" fontId="29" fillId="0" borderId="0" xfId="7" applyNumberFormat="1" applyFont="1" applyFill="1"/>
    <xf numFmtId="0" fontId="29" fillId="0" borderId="0" xfId="6" applyNumberFormat="1" applyFont="1" applyFill="1" applyAlignment="1">
      <alignment horizontal="center"/>
    </xf>
    <xf numFmtId="0" fontId="29" fillId="0" borderId="0" xfId="5" applyFont="1" applyFill="1" applyAlignment="1">
      <alignment horizontal="right"/>
    </xf>
    <xf numFmtId="10" fontId="23" fillId="0" borderId="0" xfId="7" applyNumberFormat="1" applyFont="1" applyFill="1" applyBorder="1"/>
    <xf numFmtId="0" fontId="23" fillId="0" borderId="0" xfId="0" applyFont="1" applyFill="1" applyBorder="1"/>
    <xf numFmtId="37" fontId="23" fillId="0" borderId="0" xfId="3" applyNumberFormat="1" applyFont="1" applyFill="1" applyBorder="1"/>
    <xf numFmtId="37" fontId="23" fillId="0" borderId="0" xfId="3" applyNumberFormat="1" applyFont="1" applyFill="1" applyBorder="1" applyAlignment="1">
      <alignment horizontal="center"/>
    </xf>
    <xf numFmtId="0" fontId="29" fillId="0" borderId="0" xfId="6" applyFont="1" applyAlignment="1">
      <alignment horizontal="left"/>
    </xf>
    <xf numFmtId="4" fontId="30" fillId="0" borderId="0" xfId="6" applyNumberFormat="1" applyFont="1" applyAlignment="1">
      <alignment horizontal="center"/>
    </xf>
    <xf numFmtId="4" fontId="8" fillId="0" borderId="0" xfId="0" applyNumberFormat="1" applyFont="1" applyFill="1" applyAlignment="1">
      <alignment horizontal="center"/>
    </xf>
    <xf numFmtId="41" fontId="29" fillId="0" borderId="0" xfId="6" applyNumberFormat="1" applyFont="1"/>
    <xf numFmtId="41" fontId="29" fillId="0" borderId="10" xfId="6" applyNumberFormat="1" applyFont="1" applyBorder="1"/>
    <xf numFmtId="41" fontId="29" fillId="0" borderId="0" xfId="6" applyNumberFormat="1" applyFont="1" applyFill="1"/>
    <xf numFmtId="41" fontId="29" fillId="0" borderId="15" xfId="6" applyNumberFormat="1" applyFont="1" applyBorder="1"/>
    <xf numFmtId="41" fontId="29" fillId="0" borderId="0" xfId="6" applyNumberFormat="1" applyFont="1" applyBorder="1"/>
    <xf numFmtId="41" fontId="29" fillId="0" borderId="0" xfId="5" applyNumberFormat="1" applyFont="1" applyFill="1"/>
    <xf numFmtId="41" fontId="34" fillId="0" borderId="0" xfId="5" applyNumberFormat="1" applyFont="1" applyFill="1"/>
    <xf numFmtId="41" fontId="3" fillId="0" borderId="0" xfId="5" applyNumberFormat="1" applyFont="1" applyFill="1"/>
    <xf numFmtId="3" fontId="8" fillId="0" borderId="0" xfId="13" applyNumberFormat="1" applyFont="1"/>
    <xf numFmtId="4" fontId="8" fillId="0" borderId="0" xfId="13" applyNumberFormat="1" applyFont="1" applyBorder="1" applyAlignment="1">
      <alignment horizontal="centerContinuous"/>
    </xf>
    <xf numFmtId="3" fontId="8" fillId="0" borderId="0" xfId="13" applyNumberFormat="1" applyFont="1" applyBorder="1" applyAlignment="1">
      <alignment horizontal="left"/>
    </xf>
    <xf numFmtId="3" fontId="8" fillId="0" borderId="0" xfId="13" applyNumberFormat="1" applyFont="1" applyBorder="1" applyAlignment="1">
      <alignment horizontal="centerContinuous"/>
    </xf>
    <xf numFmtId="0" fontId="8" fillId="0" borderId="0" xfId="13" applyFont="1" applyBorder="1" applyAlignment="1">
      <alignment horizontal="centerContinuous"/>
    </xf>
    <xf numFmtId="3" fontId="8" fillId="0" borderId="0" xfId="13" applyNumberFormat="1" applyFont="1" applyAlignment="1">
      <alignment horizontal="center"/>
    </xf>
    <xf numFmtId="4" fontId="8" fillId="0" borderId="0" xfId="13" applyNumberFormat="1" applyFont="1" applyAlignment="1">
      <alignment horizontal="center"/>
    </xf>
    <xf numFmtId="3" fontId="8" fillId="0" borderId="0" xfId="13" applyNumberFormat="1" applyFont="1" applyAlignment="1">
      <alignment horizontal="left"/>
    </xf>
    <xf numFmtId="0" fontId="8" fillId="0" borderId="0" xfId="13" applyFont="1"/>
    <xf numFmtId="0" fontId="8" fillId="0" borderId="0" xfId="13" applyFont="1" applyAlignment="1">
      <alignment horizontal="center"/>
    </xf>
    <xf numFmtId="3" fontId="8" fillId="0" borderId="10" xfId="13" applyNumberFormat="1" applyFont="1" applyBorder="1" applyAlignment="1">
      <alignment horizontal="left"/>
    </xf>
    <xf numFmtId="0" fontId="8" fillId="0" borderId="10" xfId="13" applyFont="1" applyBorder="1" applyAlignment="1">
      <alignment horizontal="center"/>
    </xf>
    <xf numFmtId="3" fontId="8" fillId="0" borderId="10" xfId="13" applyNumberFormat="1" applyFont="1" applyBorder="1" applyAlignment="1">
      <alignment horizontal="center"/>
    </xf>
    <xf numFmtId="41" fontId="8" fillId="0" borderId="0" xfId="13" applyNumberFormat="1" applyFont="1" applyAlignment="1">
      <alignment horizontal="right"/>
    </xf>
    <xf numFmtId="4" fontId="8" fillId="0" borderId="0" xfId="13" applyNumberFormat="1" applyFont="1" applyAlignment="1">
      <alignment horizontal="left"/>
    </xf>
    <xf numFmtId="164" fontId="8" fillId="0" borderId="0" xfId="13" applyNumberFormat="1" applyFont="1"/>
    <xf numFmtId="0" fontId="8" fillId="0" borderId="0" xfId="13" applyFont="1" applyBorder="1"/>
    <xf numFmtId="4" fontId="20" fillId="0" borderId="0" xfId="13" applyNumberFormat="1" applyFont="1" applyAlignment="1">
      <alignment horizontal="center"/>
    </xf>
    <xf numFmtId="3" fontId="20" fillId="0" borderId="0" xfId="13" applyNumberFormat="1" applyFont="1" applyAlignment="1">
      <alignment horizontal="left"/>
    </xf>
    <xf numFmtId="164" fontId="12" fillId="0" borderId="0" xfId="13" applyNumberFormat="1" applyFont="1"/>
    <xf numFmtId="3" fontId="12" fillId="0" borderId="0" xfId="13" applyNumberFormat="1" applyFont="1"/>
    <xf numFmtId="164" fontId="8" fillId="0" borderId="3" xfId="13" applyNumberFormat="1" applyFont="1" applyBorder="1"/>
    <xf numFmtId="164" fontId="8" fillId="0" borderId="0" xfId="13" applyNumberFormat="1" applyFont="1" applyAlignment="1">
      <alignment horizontal="center"/>
    </xf>
    <xf numFmtId="164" fontId="8" fillId="0" borderId="0" xfId="13" applyNumberFormat="1" applyFont="1" applyFill="1"/>
    <xf numFmtId="10" fontId="8" fillId="0" borderId="0" xfId="13" applyNumberFormat="1" applyFont="1" applyFill="1"/>
    <xf numFmtId="0" fontId="20" fillId="0" borderId="0" xfId="13" applyFont="1"/>
    <xf numFmtId="3" fontId="8" fillId="0" borderId="0" xfId="13" applyNumberFormat="1" applyFont="1" applyFill="1" applyBorder="1"/>
    <xf numFmtId="164" fontId="8" fillId="0" borderId="3" xfId="13" applyNumberFormat="1" applyFont="1" applyFill="1" applyBorder="1"/>
    <xf numFmtId="10" fontId="8" fillId="0" borderId="3" xfId="13" applyNumberFormat="1" applyFont="1" applyFill="1" applyBorder="1"/>
    <xf numFmtId="3" fontId="8" fillId="0" borderId="0" xfId="13" applyNumberFormat="1" applyFont="1" applyFill="1"/>
    <xf numFmtId="170" fontId="8" fillId="0" borderId="0" xfId="7" applyNumberFormat="1" applyFont="1" applyFill="1"/>
    <xf numFmtId="170" fontId="8" fillId="0" borderId="0" xfId="13" applyNumberFormat="1" applyFont="1" applyFill="1"/>
    <xf numFmtId="170" fontId="8" fillId="0" borderId="3" xfId="13" applyNumberFormat="1" applyFont="1" applyFill="1" applyBorder="1"/>
    <xf numFmtId="4" fontId="9" fillId="0" borderId="0" xfId="13" applyNumberFormat="1" applyFont="1" applyAlignment="1">
      <alignment horizontal="centerContinuous"/>
    </xf>
    <xf numFmtId="3" fontId="8" fillId="0" borderId="0" xfId="13" applyNumberFormat="1" applyFont="1" applyAlignment="1">
      <alignment horizontal="centerContinuous"/>
    </xf>
    <xf numFmtId="0" fontId="8" fillId="0" borderId="0" xfId="13" applyFont="1" applyAlignment="1">
      <alignment horizontal="centerContinuous"/>
    </xf>
    <xf numFmtId="4" fontId="37" fillId="0" borderId="0" xfId="13" applyNumberFormat="1" applyFont="1" applyBorder="1" applyAlignment="1">
      <alignment horizontal="centerContinuous"/>
    </xf>
    <xf numFmtId="4" fontId="8" fillId="0" borderId="0" xfId="13" applyNumberFormat="1" applyFont="1" applyAlignment="1">
      <alignment horizontal="centerContinuous"/>
    </xf>
    <xf numFmtId="37" fontId="8" fillId="0" borderId="0" xfId="13" applyNumberFormat="1" applyFont="1" applyAlignment="1">
      <alignment horizontal="right"/>
    </xf>
    <xf numFmtId="3" fontId="38" fillId="0" borderId="0" xfId="13" applyNumberFormat="1" applyFont="1"/>
    <xf numFmtId="0" fontId="14" fillId="0" borderId="0" xfId="13" applyFont="1"/>
    <xf numFmtId="10" fontId="14" fillId="0" borderId="0" xfId="13" applyNumberFormat="1" applyFont="1"/>
    <xf numFmtId="10" fontId="20" fillId="0" borderId="10" xfId="13" applyNumberFormat="1" applyFont="1" applyFill="1" applyBorder="1"/>
    <xf numFmtId="3" fontId="38" fillId="0" borderId="0" xfId="13" applyNumberFormat="1" applyFont="1" applyFill="1"/>
    <xf numFmtId="3" fontId="12" fillId="0" borderId="10" xfId="13" applyNumberFormat="1" applyFont="1" applyBorder="1"/>
    <xf numFmtId="3" fontId="9" fillId="0" borderId="0" xfId="13" applyNumberFormat="1" applyFont="1"/>
    <xf numFmtId="171" fontId="8" fillId="0" borderId="0" xfId="13" applyNumberFormat="1" applyFont="1"/>
    <xf numFmtId="172" fontId="8" fillId="0" borderId="10" xfId="13" applyNumberFormat="1" applyFont="1" applyBorder="1"/>
    <xf numFmtId="164" fontId="8" fillId="0" borderId="17" xfId="13" applyNumberFormat="1" applyFont="1" applyBorder="1"/>
    <xf numFmtId="4" fontId="8" fillId="0" borderId="0" xfId="13" applyNumberFormat="1" applyFont="1"/>
    <xf numFmtId="10" fontId="8" fillId="0" borderId="0" xfId="13" applyNumberFormat="1" applyFont="1"/>
    <xf numFmtId="10" fontId="8" fillId="0" borderId="0" xfId="13" applyNumberFormat="1" applyFont="1" applyBorder="1"/>
    <xf numFmtId="3" fontId="8" fillId="0" borderId="0" xfId="13" applyNumberFormat="1" applyFont="1" applyBorder="1"/>
    <xf numFmtId="10" fontId="8" fillId="0" borderId="3" xfId="13" applyNumberFormat="1" applyFont="1" applyBorder="1"/>
    <xf numFmtId="170" fontId="8" fillId="0" borderId="0" xfId="7" applyNumberFormat="1" applyFont="1"/>
    <xf numFmtId="170" fontId="8" fillId="0" borderId="0" xfId="13" applyNumberFormat="1" applyFont="1"/>
    <xf numFmtId="170" fontId="8" fillId="0" borderId="3" xfId="13" applyNumberFormat="1" applyFont="1" applyBorder="1"/>
    <xf numFmtId="0" fontId="8" fillId="0" borderId="0" xfId="0" applyFont="1" applyAlignment="1">
      <alignment horizontal="left"/>
    </xf>
    <xf numFmtId="4" fontId="8" fillId="0" borderId="0" xfId="0" applyNumberFormat="1" applyFont="1" applyFill="1" applyAlignment="1">
      <alignment horizontal="left"/>
    </xf>
    <xf numFmtId="4" fontId="8" fillId="0" borderId="0" xfId="0" applyNumberFormat="1" applyFont="1" applyAlignment="1">
      <alignment horizontal="left"/>
    </xf>
    <xf numFmtId="41" fontId="8" fillId="0" borderId="0" xfId="13" applyNumberFormat="1" applyFont="1"/>
    <xf numFmtId="41" fontId="8" fillId="0" borderId="0" xfId="1" applyNumberFormat="1" applyFont="1"/>
    <xf numFmtId="41" fontId="8" fillId="0" borderId="0" xfId="1" applyNumberFormat="1" applyFont="1" applyAlignment="1">
      <alignment horizontal="right"/>
    </xf>
    <xf numFmtId="41" fontId="13" fillId="0" borderId="0" xfId="1" applyNumberFormat="1" applyFont="1"/>
    <xf numFmtId="41" fontId="8" fillId="0" borderId="10" xfId="1" applyNumberFormat="1" applyFont="1" applyBorder="1"/>
    <xf numFmtId="41" fontId="12" fillId="0" borderId="10" xfId="1" applyNumberFormat="1" applyFont="1" applyFill="1" applyBorder="1"/>
    <xf numFmtId="41" fontId="8" fillId="0" borderId="12" xfId="1" applyNumberFormat="1" applyFont="1" applyBorder="1"/>
    <xf numFmtId="9" fontId="8" fillId="0" borderId="10" xfId="7" applyFont="1" applyBorder="1"/>
    <xf numFmtId="9" fontId="8" fillId="0" borderId="0" xfId="7" applyFont="1"/>
    <xf numFmtId="10" fontId="8" fillId="0" borderId="10" xfId="7" applyNumberFormat="1" applyFont="1" applyBorder="1"/>
    <xf numFmtId="10" fontId="29" fillId="0" borderId="0" xfId="7" applyNumberFormat="1" applyFont="1"/>
    <xf numFmtId="42" fontId="29" fillId="0" borderId="0" xfId="6" applyNumberFormat="1" applyFont="1"/>
    <xf numFmtId="41" fontId="3" fillId="0" borderId="0" xfId="6" applyNumberFormat="1" applyFont="1"/>
    <xf numFmtId="41" fontId="3" fillId="0" borderId="0" xfId="1" applyNumberFormat="1" applyFont="1"/>
    <xf numFmtId="41" fontId="3" fillId="0" borderId="10" xfId="6" applyNumberFormat="1" applyFont="1" applyBorder="1"/>
    <xf numFmtId="41" fontId="3" fillId="0" borderId="10" xfId="6" applyNumberFormat="1" applyFont="1" applyFill="1" applyBorder="1"/>
    <xf numFmtId="41" fontId="3" fillId="0" borderId="0" xfId="1" applyNumberFormat="1" applyFont="1" applyBorder="1"/>
    <xf numFmtId="41" fontId="3" fillId="0" borderId="15" xfId="6" applyNumberFormat="1" applyFont="1" applyBorder="1"/>
    <xf numFmtId="41" fontId="3" fillId="0" borderId="0" xfId="0" applyNumberFormat="1" applyFont="1"/>
    <xf numFmtId="41" fontId="3" fillId="0" borderId="12" xfId="6" applyNumberFormat="1" applyFont="1" applyBorder="1"/>
    <xf numFmtId="41" fontId="3" fillId="0" borderId="0" xfId="6" applyNumberFormat="1" applyFont="1" applyBorder="1"/>
    <xf numFmtId="169" fontId="9" fillId="0" borderId="0" xfId="0" applyNumberFormat="1" applyFont="1" applyAlignment="1">
      <alignment horizontal="center"/>
    </xf>
    <xf numFmtId="175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3" fontId="0" fillId="0" borderId="0" xfId="0" applyNumberFormat="1" applyAlignment="1">
      <alignment horizontal="left"/>
    </xf>
    <xf numFmtId="176" fontId="0" fillId="0" borderId="0" xfId="0" applyNumberFormat="1" applyAlignment="1">
      <alignment horizontal="left"/>
    </xf>
    <xf numFmtId="176" fontId="0" fillId="0" borderId="0" xfId="0" applyNumberFormat="1" applyFill="1" applyAlignment="1">
      <alignment horizontal="left"/>
    </xf>
    <xf numFmtId="3" fontId="0" fillId="0" borderId="0" xfId="0" applyNumberFormat="1" applyFill="1" applyAlignment="1">
      <alignment horizontal="left"/>
    </xf>
    <xf numFmtId="175" fontId="0" fillId="0" borderId="0" xfId="0" quotePrefix="1" applyNumberFormat="1" applyAlignment="1">
      <alignment horizontal="left"/>
    </xf>
    <xf numFmtId="49" fontId="0" fillId="0" borderId="0" xfId="0" applyNumberFormat="1" applyAlignment="1">
      <alignment horizontal="left"/>
    </xf>
    <xf numFmtId="175" fontId="40" fillId="0" borderId="0" xfId="0" applyNumberFormat="1" applyFont="1"/>
    <xf numFmtId="3" fontId="40" fillId="0" borderId="0" xfId="0" applyNumberFormat="1" applyFont="1"/>
    <xf numFmtId="49" fontId="40" fillId="0" borderId="0" xfId="0" applyNumberFormat="1" applyFont="1" applyFill="1" applyAlignment="1">
      <alignment horizontal="center"/>
    </xf>
    <xf numFmtId="3" fontId="40" fillId="0" borderId="0" xfId="0" applyNumberFormat="1" applyFont="1" applyFill="1"/>
    <xf numFmtId="175" fontId="40" fillId="0" borderId="0" xfId="0" applyNumberFormat="1" applyFont="1" applyAlignment="1">
      <alignment horizontal="center"/>
    </xf>
    <xf numFmtId="176" fontId="40" fillId="0" borderId="0" xfId="0" applyNumberFormat="1" applyFont="1"/>
    <xf numFmtId="176" fontId="40" fillId="0" borderId="0" xfId="0" applyNumberFormat="1" applyFont="1" applyAlignment="1">
      <alignment horizontal="center"/>
    </xf>
    <xf numFmtId="0" fontId="40" fillId="0" borderId="0" xfId="0" applyFont="1"/>
    <xf numFmtId="175" fontId="40" fillId="4" borderId="0" xfId="0" applyNumberFormat="1" applyFont="1" applyFill="1"/>
    <xf numFmtId="3" fontId="40" fillId="4" borderId="0" xfId="0" applyNumberFormat="1" applyFont="1" applyFill="1"/>
    <xf numFmtId="176" fontId="40" fillId="4" borderId="0" xfId="0" applyNumberFormat="1" applyFont="1" applyFill="1" applyAlignment="1">
      <alignment horizontal="center"/>
    </xf>
    <xf numFmtId="175" fontId="0" fillId="0" borderId="0" xfId="0" applyNumberFormat="1" applyAlignment="1">
      <alignment horizontal="center"/>
    </xf>
    <xf numFmtId="3" fontId="0" fillId="0" borderId="0" xfId="0" applyNumberFormat="1"/>
    <xf numFmtId="176" fontId="0" fillId="0" borderId="0" xfId="0" applyNumberFormat="1" applyAlignment="1">
      <alignment horizontal="center"/>
    </xf>
    <xf numFmtId="176" fontId="0" fillId="4" borderId="0" xfId="0" applyNumberFormat="1" applyFill="1" applyAlignment="1">
      <alignment horizontal="center"/>
    </xf>
    <xf numFmtId="3" fontId="0" fillId="4" borderId="0" xfId="0" applyNumberFormat="1" applyFill="1"/>
    <xf numFmtId="175" fontId="0" fillId="0" borderId="0" xfId="0" applyNumberFormat="1"/>
    <xf numFmtId="0" fontId="0" fillId="0" borderId="0" xfId="0" applyFont="1"/>
    <xf numFmtId="175" fontId="0" fillId="0" borderId="0" xfId="0" applyNumberFormat="1" applyFont="1"/>
    <xf numFmtId="0" fontId="3" fillId="0" borderId="0" xfId="6" applyNumberFormat="1" applyFont="1" applyFill="1" applyAlignment="1">
      <alignment horizontal="center"/>
    </xf>
    <xf numFmtId="5" fontId="30" fillId="0" borderId="0" xfId="6" applyNumberFormat="1" applyFont="1"/>
    <xf numFmtId="42" fontId="29" fillId="0" borderId="12" xfId="6" applyNumberFormat="1" applyFont="1" applyBorder="1"/>
    <xf numFmtId="42" fontId="30" fillId="0" borderId="12" xfId="6" applyNumberFormat="1" applyFont="1" applyBorder="1"/>
    <xf numFmtId="41" fontId="12" fillId="0" borderId="0" xfId="1" applyNumberFormat="1" applyFont="1" applyFill="1" applyBorder="1"/>
    <xf numFmtId="41" fontId="8" fillId="0" borderId="0" xfId="1" applyNumberFormat="1" applyFont="1" applyBorder="1"/>
    <xf numFmtId="0" fontId="8" fillId="0" borderId="0" xfId="13" applyFont="1" applyBorder="1" applyAlignment="1">
      <alignment horizontal="center"/>
    </xf>
    <xf numFmtId="177" fontId="29" fillId="0" borderId="0" xfId="5" applyNumberFormat="1" applyFont="1" applyFill="1"/>
    <xf numFmtId="10" fontId="29" fillId="2" borderId="0" xfId="7" applyNumberFormat="1" applyFont="1" applyFill="1"/>
    <xf numFmtId="41" fontId="8" fillId="2" borderId="18" xfId="1" applyNumberFormat="1" applyFont="1" applyFill="1" applyBorder="1"/>
    <xf numFmtId="37" fontId="3" fillId="0" borderId="0" xfId="6" applyNumberFormat="1" applyFont="1" applyFill="1"/>
    <xf numFmtId="41" fontId="3" fillId="0" borderId="0" xfId="6" applyNumberFormat="1" applyFont="1" applyFill="1"/>
    <xf numFmtId="0" fontId="9" fillId="0" borderId="0" xfId="0" applyFont="1" applyFill="1"/>
    <xf numFmtId="0" fontId="17" fillId="0" borderId="0" xfId="0" applyFont="1" applyFill="1"/>
    <xf numFmtId="5" fontId="8" fillId="0" borderId="0" xfId="1" applyNumberFormat="1" applyFont="1" applyBorder="1"/>
    <xf numFmtId="164" fontId="8" fillId="0" borderId="0" xfId="1" applyNumberFormat="1" applyFont="1" applyBorder="1"/>
    <xf numFmtId="166" fontId="42" fillId="0" borderId="0" xfId="0" applyNumberFormat="1" applyFont="1" applyFill="1"/>
    <xf numFmtId="41" fontId="5" fillId="0" borderId="1" xfId="20" applyNumberFormat="1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3" fontId="5" fillId="0" borderId="0" xfId="6" applyNumberFormat="1" applyFont="1"/>
    <xf numFmtId="0" fontId="3" fillId="0" borderId="0" xfId="6" applyNumberFormat="1" applyFont="1" applyAlignment="1">
      <alignment horizontal="left"/>
    </xf>
    <xf numFmtId="3" fontId="5" fillId="0" borderId="0" xfId="6" applyNumberFormat="1" applyFont="1" applyFill="1" applyAlignment="1">
      <alignment horizontal="center"/>
    </xf>
    <xf numFmtId="41" fontId="3" fillId="0" borderId="0" xfId="5" applyNumberFormat="1" applyFont="1" applyFill="1" applyAlignment="1">
      <alignment horizontal="center"/>
    </xf>
    <xf numFmtId="3" fontId="5" fillId="0" borderId="0" xfId="6" applyNumberFormat="1" applyFont="1" applyAlignment="1">
      <alignment horizontal="center"/>
    </xf>
    <xf numFmtId="0" fontId="3" fillId="0" borderId="0" xfId="6" applyFont="1" applyAlignment="1">
      <alignment horizontal="center"/>
    </xf>
    <xf numFmtId="3" fontId="5" fillId="0" borderId="0" xfId="6" applyNumberFormat="1" applyFont="1" applyFill="1" applyBorder="1" applyAlignment="1">
      <alignment horizontal="center"/>
    </xf>
    <xf numFmtId="0" fontId="5" fillId="0" borderId="0" xfId="6" applyNumberFormat="1" applyFont="1" applyAlignment="1">
      <alignment horizontal="center"/>
    </xf>
    <xf numFmtId="0" fontId="5" fillId="0" borderId="0" xfId="6" applyFont="1" applyAlignment="1">
      <alignment horizontal="center"/>
    </xf>
    <xf numFmtId="0" fontId="5" fillId="0" borderId="1" xfId="6" applyNumberFormat="1" applyFont="1" applyBorder="1" applyAlignment="1">
      <alignment horizontal="center"/>
    </xf>
    <xf numFmtId="0" fontId="5" fillId="0" borderId="2" xfId="6" applyFont="1" applyBorder="1" applyAlignment="1">
      <alignment horizontal="center"/>
    </xf>
    <xf numFmtId="0" fontId="5" fillId="0" borderId="3" xfId="6" applyFont="1" applyBorder="1" applyAlignment="1">
      <alignment horizontal="center"/>
    </xf>
    <xf numFmtId="0" fontId="3" fillId="0" borderId="4" xfId="6" applyFont="1" applyBorder="1"/>
    <xf numFmtId="3" fontId="5" fillId="0" borderId="1" xfId="6" applyNumberFormat="1" applyFont="1" applyBorder="1" applyAlignment="1">
      <alignment horizontal="center"/>
    </xf>
    <xf numFmtId="0" fontId="5" fillId="0" borderId="5" xfId="6" applyNumberFormat="1" applyFont="1" applyBorder="1" applyAlignment="1">
      <alignment horizontal="center"/>
    </xf>
    <xf numFmtId="0" fontId="5" fillId="0" borderId="6" xfId="6" applyFont="1" applyBorder="1" applyAlignment="1">
      <alignment horizontal="center"/>
    </xf>
    <xf numFmtId="0" fontId="5" fillId="0" borderId="0" xfId="6" applyFont="1" applyBorder="1" applyAlignment="1">
      <alignment horizontal="center"/>
    </xf>
    <xf numFmtId="0" fontId="3" fillId="0" borderId="7" xfId="6" applyFont="1" applyBorder="1"/>
    <xf numFmtId="0" fontId="5" fillId="0" borderId="8" xfId="6" applyNumberFormat="1" applyFont="1" applyBorder="1" applyAlignment="1">
      <alignment horizontal="center"/>
    </xf>
    <xf numFmtId="0" fontId="5" fillId="0" borderId="9" xfId="6" applyFont="1" applyBorder="1" applyAlignment="1">
      <alignment horizontal="center"/>
    </xf>
    <xf numFmtId="0" fontId="5" fillId="0" borderId="10" xfId="6" applyFont="1" applyBorder="1" applyAlignment="1">
      <alignment horizontal="center"/>
    </xf>
    <xf numFmtId="0" fontId="5" fillId="0" borderId="11" xfId="6" applyFont="1" applyBorder="1" applyAlignment="1">
      <alignment horizontal="center"/>
    </xf>
    <xf numFmtId="0" fontId="3" fillId="0" borderId="0" xfId="6" applyFont="1" applyAlignment="1">
      <alignment horizontal="left"/>
    </xf>
    <xf numFmtId="4" fontId="5" fillId="0" borderId="0" xfId="6" applyNumberFormat="1" applyFont="1" applyFill="1" applyBorder="1" applyAlignment="1">
      <alignment horizontal="center"/>
    </xf>
    <xf numFmtId="3" fontId="3" fillId="0" borderId="0" xfId="6" applyNumberFormat="1" applyFont="1" applyFill="1" applyBorder="1"/>
    <xf numFmtId="42" fontId="5" fillId="0" borderId="0" xfId="6" applyNumberFormat="1" applyFont="1"/>
    <xf numFmtId="41" fontId="5" fillId="0" borderId="0" xfId="6" applyNumberFormat="1" applyFont="1"/>
    <xf numFmtId="41" fontId="5" fillId="0" borderId="10" xfId="6" applyNumberFormat="1" applyFont="1" applyBorder="1"/>
    <xf numFmtId="0" fontId="3" fillId="0" borderId="0" xfId="6" applyFont="1" applyBorder="1"/>
    <xf numFmtId="42" fontId="5" fillId="0" borderId="12" xfId="6" applyNumberFormat="1" applyFont="1" applyBorder="1"/>
    <xf numFmtId="41" fontId="5" fillId="0" borderId="15" xfId="6" applyNumberFormat="1" applyFont="1" applyBorder="1"/>
    <xf numFmtId="41" fontId="5" fillId="0" borderId="0" xfId="6" applyNumberFormat="1" applyFont="1" applyBorder="1"/>
    <xf numFmtId="5" fontId="5" fillId="0" borderId="0" xfId="6" applyNumberFormat="1" applyFont="1"/>
    <xf numFmtId="10" fontId="5" fillId="0" borderId="0" xfId="7" applyNumberFormat="1" applyFont="1"/>
    <xf numFmtId="0" fontId="3" fillId="0" borderId="0" xfId="6" applyNumberFormat="1" applyFont="1" applyFill="1" applyAlignment="1">
      <alignment horizontal="left"/>
    </xf>
    <xf numFmtId="0" fontId="3" fillId="0" borderId="0" xfId="6" applyFont="1" applyFill="1"/>
    <xf numFmtId="0" fontId="3" fillId="0" borderId="0" xfId="5" applyFont="1" applyFill="1"/>
    <xf numFmtId="41" fontId="5" fillId="0" borderId="0" xfId="6" applyNumberFormat="1" applyFont="1" applyFill="1"/>
    <xf numFmtId="41" fontId="5" fillId="0" borderId="0" xfId="5" applyNumberFormat="1" applyFont="1" applyFill="1"/>
    <xf numFmtId="3" fontId="5" fillId="0" borderId="0" xfId="6" applyNumberFormat="1" applyFont="1" applyFill="1"/>
    <xf numFmtId="3" fontId="5" fillId="0" borderId="0" xfId="5" applyNumberFormat="1" applyFont="1" applyFill="1"/>
    <xf numFmtId="4" fontId="8" fillId="0" borderId="0" xfId="0" applyNumberFormat="1" applyFont="1" applyAlignment="1">
      <alignment horizontal="center"/>
    </xf>
    <xf numFmtId="37" fontId="8" fillId="0" borderId="0" xfId="0" applyNumberFormat="1" applyFont="1" applyFill="1"/>
    <xf numFmtId="3" fontId="8" fillId="0" borderId="0" xfId="0" applyNumberFormat="1" applyFont="1" applyFill="1"/>
    <xf numFmtId="10" fontId="5" fillId="0" borderId="0" xfId="7" quotePrefix="1" applyNumberFormat="1" applyFont="1" applyAlignment="1">
      <alignment horizontal="center"/>
    </xf>
    <xf numFmtId="41" fontId="8" fillId="0" borderId="0" xfId="0" applyNumberFormat="1" applyFont="1"/>
    <xf numFmtId="10" fontId="5" fillId="5" borderId="0" xfId="7" applyNumberFormat="1" applyFont="1" applyFill="1"/>
    <xf numFmtId="168" fontId="3" fillId="0" borderId="0" xfId="6" applyNumberFormat="1" applyFont="1" applyFill="1"/>
    <xf numFmtId="41" fontId="5" fillId="0" borderId="0" xfId="6" applyNumberFormat="1" applyFont="1" applyFill="1" applyBorder="1"/>
    <xf numFmtId="3" fontId="5" fillId="0" borderId="0" xfId="5" applyNumberFormat="1" applyFont="1" applyFill="1" applyBorder="1"/>
    <xf numFmtId="3" fontId="5" fillId="0" borderId="0" xfId="6" applyNumberFormat="1" applyFont="1" applyFill="1" applyBorder="1"/>
    <xf numFmtId="0" fontId="3" fillId="0" borderId="0" xfId="0" applyFont="1"/>
    <xf numFmtId="0" fontId="8" fillId="0" borderId="0" xfId="0" applyFont="1"/>
    <xf numFmtId="0" fontId="8" fillId="0" borderId="0" xfId="0" applyFont="1" applyAlignment="1">
      <alignment horizontal="center"/>
    </xf>
    <xf numFmtId="3" fontId="8" fillId="0" borderId="0" xfId="0" applyNumberFormat="1" applyFont="1"/>
    <xf numFmtId="37" fontId="8" fillId="0" borderId="0" xfId="0" applyNumberFormat="1" applyFont="1"/>
    <xf numFmtId="0" fontId="8" fillId="0" borderId="0" xfId="0" applyFont="1" applyFill="1"/>
    <xf numFmtId="3" fontId="8" fillId="0" borderId="0" xfId="0" applyNumberFormat="1" applyFont="1" applyFill="1"/>
    <xf numFmtId="41" fontId="5" fillId="0" borderId="5" xfId="20" applyNumberFormat="1" applyFont="1" applyFill="1" applyBorder="1" applyAlignment="1">
      <alignment horizontal="center"/>
    </xf>
    <xf numFmtId="4" fontId="8" fillId="0" borderId="0" xfId="0" applyNumberFormat="1" applyFont="1" applyAlignment="1">
      <alignment horizontal="center"/>
    </xf>
    <xf numFmtId="4" fontId="8" fillId="0" borderId="0" xfId="0" applyNumberFormat="1" applyFont="1" applyAlignment="1">
      <alignment horizontal="left"/>
    </xf>
    <xf numFmtId="169" fontId="8" fillId="0" borderId="0" xfId="17" applyNumberFormat="1" applyFont="1"/>
    <xf numFmtId="3" fontId="3" fillId="0" borderId="0" xfId="5" applyNumberFormat="1" applyFont="1" applyFill="1"/>
    <xf numFmtId="4" fontId="5" fillId="0" borderId="0" xfId="6" applyNumberFormat="1" applyFont="1" applyAlignment="1">
      <alignment horizontal="center"/>
    </xf>
    <xf numFmtId="42" fontId="3" fillId="0" borderId="12" xfId="6" applyNumberFormat="1" applyFont="1" applyBorder="1"/>
    <xf numFmtId="10" fontId="3" fillId="0" borderId="0" xfId="7" applyNumberFormat="1" applyFont="1" applyFill="1"/>
    <xf numFmtId="0" fontId="24" fillId="0" borderId="23" xfId="0" applyFont="1" applyFill="1" applyBorder="1" applyAlignment="1">
      <alignment horizontal="center"/>
    </xf>
    <xf numFmtId="0" fontId="44" fillId="0" borderId="0" xfId="0" applyFont="1" applyAlignment="1">
      <alignment horizontal="left"/>
    </xf>
    <xf numFmtId="3" fontId="44" fillId="0" borderId="0" xfId="0" applyNumberFormat="1" applyFont="1" applyAlignment="1">
      <alignment horizontal="left"/>
    </xf>
    <xf numFmtId="3" fontId="44" fillId="0" borderId="0" xfId="0" applyNumberFormat="1" applyFont="1" applyFill="1" applyAlignment="1">
      <alignment horizontal="left"/>
    </xf>
    <xf numFmtId="49" fontId="44" fillId="0" borderId="0" xfId="0" applyNumberFormat="1" applyFont="1" applyAlignment="1">
      <alignment horizontal="left"/>
    </xf>
    <xf numFmtId="3" fontId="44" fillId="0" borderId="0" xfId="0" applyNumberFormat="1" applyFont="1"/>
    <xf numFmtId="3" fontId="44" fillId="0" borderId="0" xfId="0" applyNumberFormat="1" applyFont="1" applyFill="1"/>
    <xf numFmtId="0" fontId="44" fillId="0" borderId="0" xfId="0" applyFont="1"/>
    <xf numFmtId="3" fontId="44" fillId="4" borderId="0" xfId="0" applyNumberFormat="1" applyFont="1" applyFill="1"/>
    <xf numFmtId="175" fontId="44" fillId="0" borderId="0" xfId="0" applyNumberFormat="1" applyFont="1"/>
    <xf numFmtId="0" fontId="8" fillId="0" borderId="0" xfId="0" applyFont="1"/>
    <xf numFmtId="0" fontId="8" fillId="0" borderId="0" xfId="0" applyFont="1" applyAlignment="1">
      <alignment horizontal="center"/>
    </xf>
    <xf numFmtId="37" fontId="8" fillId="0" borderId="0" xfId="0" applyNumberFormat="1" applyFont="1"/>
    <xf numFmtId="0" fontId="8" fillId="0" borderId="0" xfId="0" applyFont="1" applyFill="1"/>
    <xf numFmtId="0" fontId="9" fillId="0" borderId="0" xfId="0" applyFont="1" applyBorder="1" applyAlignment="1">
      <alignment horizontal="left"/>
    </xf>
    <xf numFmtId="3" fontId="8" fillId="0" borderId="0" xfId="0" applyNumberFormat="1" applyFont="1" applyFill="1"/>
    <xf numFmtId="4" fontId="8" fillId="0" borderId="0" xfId="0" applyNumberFormat="1" applyFont="1" applyAlignment="1">
      <alignment horizontal="center"/>
    </xf>
    <xf numFmtId="4" fontId="8" fillId="0" borderId="0" xfId="0" applyNumberFormat="1" applyFont="1" applyAlignment="1">
      <alignment horizontal="left"/>
    </xf>
    <xf numFmtId="3" fontId="5" fillId="0" borderId="5" xfId="6" applyNumberFormat="1" applyFont="1" applyBorder="1" applyAlignment="1">
      <alignment horizontal="center"/>
    </xf>
    <xf numFmtId="3" fontId="5" fillId="0" borderId="8" xfId="6" applyNumberFormat="1" applyFont="1" applyBorder="1" applyAlignment="1">
      <alignment horizontal="center"/>
    </xf>
    <xf numFmtId="42" fontId="3" fillId="0" borderId="0" xfId="6" applyNumberFormat="1" applyFont="1"/>
    <xf numFmtId="3" fontId="3" fillId="0" borderId="0" xfId="6" applyNumberFormat="1" applyFont="1" applyBorder="1"/>
    <xf numFmtId="3" fontId="3" fillId="0" borderId="0" xfId="5" applyNumberFormat="1" applyFont="1" applyFill="1" applyBorder="1"/>
    <xf numFmtId="0" fontId="3" fillId="0" borderId="0" xfId="5" applyFont="1" applyFill="1" applyBorder="1"/>
    <xf numFmtId="0" fontId="3" fillId="0" borderId="0" xfId="6" applyNumberFormat="1" applyFont="1" applyFill="1" applyBorder="1" applyAlignment="1">
      <alignment horizontal="center"/>
    </xf>
    <xf numFmtId="3" fontId="5" fillId="0" borderId="0" xfId="6" applyNumberFormat="1" applyFont="1" applyBorder="1"/>
    <xf numFmtId="41" fontId="5" fillId="0" borderId="0" xfId="4" applyNumberFormat="1" applyFont="1" applyFill="1" applyBorder="1" applyAlignment="1">
      <alignment horizontal="center"/>
    </xf>
    <xf numFmtId="0" fontId="3" fillId="0" borderId="0" xfId="6" applyFont="1" applyFill="1" applyBorder="1"/>
    <xf numFmtId="0" fontId="3" fillId="0" borderId="0" xfId="5" applyFont="1" applyFill="1" applyBorder="1" applyAlignment="1">
      <alignment horizontal="right"/>
    </xf>
    <xf numFmtId="178" fontId="3" fillId="0" borderId="0" xfId="5" applyNumberFormat="1" applyFont="1" applyFill="1"/>
    <xf numFmtId="5" fontId="3" fillId="0" borderId="0" xfId="0" applyNumberFormat="1" applyFont="1" applyFill="1"/>
    <xf numFmtId="3" fontId="5" fillId="0" borderId="1" xfId="0" quotePrefix="1" applyNumberFormat="1" applyFont="1" applyBorder="1" applyAlignment="1">
      <alignment horizontal="center"/>
    </xf>
    <xf numFmtId="173" fontId="8" fillId="0" borderId="0" xfId="0" applyNumberFormat="1" applyFont="1"/>
    <xf numFmtId="0" fontId="24" fillId="4" borderId="32" xfId="0" applyFont="1" applyFill="1" applyBorder="1" applyAlignment="1">
      <alignment horizontal="left"/>
    </xf>
    <xf numFmtId="0" fontId="8" fillId="0" borderId="0" xfId="0" applyFont="1" applyAlignment="1">
      <alignment horizontal="center"/>
    </xf>
    <xf numFmtId="3" fontId="9" fillId="0" borderId="0" xfId="0" applyNumberFormat="1" applyFont="1" applyFill="1" applyAlignment="1"/>
    <xf numFmtId="41" fontId="5" fillId="5" borderId="2" xfId="4" applyNumberFormat="1" applyFont="1" applyFill="1" applyBorder="1" applyAlignment="1">
      <alignment horizontal="center"/>
    </xf>
    <xf numFmtId="10" fontId="9" fillId="0" borderId="0" xfId="0" applyNumberFormat="1" applyFont="1" applyBorder="1" applyAlignment="1">
      <alignment horizontal="center"/>
    </xf>
    <xf numFmtId="37" fontId="28" fillId="0" borderId="0" xfId="5" applyNumberFormat="1" applyFont="1" applyBorder="1" applyAlignment="1">
      <alignment vertical="top"/>
    </xf>
    <xf numFmtId="176" fontId="44" fillId="4" borderId="0" xfId="0" applyNumberFormat="1" applyFont="1" applyFill="1" applyAlignment="1">
      <alignment horizontal="center"/>
    </xf>
    <xf numFmtId="0" fontId="47" fillId="0" borderId="0" xfId="0" applyFont="1" applyAlignment="1">
      <alignment horizontal="center"/>
    </xf>
    <xf numFmtId="0" fontId="47" fillId="0" borderId="0" xfId="0" applyFont="1" applyBorder="1" applyAlignment="1">
      <alignment horizontal="center"/>
    </xf>
    <xf numFmtId="0" fontId="0" fillId="0" borderId="0" xfId="0" applyAlignment="1">
      <alignment shrinkToFit="1"/>
    </xf>
    <xf numFmtId="0" fontId="8" fillId="0" borderId="0" xfId="0" applyFont="1" applyAlignment="1">
      <alignment horizontal="center"/>
    </xf>
    <xf numFmtId="0" fontId="46" fillId="0" borderId="0" xfId="0" applyFont="1" applyFill="1" applyAlignment="1">
      <alignment horizontal="center"/>
    </xf>
    <xf numFmtId="3" fontId="45" fillId="0" borderId="0" xfId="6" applyNumberFormat="1" applyFont="1" applyAlignment="1">
      <alignment horizontal="center"/>
    </xf>
    <xf numFmtId="0" fontId="8" fillId="0" borderId="0" xfId="0" applyFont="1" applyAlignment="1">
      <alignment vertical="top" wrapText="1"/>
    </xf>
    <xf numFmtId="0" fontId="8" fillId="0" borderId="0" xfId="0" applyFont="1" applyAlignment="1">
      <alignment horizontal="center"/>
    </xf>
    <xf numFmtId="0" fontId="42" fillId="0" borderId="0" xfId="5" applyNumberFormat="1" applyFont="1" applyAlignment="1">
      <alignment horizontal="left"/>
    </xf>
    <xf numFmtId="0" fontId="24" fillId="0" borderId="0" xfId="0" applyFont="1" applyAlignment="1">
      <alignment horizontal="centerContinuous"/>
    </xf>
    <xf numFmtId="0" fontId="23" fillId="0" borderId="0" xfId="0" applyFont="1"/>
    <xf numFmtId="0" fontId="48" fillId="0" borderId="0" xfId="0" applyFont="1"/>
    <xf numFmtId="0" fontId="24" fillId="0" borderId="0" xfId="0" applyFont="1" applyAlignment="1"/>
    <xf numFmtId="0" fontId="24" fillId="0" borderId="0" xfId="0" applyFont="1" applyAlignment="1">
      <alignment horizontal="center"/>
    </xf>
    <xf numFmtId="0" fontId="24" fillId="0" borderId="0" xfId="5" applyNumberFormat="1" applyFont="1" applyAlignment="1">
      <alignment horizontal="center"/>
    </xf>
    <xf numFmtId="0" fontId="24" fillId="0" borderId="0" xfId="0" applyFont="1" applyFill="1" applyAlignment="1">
      <alignment horizontal="center"/>
    </xf>
    <xf numFmtId="0" fontId="48" fillId="0" borderId="0" xfId="0" applyFont="1" applyFill="1"/>
    <xf numFmtId="3" fontId="24" fillId="0" borderId="0" xfId="0" applyNumberFormat="1" applyFont="1" applyFill="1" applyAlignment="1"/>
    <xf numFmtId="0" fontId="24" fillId="0" borderId="1" xfId="0" applyFont="1" applyBorder="1" applyAlignment="1">
      <alignment horizontal="center"/>
    </xf>
    <xf numFmtId="0" fontId="24" fillId="0" borderId="0" xfId="0" applyFont="1" applyBorder="1" applyAlignment="1">
      <alignment horizontal="center"/>
    </xf>
    <xf numFmtId="0" fontId="24" fillId="0" borderId="0" xfId="0" applyFont="1" applyFill="1" applyBorder="1" applyAlignment="1">
      <alignment horizontal="center" wrapText="1"/>
    </xf>
    <xf numFmtId="0" fontId="24" fillId="0" borderId="8" xfId="0" applyFont="1" applyBorder="1" applyAlignment="1">
      <alignment horizontal="center"/>
    </xf>
    <xf numFmtId="0" fontId="23" fillId="0" borderId="0" xfId="0" applyFont="1" applyBorder="1"/>
    <xf numFmtId="0" fontId="23" fillId="0" borderId="0" xfId="0" applyFont="1" applyAlignment="1">
      <alignment horizontal="center"/>
    </xf>
    <xf numFmtId="42" fontId="23" fillId="0" borderId="0" xfId="0" applyNumberFormat="1" applyFont="1"/>
    <xf numFmtId="5" fontId="23" fillId="0" borderId="0" xfId="0" applyNumberFormat="1" applyFont="1"/>
    <xf numFmtId="10" fontId="23" fillId="0" borderId="10" xfId="7" applyNumberFormat="1" applyFont="1" applyBorder="1"/>
    <xf numFmtId="10" fontId="23" fillId="0" borderId="0" xfId="7" applyNumberFormat="1" applyFont="1" applyBorder="1"/>
    <xf numFmtId="170" fontId="23" fillId="0" borderId="0" xfId="7" applyNumberFormat="1" applyFont="1" applyBorder="1"/>
    <xf numFmtId="42" fontId="23" fillId="0" borderId="10" xfId="0" applyNumberFormat="1" applyFont="1" applyBorder="1"/>
    <xf numFmtId="42" fontId="23" fillId="0" borderId="0" xfId="0" applyNumberFormat="1" applyFont="1" applyBorder="1"/>
    <xf numFmtId="37" fontId="23" fillId="0" borderId="0" xfId="20" applyNumberFormat="1" applyFont="1" applyFill="1"/>
    <xf numFmtId="169" fontId="23" fillId="0" borderId="0" xfId="0" applyNumberFormat="1" applyFont="1"/>
    <xf numFmtId="0" fontId="39" fillId="0" borderId="0" xfId="0" applyFont="1" applyAlignment="1">
      <alignment horizontal="right"/>
    </xf>
    <xf numFmtId="5" fontId="24" fillId="0" borderId="18" xfId="0" applyNumberFormat="1" applyFont="1" applyFill="1" applyBorder="1"/>
    <xf numFmtId="5" fontId="24" fillId="0" borderId="0" xfId="0" applyNumberFormat="1" applyFont="1" applyFill="1" applyBorder="1"/>
    <xf numFmtId="10" fontId="24" fillId="0" borderId="16" xfId="7" applyNumberFormat="1" applyFont="1" applyBorder="1"/>
    <xf numFmtId="10" fontId="24" fillId="0" borderId="0" xfId="7" applyNumberFormat="1" applyFont="1" applyBorder="1"/>
    <xf numFmtId="37" fontId="23" fillId="0" borderId="0" xfId="5" applyNumberFormat="1" applyFont="1"/>
    <xf numFmtId="42" fontId="23" fillId="0" borderId="0" xfId="0" applyNumberFormat="1" applyFont="1" applyFill="1" applyBorder="1"/>
    <xf numFmtId="0" fontId="42" fillId="0" borderId="0" xfId="0" applyFont="1"/>
    <xf numFmtId="0" fontId="24" fillId="0" borderId="0" xfId="0" applyFont="1" applyFill="1" applyBorder="1" applyAlignment="1">
      <alignment horizontal="center"/>
    </xf>
    <xf numFmtId="0" fontId="24" fillId="0" borderId="22" xfId="0" applyFont="1" applyFill="1" applyBorder="1" applyAlignment="1">
      <alignment horizontal="center"/>
    </xf>
    <xf numFmtId="0" fontId="24" fillId="4" borderId="33" xfId="0" applyFont="1" applyFill="1" applyBorder="1" applyAlignment="1">
      <alignment horizontal="center"/>
    </xf>
    <xf numFmtId="0" fontId="24" fillId="4" borderId="34" xfId="0" applyFont="1" applyFill="1" applyBorder="1" applyAlignment="1">
      <alignment horizontal="center"/>
    </xf>
    <xf numFmtId="37" fontId="23" fillId="4" borderId="22" xfId="20" applyNumberFormat="1" applyFont="1" applyFill="1" applyBorder="1"/>
    <xf numFmtId="37" fontId="23" fillId="4" borderId="0" xfId="20" applyNumberFormat="1" applyFont="1" applyFill="1" applyBorder="1"/>
    <xf numFmtId="0" fontId="24" fillId="4" borderId="0" xfId="0" applyFont="1" applyFill="1" applyBorder="1" applyAlignment="1">
      <alignment horizontal="center"/>
    </xf>
    <xf numFmtId="37" fontId="49" fillId="4" borderId="0" xfId="20" applyNumberFormat="1" applyFont="1" applyFill="1" applyBorder="1"/>
    <xf numFmtId="0" fontId="24" fillId="4" borderId="23" xfId="0" applyFont="1" applyFill="1" applyBorder="1" applyAlignment="1">
      <alignment horizontal="center"/>
    </xf>
    <xf numFmtId="0" fontId="23" fillId="4" borderId="0" xfId="0" applyFont="1" applyFill="1" applyBorder="1"/>
    <xf numFmtId="0" fontId="24" fillId="4" borderId="10" xfId="0" applyFont="1" applyFill="1" applyBorder="1" applyAlignment="1">
      <alignment horizontal="center"/>
    </xf>
    <xf numFmtId="0" fontId="24" fillId="4" borderId="30" xfId="0" applyFont="1" applyFill="1" applyBorder="1" applyAlignment="1">
      <alignment horizontal="center"/>
    </xf>
    <xf numFmtId="37" fontId="23" fillId="0" borderId="0" xfId="20" applyNumberFormat="1" applyFont="1" applyFill="1" applyBorder="1"/>
    <xf numFmtId="167" fontId="23" fillId="4" borderId="0" xfId="7" applyNumberFormat="1" applyFont="1" applyFill="1" applyBorder="1"/>
    <xf numFmtId="10" fontId="23" fillId="4" borderId="23" xfId="7" applyNumberFormat="1" applyFont="1" applyFill="1" applyBorder="1"/>
    <xf numFmtId="10" fontId="23" fillId="4" borderId="0" xfId="7" applyNumberFormat="1" applyFont="1" applyFill="1" applyBorder="1"/>
    <xf numFmtId="170" fontId="49" fillId="4" borderId="0" xfId="7" applyNumberFormat="1" applyFont="1" applyFill="1" applyBorder="1"/>
    <xf numFmtId="10" fontId="23" fillId="4" borderId="16" xfId="7" applyNumberFormat="1" applyFont="1" applyFill="1" applyBorder="1"/>
    <xf numFmtId="10" fontId="23" fillId="4" borderId="31" xfId="7" applyNumberFormat="1" applyFont="1" applyFill="1" applyBorder="1"/>
    <xf numFmtId="37" fontId="23" fillId="4" borderId="24" xfId="20" applyNumberFormat="1" applyFont="1" applyFill="1" applyBorder="1"/>
    <xf numFmtId="0" fontId="23" fillId="4" borderId="25" xfId="0" applyFont="1" applyFill="1" applyBorder="1"/>
    <xf numFmtId="10" fontId="23" fillId="4" borderId="25" xfId="7" applyNumberFormat="1" applyFont="1" applyFill="1" applyBorder="1"/>
    <xf numFmtId="10" fontId="49" fillId="4" borderId="25" xfId="7" applyNumberFormat="1" applyFont="1" applyFill="1" applyBorder="1"/>
    <xf numFmtId="10" fontId="23" fillId="4" borderId="26" xfId="7" applyNumberFormat="1" applyFont="1" applyFill="1" applyBorder="1"/>
    <xf numFmtId="0" fontId="49" fillId="0" borderId="0" xfId="0" applyFont="1"/>
    <xf numFmtId="0" fontId="49" fillId="0" borderId="0" xfId="0" applyFont="1" applyBorder="1"/>
    <xf numFmtId="41" fontId="23" fillId="0" borderId="0" xfId="0" applyNumberFormat="1" applyFont="1" applyFill="1" applyBorder="1"/>
    <xf numFmtId="0" fontId="49" fillId="0" borderId="0" xfId="0" applyFont="1" applyFill="1" applyBorder="1"/>
    <xf numFmtId="10" fontId="49" fillId="0" borderId="0" xfId="7" applyNumberFormat="1" applyFont="1" applyFill="1" applyBorder="1" applyAlignment="1">
      <alignment horizontal="center"/>
    </xf>
    <xf numFmtId="0" fontId="24" fillId="0" borderId="0" xfId="0" applyFont="1" applyFill="1" applyBorder="1" applyAlignment="1">
      <alignment horizontal="left"/>
    </xf>
    <xf numFmtId="37" fontId="49" fillId="0" borderId="0" xfId="20" applyNumberFormat="1" applyFont="1" applyFill="1" applyBorder="1"/>
    <xf numFmtId="0" fontId="23" fillId="0" borderId="0" xfId="0" applyFont="1" applyFill="1" applyBorder="1" applyAlignment="1">
      <alignment horizontal="left"/>
    </xf>
    <xf numFmtId="5" fontId="23" fillId="0" borderId="0" xfId="7" applyNumberFormat="1" applyFont="1" applyFill="1" applyBorder="1"/>
    <xf numFmtId="169" fontId="9" fillId="0" borderId="0" xfId="0" applyNumberFormat="1" applyFont="1" applyFill="1"/>
    <xf numFmtId="169" fontId="8" fillId="0" borderId="0" xfId="0" applyNumberFormat="1" applyFont="1" applyFill="1"/>
    <xf numFmtId="169" fontId="8" fillId="0" borderId="0" xfId="17" applyNumberFormat="1" applyFont="1" applyFill="1"/>
    <xf numFmtId="169" fontId="12" fillId="0" borderId="0" xfId="0" applyNumberFormat="1" applyFont="1" applyFill="1"/>
    <xf numFmtId="169" fontId="8" fillId="0" borderId="15" xfId="0" applyNumberFormat="1" applyFont="1" applyFill="1" applyBorder="1"/>
    <xf numFmtId="10" fontId="19" fillId="0" borderId="0" xfId="0" applyNumberFormat="1" applyFont="1" applyFill="1"/>
    <xf numFmtId="179" fontId="3" fillId="0" borderId="0" xfId="6" applyNumberFormat="1" applyFont="1" applyFill="1"/>
    <xf numFmtId="3" fontId="5" fillId="0" borderId="8" xfId="6" quotePrefix="1" applyNumberFormat="1" applyFont="1" applyFill="1" applyBorder="1" applyAlignment="1">
      <alignment horizontal="center"/>
    </xf>
    <xf numFmtId="3" fontId="41" fillId="0" borderId="0" xfId="13" applyNumberFormat="1" applyFont="1" applyFill="1"/>
    <xf numFmtId="0" fontId="10" fillId="0" borderId="0" xfId="0" applyFont="1" applyBorder="1" applyAlignment="1">
      <alignment horizontal="center"/>
    </xf>
    <xf numFmtId="0" fontId="50" fillId="0" borderId="0" xfId="0" applyFont="1" applyAlignment="1">
      <alignment horizontal="center"/>
    </xf>
    <xf numFmtId="41" fontId="51" fillId="0" borderId="0" xfId="5" applyNumberFormat="1" applyFont="1" applyFill="1"/>
    <xf numFmtId="3" fontId="51" fillId="0" borderId="0" xfId="6" applyNumberFormat="1" applyFont="1" applyFill="1"/>
    <xf numFmtId="41" fontId="51" fillId="0" borderId="0" xfId="6" applyNumberFormat="1" applyFont="1" applyFill="1"/>
    <xf numFmtId="3" fontId="51" fillId="0" borderId="0" xfId="5" applyNumberFormat="1" applyFont="1" applyFill="1"/>
    <xf numFmtId="3" fontId="51" fillId="0" borderId="0" xfId="5" applyNumberFormat="1" applyFont="1" applyFill="1" applyBorder="1"/>
    <xf numFmtId="3" fontId="51" fillId="0" borderId="0" xfId="6" applyNumberFormat="1" applyFont="1" applyFill="1" applyBorder="1"/>
    <xf numFmtId="41" fontId="8" fillId="0" borderId="10" xfId="13" applyNumberFormat="1" applyFont="1" applyBorder="1"/>
    <xf numFmtId="41" fontId="8" fillId="0" borderId="10" xfId="13" applyNumberFormat="1" applyFont="1" applyBorder="1" applyAlignment="1">
      <alignment horizontal="right"/>
    </xf>
    <xf numFmtId="0" fontId="24" fillId="0" borderId="0" xfId="0" applyFont="1" applyFill="1" applyAlignment="1"/>
    <xf numFmtId="176" fontId="44" fillId="0" borderId="0" xfId="0" applyNumberFormat="1" applyFont="1" applyAlignment="1">
      <alignment horizontal="left"/>
    </xf>
    <xf numFmtId="3" fontId="0" fillId="2" borderId="0" xfId="0" applyNumberFormat="1" applyFill="1" applyAlignment="1">
      <alignment horizontal="left"/>
    </xf>
    <xf numFmtId="3" fontId="45" fillId="0" borderId="0" xfId="22" applyNumberFormat="1" applyFont="1"/>
    <xf numFmtId="3" fontId="5" fillId="0" borderId="1" xfId="6" applyNumberFormat="1" applyFont="1" applyFill="1" applyBorder="1" applyAlignment="1">
      <alignment horizontal="center"/>
    </xf>
    <xf numFmtId="3" fontId="5" fillId="0" borderId="5" xfId="6" applyNumberFormat="1" applyFont="1" applyFill="1" applyBorder="1" applyAlignment="1">
      <alignment horizontal="center"/>
    </xf>
    <xf numFmtId="3" fontId="5" fillId="0" borderId="8" xfId="6" applyNumberFormat="1" applyFont="1" applyFill="1" applyBorder="1" applyAlignment="1">
      <alignment horizontal="center"/>
    </xf>
    <xf numFmtId="42" fontId="3" fillId="0" borderId="0" xfId="4" applyNumberFormat="1" applyFont="1" applyFill="1"/>
    <xf numFmtId="41" fontId="3" fillId="0" borderId="0" xfId="4" applyNumberFormat="1" applyFont="1" applyFill="1"/>
    <xf numFmtId="41" fontId="3" fillId="0" borderId="10" xfId="4" applyNumberFormat="1" applyFont="1" applyFill="1" applyBorder="1"/>
    <xf numFmtId="41" fontId="3" fillId="0" borderId="0" xfId="4" applyNumberFormat="1" applyFont="1" applyFill="1" applyBorder="1"/>
    <xf numFmtId="3" fontId="3" fillId="0" borderId="0" xfId="6" applyNumberFormat="1" applyFont="1" applyFill="1"/>
    <xf numFmtId="3" fontId="5" fillId="0" borderId="0" xfId="22" applyNumberFormat="1" applyFont="1" applyFill="1" applyAlignment="1">
      <alignment horizontal="center"/>
    </xf>
    <xf numFmtId="4" fontId="5" fillId="0" borderId="0" xfId="6" applyNumberFormat="1" applyFont="1" applyFill="1" applyAlignment="1">
      <alignment horizontal="center"/>
    </xf>
    <xf numFmtId="41" fontId="5" fillId="0" borderId="4" xfId="20" applyNumberFormat="1" applyFont="1" applyFill="1" applyBorder="1" applyAlignment="1">
      <alignment horizontal="center"/>
    </xf>
    <xf numFmtId="41" fontId="5" fillId="0" borderId="7" xfId="20" applyNumberFormat="1" applyFont="1" applyFill="1" applyBorder="1" applyAlignment="1">
      <alignment horizontal="center"/>
    </xf>
    <xf numFmtId="41" fontId="5" fillId="0" borderId="11" xfId="20" applyNumberFormat="1" applyFont="1" applyFill="1" applyBorder="1" applyAlignment="1">
      <alignment horizontal="center"/>
    </xf>
    <xf numFmtId="2" fontId="5" fillId="0" borderId="0" xfId="10" applyNumberFormat="1" applyFont="1" applyFill="1" applyAlignment="1" applyProtection="1">
      <alignment horizontal="center"/>
    </xf>
    <xf numFmtId="41" fontId="5" fillId="0" borderId="0" xfId="22" applyNumberFormat="1" applyFont="1" applyFill="1" applyAlignment="1">
      <alignment horizontal="center"/>
    </xf>
    <xf numFmtId="41" fontId="5" fillId="0" borderId="0" xfId="20" applyNumberFormat="1" applyFont="1" applyFill="1" applyBorder="1" applyAlignment="1">
      <alignment wrapText="1"/>
    </xf>
    <xf numFmtId="41" fontId="5" fillId="0" borderId="10" xfId="20" applyNumberFormat="1" applyFont="1" applyFill="1" applyBorder="1" applyAlignment="1">
      <alignment wrapText="1"/>
    </xf>
    <xf numFmtId="41" fontId="5" fillId="0" borderId="1" xfId="22" applyNumberFormat="1" applyFont="1" applyFill="1" applyBorder="1" applyAlignment="1">
      <alignment horizontal="center"/>
    </xf>
    <xf numFmtId="41" fontId="5" fillId="0" borderId="5" xfId="22" applyNumberFormat="1" applyFont="1" applyFill="1" applyBorder="1" applyAlignment="1">
      <alignment horizontal="center"/>
    </xf>
    <xf numFmtId="41" fontId="5" fillId="0" borderId="8" xfId="22" applyNumberFormat="1" applyFont="1" applyFill="1" applyBorder="1" applyAlignment="1">
      <alignment horizontal="center"/>
    </xf>
    <xf numFmtId="42" fontId="3" fillId="0" borderId="12" xfId="6" applyNumberFormat="1" applyFont="1" applyFill="1" applyBorder="1"/>
    <xf numFmtId="41" fontId="3" fillId="0" borderId="15" xfId="6" applyNumberFormat="1" applyFont="1" applyFill="1" applyBorder="1"/>
    <xf numFmtId="41" fontId="3" fillId="0" borderId="0" xfId="6" applyNumberFormat="1" applyFont="1" applyFill="1" applyBorder="1"/>
    <xf numFmtId="42" fontId="5" fillId="0" borderId="12" xfId="6" applyNumberFormat="1" applyFont="1" applyFill="1" applyBorder="1"/>
    <xf numFmtId="41" fontId="5" fillId="0" borderId="0" xfId="20" applyNumberFormat="1" applyFont="1" applyFill="1"/>
    <xf numFmtId="41" fontId="5" fillId="0" borderId="0" xfId="20" applyNumberFormat="1" applyFont="1" applyFill="1" applyAlignment="1">
      <alignment horizontal="center"/>
    </xf>
    <xf numFmtId="41" fontId="3" fillId="0" borderId="0" xfId="5" applyNumberFormat="1" applyFont="1" applyFill="1" applyBorder="1" applyAlignment="1">
      <alignment horizontal="center"/>
    </xf>
    <xf numFmtId="41" fontId="5" fillId="0" borderId="0" xfId="20" applyNumberFormat="1" applyFont="1" applyFill="1" applyBorder="1" applyAlignment="1">
      <alignment horizontal="center"/>
    </xf>
    <xf numFmtId="3" fontId="5" fillId="0" borderId="0" xfId="6" quotePrefix="1" applyNumberFormat="1" applyFont="1" applyFill="1" applyBorder="1" applyAlignment="1">
      <alignment horizontal="center"/>
    </xf>
    <xf numFmtId="42" fontId="5" fillId="0" borderId="0" xfId="6" applyNumberFormat="1" applyFont="1" applyBorder="1"/>
    <xf numFmtId="10" fontId="5" fillId="0" borderId="0" xfId="7" quotePrefix="1" applyNumberFormat="1" applyFont="1" applyBorder="1" applyAlignment="1">
      <alignment horizontal="center"/>
    </xf>
    <xf numFmtId="0" fontId="24" fillId="0" borderId="10" xfId="0" applyFont="1" applyFill="1" applyBorder="1" applyAlignment="1">
      <alignment horizontal="center"/>
    </xf>
    <xf numFmtId="41" fontId="5" fillId="0" borderId="0" xfId="20" applyNumberFormat="1" applyFont="1" applyFill="1" applyBorder="1" applyAlignment="1">
      <alignment horizontal="center" vertical="center"/>
    </xf>
    <xf numFmtId="3" fontId="5" fillId="0" borderId="10" xfId="6" applyNumberFormat="1" applyFont="1" applyFill="1" applyBorder="1" applyAlignment="1">
      <alignment vertical="top" wrapText="1"/>
    </xf>
    <xf numFmtId="3" fontId="5" fillId="0" borderId="5" xfId="5" applyNumberFormat="1" applyFont="1" applyFill="1" applyBorder="1" applyAlignment="1">
      <alignment horizontal="center"/>
    </xf>
    <xf numFmtId="3" fontId="5" fillId="0" borderId="8" xfId="5" applyNumberFormat="1" applyFont="1" applyFill="1" applyBorder="1" applyAlignment="1">
      <alignment horizontal="center"/>
    </xf>
    <xf numFmtId="41" fontId="5" fillId="0" borderId="0" xfId="4" applyNumberFormat="1" applyFont="1" applyFill="1"/>
    <xf numFmtId="42" fontId="5" fillId="0" borderId="0" xfId="4" applyNumberFormat="1" applyFont="1" applyFill="1"/>
    <xf numFmtId="41" fontId="5" fillId="0" borderId="10" xfId="4" applyNumberFormat="1" applyFont="1" applyFill="1" applyBorder="1"/>
    <xf numFmtId="41" fontId="8" fillId="0" borderId="3" xfId="1" applyNumberFormat="1" applyFont="1" applyBorder="1"/>
    <xf numFmtId="10" fontId="8" fillId="0" borderId="37" xfId="7" applyNumberFormat="1" applyFont="1" applyFill="1" applyBorder="1"/>
    <xf numFmtId="0" fontId="6" fillId="0" borderId="0" xfId="0" applyFont="1" applyFill="1" applyBorder="1" applyAlignment="1">
      <alignment horizontal="center"/>
    </xf>
    <xf numFmtId="10" fontId="49" fillId="0" borderId="0" xfId="0" applyNumberFormat="1" applyFont="1" applyFill="1" applyBorder="1"/>
    <xf numFmtId="0" fontId="24" fillId="0" borderId="0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Fill="1" applyAlignment="1">
      <alignment horizontal="right"/>
    </xf>
    <xf numFmtId="165" fontId="3" fillId="0" borderId="0" xfId="0" applyNumberFormat="1" applyFont="1"/>
    <xf numFmtId="166" fontId="3" fillId="0" borderId="0" xfId="0" applyNumberFormat="1" applyFont="1"/>
    <xf numFmtId="165" fontId="3" fillId="0" borderId="0" xfId="0" applyNumberFormat="1" applyFont="1" applyAlignment="1">
      <alignment horizontal="right"/>
    </xf>
    <xf numFmtId="166" fontId="3" fillId="0" borderId="0" xfId="0" applyNumberFormat="1" applyFont="1" applyAlignment="1">
      <alignment horizontal="right"/>
    </xf>
    <xf numFmtId="0" fontId="3" fillId="0" borderId="0" xfId="0" applyFont="1" applyAlignment="1">
      <alignment horizontal="centerContinuous"/>
    </xf>
    <xf numFmtId="3" fontId="3" fillId="0" borderId="0" xfId="0" applyNumberFormat="1" applyFont="1" applyAlignment="1">
      <alignment horizontal="centerContinuous"/>
    </xf>
    <xf numFmtId="165" fontId="3" fillId="0" borderId="10" xfId="0" applyNumberFormat="1" applyFont="1" applyBorder="1" applyAlignment="1">
      <alignment horizontal="right"/>
    </xf>
    <xf numFmtId="166" fontId="5" fillId="0" borderId="10" xfId="0" applyNumberFormat="1" applyFont="1" applyBorder="1" applyAlignment="1">
      <alignment horizontal="center"/>
    </xf>
    <xf numFmtId="166" fontId="3" fillId="0" borderId="0" xfId="0" applyNumberFormat="1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0" xfId="0" applyFont="1" applyBorder="1" applyAlignment="1">
      <alignment horizontal="centerContinuous"/>
    </xf>
    <xf numFmtId="165" fontId="3" fillId="0" borderId="10" xfId="0" applyNumberFormat="1" applyFont="1" applyBorder="1" applyAlignment="1">
      <alignment horizontal="center"/>
    </xf>
    <xf numFmtId="166" fontId="3" fillId="0" borderId="10" xfId="0" applyNumberFormat="1" applyFont="1" applyBorder="1" applyAlignment="1">
      <alignment horizontal="center"/>
    </xf>
    <xf numFmtId="165" fontId="3" fillId="0" borderId="0" xfId="0" applyNumberFormat="1" applyFont="1" applyAlignment="1">
      <alignment horizontal="center"/>
    </xf>
    <xf numFmtId="173" fontId="3" fillId="0" borderId="0" xfId="1" applyNumberFormat="1" applyFont="1" applyAlignment="1">
      <alignment horizontal="center"/>
    </xf>
    <xf numFmtId="164" fontId="3" fillId="0" borderId="0" xfId="0" applyNumberFormat="1" applyFont="1"/>
    <xf numFmtId="37" fontId="3" fillId="0" borderId="0" xfId="0" applyNumberFormat="1" applyFont="1" applyFill="1"/>
    <xf numFmtId="37" fontId="3" fillId="0" borderId="10" xfId="0" applyNumberFormat="1" applyFont="1" applyBorder="1"/>
    <xf numFmtId="37" fontId="3" fillId="0" borderId="10" xfId="0" applyNumberFormat="1" applyFont="1" applyFill="1" applyBorder="1"/>
    <xf numFmtId="164" fontId="3" fillId="0" borderId="0" xfId="0" applyNumberFormat="1" applyFont="1" applyFill="1"/>
    <xf numFmtId="3" fontId="3" fillId="0" borderId="0" xfId="0" applyNumberFormat="1" applyFont="1" applyAlignment="1">
      <alignment horizontal="left"/>
    </xf>
    <xf numFmtId="167" fontId="3" fillId="0" borderId="0" xfId="0" applyNumberFormat="1" applyFont="1"/>
    <xf numFmtId="164" fontId="3" fillId="0" borderId="0" xfId="0" applyNumberFormat="1" applyFont="1" applyAlignment="1">
      <alignment horizontal="left"/>
    </xf>
    <xf numFmtId="37" fontId="3" fillId="0" borderId="15" xfId="0" applyNumberFormat="1" applyFont="1" applyBorder="1"/>
    <xf numFmtId="41" fontId="3" fillId="0" borderId="10" xfId="0" applyNumberFormat="1" applyFont="1" applyBorder="1"/>
    <xf numFmtId="5" fontId="3" fillId="0" borderId="12" xfId="0" applyNumberFormat="1" applyFont="1" applyBorder="1"/>
    <xf numFmtId="0" fontId="3" fillId="0" borderId="0" xfId="0" applyFont="1" applyAlignment="1">
      <alignment horizontal="right"/>
    </xf>
    <xf numFmtId="0" fontId="3" fillId="0" borderId="16" xfId="0" applyFont="1" applyBorder="1"/>
    <xf numFmtId="0" fontId="3" fillId="2" borderId="0" xfId="0" applyFont="1" applyFill="1"/>
    <xf numFmtId="165" fontId="3" fillId="2" borderId="0" xfId="0" applyNumberFormat="1" applyFont="1" applyFill="1"/>
    <xf numFmtId="166" fontId="3" fillId="2" borderId="0" xfId="0" applyNumberFormat="1" applyFont="1" applyFill="1"/>
    <xf numFmtId="173" fontId="3" fillId="2" borderId="0" xfId="1" applyNumberFormat="1" applyFont="1" applyFill="1"/>
    <xf numFmtId="176" fontId="44" fillId="0" borderId="0" xfId="0" applyNumberFormat="1" applyFont="1" applyAlignment="1">
      <alignment horizontal="center"/>
    </xf>
    <xf numFmtId="42" fontId="23" fillId="0" borderId="0" xfId="0" applyNumberFormat="1" applyFont="1" applyFill="1"/>
    <xf numFmtId="5" fontId="23" fillId="0" borderId="0" xfId="0" applyNumberFormat="1" applyFont="1" applyFill="1"/>
    <xf numFmtId="14" fontId="24" fillId="0" borderId="10" xfId="0" quotePrefix="1" applyNumberFormat="1" applyFont="1" applyFill="1" applyBorder="1" applyAlignment="1">
      <alignment horizontal="center"/>
    </xf>
    <xf numFmtId="0" fontId="49" fillId="0" borderId="0" xfId="0" applyFont="1" applyFill="1"/>
    <xf numFmtId="14" fontId="52" fillId="0" borderId="0" xfId="0" applyNumberFormat="1" applyFont="1" applyFill="1" applyBorder="1"/>
    <xf numFmtId="14" fontId="23" fillId="0" borderId="0" xfId="0" applyNumberFormat="1" applyFont="1" applyFill="1" applyBorder="1"/>
    <xf numFmtId="0" fontId="23" fillId="0" borderId="0" xfId="0" applyFont="1" applyFill="1" applyBorder="1" applyAlignment="1">
      <alignment horizontal="center"/>
    </xf>
    <xf numFmtId="0" fontId="53" fillId="0" borderId="0" xfId="0" applyFont="1" applyAlignment="1">
      <alignment horizontal="center"/>
    </xf>
    <xf numFmtId="0" fontId="54" fillId="0" borderId="0" xfId="0" applyFont="1" applyBorder="1" applyAlignment="1">
      <alignment horizontal="center"/>
    </xf>
    <xf numFmtId="0" fontId="47" fillId="0" borderId="0" xfId="0" applyFont="1"/>
    <xf numFmtId="3" fontId="56" fillId="0" borderId="0" xfId="6" applyNumberFormat="1" applyFont="1" applyFill="1"/>
    <xf numFmtId="41" fontId="56" fillId="0" borderId="0" xfId="6" applyNumberFormat="1" applyFont="1" applyFill="1"/>
    <xf numFmtId="41" fontId="56" fillId="0" borderId="0" xfId="6" applyNumberFormat="1" applyFont="1" applyFill="1" applyBorder="1"/>
    <xf numFmtId="41" fontId="56" fillId="0" borderId="0" xfId="5" applyNumberFormat="1" applyFont="1" applyFill="1"/>
    <xf numFmtId="3" fontId="56" fillId="0" borderId="0" xfId="5" applyNumberFormat="1" applyFont="1" applyFill="1"/>
    <xf numFmtId="3" fontId="56" fillId="0" borderId="0" xfId="5" applyNumberFormat="1" applyFont="1" applyFill="1" applyBorder="1"/>
    <xf numFmtId="3" fontId="56" fillId="0" borderId="0" xfId="6" applyNumberFormat="1" applyFont="1" applyFill="1" applyBorder="1"/>
    <xf numFmtId="0" fontId="5" fillId="0" borderId="0" xfId="6" applyNumberFormat="1" applyFont="1" applyFill="1" applyAlignment="1">
      <alignment horizontal="center"/>
    </xf>
    <xf numFmtId="3" fontId="5" fillId="0" borderId="4" xfId="6" applyNumberFormat="1" applyFont="1" applyFill="1" applyBorder="1" applyAlignment="1">
      <alignment horizontal="center"/>
    </xf>
    <xf numFmtId="3" fontId="5" fillId="0" borderId="7" xfId="6" applyNumberFormat="1" applyFont="1" applyFill="1" applyBorder="1" applyAlignment="1">
      <alignment horizontal="center"/>
    </xf>
    <xf numFmtId="3" fontId="5" fillId="0" borderId="11" xfId="6" applyNumberFormat="1" applyFont="1" applyFill="1" applyBorder="1" applyAlignment="1">
      <alignment horizontal="center"/>
    </xf>
    <xf numFmtId="3" fontId="57" fillId="0" borderId="0" xfId="6" applyNumberFormat="1" applyFont="1" applyFill="1" applyAlignment="1">
      <alignment horizontal="center"/>
    </xf>
    <xf numFmtId="173" fontId="3" fillId="0" borderId="0" xfId="1" applyNumberFormat="1" applyFont="1" applyFill="1"/>
    <xf numFmtId="10" fontId="23" fillId="0" borderId="0" xfId="0" applyNumberFormat="1" applyFont="1" applyFill="1" applyBorder="1" applyAlignment="1">
      <alignment horizontal="left"/>
    </xf>
    <xf numFmtId="3" fontId="3" fillId="0" borderId="0" xfId="6" applyNumberFormat="1" applyFont="1" applyFill="1" applyAlignment="1">
      <alignment horizontal="center"/>
    </xf>
    <xf numFmtId="41" fontId="5" fillId="0" borderId="0" xfId="20" applyNumberFormat="1" applyFont="1" applyFill="1" applyBorder="1" applyAlignment="1">
      <alignment vertical="center" wrapText="1"/>
    </xf>
    <xf numFmtId="41" fontId="5" fillId="0" borderId="10" xfId="20" applyNumberFormat="1" applyFont="1" applyFill="1" applyBorder="1" applyAlignment="1">
      <alignment vertical="center" wrapText="1"/>
    </xf>
    <xf numFmtId="41" fontId="5" fillId="0" borderId="5" xfId="20" quotePrefix="1" applyNumberFormat="1" applyFont="1" applyFill="1" applyBorder="1" applyAlignment="1">
      <alignment horizontal="center"/>
    </xf>
    <xf numFmtId="41" fontId="5" fillId="0" borderId="8" xfId="20" applyNumberFormat="1" applyFont="1" applyFill="1" applyBorder="1" applyAlignment="1">
      <alignment horizontal="center"/>
    </xf>
    <xf numFmtId="2" fontId="5" fillId="0" borderId="0" xfId="10" applyNumberFormat="1" applyFont="1" applyFill="1" applyBorder="1" applyAlignment="1" applyProtection="1">
      <alignment horizontal="center"/>
    </xf>
    <xf numFmtId="10" fontId="58" fillId="0" borderId="0" xfId="7" applyNumberFormat="1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47" fillId="0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Fill="1" applyAlignment="1">
      <alignment horizontal="center"/>
    </xf>
    <xf numFmtId="37" fontId="9" fillId="0" borderId="0" xfId="0" applyNumberFormat="1" applyFont="1" applyFill="1" applyBorder="1" applyAlignment="1">
      <alignment horizontal="center"/>
    </xf>
    <xf numFmtId="5" fontId="9" fillId="0" borderId="0" xfId="0" applyNumberFormat="1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37" fontId="9" fillId="0" borderId="0" xfId="0" applyNumberFormat="1" applyFont="1" applyBorder="1" applyAlignment="1">
      <alignment horizontal="center"/>
    </xf>
    <xf numFmtId="6" fontId="9" fillId="0" borderId="0" xfId="2" applyNumberFormat="1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41" fontId="3" fillId="0" borderId="0" xfId="20" applyNumberFormat="1" applyFont="1" applyFill="1" applyAlignment="1"/>
    <xf numFmtId="41" fontId="3" fillId="0" borderId="10" xfId="20" applyNumberFormat="1" applyFont="1" applyFill="1" applyBorder="1" applyAlignment="1"/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3" fontId="5" fillId="0" borderId="0" xfId="5" applyNumberFormat="1" applyFont="1"/>
    <xf numFmtId="3" fontId="9" fillId="0" borderId="0" xfId="0" applyNumberFormat="1" applyFont="1" applyBorder="1"/>
    <xf numFmtId="0" fontId="37" fillId="0" borderId="0" xfId="0" applyFont="1" applyBorder="1"/>
    <xf numFmtId="0" fontId="9" fillId="0" borderId="0" xfId="0" applyFont="1" applyBorder="1"/>
    <xf numFmtId="0" fontId="9" fillId="0" borderId="0" xfId="0" applyFont="1"/>
    <xf numFmtId="0" fontId="9" fillId="0" borderId="0" xfId="0" applyFont="1" applyAlignment="1">
      <alignment horizontal="center"/>
    </xf>
    <xf numFmtId="41" fontId="5" fillId="0" borderId="0" xfId="20" applyNumberFormat="1" applyFont="1" applyFill="1" applyBorder="1" applyAlignment="1">
      <alignment vertical="top"/>
    </xf>
    <xf numFmtId="41" fontId="5" fillId="0" borderId="0" xfId="20" applyNumberFormat="1" applyFont="1" applyFill="1" applyAlignment="1">
      <alignment vertical="top"/>
    </xf>
    <xf numFmtId="41" fontId="5" fillId="0" borderId="0" xfId="20" applyNumberFormat="1" applyFont="1" applyFill="1" applyBorder="1" applyAlignment="1">
      <alignment horizontal="center" vertical="top"/>
    </xf>
    <xf numFmtId="41" fontId="5" fillId="0" borderId="10" xfId="20" applyNumberFormat="1" applyFont="1" applyFill="1" applyBorder="1" applyAlignment="1">
      <alignment vertical="top"/>
    </xf>
    <xf numFmtId="41" fontId="5" fillId="0" borderId="4" xfId="20" applyNumberFormat="1" applyFont="1" applyBorder="1" applyAlignment="1">
      <alignment horizontal="center"/>
    </xf>
    <xf numFmtId="41" fontId="5" fillId="0" borderId="7" xfId="20" applyNumberFormat="1" applyFont="1" applyBorder="1" applyAlignment="1">
      <alignment horizontal="center"/>
    </xf>
    <xf numFmtId="41" fontId="5" fillId="0" borderId="11" xfId="20" applyNumberFormat="1" applyFont="1" applyBorder="1" applyAlignment="1">
      <alignment horizontal="center"/>
    </xf>
    <xf numFmtId="42" fontId="3" fillId="0" borderId="0" xfId="4" applyNumberFormat="1" applyFont="1" applyFill="1" applyBorder="1"/>
    <xf numFmtId="173" fontId="3" fillId="0" borderId="0" xfId="1" applyNumberFormat="1" applyFont="1" applyFill="1" applyBorder="1"/>
    <xf numFmtId="41" fontId="57" fillId="0" borderId="0" xfId="6" applyNumberFormat="1" applyFont="1" applyFill="1" applyBorder="1"/>
    <xf numFmtId="167" fontId="41" fillId="0" borderId="0" xfId="7" applyNumberFormat="1" applyFont="1" applyFill="1"/>
    <xf numFmtId="0" fontId="59" fillId="0" borderId="0" xfId="0" applyFont="1" applyFill="1" applyBorder="1" applyAlignment="1">
      <alignment horizontal="left"/>
    </xf>
    <xf numFmtId="41" fontId="5" fillId="0" borderId="7" xfId="20" quotePrefix="1" applyNumberFormat="1" applyFont="1" applyBorder="1" applyAlignment="1">
      <alignment horizontal="center"/>
    </xf>
    <xf numFmtId="41" fontId="5" fillId="0" borderId="1" xfId="20" applyNumberFormat="1" applyFont="1" applyBorder="1" applyAlignment="1">
      <alignment horizontal="center"/>
    </xf>
    <xf numFmtId="41" fontId="5" fillId="0" borderId="5" xfId="20" applyNumberFormat="1" applyFont="1" applyBorder="1" applyAlignment="1">
      <alignment horizontal="center"/>
    </xf>
    <xf numFmtId="41" fontId="5" fillId="0" borderId="8" xfId="20" applyNumberFormat="1" applyFont="1" applyBorder="1" applyAlignment="1">
      <alignment horizontal="center"/>
    </xf>
    <xf numFmtId="3" fontId="45" fillId="0" borderId="0" xfId="22" applyNumberFormat="1" applyFont="1" applyFill="1"/>
    <xf numFmtId="0" fontId="9" fillId="0" borderId="0" xfId="0" applyFont="1" applyFill="1" applyAlignment="1">
      <alignment horizontal="center"/>
    </xf>
    <xf numFmtId="169" fontId="8" fillId="0" borderId="10" xfId="0" applyNumberFormat="1" applyFont="1" applyFill="1" applyBorder="1"/>
    <xf numFmtId="169" fontId="8" fillId="0" borderId="12" xfId="0" applyNumberFormat="1" applyFont="1" applyFill="1" applyBorder="1"/>
    <xf numFmtId="0" fontId="50" fillId="0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37" fontId="9" fillId="0" borderId="0" xfId="0" applyNumberFormat="1" applyFont="1" applyBorder="1" applyAlignment="1">
      <alignment horizontal="left"/>
    </xf>
    <xf numFmtId="0" fontId="9" fillId="0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41" fontId="5" fillId="0" borderId="0" xfId="20" applyNumberFormat="1" applyFont="1" applyAlignment="1">
      <alignment horizontal="center"/>
    </xf>
    <xf numFmtId="41" fontId="5" fillId="0" borderId="0" xfId="20" quotePrefix="1" applyNumberFormat="1" applyFont="1" applyAlignment="1">
      <alignment horizontal="center"/>
    </xf>
    <xf numFmtId="3" fontId="5" fillId="0" borderId="0" xfId="22" applyNumberFormat="1" applyFont="1" applyAlignment="1">
      <alignment horizontal="center"/>
    </xf>
    <xf numFmtId="41" fontId="5" fillId="0" borderId="5" xfId="20" quotePrefix="1" applyNumberFormat="1" applyFont="1" applyBorder="1" applyAlignment="1">
      <alignment horizontal="center"/>
    </xf>
    <xf numFmtId="2" fontId="5" fillId="0" borderId="0" xfId="10" applyNumberFormat="1" applyFont="1" applyAlignment="1" applyProtection="1">
      <alignment horizontal="center"/>
    </xf>
    <xf numFmtId="41" fontId="5" fillId="6" borderId="1" xfId="20" applyNumberFormat="1" applyFont="1" applyFill="1" applyBorder="1" applyAlignment="1">
      <alignment horizontal="center"/>
    </xf>
    <xf numFmtId="41" fontId="5" fillId="6" borderId="5" xfId="4" applyNumberFormat="1" applyFont="1" applyFill="1" applyBorder="1" applyAlignment="1">
      <alignment horizontal="center"/>
    </xf>
    <xf numFmtId="41" fontId="5" fillId="6" borderId="8" xfId="20" applyNumberFormat="1" applyFont="1" applyFill="1" applyBorder="1" applyAlignment="1">
      <alignment horizontal="center"/>
    </xf>
    <xf numFmtId="2" fontId="5" fillId="6" borderId="0" xfId="10" applyNumberFormat="1" applyFont="1" applyFill="1" applyAlignment="1" applyProtection="1">
      <alignment horizontal="center"/>
    </xf>
    <xf numFmtId="2" fontId="5" fillId="6" borderId="5" xfId="20" applyNumberFormat="1" applyFont="1" applyFill="1" applyBorder="1" applyAlignment="1">
      <alignment horizontal="center"/>
    </xf>
    <xf numFmtId="3" fontId="3" fillId="6" borderId="0" xfId="6" applyNumberFormat="1" applyFont="1" applyFill="1"/>
    <xf numFmtId="42" fontId="3" fillId="6" borderId="0" xfId="4" applyNumberFormat="1" applyFont="1" applyFill="1"/>
    <xf numFmtId="41" fontId="3" fillId="6" borderId="0" xfId="4" applyNumberFormat="1" applyFont="1" applyFill="1"/>
    <xf numFmtId="41" fontId="3" fillId="6" borderId="10" xfId="4" applyNumberFormat="1" applyFont="1" applyFill="1" applyBorder="1"/>
    <xf numFmtId="41" fontId="3" fillId="6" borderId="0" xfId="6" applyNumberFormat="1" applyFont="1" applyFill="1"/>
    <xf numFmtId="41" fontId="3" fillId="6" borderId="10" xfId="6" applyNumberFormat="1" applyFont="1" applyFill="1" applyBorder="1"/>
    <xf numFmtId="42" fontId="3" fillId="6" borderId="12" xfId="6" applyNumberFormat="1" applyFont="1" applyFill="1" applyBorder="1"/>
    <xf numFmtId="41" fontId="3" fillId="6" borderId="15" xfId="6" applyNumberFormat="1" applyFont="1" applyFill="1" applyBorder="1"/>
    <xf numFmtId="41" fontId="3" fillId="6" borderId="0" xfId="6" applyNumberFormat="1" applyFont="1" applyFill="1" applyBorder="1"/>
    <xf numFmtId="41" fontId="3" fillId="6" borderId="0" xfId="4" applyNumberFormat="1" applyFont="1" applyFill="1" applyBorder="1"/>
    <xf numFmtId="37" fontId="8" fillId="0" borderId="10" xfId="0" applyNumberFormat="1" applyFont="1" applyBorder="1"/>
    <xf numFmtId="41" fontId="5" fillId="6" borderId="7" xfId="20" applyNumberFormat="1" applyFont="1" applyFill="1" applyBorder="1" applyAlignment="1">
      <alignment horizontal="center"/>
    </xf>
    <xf numFmtId="41" fontId="5" fillId="6" borderId="11" xfId="20" applyNumberFormat="1" applyFont="1" applyFill="1" applyBorder="1" applyAlignment="1">
      <alignment horizontal="center"/>
    </xf>
    <xf numFmtId="41" fontId="5" fillId="5" borderId="5" xfId="20" applyNumberFormat="1" applyFont="1" applyFill="1" applyBorder="1" applyAlignment="1">
      <alignment horizontal="center"/>
    </xf>
    <xf numFmtId="3" fontId="5" fillId="5" borderId="8" xfId="6" applyNumberFormat="1" applyFont="1" applyFill="1" applyBorder="1" applyAlignment="1">
      <alignment horizontal="center"/>
    </xf>
    <xf numFmtId="3" fontId="5" fillId="5" borderId="5" xfId="6" applyNumberFormat="1" applyFont="1" applyFill="1" applyBorder="1" applyAlignment="1">
      <alignment horizontal="center"/>
    </xf>
    <xf numFmtId="3" fontId="5" fillId="5" borderId="5" xfId="6" applyNumberFormat="1" applyFont="1" applyFill="1" applyBorder="1"/>
    <xf numFmtId="42" fontId="5" fillId="5" borderId="5" xfId="6" applyNumberFormat="1" applyFont="1" applyFill="1" applyBorder="1"/>
    <xf numFmtId="41" fontId="5" fillId="5" borderId="5" xfId="6" applyNumberFormat="1" applyFont="1" applyFill="1" applyBorder="1"/>
    <xf numFmtId="41" fontId="5" fillId="5" borderId="8" xfId="6" applyNumberFormat="1" applyFont="1" applyFill="1" applyBorder="1"/>
    <xf numFmtId="42" fontId="5" fillId="5" borderId="38" xfId="6" applyNumberFormat="1" applyFont="1" applyFill="1" applyBorder="1"/>
    <xf numFmtId="41" fontId="5" fillId="5" borderId="39" xfId="6" applyNumberFormat="1" applyFont="1" applyFill="1" applyBorder="1"/>
    <xf numFmtId="3" fontId="5" fillId="5" borderId="39" xfId="6" applyNumberFormat="1" applyFont="1" applyFill="1" applyBorder="1"/>
    <xf numFmtId="41" fontId="3" fillId="6" borderId="39" xfId="7" applyNumberFormat="1" applyFont="1" applyFill="1" applyBorder="1"/>
    <xf numFmtId="3" fontId="3" fillId="6" borderId="5" xfId="6" applyNumberFormat="1" applyFont="1" applyFill="1" applyBorder="1"/>
    <xf numFmtId="42" fontId="3" fillId="6" borderId="5" xfId="6" applyNumberFormat="1" applyFont="1" applyFill="1" applyBorder="1"/>
    <xf numFmtId="41" fontId="3" fillId="6" borderId="5" xfId="6" applyNumberFormat="1" applyFont="1" applyFill="1" applyBorder="1"/>
    <xf numFmtId="41" fontId="3" fillId="6" borderId="8" xfId="6" applyNumberFormat="1" applyFont="1" applyFill="1" applyBorder="1"/>
    <xf numFmtId="42" fontId="3" fillId="6" borderId="38" xfId="6" applyNumberFormat="1" applyFont="1" applyFill="1" applyBorder="1"/>
    <xf numFmtId="41" fontId="3" fillId="6" borderId="39" xfId="6" applyNumberFormat="1" applyFont="1" applyFill="1" applyBorder="1"/>
    <xf numFmtId="10" fontId="3" fillId="6" borderId="0" xfId="7" applyNumberFormat="1" applyFont="1" applyFill="1"/>
    <xf numFmtId="41" fontId="3" fillId="0" borderId="0" xfId="4" applyNumberFormat="1" applyFont="1" applyFill="1" applyBorder="1" applyAlignment="1">
      <alignment horizontal="center"/>
    </xf>
    <xf numFmtId="3" fontId="3" fillId="0" borderId="0" xfId="6" applyNumberFormat="1" applyFont="1" applyFill="1" applyBorder="1" applyAlignment="1">
      <alignment horizontal="center"/>
    </xf>
    <xf numFmtId="4" fontId="3" fillId="0" borderId="0" xfId="6" applyNumberFormat="1" applyFont="1" applyFill="1" applyBorder="1" applyAlignment="1">
      <alignment horizontal="center"/>
    </xf>
    <xf numFmtId="0" fontId="37" fillId="0" borderId="0" xfId="0" applyFont="1" applyAlignment="1">
      <alignment horizontal="left"/>
    </xf>
    <xf numFmtId="174" fontId="23" fillId="0" borderId="14" xfId="2" applyNumberFormat="1" applyFont="1" applyFill="1" applyBorder="1"/>
    <xf numFmtId="10" fontId="23" fillId="0" borderId="16" xfId="7" applyNumberFormat="1" applyFont="1" applyBorder="1"/>
    <xf numFmtId="0" fontId="24" fillId="0" borderId="0" xfId="0" applyFont="1"/>
    <xf numFmtId="42" fontId="24" fillId="0" borderId="0" xfId="0" applyNumberFormat="1" applyFont="1" applyBorder="1"/>
    <xf numFmtId="37" fontId="24" fillId="0" borderId="0" xfId="5" applyNumberFormat="1" applyFont="1"/>
    <xf numFmtId="44" fontId="24" fillId="0" borderId="14" xfId="2" applyNumberFormat="1" applyFont="1" applyFill="1" applyBorder="1"/>
    <xf numFmtId="167" fontId="24" fillId="0" borderId="16" xfId="7" applyNumberFormat="1" applyFont="1" applyBorder="1"/>
    <xf numFmtId="0" fontId="3" fillId="0" borderId="0" xfId="20" applyFont="1"/>
    <xf numFmtId="41" fontId="3" fillId="0" borderId="0" xfId="20" applyNumberFormat="1" applyFont="1"/>
    <xf numFmtId="173" fontId="3" fillId="0" borderId="0" xfId="20" applyNumberFormat="1" applyFont="1"/>
    <xf numFmtId="5" fontId="3" fillId="7" borderId="0" xfId="20" applyNumberFormat="1" applyFont="1" applyFill="1"/>
    <xf numFmtId="5" fontId="3" fillId="0" borderId="0" xfId="20" applyNumberFormat="1" applyFont="1"/>
    <xf numFmtId="37" fontId="3" fillId="7" borderId="37" xfId="20" applyNumberFormat="1" applyFont="1" applyFill="1" applyBorder="1"/>
    <xf numFmtId="37" fontId="3" fillId="0" borderId="0" xfId="20" applyNumberFormat="1" applyFont="1"/>
    <xf numFmtId="37" fontId="3" fillId="8" borderId="0" xfId="20" applyNumberFormat="1" applyFont="1" applyFill="1"/>
    <xf numFmtId="37" fontId="3" fillId="0" borderId="0" xfId="20" applyNumberFormat="1" applyFont="1" applyAlignment="1">
      <alignment vertical="top" wrapText="1"/>
    </xf>
    <xf numFmtId="37" fontId="3" fillId="7" borderId="10" xfId="20" applyNumberFormat="1" applyFont="1" applyFill="1" applyBorder="1"/>
    <xf numFmtId="37" fontId="3" fillId="0" borderId="10" xfId="20" applyNumberFormat="1" applyFont="1" applyBorder="1"/>
    <xf numFmtId="37" fontId="3" fillId="7" borderId="41" xfId="20" applyNumberFormat="1" applyFont="1" applyFill="1" applyBorder="1"/>
    <xf numFmtId="37" fontId="3" fillId="0" borderId="0" xfId="20" applyNumberFormat="1" applyFont="1" applyFill="1"/>
    <xf numFmtId="41" fontId="3" fillId="0" borderId="0" xfId="20" applyNumberFormat="1" applyFont="1" applyAlignment="1">
      <alignment horizontal="right"/>
    </xf>
    <xf numFmtId="41" fontId="29" fillId="0" borderId="0" xfId="20" applyNumberFormat="1" applyFont="1"/>
    <xf numFmtId="41" fontId="5" fillId="0" borderId="10" xfId="20" applyNumberFormat="1" applyFont="1" applyBorder="1" applyAlignment="1">
      <alignment horizontal="center"/>
    </xf>
    <xf numFmtId="3" fontId="55" fillId="0" borderId="0" xfId="6" applyNumberFormat="1" applyFont="1" applyFill="1"/>
    <xf numFmtId="41" fontId="55" fillId="0" borderId="0" xfId="6" applyNumberFormat="1" applyFont="1" applyFill="1"/>
    <xf numFmtId="3" fontId="55" fillId="0" borderId="0" xfId="6" applyNumberFormat="1" applyFont="1" applyFill="1" applyBorder="1"/>
    <xf numFmtId="0" fontId="61" fillId="0" borderId="0" xfId="0" applyFont="1" applyFill="1"/>
    <xf numFmtId="0" fontId="61" fillId="0" borderId="0" xfId="0" applyFont="1" applyBorder="1"/>
    <xf numFmtId="0" fontId="61" fillId="0" borderId="0" xfId="0" applyFont="1"/>
    <xf numFmtId="0" fontId="60" fillId="0" borderId="0" xfId="0" applyFont="1" applyAlignment="1"/>
    <xf numFmtId="0" fontId="60" fillId="0" borderId="0" xfId="0" applyFont="1" applyAlignment="1">
      <alignment horizontal="center"/>
    </xf>
    <xf numFmtId="0" fontId="61" fillId="0" borderId="0" xfId="0" applyFont="1" applyFill="1" applyBorder="1"/>
    <xf numFmtId="37" fontId="61" fillId="0" borderId="0" xfId="0" applyNumberFormat="1" applyFont="1" applyBorder="1"/>
    <xf numFmtId="0" fontId="61" fillId="0" borderId="0" xfId="0" applyFont="1" applyAlignment="1">
      <alignment horizontal="center"/>
    </xf>
    <xf numFmtId="0" fontId="61" fillId="0" borderId="10" xfId="0" applyFont="1" applyBorder="1" applyAlignment="1">
      <alignment horizontal="center"/>
    </xf>
    <xf numFmtId="0" fontId="61" fillId="0" borderId="0" xfId="0" applyFont="1" applyBorder="1" applyAlignment="1">
      <alignment horizontal="center"/>
    </xf>
    <xf numFmtId="0" fontId="63" fillId="0" borderId="0" xfId="0" applyFont="1" applyFill="1" applyBorder="1" applyAlignment="1">
      <alignment horizontal="center"/>
    </xf>
    <xf numFmtId="0" fontId="63" fillId="0" borderId="0" xfId="0" applyFont="1" applyFill="1" applyBorder="1"/>
    <xf numFmtId="4" fontId="61" fillId="0" borderId="0" xfId="0" applyNumberFormat="1" applyFont="1" applyAlignment="1">
      <alignment horizontal="center"/>
    </xf>
    <xf numFmtId="3" fontId="61" fillId="0" borderId="0" xfId="0" applyNumberFormat="1" applyFont="1"/>
    <xf numFmtId="5" fontId="61" fillId="0" borderId="0" xfId="0" applyNumberFormat="1" applyFont="1"/>
    <xf numFmtId="0" fontId="61" fillId="0" borderId="0" xfId="0" applyFont="1" applyFill="1" applyBorder="1" applyAlignment="1">
      <alignment horizontal="right"/>
    </xf>
    <xf numFmtId="5" fontId="61" fillId="0" borderId="0" xfId="0" applyNumberFormat="1" applyFont="1" applyFill="1" applyBorder="1"/>
    <xf numFmtId="37" fontId="61" fillId="0" borderId="0" xfId="0" applyNumberFormat="1" applyFont="1"/>
    <xf numFmtId="173" fontId="61" fillId="0" borderId="0" xfId="1" applyNumberFormat="1" applyFont="1" applyFill="1" applyBorder="1"/>
    <xf numFmtId="37" fontId="61" fillId="0" borderId="3" xfId="0" applyNumberFormat="1" applyFont="1" applyBorder="1"/>
    <xf numFmtId="4" fontId="61" fillId="0" borderId="0" xfId="0" applyNumberFormat="1" applyFont="1" applyFill="1" applyAlignment="1">
      <alignment horizontal="center"/>
    </xf>
    <xf numFmtId="173" fontId="61" fillId="0" borderId="0" xfId="0" applyNumberFormat="1" applyFont="1" applyFill="1" applyBorder="1"/>
    <xf numFmtId="3" fontId="61" fillId="0" borderId="0" xfId="0" applyNumberFormat="1" applyFont="1" applyFill="1"/>
    <xf numFmtId="37" fontId="61" fillId="0" borderId="0" xfId="0" applyNumberFormat="1" applyFont="1" applyFill="1"/>
    <xf numFmtId="5" fontId="61" fillId="0" borderId="16" xfId="0" applyNumberFormat="1" applyFont="1" applyBorder="1"/>
    <xf numFmtId="4" fontId="61" fillId="0" borderId="22" xfId="0" applyNumberFormat="1" applyFont="1" applyFill="1" applyBorder="1" applyAlignment="1">
      <alignment horizontal="center"/>
    </xf>
    <xf numFmtId="3" fontId="61" fillId="0" borderId="0" xfId="0" applyNumberFormat="1" applyFont="1" applyFill="1" applyBorder="1"/>
    <xf numFmtId="37" fontId="61" fillId="0" borderId="0" xfId="0" applyNumberFormat="1" applyFont="1" applyFill="1" applyBorder="1"/>
    <xf numFmtId="5" fontId="61" fillId="0" borderId="0" xfId="0" applyNumberFormat="1" applyFont="1" applyBorder="1"/>
    <xf numFmtId="173" fontId="61" fillId="0" borderId="0" xfId="0" applyNumberFormat="1" applyFont="1" applyBorder="1"/>
    <xf numFmtId="0" fontId="61" fillId="0" borderId="0" xfId="0" applyFont="1" applyFill="1" applyAlignment="1">
      <alignment horizontal="center"/>
    </xf>
    <xf numFmtId="3" fontId="64" fillId="0" borderId="0" xfId="0" applyNumberFormat="1" applyFont="1"/>
    <xf numFmtId="3" fontId="61" fillId="0" borderId="0" xfId="0" applyNumberFormat="1" applyFont="1" applyFill="1" applyAlignment="1">
      <alignment horizontal="left"/>
    </xf>
    <xf numFmtId="1" fontId="61" fillId="0" borderId="0" xfId="0" applyNumberFormat="1" applyFont="1"/>
    <xf numFmtId="3" fontId="61" fillId="0" borderId="0" xfId="0" applyNumberFormat="1" applyFont="1" applyFill="1" applyAlignment="1">
      <alignment horizontal="center"/>
    </xf>
    <xf numFmtId="5" fontId="62" fillId="0" borderId="0" xfId="0" applyNumberFormat="1" applyFont="1" applyFill="1" applyBorder="1"/>
    <xf numFmtId="3" fontId="61" fillId="0" borderId="0" xfId="0" applyNumberFormat="1" applyFont="1" applyAlignment="1">
      <alignment horizontal="center"/>
    </xf>
    <xf numFmtId="10" fontId="61" fillId="0" borderId="0" xfId="0" applyNumberFormat="1" applyFont="1" applyFill="1" applyBorder="1"/>
    <xf numFmtId="37" fontId="32" fillId="0" borderId="0" xfId="0" applyNumberFormat="1" applyFont="1" applyAlignment="1">
      <alignment horizontal="center"/>
    </xf>
    <xf numFmtId="10" fontId="32" fillId="0" borderId="39" xfId="0" applyNumberFormat="1" applyFont="1" applyBorder="1" applyAlignment="1">
      <alignment horizontal="center"/>
    </xf>
    <xf numFmtId="173" fontId="32" fillId="0" borderId="0" xfId="1" applyNumberFormat="1" applyFont="1"/>
    <xf numFmtId="0" fontId="62" fillId="0" borderId="0" xfId="0" applyFont="1" applyBorder="1" applyAlignment="1">
      <alignment horizontal="center"/>
    </xf>
    <xf numFmtId="37" fontId="32" fillId="0" borderId="0" xfId="0" applyNumberFormat="1" applyFont="1"/>
    <xf numFmtId="37" fontId="48" fillId="0" borderId="0" xfId="0" applyNumberFormat="1" applyFont="1" applyAlignment="1">
      <alignment horizontal="right"/>
    </xf>
    <xf numFmtId="5" fontId="48" fillId="0" borderId="0" xfId="0" applyNumberFormat="1" applyFont="1" applyAlignment="1">
      <alignment horizontal="right"/>
    </xf>
    <xf numFmtId="37" fontId="65" fillId="0" borderId="0" xfId="0" applyNumberFormat="1" applyFont="1" applyAlignment="1">
      <alignment horizontal="right"/>
    </xf>
    <xf numFmtId="0" fontId="32" fillId="0" borderId="42" xfId="0" applyFont="1" applyBorder="1"/>
    <xf numFmtId="37" fontId="65" fillId="0" borderId="42" xfId="0" applyNumberFormat="1" applyFont="1" applyBorder="1" applyAlignment="1">
      <alignment horizontal="right"/>
    </xf>
    <xf numFmtId="37" fontId="65" fillId="0" borderId="0" xfId="0" applyNumberFormat="1" applyFont="1" applyBorder="1" applyAlignment="1">
      <alignment horizontal="right"/>
    </xf>
    <xf numFmtId="10" fontId="61" fillId="0" borderId="0" xfId="0" applyNumberFormat="1" applyFont="1" applyBorder="1"/>
    <xf numFmtId="5" fontId="29" fillId="0" borderId="0" xfId="0" applyNumberFormat="1" applyFont="1" applyBorder="1"/>
    <xf numFmtId="10" fontId="61" fillId="0" borderId="0" xfId="7" applyNumberFormat="1" applyFont="1" applyBorder="1" applyAlignment="1">
      <alignment horizontal="center"/>
    </xf>
    <xf numFmtId="0" fontId="61" fillId="0" borderId="0" xfId="0" applyFont="1" applyBorder="1" applyAlignment="1">
      <alignment horizontal="right"/>
    </xf>
    <xf numFmtId="5" fontId="29" fillId="0" borderId="0" xfId="0" applyNumberFormat="1" applyFont="1" applyFill="1" applyBorder="1"/>
    <xf numFmtId="0" fontId="60" fillId="0" borderId="0" xfId="0" applyFont="1" applyBorder="1" applyAlignment="1"/>
    <xf numFmtId="37" fontId="32" fillId="0" borderId="0" xfId="0" applyNumberFormat="1" applyFont="1" applyBorder="1" applyAlignment="1">
      <alignment horizontal="center"/>
    </xf>
    <xf numFmtId="37" fontId="32" fillId="0" borderId="0" xfId="0" applyNumberFormat="1" applyFont="1" applyBorder="1"/>
    <xf numFmtId="37" fontId="48" fillId="0" borderId="0" xfId="0" applyNumberFormat="1" applyFont="1" applyBorder="1" applyAlignment="1">
      <alignment horizontal="right"/>
    </xf>
    <xf numFmtId="5" fontId="48" fillId="0" borderId="0" xfId="0" applyNumberFormat="1" applyFont="1" applyBorder="1" applyAlignment="1">
      <alignment horizontal="right"/>
    </xf>
    <xf numFmtId="0" fontId="62" fillId="0" borderId="39" xfId="0" applyFont="1" applyBorder="1" applyAlignment="1">
      <alignment horizontal="center"/>
    </xf>
    <xf numFmtId="41" fontId="5" fillId="0" borderId="0" xfId="22" applyNumberFormat="1" applyFont="1" applyFill="1" applyAlignment="1">
      <alignment horizontal="left"/>
    </xf>
    <xf numFmtId="3" fontId="24" fillId="0" borderId="0" xfId="6" applyNumberFormat="1" applyFont="1" applyFill="1" applyAlignment="1">
      <alignment horizontal="center"/>
    </xf>
    <xf numFmtId="41" fontId="3" fillId="0" borderId="0" xfId="22" applyNumberFormat="1" applyFont="1" applyFill="1" applyAlignment="1">
      <alignment horizontal="center"/>
    </xf>
    <xf numFmtId="5" fontId="32" fillId="0" borderId="0" xfId="0" applyNumberFormat="1" applyFont="1"/>
    <xf numFmtId="0" fontId="32" fillId="0" borderId="0" xfId="0" applyFont="1"/>
    <xf numFmtId="37" fontId="23" fillId="4" borderId="0" xfId="20" applyNumberFormat="1" applyFont="1" applyFill="1"/>
    <xf numFmtId="10" fontId="32" fillId="4" borderId="0" xfId="7" applyNumberFormat="1" applyFont="1" applyFill="1" applyBorder="1"/>
    <xf numFmtId="41" fontId="5" fillId="0" borderId="7" xfId="20" quotePrefix="1" applyNumberFormat="1" applyFont="1" applyFill="1" applyBorder="1" applyAlignment="1">
      <alignment horizontal="center"/>
    </xf>
    <xf numFmtId="41" fontId="30" fillId="9" borderId="0" xfId="20" applyNumberFormat="1" applyFont="1" applyFill="1" applyAlignment="1">
      <alignment horizontal="center" wrapText="1"/>
    </xf>
    <xf numFmtId="41" fontId="30" fillId="9" borderId="0" xfId="22" applyNumberFormat="1" applyFont="1" applyFill="1" applyAlignment="1">
      <alignment horizontal="center"/>
    </xf>
    <xf numFmtId="5" fontId="66" fillId="0" borderId="39" xfId="0" applyNumberFormat="1" applyFont="1" applyFill="1" applyBorder="1" applyAlignment="1">
      <alignment horizontal="center" vertical="center"/>
    </xf>
    <xf numFmtId="41" fontId="25" fillId="5" borderId="13" xfId="0" quotePrefix="1" applyNumberFormat="1" applyFont="1" applyFill="1" applyBorder="1" applyAlignment="1">
      <alignment horizontal="center"/>
    </xf>
    <xf numFmtId="41" fontId="25" fillId="5" borderId="15" xfId="0" quotePrefix="1" applyNumberFormat="1" applyFont="1" applyFill="1" applyBorder="1" applyAlignment="1">
      <alignment horizontal="center"/>
    </xf>
    <xf numFmtId="41" fontId="25" fillId="5" borderId="14" xfId="0" quotePrefix="1" applyNumberFormat="1" applyFont="1" applyFill="1" applyBorder="1" applyAlignment="1">
      <alignment horizontal="center"/>
    </xf>
    <xf numFmtId="37" fontId="9" fillId="0" borderId="35" xfId="20" applyNumberFormat="1" applyFont="1" applyFill="1" applyBorder="1" applyAlignment="1">
      <alignment horizontal="center" wrapText="1"/>
    </xf>
    <xf numFmtId="37" fontId="9" fillId="0" borderId="36" xfId="20" applyNumberFormat="1" applyFont="1" applyFill="1" applyBorder="1" applyAlignment="1">
      <alignment horizontal="center" wrapText="1"/>
    </xf>
    <xf numFmtId="0" fontId="24" fillId="0" borderId="22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0" fontId="24" fillId="0" borderId="23" xfId="0" applyFont="1" applyFill="1" applyBorder="1" applyAlignment="1">
      <alignment horizontal="center"/>
    </xf>
    <xf numFmtId="0" fontId="24" fillId="0" borderId="2" xfId="0" applyFont="1" applyBorder="1" applyAlignment="1">
      <alignment horizontal="center"/>
    </xf>
    <xf numFmtId="0" fontId="24" fillId="0" borderId="4" xfId="0" applyFont="1" applyBorder="1" applyAlignment="1">
      <alignment horizontal="center"/>
    </xf>
    <xf numFmtId="0" fontId="24" fillId="0" borderId="9" xfId="0" applyFont="1" applyBorder="1" applyAlignment="1">
      <alignment horizontal="center"/>
    </xf>
    <xf numFmtId="0" fontId="24" fillId="0" borderId="11" xfId="0" applyFont="1" applyBorder="1" applyAlignment="1">
      <alignment horizontal="center"/>
    </xf>
    <xf numFmtId="0" fontId="24" fillId="0" borderId="0" xfId="5" applyNumberFormat="1" applyFont="1" applyAlignment="1">
      <alignment horizontal="center"/>
    </xf>
    <xf numFmtId="0" fontId="24" fillId="0" borderId="0" xfId="0" applyFont="1" applyAlignment="1">
      <alignment horizontal="center"/>
    </xf>
    <xf numFmtId="0" fontId="24" fillId="0" borderId="0" xfId="0" applyFont="1" applyFill="1" applyBorder="1" applyAlignment="1">
      <alignment horizontal="center" wrapText="1"/>
    </xf>
    <xf numFmtId="0" fontId="24" fillId="0" borderId="10" xfId="0" applyFont="1" applyFill="1" applyBorder="1" applyAlignment="1">
      <alignment horizontal="center" wrapText="1"/>
    </xf>
    <xf numFmtId="0" fontId="24" fillId="4" borderId="19" xfId="0" applyFont="1" applyFill="1" applyBorder="1" applyAlignment="1">
      <alignment horizontal="center"/>
    </xf>
    <xf numFmtId="0" fontId="24" fillId="4" borderId="20" xfId="0" applyFont="1" applyFill="1" applyBorder="1" applyAlignment="1">
      <alignment horizontal="center"/>
    </xf>
    <xf numFmtId="0" fontId="24" fillId="4" borderId="21" xfId="0" applyFont="1" applyFill="1" applyBorder="1" applyAlignment="1">
      <alignment horizontal="center"/>
    </xf>
    <xf numFmtId="0" fontId="24" fillId="4" borderId="22" xfId="0" applyFont="1" applyFill="1" applyBorder="1" applyAlignment="1">
      <alignment horizontal="center"/>
    </xf>
    <xf numFmtId="0" fontId="24" fillId="4" borderId="0" xfId="0" applyFont="1" applyFill="1" applyBorder="1" applyAlignment="1">
      <alignment horizontal="center"/>
    </xf>
    <xf numFmtId="0" fontId="24" fillId="4" borderId="23" xfId="0" applyFont="1" applyFill="1" applyBorder="1" applyAlignment="1">
      <alignment horizontal="center"/>
    </xf>
    <xf numFmtId="41" fontId="5" fillId="0" borderId="0" xfId="6" applyNumberFormat="1" applyFont="1" applyFill="1" applyAlignment="1">
      <alignment horizontal="center" vertical="top" wrapText="1"/>
    </xf>
    <xf numFmtId="5" fontId="3" fillId="0" borderId="35" xfId="20" applyNumberFormat="1" applyFont="1" applyBorder="1" applyAlignment="1">
      <alignment horizontal="center" wrapText="1"/>
    </xf>
    <xf numFmtId="5" fontId="3" fillId="0" borderId="40" xfId="20" applyNumberFormat="1" applyFont="1" applyBorder="1" applyAlignment="1">
      <alignment horizontal="center" wrapText="1"/>
    </xf>
    <xf numFmtId="0" fontId="60" fillId="0" borderId="0" xfId="0" applyNumberFormat="1" applyFont="1" applyAlignment="1">
      <alignment horizontal="center"/>
    </xf>
    <xf numFmtId="0" fontId="31" fillId="0" borderId="0" xfId="0" applyFont="1" applyAlignment="1">
      <alignment horizontal="center"/>
    </xf>
    <xf numFmtId="0" fontId="61" fillId="0" borderId="10" xfId="0" applyFont="1" applyBorder="1" applyAlignment="1">
      <alignment horizontal="center"/>
    </xf>
    <xf numFmtId="0" fontId="61" fillId="0" borderId="0" xfId="0" applyFont="1" applyBorder="1" applyAlignment="1">
      <alignment horizontal="center"/>
    </xf>
    <xf numFmtId="0" fontId="62" fillId="0" borderId="0" xfId="0" applyFont="1" applyBorder="1" applyAlignment="1">
      <alignment horizontal="center"/>
    </xf>
    <xf numFmtId="0" fontId="62" fillId="0" borderId="0" xfId="0" applyFont="1" applyFill="1" applyAlignment="1">
      <alignment horizontal="center"/>
    </xf>
    <xf numFmtId="0" fontId="6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27" xfId="13" applyFont="1" applyBorder="1" applyAlignment="1">
      <alignment horizontal="center"/>
    </xf>
    <xf numFmtId="0" fontId="8" fillId="0" borderId="28" xfId="13" applyFont="1" applyBorder="1" applyAlignment="1">
      <alignment horizontal="center"/>
    </xf>
    <xf numFmtId="0" fontId="8" fillId="0" borderId="29" xfId="13" applyFont="1" applyBorder="1" applyAlignment="1">
      <alignment horizontal="center"/>
    </xf>
    <xf numFmtId="4" fontId="35" fillId="0" borderId="0" xfId="13" applyNumberFormat="1" applyFont="1" applyBorder="1" applyAlignment="1">
      <alignment horizontal="center"/>
    </xf>
    <xf numFmtId="4" fontId="9" fillId="0" borderId="0" xfId="13" applyNumberFormat="1" applyFont="1" applyBorder="1" applyAlignment="1">
      <alignment horizontal="center"/>
    </xf>
    <xf numFmtId="4" fontId="36" fillId="0" borderId="0" xfId="13" applyNumberFormat="1" applyFont="1" applyBorder="1" applyAlignment="1">
      <alignment horizontal="center"/>
    </xf>
    <xf numFmtId="4" fontId="8" fillId="0" borderId="0" xfId="13" applyNumberFormat="1" applyFont="1" applyBorder="1" applyAlignment="1">
      <alignment horizontal="center"/>
    </xf>
    <xf numFmtId="0" fontId="3" fillId="0" borderId="0" xfId="0" applyFont="1" applyAlignment="1">
      <alignment horizontal="center"/>
    </xf>
  </cellXfs>
  <cellStyles count="23">
    <cellStyle name="Comma" xfId="1" builtinId="3"/>
    <cellStyle name="Comma 2" xfId="21" xr:uid="{00000000-0005-0000-0000-000001000000}"/>
    <cellStyle name="Currency" xfId="2" builtinId="4"/>
    <cellStyle name="Currency 2" xfId="14" xr:uid="{00000000-0005-0000-0000-000003000000}"/>
    <cellStyle name="Followed Hyperlink" xfId="9" builtinId="9" customBuiltin="1"/>
    <cellStyle name="Followed Hyperlink 2" xfId="10" xr:uid="{00000000-0005-0000-0000-000005000000}"/>
    <cellStyle name="Hyperlink" xfId="8" builtinId="8" customBuiltin="1"/>
    <cellStyle name="Hyperlink 2" xfId="11" xr:uid="{00000000-0005-0000-0000-000007000000}"/>
    <cellStyle name="Manual-Input" xfId="15" xr:uid="{00000000-0005-0000-0000-000008000000}"/>
    <cellStyle name="Normal" xfId="0" builtinId="0"/>
    <cellStyle name="Normal 2" xfId="16" xr:uid="{00000000-0005-0000-0000-00000A000000}"/>
    <cellStyle name="Normal 2 2" xfId="17" xr:uid="{00000000-0005-0000-0000-00000B000000}"/>
    <cellStyle name="Normal 2 3" xfId="18" xr:uid="{00000000-0005-0000-0000-00000C000000}"/>
    <cellStyle name="Normal 6" xfId="12" xr:uid="{00000000-0005-0000-0000-00000D000000}"/>
    <cellStyle name="Normal_IDElec6_97" xfId="3" xr:uid="{00000000-0005-0000-0000-00000E000000}"/>
    <cellStyle name="Normal_IDGas6_97" xfId="4" xr:uid="{00000000-0005-0000-0000-00000F000000}"/>
    <cellStyle name="Normal_RestateDebtInt1200case 2" xfId="13" xr:uid="{00000000-0005-0000-0000-000010000000}"/>
    <cellStyle name="Normal_WAElec6_97" xfId="5" xr:uid="{00000000-0005-0000-0000-000011000000}"/>
    <cellStyle name="Normal_WAElec6_97 2" xfId="20" xr:uid="{00000000-0005-0000-0000-000012000000}"/>
    <cellStyle name="Normal_WAGas6_97" xfId="6" xr:uid="{00000000-0005-0000-0000-000013000000}"/>
    <cellStyle name="Normal_WAGas6_97 2" xfId="22" xr:uid="{00000000-0005-0000-0000-000014000000}"/>
    <cellStyle name="Percent" xfId="7" builtinId="5"/>
    <cellStyle name="Percent 2" xfId="19" xr:uid="{00000000-0005-0000-0000-000016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24848</xdr:colOff>
      <xdr:row>83</xdr:row>
      <xdr:rowOff>22226</xdr:rowOff>
    </xdr:from>
    <xdr:to>
      <xdr:col>25</xdr:col>
      <xdr:colOff>914400</xdr:colOff>
      <xdr:row>83</xdr:row>
      <xdr:rowOff>682625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15169598" y="12468226"/>
          <a:ext cx="5223427" cy="6603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(1) The Restated TOTAL column does not represent 12/31/2019 Test Period Commission Basis results of operation on a normalized basis (CBR basis). Differences exists due to inclusion of proposed cost of debt (pro forma versus CBR actual cost of debt) impacting Adjustment 2.14 above, and the inclusion</a:t>
          </a:r>
          <a:r>
            <a:rPr lang="en-US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of Restate 2019 AMA Rate base to EOP adjustment 2.15.</a:t>
          </a:r>
          <a:endParaRPr lang="en-US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sz="9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ETemp\Temporary%20Internet%20Files\Content.Outlook\EWB70DNV\2010%20WA%20GRC\Aug%204-5%20Settlement%20discussions\c01m107\2005\2005%20WA%20E%20&amp;%20G%20General%20Case\CaseGASsumm20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ETemp\Temporary%20Internet%20Files\Content.Outlook\EWB70DNV\2010%20WA%20GRC\Aug%204-5%20Settlement%20discussions\CaseGASsumm200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ETemp\Temporary%20Internet%20Files\Content.Outlook\EWB70DNV\2012%20WA%20Electric%20RR%20Mod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Gas12_04"/>
      <sheetName val="IDGas12_04"/>
      <sheetName val="PFRstmtSheet"/>
      <sheetName val="SYSGas12_04"/>
      <sheetName val="ResultSumGas"/>
      <sheetName val="DFITWaGas"/>
      <sheetName val="DFITIdGas"/>
      <sheetName val="BldGain"/>
      <sheetName val="GasInv"/>
      <sheetName val="WznDSM"/>
      <sheetName val="CustAdv"/>
      <sheetName val="WeatherGas"/>
      <sheetName val="RevenueNorm"/>
      <sheetName val="BandO"/>
      <sheetName val="PropTax"/>
      <sheetName val="UncollExp"/>
      <sheetName val="RegExp"/>
      <sheetName val="InjDam"/>
      <sheetName val="FIT"/>
      <sheetName val="DebtInt"/>
      <sheetName val="PayClear"/>
      <sheetName val="Unbilled"/>
      <sheetName val="SIT"/>
      <sheetName val="ElimAR"/>
      <sheetName val="SubSpace"/>
      <sheetName val="XFranchTax"/>
      <sheetName val="BldgLease"/>
      <sheetName val="Depr"/>
      <sheetName val="Incent"/>
      <sheetName val="Inputs"/>
      <sheetName val="CompWA"/>
      <sheetName val="CompID"/>
      <sheetName val="DebtCalc"/>
      <sheetName val="CWIPAlloc"/>
      <sheetName val="PFPension"/>
      <sheetName val="PF Ins"/>
      <sheetName val="PFLabor"/>
      <sheetName val="PFExec"/>
      <sheetName val="PFGasProc"/>
      <sheetName val="PFAlloc"/>
      <sheetName val="PFHamilton"/>
      <sheetName val="Proposed Rates"/>
      <sheetName val="RevReqEx"/>
      <sheetName val="ConverFac_Exh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Gas12_04"/>
      <sheetName val="IDGas12_04"/>
      <sheetName val="PFRstmtSheet"/>
      <sheetName val="SYSGas12_04"/>
      <sheetName val="ResultSumGas"/>
      <sheetName val="DFITWaGas"/>
      <sheetName val="DFITIdGas"/>
      <sheetName val="BldGain"/>
      <sheetName val="GasInv"/>
      <sheetName val="WznDSM"/>
      <sheetName val="CustAdv"/>
      <sheetName val="WeatherGas"/>
      <sheetName val="RevenueNorm"/>
      <sheetName val="BandO"/>
      <sheetName val="PropTax"/>
      <sheetName val="UncollExp"/>
      <sheetName val="RegExp"/>
      <sheetName val="InjDam"/>
      <sheetName val="FIT"/>
      <sheetName val="DebtInt"/>
      <sheetName val="PayClear"/>
      <sheetName val="Unbilled"/>
      <sheetName val="SIT"/>
      <sheetName val="ElimAR"/>
      <sheetName val="SubSpace"/>
      <sheetName val="XFranchTax"/>
      <sheetName val="BldgLease"/>
      <sheetName val="Depr"/>
      <sheetName val="Incent"/>
      <sheetName val="Inputs"/>
      <sheetName val="CompWA"/>
      <sheetName val="CompID"/>
      <sheetName val="DebtCalc"/>
      <sheetName val="CWIPAlloc"/>
      <sheetName val="PFPension"/>
      <sheetName val="PF Ins"/>
      <sheetName val="PFLabor"/>
      <sheetName val="PFExec"/>
      <sheetName val="PFGasProc"/>
      <sheetName val="PFAlloc"/>
      <sheetName val="PFHamilton"/>
      <sheetName val="Proposed Rates"/>
      <sheetName val="RevReqEx"/>
      <sheetName val="ConverFac_Exh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POSED RATES"/>
      <sheetName val="RR SUMMARY"/>
      <sheetName val="CF "/>
      <sheetName val="ADJ SUMMARY"/>
      <sheetName val="ADJ DETAIL-INPUT"/>
      <sheetName val="LEAD SHEETS-DO NOT ENTER"/>
      <sheetName val="ROO INPUT"/>
      <sheetName val="DEBT CALC"/>
      <sheetName val="COMPARISON -SETTLEMENT"/>
      <sheetName val="RETAIL REVENUE CREDIT"/>
    </sheetNames>
    <sheetDataSet>
      <sheetData sheetId="0"/>
      <sheetData sheetId="1">
        <row r="10">
          <cell r="M10">
            <v>3.1800000000000002E-2</v>
          </cell>
        </row>
      </sheetData>
      <sheetData sheetId="2"/>
      <sheetData sheetId="3">
        <row r="1">
          <cell r="A1" t="str">
            <v xml:space="preserve"> </v>
          </cell>
        </row>
      </sheetData>
      <sheetData sheetId="4">
        <row r="10">
          <cell r="AA10">
            <v>2.1799999999999962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4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1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4.bin"/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4">
    <tabColor rgb="FFFFFF00"/>
  </sheetPr>
  <dimension ref="A1:AJ83"/>
  <sheetViews>
    <sheetView tabSelected="1" topLeftCell="A69" zoomScaleNormal="100" zoomScaleSheetLayoutView="100" workbookViewId="0">
      <selection activeCell="J56" sqref="J56"/>
    </sheetView>
  </sheetViews>
  <sheetFormatPr defaultColWidth="9.1796875" defaultRowHeight="13"/>
  <cols>
    <col min="1" max="1" width="4.54296875" style="33" customWidth="1"/>
    <col min="2" max="3" width="1.54296875" style="32" customWidth="1"/>
    <col min="4" max="4" width="2.54296875" style="32" customWidth="1"/>
    <col min="5" max="5" width="33.54296875" style="14" customWidth="1"/>
    <col min="6" max="6" width="18.81640625" style="14" customWidth="1"/>
    <col min="7" max="7" width="15.54296875" style="14" customWidth="1"/>
    <col min="8" max="8" width="16.453125" style="14" customWidth="1"/>
    <col min="9" max="9" width="17.453125" style="14" customWidth="1"/>
    <col min="10" max="10" width="16.453125" style="12" customWidth="1"/>
    <col min="11" max="12" width="9" style="12" customWidth="1"/>
    <col min="13" max="13" width="12.36328125" style="12" customWidth="1"/>
    <col min="14" max="14" width="9.81640625" style="12" bestFit="1" customWidth="1"/>
    <col min="15" max="16" width="9.1796875" style="12"/>
    <col min="17" max="17" width="11.1796875" style="12" bestFit="1" customWidth="1"/>
    <col min="18" max="16384" width="9.1796875" style="12"/>
  </cols>
  <sheetData>
    <row r="1" spans="1:36" ht="14">
      <c r="A1" s="392" t="str">
        <f>'ROO INPUT'!A3:C3</f>
        <v>AVISTA UTILITIES</v>
      </c>
      <c r="D1" s="33"/>
      <c r="E1" s="88"/>
      <c r="F1" s="379"/>
      <c r="G1" s="379"/>
      <c r="H1" s="88"/>
      <c r="I1" s="88"/>
      <c r="J1" s="354"/>
    </row>
    <row r="2" spans="1:36" ht="15" customHeight="1">
      <c r="A2" s="392" t="str">
        <f>'ADJ DETAIL INPUT'!A3</f>
        <v>WASHINGTON NATURAL GAS</v>
      </c>
      <c r="D2" s="33"/>
      <c r="E2" s="88"/>
      <c r="F2" s="88"/>
      <c r="G2" s="77"/>
      <c r="H2" s="78"/>
      <c r="I2" s="78"/>
      <c r="J2" s="357"/>
      <c r="K2" s="76"/>
      <c r="L2" s="76"/>
      <c r="M2" s="76"/>
      <c r="N2" s="76"/>
    </row>
    <row r="3" spans="1:36" s="354" customFormat="1" ht="15" customHeight="1">
      <c r="A3" s="392" t="str">
        <f>'ROO INPUT'!A5:C5</f>
        <v>TWELVE MONTHS ENDED DECEMBER 31, 2019</v>
      </c>
      <c r="B3" s="32"/>
      <c r="C3" s="32"/>
      <c r="D3" s="33"/>
      <c r="E3" s="88"/>
      <c r="F3" s="88"/>
      <c r="G3" s="77"/>
      <c r="H3" s="78"/>
      <c r="I3" s="78"/>
      <c r="J3" s="357"/>
      <c r="K3" s="357"/>
      <c r="L3" s="357"/>
      <c r="M3" s="357"/>
      <c r="N3" s="357"/>
    </row>
    <row r="4" spans="1:36" ht="14">
      <c r="A4" s="392" t="str">
        <f>'ROO INPUT'!A6:C6</f>
        <v xml:space="preserve">(000'S OF DOLLARS)   </v>
      </c>
      <c r="D4" s="33"/>
      <c r="E4" s="88"/>
      <c r="F4" s="88"/>
      <c r="G4" s="88"/>
      <c r="H4" s="88"/>
      <c r="I4" s="88"/>
      <c r="J4" s="354"/>
    </row>
    <row r="5" spans="1:36" ht="14">
      <c r="D5" s="33"/>
      <c r="F5" s="779" t="s">
        <v>543</v>
      </c>
      <c r="G5" s="780"/>
      <c r="H5" s="780"/>
      <c r="I5" s="780"/>
      <c r="J5" s="781"/>
      <c r="AD5" s="76"/>
      <c r="AE5" s="76"/>
      <c r="AF5" s="76"/>
      <c r="AG5" s="76"/>
      <c r="AH5" s="76"/>
      <c r="AI5" s="76"/>
      <c r="AJ5" s="76"/>
    </row>
    <row r="6" spans="1:36">
      <c r="A6" s="34"/>
      <c r="B6" s="34"/>
      <c r="C6" s="35"/>
      <c r="D6" s="35"/>
      <c r="E6" s="34"/>
      <c r="F6" s="36" t="s">
        <v>142</v>
      </c>
      <c r="G6" s="37"/>
      <c r="H6" s="38"/>
      <c r="I6" s="38" t="s">
        <v>545</v>
      </c>
      <c r="J6" s="38"/>
      <c r="P6" s="76"/>
      <c r="Y6" s="76"/>
      <c r="Z6" s="76"/>
      <c r="AD6" s="76"/>
      <c r="AE6" s="76"/>
      <c r="AF6" s="76"/>
      <c r="AG6" s="76"/>
      <c r="AH6" s="76"/>
      <c r="AI6" s="76"/>
      <c r="AJ6" s="76"/>
    </row>
    <row r="7" spans="1:36">
      <c r="A7" s="39"/>
      <c r="B7" s="40"/>
      <c r="C7" s="41"/>
      <c r="D7" s="42"/>
      <c r="E7" s="43"/>
      <c r="F7" s="16" t="s">
        <v>143</v>
      </c>
      <c r="G7" s="16"/>
      <c r="H7" s="375" t="s">
        <v>544</v>
      </c>
      <c r="I7" s="16" t="s">
        <v>144</v>
      </c>
      <c r="J7" s="375" t="s">
        <v>546</v>
      </c>
    </row>
    <row r="8" spans="1:36">
      <c r="A8" s="44" t="s">
        <v>7</v>
      </c>
      <c r="B8" s="45"/>
      <c r="C8" s="46"/>
      <c r="D8" s="47"/>
      <c r="E8" s="48"/>
      <c r="F8" s="18" t="s">
        <v>8</v>
      </c>
      <c r="G8" s="18" t="s">
        <v>25</v>
      </c>
      <c r="H8" s="18" t="s">
        <v>430</v>
      </c>
      <c r="I8" s="18" t="s">
        <v>145</v>
      </c>
      <c r="J8" s="18" t="s">
        <v>144</v>
      </c>
    </row>
    <row r="9" spans="1:36">
      <c r="A9" s="49" t="s">
        <v>16</v>
      </c>
      <c r="B9" s="50"/>
      <c r="C9" s="51"/>
      <c r="D9" s="52"/>
      <c r="E9" s="53" t="s">
        <v>17</v>
      </c>
      <c r="F9" s="20" t="s">
        <v>18</v>
      </c>
      <c r="G9" s="20" t="s">
        <v>117</v>
      </c>
      <c r="H9" s="20" t="s">
        <v>25</v>
      </c>
      <c r="I9" s="20" t="s">
        <v>146</v>
      </c>
      <c r="J9" s="20" t="s">
        <v>25</v>
      </c>
    </row>
    <row r="10" spans="1:36">
      <c r="A10" s="54"/>
      <c r="B10" s="54"/>
      <c r="C10" s="55"/>
      <c r="D10" s="55"/>
      <c r="E10" s="55" t="s">
        <v>26</v>
      </c>
      <c r="F10" s="21" t="s">
        <v>27</v>
      </c>
      <c r="G10" s="21" t="s">
        <v>28</v>
      </c>
      <c r="H10" s="21" t="s">
        <v>29</v>
      </c>
      <c r="I10" s="21" t="s">
        <v>30</v>
      </c>
      <c r="J10" s="21" t="s">
        <v>31</v>
      </c>
    </row>
    <row r="11" spans="1:36" ht="3.75" customHeight="1">
      <c r="A11" s="54"/>
      <c r="B11" s="54"/>
      <c r="C11" s="55"/>
      <c r="D11" s="55"/>
      <c r="E11" s="55"/>
      <c r="F11" s="21"/>
      <c r="G11" s="21"/>
      <c r="H11" s="21"/>
      <c r="I11" s="21"/>
      <c r="J11" s="21"/>
    </row>
    <row r="12" spans="1:36" ht="2.25" customHeight="1">
      <c r="A12" s="54"/>
      <c r="B12" s="54"/>
      <c r="C12" s="55"/>
      <c r="D12" s="55"/>
      <c r="E12" s="55"/>
      <c r="F12" s="21"/>
      <c r="G12" s="21"/>
      <c r="H12" s="21"/>
      <c r="I12" s="21"/>
      <c r="J12" s="21"/>
    </row>
    <row r="13" spans="1:36">
      <c r="A13" s="2"/>
      <c r="B13" s="1" t="s">
        <v>32</v>
      </c>
      <c r="C13" s="1"/>
      <c r="D13" s="1"/>
      <c r="E13" s="1"/>
      <c r="F13" s="29"/>
      <c r="G13" s="29"/>
      <c r="J13" s="14"/>
    </row>
    <row r="14" spans="1:36">
      <c r="A14" s="2">
        <v>1</v>
      </c>
      <c r="B14" s="3"/>
      <c r="C14" s="3" t="s">
        <v>33</v>
      </c>
      <c r="D14" s="3"/>
      <c r="E14" s="3"/>
      <c r="F14" s="30">
        <f>'ADJ DETAIL INPUT'!E14</f>
        <v>142552</v>
      </c>
      <c r="G14" s="30">
        <f>H14-F14</f>
        <v>-42721</v>
      </c>
      <c r="H14" s="30">
        <f>'ADJ DETAIL INPUT'!AU14</f>
        <v>99831</v>
      </c>
      <c r="I14" s="325">
        <f>CF!J12</f>
        <v>6055</v>
      </c>
      <c r="J14" s="30">
        <f>H14+I14</f>
        <v>105886</v>
      </c>
    </row>
    <row r="15" spans="1:36">
      <c r="A15" s="2">
        <v>2</v>
      </c>
      <c r="B15" s="1"/>
      <c r="C15" s="4" t="s">
        <v>34</v>
      </c>
      <c r="D15" s="4"/>
      <c r="E15" s="4"/>
      <c r="F15" s="220">
        <f>'ADJ DETAIL INPUT'!E15</f>
        <v>5183</v>
      </c>
      <c r="G15" s="220">
        <f>H15-F15</f>
        <v>159</v>
      </c>
      <c r="H15" s="220">
        <f>'ADJ DETAIL INPUT'!AU15</f>
        <v>5342</v>
      </c>
      <c r="I15" s="220"/>
      <c r="J15" s="220">
        <f>H15+I15</f>
        <v>5342</v>
      </c>
    </row>
    <row r="16" spans="1:36">
      <c r="A16" s="2">
        <v>3</v>
      </c>
      <c r="B16" s="1"/>
      <c r="C16" s="4" t="s">
        <v>35</v>
      </c>
      <c r="D16" s="4"/>
      <c r="E16" s="4"/>
      <c r="F16" s="222">
        <f>'ADJ DETAIL INPUT'!E16</f>
        <v>60090</v>
      </c>
      <c r="G16" s="222">
        <f>H16-F16</f>
        <v>-59476</v>
      </c>
      <c r="H16" s="222">
        <f>'ADJ DETAIL INPUT'!AU16</f>
        <v>614</v>
      </c>
      <c r="I16" s="222"/>
      <c r="J16" s="222">
        <f>H16+I16</f>
        <v>614</v>
      </c>
    </row>
    <row r="17" spans="1:10">
      <c r="A17" s="2">
        <v>4</v>
      </c>
      <c r="B17" s="1" t="s">
        <v>36</v>
      </c>
      <c r="C17" s="4"/>
      <c r="D17" s="4"/>
      <c r="E17" s="4"/>
      <c r="F17" s="220">
        <f>SUM(F14:F16)</f>
        <v>207825</v>
      </c>
      <c r="G17" s="220">
        <f t="shared" ref="G17:J17" si="0">SUM(G14:G16)</f>
        <v>-102038</v>
      </c>
      <c r="H17" s="220">
        <f t="shared" si="0"/>
        <v>105787</v>
      </c>
      <c r="I17" s="220">
        <f t="shared" si="0"/>
        <v>6055</v>
      </c>
      <c r="J17" s="220">
        <f t="shared" si="0"/>
        <v>111842</v>
      </c>
    </row>
    <row r="18" spans="1:10" ht="4.5" customHeight="1">
      <c r="A18" s="2"/>
      <c r="B18" s="1"/>
      <c r="C18" s="4"/>
      <c r="D18" s="4"/>
      <c r="E18" s="4"/>
      <c r="F18" s="220"/>
      <c r="G18" s="220"/>
      <c r="H18" s="220"/>
      <c r="I18" s="220"/>
      <c r="J18" s="220"/>
    </row>
    <row r="19" spans="1:10">
      <c r="A19" s="2"/>
      <c r="B19" s="1" t="s">
        <v>37</v>
      </c>
      <c r="C19" s="4"/>
      <c r="D19" s="4"/>
      <c r="E19" s="4"/>
      <c r="F19" s="220"/>
      <c r="G19" s="220"/>
      <c r="H19" s="220"/>
      <c r="I19" s="220"/>
      <c r="J19" s="220"/>
    </row>
    <row r="20" spans="1:10">
      <c r="A20" s="2"/>
      <c r="B20" s="1"/>
      <c r="C20" s="4" t="s">
        <v>229</v>
      </c>
      <c r="D20" s="4"/>
      <c r="E20" s="4"/>
      <c r="F20" s="220"/>
      <c r="G20" s="220"/>
      <c r="H20" s="220"/>
      <c r="I20" s="220"/>
      <c r="J20" s="220"/>
    </row>
    <row r="21" spans="1:10">
      <c r="A21" s="2">
        <v>5</v>
      </c>
      <c r="B21" s="1"/>
      <c r="C21" s="4"/>
      <c r="D21" s="4" t="s">
        <v>38</v>
      </c>
      <c r="E21" s="4"/>
      <c r="F21" s="220">
        <f>'ADJ DETAIL INPUT'!E21</f>
        <v>100541</v>
      </c>
      <c r="G21" s="220">
        <f>H21-F21</f>
        <v>-100541</v>
      </c>
      <c r="H21" s="220">
        <f>'ADJ DETAIL INPUT'!AU21</f>
        <v>0</v>
      </c>
      <c r="I21" s="220"/>
      <c r="J21" s="220">
        <f>H21+I21</f>
        <v>0</v>
      </c>
    </row>
    <row r="22" spans="1:10">
      <c r="A22" s="2">
        <v>6</v>
      </c>
      <c r="B22" s="1"/>
      <c r="C22" s="4"/>
      <c r="D22" s="4" t="s">
        <v>39</v>
      </c>
      <c r="E22" s="4"/>
      <c r="F22" s="220">
        <f>'ADJ DETAIL INPUT'!E22</f>
        <v>959</v>
      </c>
      <c r="G22" s="220">
        <f>H22-F22</f>
        <v>38</v>
      </c>
      <c r="H22" s="220">
        <f>'ADJ DETAIL INPUT'!AU22</f>
        <v>997</v>
      </c>
      <c r="I22" s="220"/>
      <c r="J22" s="220">
        <f>H22+I22</f>
        <v>997</v>
      </c>
    </row>
    <row r="23" spans="1:10">
      <c r="A23" s="2">
        <v>7</v>
      </c>
      <c r="B23" s="1"/>
      <c r="C23" s="4"/>
      <c r="D23" s="4" t="s">
        <v>40</v>
      </c>
      <c r="E23" s="4"/>
      <c r="F23" s="222">
        <f>'ADJ DETAIL INPUT'!E23</f>
        <v>-1928</v>
      </c>
      <c r="G23" s="222">
        <f>H23-F23</f>
        <v>1928</v>
      </c>
      <c r="H23" s="222">
        <f>'ADJ DETAIL INPUT'!AU23</f>
        <v>0</v>
      </c>
      <c r="I23" s="222"/>
      <c r="J23" s="222">
        <f>H23+I23</f>
        <v>0</v>
      </c>
    </row>
    <row r="24" spans="1:10">
      <c r="A24" s="2">
        <v>8</v>
      </c>
      <c r="B24" s="1"/>
      <c r="C24" s="4"/>
      <c r="D24" s="4"/>
      <c r="E24" s="4" t="s">
        <v>41</v>
      </c>
      <c r="F24" s="220">
        <f>SUM(F21:F23)</f>
        <v>99572</v>
      </c>
      <c r="G24" s="220">
        <f t="shared" ref="G24:J24" si="1">SUM(G21:G23)</f>
        <v>-98575</v>
      </c>
      <c r="H24" s="220">
        <f t="shared" si="1"/>
        <v>997</v>
      </c>
      <c r="I24" s="220">
        <f t="shared" si="1"/>
        <v>0</v>
      </c>
      <c r="J24" s="220">
        <f t="shared" si="1"/>
        <v>997</v>
      </c>
    </row>
    <row r="25" spans="1:10" ht="5.25" customHeight="1">
      <c r="A25" s="89"/>
      <c r="B25" s="1"/>
      <c r="C25" s="4"/>
      <c r="D25" s="4"/>
      <c r="E25" s="4"/>
      <c r="F25" s="220"/>
      <c r="G25" s="220"/>
      <c r="H25" s="221"/>
      <c r="I25" s="220"/>
      <c r="J25" s="220"/>
    </row>
    <row r="26" spans="1:10">
      <c r="A26" s="2"/>
      <c r="B26" s="1"/>
      <c r="C26" s="4" t="s">
        <v>42</v>
      </c>
      <c r="D26" s="4"/>
      <c r="E26" s="4"/>
      <c r="F26" s="220"/>
      <c r="G26" s="220"/>
      <c r="H26" s="220"/>
      <c r="I26" s="220"/>
      <c r="J26" s="220"/>
    </row>
    <row r="27" spans="1:10">
      <c r="A27" s="2">
        <v>9</v>
      </c>
      <c r="B27" s="1"/>
      <c r="C27" s="4"/>
      <c r="D27" s="4" t="s">
        <v>43</v>
      </c>
      <c r="E27" s="4"/>
      <c r="F27" s="220">
        <f>'ADJ DETAIL INPUT'!E27</f>
        <v>1883</v>
      </c>
      <c r="G27" s="220">
        <f>H27-F27</f>
        <v>0</v>
      </c>
      <c r="H27" s="220">
        <f>'ADJ DETAIL INPUT'!AU27</f>
        <v>1883</v>
      </c>
      <c r="I27" s="220"/>
      <c r="J27" s="220">
        <f>H27+I27</f>
        <v>1883</v>
      </c>
    </row>
    <row r="28" spans="1:10">
      <c r="A28" s="2">
        <v>10</v>
      </c>
      <c r="B28" s="1"/>
      <c r="C28" s="4"/>
      <c r="D28" s="4" t="s">
        <v>44</v>
      </c>
      <c r="E28" s="4"/>
      <c r="F28" s="220">
        <f>'ADJ DETAIL INPUT'!E28</f>
        <v>494</v>
      </c>
      <c r="G28" s="220">
        <f>H28-F28</f>
        <v>-143</v>
      </c>
      <c r="H28" s="220">
        <f>'ADJ DETAIL INPUT'!AU28</f>
        <v>351</v>
      </c>
      <c r="I28" s="220"/>
      <c r="J28" s="220">
        <f>H28+I28</f>
        <v>351</v>
      </c>
    </row>
    <row r="29" spans="1:10">
      <c r="A29" s="257">
        <v>11</v>
      </c>
      <c r="B29" s="1"/>
      <c r="C29" s="4"/>
      <c r="D29" s="4" t="s">
        <v>21</v>
      </c>
      <c r="E29" s="4"/>
      <c r="F29" s="222">
        <f>'ADJ DETAIL INPUT'!E29</f>
        <v>323</v>
      </c>
      <c r="G29" s="222">
        <f>H29-F29</f>
        <v>-46</v>
      </c>
      <c r="H29" s="222">
        <f>'ADJ DETAIL INPUT'!AU29</f>
        <v>277</v>
      </c>
      <c r="I29" s="222"/>
      <c r="J29" s="222">
        <f>H29+I29</f>
        <v>277</v>
      </c>
    </row>
    <row r="30" spans="1:10">
      <c r="A30" s="2">
        <v>12</v>
      </c>
      <c r="B30" s="1"/>
      <c r="C30" s="4"/>
      <c r="D30" s="4"/>
      <c r="E30" s="4" t="s">
        <v>45</v>
      </c>
      <c r="F30" s="220">
        <f>SUM(F27:F29)</f>
        <v>2700</v>
      </c>
      <c r="G30" s="220">
        <f>SUM(G27:G29)</f>
        <v>-189</v>
      </c>
      <c r="H30" s="220">
        <f>SUM(H27:H29)</f>
        <v>2511</v>
      </c>
      <c r="I30" s="220">
        <f>SUM(I27:I29)</f>
        <v>0</v>
      </c>
      <c r="J30" s="220">
        <f>SUM(J27:J29)</f>
        <v>2511</v>
      </c>
    </row>
    <row r="31" spans="1:10" ht="3" customHeight="1">
      <c r="A31" s="89"/>
      <c r="B31" s="1"/>
      <c r="C31" s="4"/>
      <c r="D31" s="4"/>
      <c r="E31" s="4"/>
      <c r="F31" s="220"/>
      <c r="G31" s="220"/>
      <c r="H31" s="221"/>
      <c r="I31" s="220"/>
      <c r="J31" s="220"/>
    </row>
    <row r="32" spans="1:10">
      <c r="A32" s="2"/>
      <c r="B32" s="1"/>
      <c r="C32" s="4" t="s">
        <v>46</v>
      </c>
      <c r="D32" s="4"/>
      <c r="E32" s="4"/>
      <c r="F32" s="220"/>
      <c r="G32" s="220"/>
      <c r="H32" s="220"/>
      <c r="I32" s="220"/>
      <c r="J32" s="220"/>
    </row>
    <row r="33" spans="1:10">
      <c r="A33" s="2">
        <v>13</v>
      </c>
      <c r="B33" s="1"/>
      <c r="C33" s="4"/>
      <c r="D33" s="4" t="s">
        <v>43</v>
      </c>
      <c r="E33" s="4"/>
      <c r="F33" s="220">
        <f>'ADJ DETAIL INPUT'!E33</f>
        <v>13669</v>
      </c>
      <c r="G33" s="220">
        <f>H33-F33</f>
        <v>-496</v>
      </c>
      <c r="H33" s="220">
        <f>'ADJ DETAIL INPUT'!AU33</f>
        <v>13173</v>
      </c>
      <c r="I33" s="220"/>
      <c r="J33" s="220">
        <f>H33+I33</f>
        <v>13173</v>
      </c>
    </row>
    <row r="34" spans="1:10">
      <c r="A34" s="2">
        <v>14</v>
      </c>
      <c r="B34" s="1"/>
      <c r="C34" s="4"/>
      <c r="D34" s="4" t="s">
        <v>44</v>
      </c>
      <c r="E34" s="4"/>
      <c r="F34" s="220">
        <f>'ADJ DETAIL INPUT'!E34</f>
        <v>12469</v>
      </c>
      <c r="G34" s="220">
        <f>H34-F34</f>
        <v>926</v>
      </c>
      <c r="H34" s="220">
        <f>'ADJ DETAIL INPUT'!AU34</f>
        <v>13395</v>
      </c>
      <c r="I34" s="220"/>
      <c r="J34" s="220">
        <f>H34+I34</f>
        <v>13395</v>
      </c>
    </row>
    <row r="35" spans="1:10">
      <c r="A35" s="2">
        <v>15</v>
      </c>
      <c r="B35" s="1"/>
      <c r="C35" s="4"/>
      <c r="D35" s="4" t="s">
        <v>21</v>
      </c>
      <c r="E35" s="4"/>
      <c r="F35" s="223">
        <f>'ADJ DETAIL INPUT'!E35</f>
        <v>13739</v>
      </c>
      <c r="G35" s="222">
        <f>H35-F35</f>
        <v>-6125</v>
      </c>
      <c r="H35" s="222">
        <f>'ADJ DETAIL INPUT'!AU35</f>
        <v>7614</v>
      </c>
      <c r="I35" s="222">
        <f>CF!J19</f>
        <v>232</v>
      </c>
      <c r="J35" s="222">
        <f>H35+I35</f>
        <v>7846</v>
      </c>
    </row>
    <row r="36" spans="1:10">
      <c r="A36" s="2">
        <v>16</v>
      </c>
      <c r="B36" s="1"/>
      <c r="C36" s="4"/>
      <c r="D36" s="4"/>
      <c r="E36" s="4" t="s">
        <v>47</v>
      </c>
      <c r="F36" s="220">
        <f>SUM(F33:F35)</f>
        <v>39877</v>
      </c>
      <c r="G36" s="220">
        <f t="shared" ref="G36:J36" si="2">SUM(G33:G35)</f>
        <v>-5695</v>
      </c>
      <c r="H36" s="220">
        <f t="shared" si="2"/>
        <v>34182</v>
      </c>
      <c r="I36" s="220">
        <f t="shared" si="2"/>
        <v>232</v>
      </c>
      <c r="J36" s="220">
        <f t="shared" si="2"/>
        <v>34414</v>
      </c>
    </row>
    <row r="37" spans="1:10" ht="5.25" customHeight="1">
      <c r="A37" s="2"/>
      <c r="B37" s="1"/>
      <c r="C37" s="4"/>
      <c r="D37" s="4"/>
      <c r="E37" s="4"/>
      <c r="F37" s="220"/>
      <c r="G37" s="220"/>
      <c r="H37" s="220"/>
      <c r="I37" s="220"/>
      <c r="J37" s="220"/>
    </row>
    <row r="38" spans="1:10">
      <c r="A38" s="2">
        <v>17</v>
      </c>
      <c r="B38" s="1" t="s">
        <v>48</v>
      </c>
      <c r="C38" s="4"/>
      <c r="D38" s="4"/>
      <c r="E38" s="4"/>
      <c r="F38" s="220">
        <f>'ADJ DETAIL INPUT'!E38</f>
        <v>6398</v>
      </c>
      <c r="G38" s="220">
        <f>H38-F38</f>
        <v>372</v>
      </c>
      <c r="H38" s="220">
        <f>'ADJ DETAIL INPUT'!AU38</f>
        <v>6770</v>
      </c>
      <c r="I38" s="220">
        <f>CF!J15</f>
        <v>20</v>
      </c>
      <c r="J38" s="220">
        <f>H38+I38</f>
        <v>6790</v>
      </c>
    </row>
    <row r="39" spans="1:10">
      <c r="A39" s="2">
        <v>18</v>
      </c>
      <c r="B39" s="1" t="s">
        <v>49</v>
      </c>
      <c r="C39" s="4"/>
      <c r="D39" s="4"/>
      <c r="E39" s="4"/>
      <c r="F39" s="220">
        <f>'ADJ DETAIL INPUT'!E39</f>
        <v>9664</v>
      </c>
      <c r="G39" s="220">
        <f>H39-F39</f>
        <v>-8458</v>
      </c>
      <c r="H39" s="220">
        <f>'ADJ DETAIL INPUT'!AU39</f>
        <v>1206</v>
      </c>
      <c r="I39" s="220"/>
      <c r="J39" s="220">
        <f>H39+I39</f>
        <v>1206</v>
      </c>
    </row>
    <row r="40" spans="1:10">
      <c r="A40" s="2">
        <v>19</v>
      </c>
      <c r="B40" s="1" t="s">
        <v>50</v>
      </c>
      <c r="C40" s="4"/>
      <c r="D40" s="4"/>
      <c r="E40" s="4"/>
      <c r="F40" s="220">
        <f>'ADJ DETAIL INPUT'!E40</f>
        <v>0</v>
      </c>
      <c r="G40" s="220">
        <f>H40-F40</f>
        <v>0</v>
      </c>
      <c r="H40" s="220">
        <f>'ADJ DETAIL INPUT'!AU40</f>
        <v>0</v>
      </c>
      <c r="I40" s="220"/>
      <c r="J40" s="220">
        <f>H40+I40</f>
        <v>0</v>
      </c>
    </row>
    <row r="41" spans="1:10" ht="4.5" customHeight="1">
      <c r="A41" s="89"/>
      <c r="B41" s="1"/>
      <c r="C41" s="4"/>
      <c r="D41" s="4"/>
      <c r="E41" s="4"/>
      <c r="F41" s="220"/>
      <c r="G41" s="220"/>
      <c r="H41" s="224"/>
      <c r="I41" s="220"/>
      <c r="J41" s="220"/>
    </row>
    <row r="42" spans="1:10">
      <c r="A42" s="2"/>
      <c r="B42" s="1" t="s">
        <v>51</v>
      </c>
      <c r="C42" s="4"/>
      <c r="D42" s="4"/>
      <c r="E42" s="4"/>
      <c r="F42" s="220"/>
      <c r="G42" s="220"/>
      <c r="H42" s="220"/>
      <c r="I42" s="220"/>
      <c r="J42" s="220"/>
    </row>
    <row r="43" spans="1:10">
      <c r="A43" s="2">
        <v>20</v>
      </c>
      <c r="B43" s="1"/>
      <c r="C43" s="4" t="s">
        <v>43</v>
      </c>
      <c r="D43" s="4"/>
      <c r="E43" s="4"/>
      <c r="F43" s="220">
        <f>'ADJ DETAIL INPUT'!E43</f>
        <v>15696</v>
      </c>
      <c r="G43" s="220">
        <f>H43-F43</f>
        <v>-36</v>
      </c>
      <c r="H43" s="220">
        <f>'ADJ DETAIL INPUT'!AU43</f>
        <v>15660</v>
      </c>
      <c r="I43" s="220">
        <f>CF!J17</f>
        <v>12</v>
      </c>
      <c r="J43" s="220">
        <f>H43+I43</f>
        <v>15672</v>
      </c>
    </row>
    <row r="44" spans="1:10">
      <c r="A44" s="2">
        <v>21</v>
      </c>
      <c r="B44" s="1"/>
      <c r="C44" s="4" t="s">
        <v>189</v>
      </c>
      <c r="D44" s="4"/>
      <c r="E44" s="4"/>
      <c r="F44" s="220">
        <f>'ADJ DETAIL INPUT'!E44</f>
        <v>10678</v>
      </c>
      <c r="G44" s="220">
        <f>H44-F44</f>
        <v>919</v>
      </c>
      <c r="H44" s="220">
        <f>'ADJ DETAIL INPUT'!AU44</f>
        <v>11597</v>
      </c>
      <c r="I44" s="220"/>
      <c r="J44" s="220">
        <f>H44+I44</f>
        <v>11597</v>
      </c>
    </row>
    <row r="45" spans="1:10">
      <c r="A45" s="89">
        <v>22</v>
      </c>
      <c r="B45" s="1"/>
      <c r="C45" s="8" t="s">
        <v>400</v>
      </c>
      <c r="D45" s="4"/>
      <c r="E45" s="4"/>
      <c r="F45" s="220">
        <f>'ADJ DETAIL INPUT'!E45</f>
        <v>-3003</v>
      </c>
      <c r="G45" s="220">
        <f>H45-F45</f>
        <v>6752</v>
      </c>
      <c r="H45" s="220">
        <f>'ADJ DETAIL INPUT'!AU45</f>
        <v>3749</v>
      </c>
      <c r="I45" s="220"/>
      <c r="J45" s="220">
        <f>H45+I45</f>
        <v>3749</v>
      </c>
    </row>
    <row r="46" spans="1:10">
      <c r="A46" s="2">
        <v>23</v>
      </c>
      <c r="B46" s="1"/>
      <c r="C46" s="4" t="s">
        <v>21</v>
      </c>
      <c r="D46" s="4"/>
      <c r="E46" s="4"/>
      <c r="F46" s="222">
        <f>'ADJ DETAIL INPUT'!E46</f>
        <v>0</v>
      </c>
      <c r="G46" s="222">
        <f>H46-F46</f>
        <v>0</v>
      </c>
      <c r="H46" s="220">
        <f>'ADJ DETAIL INPUT'!AU46</f>
        <v>0</v>
      </c>
      <c r="I46" s="222"/>
      <c r="J46" s="222">
        <f>H46+I46</f>
        <v>0</v>
      </c>
    </row>
    <row r="47" spans="1:10">
      <c r="A47" s="2">
        <v>24</v>
      </c>
      <c r="B47" s="1"/>
      <c r="C47" s="4"/>
      <c r="D47" s="4" t="s">
        <v>52</v>
      </c>
      <c r="E47" s="12"/>
      <c r="F47" s="225">
        <f>SUM(F43:F46)</f>
        <v>23371</v>
      </c>
      <c r="G47" s="225">
        <f t="shared" ref="G47:J47" si="3">SUM(G43:G46)</f>
        <v>7635</v>
      </c>
      <c r="H47" s="225">
        <f t="shared" si="3"/>
        <v>31006</v>
      </c>
      <c r="I47" s="225">
        <f t="shared" si="3"/>
        <v>12</v>
      </c>
      <c r="J47" s="225">
        <f t="shared" si="3"/>
        <v>31018</v>
      </c>
    </row>
    <row r="48" spans="1:10">
      <c r="A48" s="2">
        <v>25</v>
      </c>
      <c r="B48" s="1" t="s">
        <v>53</v>
      </c>
      <c r="C48" s="4"/>
      <c r="D48" s="4"/>
      <c r="E48" s="4"/>
      <c r="F48" s="222">
        <f>F47+F36+F30+F24+F38+F39+F40</f>
        <v>181582</v>
      </c>
      <c r="G48" s="222">
        <f>G47+G36+G30+G24+G38+G39+G40</f>
        <v>-104910</v>
      </c>
      <c r="H48" s="222">
        <f>H47+H36+H30+H24+H38+H39+H40</f>
        <v>76672</v>
      </c>
      <c r="I48" s="222">
        <f>I47+I36+I30+I24+I38+I39+I40</f>
        <v>264</v>
      </c>
      <c r="J48" s="222">
        <f>J47+J36+J30+J24+J38+J39+J40</f>
        <v>76936</v>
      </c>
    </row>
    <row r="49" spans="1:17" ht="8.25" customHeight="1">
      <c r="A49" s="2"/>
      <c r="B49" s="1"/>
      <c r="C49" s="4"/>
      <c r="D49" s="4"/>
      <c r="E49" s="4"/>
      <c r="F49" s="220"/>
      <c r="G49" s="220"/>
      <c r="H49" s="220"/>
      <c r="I49" s="220"/>
      <c r="J49" s="220"/>
    </row>
    <row r="50" spans="1:17">
      <c r="A50" s="2">
        <v>26</v>
      </c>
      <c r="B50" s="1" t="s">
        <v>54</v>
      </c>
      <c r="C50" s="4"/>
      <c r="D50" s="4"/>
      <c r="E50" s="4"/>
      <c r="F50" s="220">
        <f>F17-F48</f>
        <v>26243</v>
      </c>
      <c r="G50" s="220">
        <f>G17-G48</f>
        <v>2872</v>
      </c>
      <c r="H50" s="220">
        <f>H17-H48</f>
        <v>29115</v>
      </c>
      <c r="I50" s="220">
        <f>I17-I48</f>
        <v>5791</v>
      </c>
      <c r="J50" s="220">
        <f>J17-J48</f>
        <v>34906</v>
      </c>
    </row>
    <row r="51" spans="1:17" ht="6.75" customHeight="1">
      <c r="A51" s="2"/>
      <c r="B51" s="1"/>
      <c r="C51" s="4"/>
      <c r="D51" s="4"/>
      <c r="E51" s="4"/>
      <c r="F51" s="220"/>
      <c r="G51" s="220"/>
      <c r="H51" s="220"/>
      <c r="I51" s="220"/>
      <c r="J51" s="220"/>
    </row>
    <row r="52" spans="1:17">
      <c r="A52" s="2"/>
      <c r="B52" s="1" t="s">
        <v>55</v>
      </c>
      <c r="C52" s="4"/>
      <c r="D52" s="4"/>
      <c r="E52" s="4"/>
      <c r="F52" s="220"/>
      <c r="G52" s="220"/>
      <c r="H52" s="220"/>
      <c r="I52" s="220"/>
      <c r="J52" s="220"/>
      <c r="N52" s="323"/>
    </row>
    <row r="53" spans="1:17">
      <c r="A53" s="2">
        <v>27</v>
      </c>
      <c r="B53" s="1"/>
      <c r="C53" s="4" t="s">
        <v>56</v>
      </c>
      <c r="D53" s="4"/>
      <c r="E53" s="4"/>
      <c r="F53" s="220">
        <f>'ADJ DETAIL INPUT'!E53</f>
        <v>-4720</v>
      </c>
      <c r="G53" s="220">
        <f>H53-F53</f>
        <v>757.12000000000262</v>
      </c>
      <c r="H53" s="220">
        <f>'ADJ DETAIL INPUT'!AU53</f>
        <v>-3962.8799999999974</v>
      </c>
      <c r="I53" s="220">
        <f>CF!J25</f>
        <v>1216</v>
      </c>
      <c r="J53" s="220">
        <f>H53+I53</f>
        <v>-2746.8799999999974</v>
      </c>
      <c r="N53" s="69"/>
      <c r="Q53" s="69"/>
    </row>
    <row r="54" spans="1:17">
      <c r="A54" s="89">
        <v>28</v>
      </c>
      <c r="B54" s="1"/>
      <c r="C54" s="123" t="s">
        <v>170</v>
      </c>
      <c r="D54" s="4"/>
      <c r="E54" s="4"/>
      <c r="F54" s="220">
        <f>'ADJ DETAIL INPUT'!E54</f>
        <v>0</v>
      </c>
      <c r="G54" s="220">
        <f>H54-F54</f>
        <v>-139.86482909851927</v>
      </c>
      <c r="H54" s="220">
        <f>'ADJ DETAIL INPUT'!AU54</f>
        <v>-139.86482909851927</v>
      </c>
      <c r="I54" s="220">
        <f>CF!J26</f>
        <v>0</v>
      </c>
      <c r="J54" s="220">
        <f>H54+I54</f>
        <v>-139.86482909851927</v>
      </c>
      <c r="N54" s="323"/>
    </row>
    <row r="55" spans="1:17">
      <c r="A55" s="2">
        <v>29</v>
      </c>
      <c r="B55" s="1"/>
      <c r="C55" s="4" t="s">
        <v>57</v>
      </c>
      <c r="D55" s="4"/>
      <c r="E55" s="4"/>
      <c r="F55" s="220">
        <f>'ADJ DETAIL INPUT'!E55</f>
        <v>6501</v>
      </c>
      <c r="G55" s="220">
        <f>H55-F55</f>
        <v>699</v>
      </c>
      <c r="H55" s="220">
        <f>'ADJ DETAIL INPUT'!AU55</f>
        <v>7200</v>
      </c>
      <c r="I55" s="220"/>
      <c r="J55" s="220">
        <f>H55+I55</f>
        <v>7200</v>
      </c>
    </row>
    <row r="56" spans="1:17">
      <c r="A56" s="2">
        <v>30</v>
      </c>
      <c r="B56" s="1"/>
      <c r="C56" s="4" t="s">
        <v>58</v>
      </c>
      <c r="D56" s="4"/>
      <c r="E56" s="4"/>
      <c r="F56" s="222">
        <f>'ADJ DETAIL INPUT'!E56</f>
        <v>-12</v>
      </c>
      <c r="G56" s="222">
        <f>H56-F56</f>
        <v>0</v>
      </c>
      <c r="H56" s="222">
        <f>'ADJ DETAIL INPUT'!AU56</f>
        <v>-12</v>
      </c>
      <c r="I56" s="222"/>
      <c r="J56" s="222">
        <f>H56+I56</f>
        <v>-12</v>
      </c>
      <c r="N56" s="91"/>
    </row>
    <row r="57" spans="1:17" ht="6" customHeight="1">
      <c r="A57" s="2"/>
      <c r="B57" s="1"/>
      <c r="C57" s="1"/>
      <c r="D57" s="1"/>
      <c r="E57" s="1"/>
      <c r="F57" s="220"/>
      <c r="G57" s="220"/>
      <c r="H57" s="220"/>
      <c r="I57" s="226"/>
      <c r="J57" s="220"/>
    </row>
    <row r="58" spans="1:17" ht="13.5" thickBot="1">
      <c r="A58" s="2">
        <v>31</v>
      </c>
      <c r="B58" s="3" t="s">
        <v>59</v>
      </c>
      <c r="C58" s="3"/>
      <c r="D58" s="3"/>
      <c r="E58" s="3"/>
      <c r="F58" s="227">
        <f>F50-SUM(F53:F56)</f>
        <v>24474</v>
      </c>
      <c r="G58" s="227">
        <f>G50-SUM(G53:G56)</f>
        <v>1555.7448290985167</v>
      </c>
      <c r="H58" s="227">
        <f>H50-SUM(H53:H56)</f>
        <v>26029.744829098516</v>
      </c>
      <c r="I58" s="227">
        <f>I50-SUM(I53:I56)</f>
        <v>4575</v>
      </c>
      <c r="J58" s="227">
        <f>J50-SUM(J53:J56)</f>
        <v>30604.744829098516</v>
      </c>
      <c r="N58" s="79"/>
    </row>
    <row r="59" spans="1:17" ht="7.5" customHeight="1" thickTop="1">
      <c r="A59" s="2"/>
      <c r="B59" s="1"/>
      <c r="C59" s="1"/>
      <c r="D59" s="1"/>
      <c r="E59" s="1"/>
      <c r="F59" s="220"/>
      <c r="G59" s="220"/>
      <c r="H59" s="220"/>
      <c r="I59" s="220"/>
      <c r="J59" s="220"/>
    </row>
    <row r="60" spans="1:17" hidden="1">
      <c r="A60" s="2"/>
      <c r="B60" s="1"/>
      <c r="C60" s="1"/>
      <c r="D60" s="1"/>
      <c r="E60" s="1"/>
      <c r="F60" s="220"/>
      <c r="G60" s="220"/>
      <c r="H60" s="220"/>
      <c r="I60" s="220"/>
      <c r="J60" s="220"/>
    </row>
    <row r="61" spans="1:17">
      <c r="A61" s="2"/>
      <c r="B61" s="1" t="s">
        <v>60</v>
      </c>
      <c r="C61" s="1"/>
      <c r="D61" s="1"/>
      <c r="E61" s="1"/>
      <c r="F61" s="220"/>
      <c r="G61" s="220"/>
      <c r="H61" s="220"/>
      <c r="I61" s="220"/>
      <c r="J61" s="220"/>
    </row>
    <row r="62" spans="1:17">
      <c r="A62" s="2">
        <v>32</v>
      </c>
      <c r="B62" s="4"/>
      <c r="C62" s="4" t="s">
        <v>42</v>
      </c>
      <c r="D62" s="4"/>
      <c r="E62" s="4"/>
      <c r="F62" s="220">
        <f>'ADJ DETAIL INPUT'!E62</f>
        <v>29714</v>
      </c>
      <c r="G62" s="220">
        <f>H62-F62</f>
        <v>2164.369999999999</v>
      </c>
      <c r="H62" s="220">
        <f>'ADJ DETAIL INPUT'!AU62</f>
        <v>31878.37</v>
      </c>
      <c r="I62" s="220"/>
      <c r="J62" s="220">
        <f>H62+I62</f>
        <v>31878.37</v>
      </c>
    </row>
    <row r="63" spans="1:17">
      <c r="A63" s="2">
        <v>33</v>
      </c>
      <c r="B63" s="4"/>
      <c r="C63" s="4" t="s">
        <v>61</v>
      </c>
      <c r="D63" s="4"/>
      <c r="E63" s="4"/>
      <c r="F63" s="220">
        <f>'ADJ DETAIL INPUT'!E63</f>
        <v>505864</v>
      </c>
      <c r="G63" s="220">
        <f>H63-F63</f>
        <v>24064.774940630887</v>
      </c>
      <c r="H63" s="220">
        <f>'ADJ DETAIL INPUT'!AU63</f>
        <v>529928.77494063089</v>
      </c>
      <c r="I63" s="220"/>
      <c r="J63" s="220">
        <f>H63+I63</f>
        <v>529928.77494063089</v>
      </c>
    </row>
    <row r="64" spans="1:17">
      <c r="A64" s="2">
        <v>34</v>
      </c>
      <c r="B64" s="4"/>
      <c r="C64" s="4" t="s">
        <v>62</v>
      </c>
      <c r="D64" s="4"/>
      <c r="E64" s="4"/>
      <c r="F64" s="222">
        <f>'ADJ DETAIL INPUT'!E64</f>
        <v>141661</v>
      </c>
      <c r="G64" s="222">
        <f>H64-F64</f>
        <v>10056</v>
      </c>
      <c r="H64" s="222">
        <f>'ADJ DETAIL INPUT'!AU64</f>
        <v>151717</v>
      </c>
      <c r="I64" s="222"/>
      <c r="J64" s="222">
        <f>H64+I64</f>
        <v>151717</v>
      </c>
    </row>
    <row r="65" spans="1:13">
      <c r="A65" s="2">
        <v>35</v>
      </c>
      <c r="B65" s="4"/>
      <c r="C65" s="4"/>
      <c r="D65" s="4"/>
      <c r="E65" s="4" t="s">
        <v>63</v>
      </c>
      <c r="F65" s="228">
        <f>SUM(F62:F64)</f>
        <v>677239</v>
      </c>
      <c r="G65" s="228">
        <f t="shared" ref="G65:J65" si="4">SUM(G62:G64)</f>
        <v>36285.144940630882</v>
      </c>
      <c r="H65" s="228">
        <f t="shared" si="4"/>
        <v>713524.14494063088</v>
      </c>
      <c r="I65" s="228">
        <f t="shared" si="4"/>
        <v>0</v>
      </c>
      <c r="J65" s="228">
        <f t="shared" si="4"/>
        <v>713524.14494063088</v>
      </c>
    </row>
    <row r="66" spans="1:13" ht="5.25" customHeight="1">
      <c r="A66" s="89"/>
      <c r="B66" s="4"/>
      <c r="C66" s="4"/>
      <c r="D66" s="4"/>
      <c r="E66" s="4"/>
      <c r="F66" s="228"/>
      <c r="G66" s="228"/>
      <c r="H66" s="228"/>
      <c r="I66" s="228"/>
      <c r="J66" s="228"/>
    </row>
    <row r="67" spans="1:13">
      <c r="A67" s="2"/>
      <c r="B67" s="4" t="s">
        <v>405</v>
      </c>
      <c r="C67" s="4"/>
      <c r="D67" s="4"/>
      <c r="E67" s="4"/>
      <c r="F67" s="220"/>
      <c r="G67" s="220"/>
      <c r="H67" s="220"/>
      <c r="I67" s="220"/>
      <c r="J67" s="220"/>
    </row>
    <row r="68" spans="1:13">
      <c r="A68" s="2">
        <v>36</v>
      </c>
      <c r="B68" s="4"/>
      <c r="C68" s="4" t="s">
        <v>42</v>
      </c>
      <c r="D68" s="4"/>
      <c r="E68" s="4"/>
      <c r="F68" s="220">
        <f>'ADJ DETAIL INPUT'!E68</f>
        <v>-11566</v>
      </c>
      <c r="G68" s="220">
        <f t="shared" ref="G68:G78" si="5">H68-F68</f>
        <v>-232.28800000000047</v>
      </c>
      <c r="H68" s="220">
        <f>'ADJ DETAIL INPUT'!AU68</f>
        <v>-11798.288</v>
      </c>
      <c r="I68" s="220"/>
      <c r="J68" s="220">
        <f t="shared" ref="J68:J78" si="6">H68+I68</f>
        <v>-11798.288</v>
      </c>
    </row>
    <row r="69" spans="1:13">
      <c r="A69" s="2">
        <v>37</v>
      </c>
      <c r="B69" s="4"/>
      <c r="C69" s="4" t="s">
        <v>61</v>
      </c>
      <c r="D69" s="4"/>
      <c r="E69" s="4"/>
      <c r="F69" s="220">
        <f>'ADJ DETAIL INPUT'!E69</f>
        <v>-151240</v>
      </c>
      <c r="G69" s="220">
        <f t="shared" si="5"/>
        <v>3162.6663291830337</v>
      </c>
      <c r="H69" s="220">
        <f>'ADJ DETAIL INPUT'!AU69</f>
        <v>-148077.33367081697</v>
      </c>
      <c r="I69" s="220"/>
      <c r="J69" s="220">
        <f t="shared" si="6"/>
        <v>-148077.33367081697</v>
      </c>
    </row>
    <row r="70" spans="1:13">
      <c r="A70" s="2">
        <v>38</v>
      </c>
      <c r="B70" s="4"/>
      <c r="C70" s="4" t="s">
        <v>62</v>
      </c>
      <c r="D70" s="4"/>
      <c r="E70" s="4"/>
      <c r="F70" s="222">
        <f>'ADJ DETAIL INPUT'!E70</f>
        <v>-38750</v>
      </c>
      <c r="G70" s="222">
        <f t="shared" si="5"/>
        <v>-2902</v>
      </c>
      <c r="H70" s="220">
        <f>'ADJ DETAIL INPUT'!AU70</f>
        <v>-41652</v>
      </c>
      <c r="I70" s="222"/>
      <c r="J70" s="222">
        <f t="shared" si="6"/>
        <v>-41652</v>
      </c>
    </row>
    <row r="71" spans="1:13">
      <c r="A71" s="2">
        <v>39</v>
      </c>
      <c r="B71" s="4" t="s">
        <v>406</v>
      </c>
      <c r="C71" s="4"/>
      <c r="D71" s="4"/>
      <c r="E71" s="12"/>
      <c r="F71" s="225">
        <f>SUM(F68:F70)</f>
        <v>-201556</v>
      </c>
      <c r="G71" s="225">
        <f t="shared" ref="G71:J71" si="7">SUM(G68:G70)</f>
        <v>28.378329183033202</v>
      </c>
      <c r="H71" s="225">
        <f t="shared" si="7"/>
        <v>-201527.62167081697</v>
      </c>
      <c r="I71" s="225">
        <f t="shared" si="7"/>
        <v>0</v>
      </c>
      <c r="J71" s="225">
        <f t="shared" si="7"/>
        <v>-201527.62167081697</v>
      </c>
    </row>
    <row r="72" spans="1:13">
      <c r="A72" s="89">
        <v>40</v>
      </c>
      <c r="B72" s="123" t="s">
        <v>165</v>
      </c>
      <c r="C72" s="4"/>
      <c r="D72" s="4"/>
      <c r="E72" s="4"/>
      <c r="F72" s="228">
        <f>F65+F71</f>
        <v>475683</v>
      </c>
      <c r="G72" s="228">
        <f t="shared" ref="G72:J72" si="8">G65+G71</f>
        <v>36313.523269813915</v>
      </c>
      <c r="H72" s="228">
        <f t="shared" si="8"/>
        <v>511996.52326981392</v>
      </c>
      <c r="I72" s="228">
        <f t="shared" si="8"/>
        <v>0</v>
      </c>
      <c r="J72" s="228">
        <f t="shared" si="8"/>
        <v>511996.52326981392</v>
      </c>
    </row>
    <row r="73" spans="1:13">
      <c r="A73" s="5">
        <v>41</v>
      </c>
      <c r="B73" s="6" t="s">
        <v>65</v>
      </c>
      <c r="C73" s="6"/>
      <c r="D73" s="6"/>
      <c r="E73" s="6"/>
      <c r="F73" s="222">
        <f>'ADJ DETAIL INPUT'!E73</f>
        <v>-91014</v>
      </c>
      <c r="G73" s="222">
        <f t="shared" si="5"/>
        <v>-19796</v>
      </c>
      <c r="H73" s="222">
        <f>'ADJ DETAIL INPUT'!AU73</f>
        <v>-110810</v>
      </c>
      <c r="I73" s="222"/>
      <c r="J73" s="222">
        <f>H73+I73</f>
        <v>-110810</v>
      </c>
    </row>
    <row r="74" spans="1:13">
      <c r="A74" s="5">
        <v>42</v>
      </c>
      <c r="B74" s="6"/>
      <c r="C74" s="125" t="s">
        <v>192</v>
      </c>
      <c r="D74" s="6"/>
      <c r="E74" s="6"/>
      <c r="F74" s="220">
        <f>F72+F73</f>
        <v>384669</v>
      </c>
      <c r="G74" s="220">
        <f t="shared" ref="G74:J74" si="9">G72+G73</f>
        <v>16517.523269813915</v>
      </c>
      <c r="H74" s="220">
        <f>H72+H73</f>
        <v>401186.52326981392</v>
      </c>
      <c r="I74" s="220">
        <f t="shared" si="9"/>
        <v>0</v>
      </c>
      <c r="J74" s="220">
        <f t="shared" si="9"/>
        <v>401186.52326981392</v>
      </c>
    </row>
    <row r="75" spans="1:13" ht="12" customHeight="1">
      <c r="A75" s="2">
        <v>43</v>
      </c>
      <c r="B75" s="267" t="s">
        <v>66</v>
      </c>
      <c r="C75" s="267"/>
      <c r="D75" s="267"/>
      <c r="E75" s="267"/>
      <c r="F75" s="268">
        <f>'ADJ DETAIL INPUT'!E75</f>
        <v>10411</v>
      </c>
      <c r="G75" s="268">
        <f t="shared" si="5"/>
        <v>0</v>
      </c>
      <c r="H75" s="220">
        <f>'ADJ DETAIL INPUT'!AU75</f>
        <v>10411</v>
      </c>
      <c r="I75" s="268"/>
      <c r="J75" s="268">
        <f t="shared" si="6"/>
        <v>10411</v>
      </c>
    </row>
    <row r="76" spans="1:13">
      <c r="A76" s="89">
        <v>44</v>
      </c>
      <c r="B76" s="267" t="s">
        <v>67</v>
      </c>
      <c r="C76" s="267"/>
      <c r="D76" s="267"/>
      <c r="E76" s="267"/>
      <c r="F76" s="268">
        <f>'ADJ DETAIL INPUT'!E76</f>
        <v>0</v>
      </c>
      <c r="G76" s="268">
        <f>H76-F76</f>
        <v>0</v>
      </c>
      <c r="H76" s="220">
        <f>'ADJ DETAIL INPUT'!AU76</f>
        <v>0</v>
      </c>
      <c r="I76" s="268"/>
      <c r="J76" s="268">
        <f t="shared" ref="J76" si="10">H76+I76</f>
        <v>0</v>
      </c>
    </row>
    <row r="77" spans="1:13">
      <c r="A77" s="89">
        <v>45</v>
      </c>
      <c r="B77" s="267" t="s">
        <v>407</v>
      </c>
      <c r="C77" s="267"/>
      <c r="D77" s="267"/>
      <c r="E77" s="267"/>
      <c r="F77" s="268">
        <f>'ADJ DETAIL INPUT'!E77</f>
        <v>7359</v>
      </c>
      <c r="G77" s="268">
        <f t="shared" ref="G77" si="11">H77-F77</f>
        <v>11563</v>
      </c>
      <c r="H77" s="220">
        <f>'ADJ DETAIL INPUT'!AU77</f>
        <v>18922</v>
      </c>
      <c r="I77" s="268"/>
      <c r="J77" s="268">
        <f t="shared" ref="J77" si="12">H77+I77</f>
        <v>18922</v>
      </c>
    </row>
    <row r="78" spans="1:13">
      <c r="A78" s="2">
        <v>46</v>
      </c>
      <c r="B78" s="267" t="s">
        <v>167</v>
      </c>
      <c r="C78" s="267"/>
      <c r="D78" s="267"/>
      <c r="E78" s="267"/>
      <c r="F78" s="223">
        <f>'ADJ DETAIL INPUT'!E78</f>
        <v>3494</v>
      </c>
      <c r="G78" s="223">
        <f t="shared" si="5"/>
        <v>-1144</v>
      </c>
      <c r="H78" s="222">
        <f>'ADJ DETAIL INPUT'!AU78</f>
        <v>2350</v>
      </c>
      <c r="I78" s="223"/>
      <c r="J78" s="223">
        <f t="shared" si="6"/>
        <v>2350</v>
      </c>
    </row>
    <row r="79" spans="1:13" ht="3" customHeight="1">
      <c r="A79" s="2"/>
      <c r="B79" s="1"/>
      <c r="C79" s="1"/>
      <c r="D79" s="1"/>
      <c r="E79" s="1"/>
      <c r="F79" s="29"/>
      <c r="G79" s="29"/>
      <c r="H79" s="60"/>
      <c r="I79" s="29"/>
      <c r="J79" s="29"/>
    </row>
    <row r="80" spans="1:13" ht="16" thickBot="1">
      <c r="A80" s="2">
        <v>47</v>
      </c>
      <c r="B80" s="3" t="s">
        <v>68</v>
      </c>
      <c r="C80" s="3"/>
      <c r="D80" s="3"/>
      <c r="E80" s="3"/>
      <c r="F80" s="59">
        <f>F78+F76+F75+F74+F77</f>
        <v>405933</v>
      </c>
      <c r="G80" s="59">
        <f>G78+G76+G75+G74</f>
        <v>15373.523269813915</v>
      </c>
      <c r="H80" s="59">
        <f>H78+H76+H75+H74+H77</f>
        <v>432869.52326981392</v>
      </c>
      <c r="I80" s="59">
        <f>I78+I76+I75+I74</f>
        <v>0</v>
      </c>
      <c r="J80" s="59">
        <f>J78+J76+J75+J74+J77</f>
        <v>432869.52326981392</v>
      </c>
      <c r="L80" s="778"/>
      <c r="M80" s="778"/>
    </row>
    <row r="81" spans="1:10" ht="13.5" thickTop="1">
      <c r="A81" s="2">
        <v>48</v>
      </c>
      <c r="B81" s="1" t="s">
        <v>446</v>
      </c>
      <c r="C81" s="1"/>
      <c r="D81" s="1"/>
      <c r="E81" s="1"/>
      <c r="F81" s="311">
        <f>ROUND(F58/F80,4)</f>
        <v>6.0299999999999999E-2</v>
      </c>
      <c r="G81" s="56"/>
      <c r="H81" s="311">
        <f>ROUND(H58/H80,4)</f>
        <v>6.0100000000000001E-2</v>
      </c>
      <c r="I81" s="7"/>
      <c r="J81" s="311">
        <f>ROUND(J58/J80,4)</f>
        <v>7.0699999999999999E-2</v>
      </c>
    </row>
    <row r="82" spans="1:10" ht="7.5" customHeight="1">
      <c r="A82" s="382"/>
      <c r="B82" s="382"/>
      <c r="C82" s="382"/>
      <c r="D82" s="382"/>
      <c r="E82" s="382"/>
      <c r="F82" s="382"/>
      <c r="G82" s="382"/>
      <c r="H82" s="382"/>
      <c r="I82" s="382"/>
      <c r="J82" s="382"/>
    </row>
    <row r="83" spans="1:10">
      <c r="A83" s="57"/>
      <c r="B83" s="58"/>
      <c r="C83" s="58"/>
      <c r="D83" s="58"/>
      <c r="E83" s="31"/>
      <c r="F83" s="31"/>
      <c r="G83" s="31"/>
      <c r="H83" s="31"/>
      <c r="I83" s="31"/>
      <c r="J83" s="31"/>
    </row>
  </sheetData>
  <mergeCells count="1">
    <mergeCell ref="F5:J5"/>
  </mergeCells>
  <phoneticPr fontId="0" type="noConversion"/>
  <pageMargins left="0.75" right="0.5" top="0.75" bottom="0.34" header="0.5" footer="0.5"/>
  <pageSetup scale="71" orientation="portrait" r:id="rId1"/>
  <headerFooter scaleWithDoc="0" alignWithMargins="0">
    <oddHeader>&amp;R Exh. JH-3r
Dockets UE-200900-01-894
Page &amp;P of &amp;N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S98"/>
  <sheetViews>
    <sheetView view="pageBreakPreview" topLeftCell="AH16" zoomScaleNormal="100" zoomScaleSheetLayoutView="100" workbookViewId="0">
      <selection activeCell="AT19" sqref="AT19"/>
    </sheetView>
  </sheetViews>
  <sheetFormatPr defaultColWidth="10.54296875" defaultRowHeight="11.5"/>
  <cols>
    <col min="1" max="1" width="5.54296875" style="121" customWidth="1"/>
    <col min="2" max="3" width="1.54296875" style="97" customWidth="1"/>
    <col min="4" max="4" width="28.54296875" style="97" customWidth="1"/>
    <col min="5" max="5" width="17.453125" style="99" customWidth="1"/>
    <col min="6" max="45" width="20.453125" style="99" customWidth="1"/>
    <col min="46" max="16384" width="10.54296875" style="97"/>
  </cols>
  <sheetData>
    <row r="1" spans="1:45">
      <c r="F1" s="146" t="s">
        <v>195</v>
      </c>
      <c r="G1" s="146" t="s">
        <v>195</v>
      </c>
      <c r="H1" s="146" t="s">
        <v>195</v>
      </c>
      <c r="I1" s="146" t="s">
        <v>195</v>
      </c>
      <c r="J1" s="146" t="s">
        <v>195</v>
      </c>
      <c r="K1" s="146" t="s">
        <v>195</v>
      </c>
      <c r="L1" s="146" t="s">
        <v>195</v>
      </c>
      <c r="M1" s="146" t="s">
        <v>195</v>
      </c>
      <c r="N1" s="146" t="s">
        <v>195</v>
      </c>
      <c r="O1" s="146" t="s">
        <v>195</v>
      </c>
      <c r="P1" s="146" t="s">
        <v>195</v>
      </c>
      <c r="Q1" s="146" t="s">
        <v>195</v>
      </c>
      <c r="R1" s="146" t="s">
        <v>195</v>
      </c>
      <c r="S1" s="146" t="s">
        <v>195</v>
      </c>
      <c r="T1" s="146" t="s">
        <v>195</v>
      </c>
      <c r="U1" s="146" t="s">
        <v>195</v>
      </c>
      <c r="V1" s="146" t="s">
        <v>195</v>
      </c>
      <c r="W1" s="146" t="s">
        <v>195</v>
      </c>
      <c r="X1" s="146" t="s">
        <v>195</v>
      </c>
      <c r="Y1" s="146" t="s">
        <v>195</v>
      </c>
      <c r="Z1" s="146" t="s">
        <v>195</v>
      </c>
      <c r="AA1" s="146" t="s">
        <v>195</v>
      </c>
      <c r="AB1" s="146" t="s">
        <v>195</v>
      </c>
      <c r="AC1" s="146" t="s">
        <v>195</v>
      </c>
      <c r="AD1" s="146" t="s">
        <v>195</v>
      </c>
      <c r="AE1" s="146" t="s">
        <v>195</v>
      </c>
      <c r="AF1" s="146" t="s">
        <v>195</v>
      </c>
      <c r="AG1" s="146" t="s">
        <v>195</v>
      </c>
      <c r="AH1" s="146" t="s">
        <v>195</v>
      </c>
      <c r="AI1" s="146" t="s">
        <v>195</v>
      </c>
      <c r="AJ1" s="146" t="s">
        <v>195</v>
      </c>
      <c r="AK1" s="146" t="s">
        <v>195</v>
      </c>
      <c r="AL1" s="146" t="s">
        <v>195</v>
      </c>
      <c r="AM1" s="146" t="s">
        <v>195</v>
      </c>
      <c r="AN1" s="146" t="s">
        <v>195</v>
      </c>
      <c r="AO1" s="146" t="s">
        <v>195</v>
      </c>
      <c r="AP1" s="146" t="s">
        <v>195</v>
      </c>
      <c r="AQ1" s="146" t="s">
        <v>195</v>
      </c>
      <c r="AR1" s="146" t="s">
        <v>195</v>
      </c>
      <c r="AS1" s="146" t="s">
        <v>195</v>
      </c>
    </row>
    <row r="2" spans="1:45" ht="12.75" customHeight="1">
      <c r="A2" s="96" t="str">
        <f>'ADJ DETAIL INPUT'!A2</f>
        <v>AVISTA UTILITIES</v>
      </c>
      <c r="E2" s="98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7"/>
    </row>
    <row r="3" spans="1:45" ht="12.75" customHeight="1">
      <c r="A3" s="96" t="str">
        <f>'ADJ DETAIL INPUT'!A3</f>
        <v>WASHINGTON NATURAL GAS</v>
      </c>
      <c r="E3" s="98"/>
    </row>
    <row r="4" spans="1:45" ht="12.75" customHeight="1">
      <c r="A4" s="96" t="str">
        <f>'ADJ DETAIL INPUT'!A4</f>
        <v>TWELVE MONTHS ENDED DECEMBER 31, 2019</v>
      </c>
      <c r="E4" s="101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</row>
    <row r="5" spans="1:45">
      <c r="A5" s="96" t="str">
        <f>'ADJ DETAIL INPUT'!A5</f>
        <v xml:space="preserve">(000'S OF DOLLARS)   </v>
      </c>
      <c r="B5" s="96"/>
      <c r="C5" s="96"/>
      <c r="D5" s="96"/>
      <c r="E5" s="96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2"/>
      <c r="T5" s="102"/>
      <c r="U5" s="102"/>
      <c r="V5" s="102"/>
      <c r="W5" s="102"/>
      <c r="X5" s="102"/>
      <c r="Y5" s="102"/>
      <c r="Z5" s="102"/>
      <c r="AA5" s="102"/>
      <c r="AB5" s="102"/>
      <c r="AC5" s="102"/>
      <c r="AD5" s="102"/>
      <c r="AE5" s="102"/>
      <c r="AF5" s="102"/>
      <c r="AG5" s="102"/>
      <c r="AH5" s="102"/>
      <c r="AI5" s="102"/>
      <c r="AJ5" s="102"/>
      <c r="AK5" s="102"/>
      <c r="AL5" s="102"/>
      <c r="AM5" s="102"/>
      <c r="AN5" s="102"/>
      <c r="AO5" s="102"/>
      <c r="AP5" s="102"/>
      <c r="AQ5" s="102"/>
      <c r="AR5" s="102"/>
      <c r="AS5" s="102"/>
    </row>
    <row r="6" spans="1:45" ht="12.75" customHeight="1">
      <c r="A6" s="96"/>
    </row>
    <row r="7" spans="1:45" s="104" customFormat="1">
      <c r="A7" s="103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5"/>
      <c r="S7" s="105"/>
      <c r="T7" s="105"/>
      <c r="U7" s="105"/>
      <c r="V7" s="105"/>
      <c r="W7" s="105"/>
      <c r="X7" s="105"/>
      <c r="Y7" s="105"/>
      <c r="Z7" s="105"/>
      <c r="AA7" s="105"/>
      <c r="AB7" s="105"/>
      <c r="AC7" s="105"/>
      <c r="AD7" s="105"/>
      <c r="AE7" s="105"/>
      <c r="AF7" s="105"/>
      <c r="AG7" s="105"/>
      <c r="AH7" s="105"/>
      <c r="AI7" s="105"/>
      <c r="AJ7" s="105"/>
      <c r="AK7" s="105"/>
      <c r="AL7" s="105"/>
      <c r="AM7" s="105"/>
      <c r="AN7" s="105"/>
      <c r="AO7" s="105"/>
      <c r="AP7" s="105"/>
      <c r="AQ7" s="105"/>
      <c r="AR7" s="105"/>
      <c r="AS7" s="105"/>
    </row>
    <row r="8" spans="1:45" s="104" customFormat="1" ht="12" customHeight="1">
      <c r="A8" s="106"/>
      <c r="B8" s="107"/>
      <c r="C8" s="108"/>
      <c r="D8" s="109"/>
      <c r="E8" s="110" t="str">
        <f>'ADJ DETAIL INPUT'!E7</f>
        <v>Per</v>
      </c>
      <c r="F8" s="110" t="str">
        <f>'ADJ DETAIL INPUT'!F7</f>
        <v xml:space="preserve">Deferred </v>
      </c>
      <c r="G8" s="110" t="str">
        <f>'ADJ DETAIL INPUT'!G7</f>
        <v>Deferred</v>
      </c>
      <c r="H8" s="110" t="str">
        <f>'ADJ DETAIL INPUT'!H7</f>
        <v>Working</v>
      </c>
      <c r="I8" s="110" t="str">
        <f>'ADJ DETAIL INPUT'!I7</f>
        <v>Remove</v>
      </c>
      <c r="J8" s="110" t="str">
        <f>'ADJ DETAIL INPUT'!J7</f>
        <v xml:space="preserve">Eliminate </v>
      </c>
      <c r="K8" s="110" t="str">
        <f>'ADJ DETAIL INPUT'!K7</f>
        <v>Restate</v>
      </c>
      <c r="L8" s="110" t="str">
        <f>'ADJ DETAIL INPUT'!L7</f>
        <v>Uncollectible</v>
      </c>
      <c r="M8" s="110" t="str">
        <f>'ADJ DETAIL INPUT'!M7</f>
        <v>Regulatory</v>
      </c>
      <c r="N8" s="110" t="str">
        <f>'ADJ DETAIL INPUT'!N7</f>
        <v>Injuries</v>
      </c>
      <c r="O8" s="110" t="str">
        <f>'ADJ DETAIL INPUT'!O7</f>
        <v xml:space="preserve">FIT / </v>
      </c>
      <c r="P8" s="110" t="str">
        <f>'ADJ DETAIL INPUT'!P7</f>
        <v>Office Space</v>
      </c>
      <c r="Q8" s="110" t="str">
        <f>'ADJ DETAIL INPUT'!Q7</f>
        <v>Restate</v>
      </c>
      <c r="R8" s="110" t="str">
        <f>'ADJ DETAIL INPUT'!R7</f>
        <v>Net</v>
      </c>
      <c r="S8" s="110" t="str">
        <f>'ADJ DETAIL INPUT'!S7</f>
        <v xml:space="preserve">Weather </v>
      </c>
      <c r="T8" s="110" t="str">
        <f>'ADJ DETAIL INPUT'!T7</f>
        <v>Eliminate</v>
      </c>
      <c r="U8" s="110" t="str">
        <f>'ADJ DETAIL INPUT'!U7</f>
        <v>Misc. Restating</v>
      </c>
      <c r="V8" s="110" t="str">
        <f>'ADJ DETAIL INPUT'!V7</f>
        <v>Restating</v>
      </c>
      <c r="W8" s="110" t="str">
        <f>'ADJ DETAIL INPUT'!W7</f>
        <v>Restate</v>
      </c>
      <c r="X8" s="110" t="str">
        <f>'ADJ DETAIL INPUT'!X7</f>
        <v>Restate 2019</v>
      </c>
      <c r="Y8" s="110" t="str">
        <f>'ADJ DETAIL INPUT'!AA7</f>
        <v>Pro Forma</v>
      </c>
      <c r="Z8" s="110" t="str">
        <f>'ADJ DETAIL INPUT'!AB7</f>
        <v xml:space="preserve">Pro Forma </v>
      </c>
      <c r="AA8" s="110" t="str">
        <f>'ADJ DETAIL INPUT'!AC7</f>
        <v>Pro Forma</v>
      </c>
      <c r="AB8" s="110" t="str">
        <f>'ADJ DETAIL INPUT'!AD7</f>
        <v>Pro Forma</v>
      </c>
      <c r="AC8" s="110" t="str">
        <f>'ADJ DETAIL INPUT'!AE7</f>
        <v>Pro Forma</v>
      </c>
      <c r="AD8" s="110" t="str">
        <f>'ADJ DETAIL INPUT'!AF7</f>
        <v>Pro Forma</v>
      </c>
      <c r="AE8" s="110" t="str">
        <f>'ADJ DETAIL INPUT'!AG7</f>
        <v>Pro Forma</v>
      </c>
      <c r="AF8" s="110" t="str">
        <f>'ADJ DETAIL INPUT'!AH7</f>
        <v>Pro Forma</v>
      </c>
      <c r="AG8" s="110" t="str">
        <f>'ADJ DETAIL INPUT'!AI7</f>
        <v>Pro Forma</v>
      </c>
      <c r="AH8" s="110" t="str">
        <f>'ADJ DETAIL INPUT'!AJ7</f>
        <v>Pro Forma</v>
      </c>
      <c r="AI8" s="110" t="str">
        <f>'ADJ DETAIL INPUT'!AK7</f>
        <v xml:space="preserve">Pro Forma </v>
      </c>
      <c r="AJ8" s="110" t="str">
        <f>'ADJ DETAIL INPUT'!AL7</f>
        <v xml:space="preserve">Pro Forma </v>
      </c>
      <c r="AK8" s="110" t="str">
        <f>'ADJ DETAIL INPUT'!AM7</f>
        <v xml:space="preserve">Pro Forma </v>
      </c>
      <c r="AL8" s="110" t="str">
        <f>'ADJ DETAIL INPUT'!AN7</f>
        <v xml:space="preserve">Pro Forma </v>
      </c>
      <c r="AM8" s="110" t="str">
        <f>'ADJ DETAIL INPUT'!AO7</f>
        <v xml:space="preserve">Pro Forma </v>
      </c>
      <c r="AN8" s="110" t="str">
        <f>'ADJ DETAIL INPUT'!AP7</f>
        <v>Pro Forma</v>
      </c>
      <c r="AO8" s="110" t="str">
        <f>'ADJ DETAIL INPUT'!AQ7</f>
        <v>Pro Forma</v>
      </c>
      <c r="AP8" s="110" t="str">
        <f>'ADJ DETAIL INPUT'!AR7</f>
        <v>Restate</v>
      </c>
      <c r="AQ8" s="110" t="str">
        <f>'ADJ DETAIL INPUT'!AU7</f>
        <v xml:space="preserve">Pro Forma </v>
      </c>
      <c r="AR8" s="110" t="str">
        <f>'ADJ DETAIL INPUT'!AV7</f>
        <v>Tax Customer</v>
      </c>
      <c r="AS8" s="110" t="str">
        <f>'ADJ DETAIL INPUT'!AW7</f>
        <v>Billed</v>
      </c>
    </row>
    <row r="9" spans="1:45" s="104" customFormat="1">
      <c r="A9" s="111" t="s">
        <v>7</v>
      </c>
      <c r="B9" s="112"/>
      <c r="C9" s="113"/>
      <c r="D9" s="114"/>
      <c r="E9" s="115" t="str">
        <f>'ADJ DETAIL INPUT'!E8</f>
        <v xml:space="preserve">Results </v>
      </c>
      <c r="F9" s="115" t="str">
        <f>'ADJ DETAIL INPUT'!F8</f>
        <v>FIT</v>
      </c>
      <c r="G9" s="115" t="str">
        <f>'ADJ DETAIL INPUT'!G8</f>
        <v xml:space="preserve">Debits and </v>
      </c>
      <c r="H9" s="115" t="str">
        <f>'ADJ DETAIL INPUT'!H8</f>
        <v>Capital</v>
      </c>
      <c r="I9" s="115" t="str">
        <f>'ADJ DETAIL INPUT'!I8</f>
        <v>AMI</v>
      </c>
      <c r="J9" s="115" t="str">
        <f>'ADJ DETAIL INPUT'!J8</f>
        <v xml:space="preserve">B &amp; O </v>
      </c>
      <c r="K9" s="115" t="str">
        <f>'ADJ DETAIL INPUT'!K8</f>
        <v>Property</v>
      </c>
      <c r="L9" s="115" t="str">
        <f>'ADJ DETAIL INPUT'!L8</f>
        <v>Expense</v>
      </c>
      <c r="M9" s="115" t="str">
        <f>'ADJ DETAIL INPUT'!M8</f>
        <v>Expense</v>
      </c>
      <c r="N9" s="115" t="str">
        <f>'ADJ DETAIL INPUT'!N8</f>
        <v>&amp;</v>
      </c>
      <c r="O9" s="115" t="str">
        <f>'ADJ DETAIL INPUT'!O8</f>
        <v xml:space="preserve">DFIT </v>
      </c>
      <c r="P9" s="115" t="str">
        <f>'ADJ DETAIL INPUT'!P8</f>
        <v>Charges to</v>
      </c>
      <c r="Q9" s="115" t="str">
        <f>'ADJ DETAIL INPUT'!Q8</f>
        <v>Excise</v>
      </c>
      <c r="R9" s="115" t="str">
        <f>'ADJ DETAIL INPUT'!R8</f>
        <v>Gains</v>
      </c>
      <c r="S9" s="115" t="str">
        <f>'ADJ DETAIL INPUT'!S8</f>
        <v>Normalization /</v>
      </c>
      <c r="T9" s="115" t="str">
        <f>'ADJ DETAIL INPUT'!T8</f>
        <v>Adder</v>
      </c>
      <c r="U9" s="115" t="str">
        <f>'ADJ DETAIL INPUT'!U8</f>
        <v>Non-Util / Non-</v>
      </c>
      <c r="V9" s="115" t="str">
        <f>'ADJ DETAIL INPUT'!V8</f>
        <v>Incentives</v>
      </c>
      <c r="W9" s="115" t="str">
        <f>'ADJ DETAIL INPUT'!W8</f>
        <v>Debt</v>
      </c>
      <c r="X9" s="115" t="str">
        <f>'ADJ DETAIL INPUT'!X8</f>
        <v>AMA Rate</v>
      </c>
      <c r="Y9" s="115" t="str">
        <f>'ADJ DETAIL INPUT'!AA8</f>
        <v xml:space="preserve"> Revenue</v>
      </c>
      <c r="Z9" s="115" t="str">
        <f>'ADJ DETAIL INPUT'!AB8</f>
        <v>Def. Debits, Credits &amp;</v>
      </c>
      <c r="AA9" s="115" t="str">
        <f>'ADJ DETAIL INPUT'!AC8</f>
        <v>ARAM</v>
      </c>
      <c r="AB9" s="115" t="str">
        <f>'ADJ DETAIL INPUT'!AD8</f>
        <v>Labor</v>
      </c>
      <c r="AC9" s="115" t="str">
        <f>'ADJ DETAIL INPUT'!AE8</f>
        <v>Labor</v>
      </c>
      <c r="AD9" s="115" t="str">
        <f>'ADJ DETAIL INPUT'!AF8</f>
        <v>Employee</v>
      </c>
      <c r="AE9" s="115" t="str">
        <f>'ADJ DETAIL INPUT'!AG8</f>
        <v xml:space="preserve">Insurance </v>
      </c>
      <c r="AF9" s="115" t="str">
        <f>'ADJ DETAIL INPUT'!AH8</f>
        <v>IS/IT</v>
      </c>
      <c r="AG9" s="115" t="str">
        <f>'ADJ DETAIL INPUT'!AI8</f>
        <v>Property</v>
      </c>
      <c r="AH9" s="115" t="str">
        <f>'ADJ DETAIL INPUT'!AJ8</f>
        <v>Fee Free</v>
      </c>
      <c r="AI9" s="115" t="str">
        <f>'ADJ DETAIL INPUT'!AK8</f>
        <v>2020 Customer</v>
      </c>
      <c r="AJ9" s="115" t="str">
        <f>'ADJ DETAIL INPUT'!AL8</f>
        <v>2020 Large &amp;</v>
      </c>
      <c r="AK9" s="115" t="str">
        <f>'ADJ DETAIL INPUT'!AM8</f>
        <v>2020</v>
      </c>
      <c r="AL9" s="115" t="str">
        <f>'ADJ DETAIL INPUT'!AN8</f>
        <v>2020 Mandatory</v>
      </c>
      <c r="AM9" s="115" t="str">
        <f>'ADJ DETAIL INPUT'!AO8</f>
        <v>2020</v>
      </c>
      <c r="AN9" s="115" t="str">
        <f>'ADJ DETAIL INPUT'!AP8</f>
        <v>AMI</v>
      </c>
      <c r="AO9" s="115" t="str">
        <f>'ADJ DETAIL INPUT'!AQ8</f>
        <v>LEAP Deferral</v>
      </c>
      <c r="AP9" s="115" t="str">
        <f>'ADJ DETAIL INPUT'!AR8</f>
        <v>2019</v>
      </c>
      <c r="AQ9" s="115" t="str">
        <f>'ADJ DETAIL INPUT'!AU8</f>
        <v>Total</v>
      </c>
      <c r="AR9" s="115" t="str">
        <f>'ADJ DETAIL INPUT'!AV8</f>
        <v>Credit</v>
      </c>
      <c r="AS9" s="115" t="str">
        <f>'ADJ DETAIL INPUT'!AW8</f>
        <v>Net Total</v>
      </c>
    </row>
    <row r="10" spans="1:45" s="104" customFormat="1">
      <c r="A10" s="116" t="s">
        <v>16</v>
      </c>
      <c r="B10" s="117"/>
      <c r="C10" s="118"/>
      <c r="D10" s="119" t="s">
        <v>17</v>
      </c>
      <c r="E10" s="120" t="str">
        <f>'ADJ DETAIL INPUT'!E9</f>
        <v>Report</v>
      </c>
      <c r="F10" s="120" t="str">
        <f>'ADJ DETAIL INPUT'!F9</f>
        <v>Rate Base</v>
      </c>
      <c r="G10" s="120" t="str">
        <f>'ADJ DETAIL INPUT'!G9</f>
        <v>Credits</v>
      </c>
      <c r="H10" s="120"/>
      <c r="I10" s="120"/>
      <c r="J10" s="120" t="str">
        <f>'ADJ DETAIL INPUT'!J9</f>
        <v>Taxes</v>
      </c>
      <c r="K10" s="120" t="str">
        <f>'ADJ DETAIL INPUT'!K9</f>
        <v>Tax</v>
      </c>
      <c r="L10" s="120"/>
      <c r="M10" s="120"/>
      <c r="N10" s="120" t="str">
        <f>'ADJ DETAIL INPUT'!N9</f>
        <v>Damages</v>
      </c>
      <c r="O10" s="120" t="str">
        <f>'ADJ DETAIL INPUT'!O9</f>
        <v>Expense</v>
      </c>
      <c r="P10" s="120" t="str">
        <f>'ADJ DETAIL INPUT'!P9</f>
        <v>Non-Utility</v>
      </c>
      <c r="Q10" s="120" t="str">
        <f>'ADJ DETAIL INPUT'!Q9</f>
        <v>Taxes</v>
      </c>
      <c r="R10" s="120"/>
      <c r="S10" s="120" t="str">
        <f>'ADJ DETAIL INPUT'!S9</f>
        <v>Gas Cost Adjust</v>
      </c>
      <c r="T10" s="120" t="str">
        <f>'ADJ DETAIL INPUT'!T9</f>
        <v>Schedules</v>
      </c>
      <c r="U10" s="120" t="str">
        <f>'ADJ DETAIL INPUT'!U9</f>
        <v>Recurring Expense</v>
      </c>
      <c r="V10" s="120"/>
      <c r="W10" s="120" t="str">
        <f>'ADJ DETAIL INPUT'!W9</f>
        <v>Interest</v>
      </c>
      <c r="X10" s="120" t="str">
        <f>'ADJ DETAIL INPUT'!X9</f>
        <v>Base to EOP</v>
      </c>
      <c r="Y10" s="120" t="str">
        <f>'ADJ DETAIL INPUT'!AA9</f>
        <v xml:space="preserve">Normalization </v>
      </c>
      <c r="Z10" s="120" t="str">
        <f>'ADJ DETAIL INPUT'!AB9</f>
        <v>Regulatory Amorts</v>
      </c>
      <c r="AA10" s="120" t="str">
        <f>'ADJ DETAIL INPUT'!AC9</f>
        <v>DFIT</v>
      </c>
      <c r="AB10" s="120" t="str">
        <f>'ADJ DETAIL INPUT'!AD9</f>
        <v>Non-Exec</v>
      </c>
      <c r="AC10" s="120" t="str">
        <f>'ADJ DETAIL INPUT'!AE9</f>
        <v>Exec</v>
      </c>
      <c r="AD10" s="120" t="str">
        <f>'ADJ DETAIL INPUT'!AF9</f>
        <v>Benefits</v>
      </c>
      <c r="AE10" s="120" t="str">
        <f>'ADJ DETAIL INPUT'!AG9</f>
        <v>Expense</v>
      </c>
      <c r="AF10" s="120" t="str">
        <f>'ADJ DETAIL INPUT'!AH9</f>
        <v>Expense</v>
      </c>
      <c r="AG10" s="120" t="str">
        <f>'ADJ DETAIL INPUT'!AI9</f>
        <v>Tax</v>
      </c>
      <c r="AH10" s="120" t="str">
        <f>'ADJ DETAIL INPUT'!AJ9</f>
        <v>Amortization</v>
      </c>
      <c r="AI10" s="120" t="str">
        <f>'ADJ DETAIL INPUT'!AK9</f>
        <v xml:space="preserve">At Center </v>
      </c>
      <c r="AJ10" s="120" t="str">
        <f>'ADJ DETAIL INPUT'!AL9</f>
        <v>Distinct</v>
      </c>
      <c r="AK10" s="120" t="str">
        <f>'ADJ DETAIL INPUT'!AM9</f>
        <v>Programmatic</v>
      </c>
      <c r="AL10" s="120" t="str">
        <f>'ADJ DETAIL INPUT'!AN9</f>
        <v>&amp; Compliance</v>
      </c>
      <c r="AM10" s="120" t="str">
        <f>'ADJ DETAIL INPUT'!AO9</f>
        <v>Short Lived</v>
      </c>
      <c r="AN10" s="120" t="str">
        <f>'ADJ DETAIL INPUT'!AP9</f>
        <v>Capital Adds</v>
      </c>
      <c r="AO10" s="120" t="str">
        <f>'ADJ DETAIL INPUT'!AQ9</f>
        <v>Amortization</v>
      </c>
      <c r="AP10" s="120" t="str">
        <f>'ADJ DETAIL INPUT'!AR9</f>
        <v>ADFIT</v>
      </c>
      <c r="AQ10" s="120">
        <f>'ADJ DETAIL INPUT'!AU9</f>
        <v>0</v>
      </c>
      <c r="AR10" s="120" t="str">
        <f>'ADJ DETAIL INPUT'!AV9</f>
        <v>Tariff 176</v>
      </c>
      <c r="AS10" s="120" t="str">
        <f>'ADJ DETAIL INPUT'!AW9</f>
        <v>After Tariff</v>
      </c>
    </row>
    <row r="11" spans="1:45" s="104" customFormat="1">
      <c r="A11" s="103"/>
      <c r="B11" s="137" t="s">
        <v>171</v>
      </c>
      <c r="E11" s="138">
        <f>'ADJ DETAIL INPUT'!E10</f>
        <v>1</v>
      </c>
      <c r="F11" s="138">
        <f>'ADJ DETAIL INPUT'!F10</f>
        <v>1.01</v>
      </c>
      <c r="G11" s="138">
        <f>'ADJ DETAIL INPUT'!G10</f>
        <v>1.02</v>
      </c>
      <c r="H11" s="138">
        <f>'ADJ DETAIL INPUT'!H10</f>
        <v>1.03</v>
      </c>
      <c r="I11" s="138">
        <f>'ADJ DETAIL INPUT'!I10</f>
        <v>1.04</v>
      </c>
      <c r="J11" s="138">
        <f>'ADJ DETAIL INPUT'!J10</f>
        <v>2.0099999999999998</v>
      </c>
      <c r="K11" s="138">
        <f>'ADJ DETAIL INPUT'!K10</f>
        <v>2.0199999999999996</v>
      </c>
      <c r="L11" s="138">
        <f>'ADJ DETAIL INPUT'!L10</f>
        <v>2.0299999999999994</v>
      </c>
      <c r="M11" s="138">
        <f>'ADJ DETAIL INPUT'!M10</f>
        <v>2.0399999999999991</v>
      </c>
      <c r="N11" s="138">
        <f>'ADJ DETAIL INPUT'!N10</f>
        <v>2.0499999999999989</v>
      </c>
      <c r="O11" s="138">
        <f>'ADJ DETAIL INPUT'!O10</f>
        <v>2.0599999999999987</v>
      </c>
      <c r="P11" s="138">
        <f>'ADJ DETAIL INPUT'!P10</f>
        <v>2.0699999999999985</v>
      </c>
      <c r="Q11" s="138">
        <f>'ADJ DETAIL INPUT'!Q10</f>
        <v>2.0799999999999983</v>
      </c>
      <c r="R11" s="138">
        <f>'ADJ DETAIL INPUT'!R10</f>
        <v>2.0899999999999981</v>
      </c>
      <c r="S11" s="138">
        <f>'ADJ DETAIL INPUT'!S10</f>
        <v>2.0999999999999979</v>
      </c>
      <c r="T11" s="138">
        <f>'ADJ DETAIL INPUT'!T10</f>
        <v>2.1099999999999977</v>
      </c>
      <c r="U11" s="138">
        <f>'ADJ DETAIL INPUT'!U10</f>
        <v>2.1199999999999974</v>
      </c>
      <c r="V11" s="138">
        <f>'ADJ DETAIL INPUT'!V10</f>
        <v>2.1299999999999972</v>
      </c>
      <c r="W11" s="138">
        <f>'ADJ DETAIL INPUT'!W10</f>
        <v>2.139999999999997</v>
      </c>
      <c r="X11" s="138">
        <f>'ADJ DETAIL INPUT'!X10</f>
        <v>2.1499999999999968</v>
      </c>
      <c r="Y11" s="138">
        <f>'ADJ DETAIL INPUT'!AA10</f>
        <v>3.01</v>
      </c>
      <c r="Z11" s="138">
        <f>'ADJ DETAIL INPUT'!AB10</f>
        <v>3.0199999999999996</v>
      </c>
      <c r="AA11" s="138">
        <f>'ADJ DETAIL INPUT'!AC10</f>
        <v>3.0299999999999994</v>
      </c>
      <c r="AB11" s="138">
        <f>'ADJ DETAIL INPUT'!AD10</f>
        <v>3.0399999999999991</v>
      </c>
      <c r="AC11" s="138">
        <f>'ADJ DETAIL INPUT'!AE10</f>
        <v>3.0499999999999989</v>
      </c>
      <c r="AD11" s="138">
        <f>'ADJ DETAIL INPUT'!AF10</f>
        <v>3.0599999999999987</v>
      </c>
      <c r="AE11" s="138">
        <f>'ADJ DETAIL INPUT'!AG10</f>
        <v>3.0699999999999985</v>
      </c>
      <c r="AF11" s="138">
        <f>'ADJ DETAIL INPUT'!AH10</f>
        <v>3.0799999999999983</v>
      </c>
      <c r="AG11" s="138">
        <f>'ADJ DETAIL INPUT'!AI10</f>
        <v>3.0899999999999981</v>
      </c>
      <c r="AH11" s="138">
        <f>'ADJ DETAIL INPUT'!AJ10</f>
        <v>3.0999999999999979</v>
      </c>
      <c r="AI11" s="138">
        <f>'ADJ DETAIL INPUT'!AK10</f>
        <v>3.1099999999999977</v>
      </c>
      <c r="AJ11" s="138">
        <f>'ADJ DETAIL INPUT'!AL10</f>
        <v>3.1199999999999974</v>
      </c>
      <c r="AK11" s="138">
        <f>'ADJ DETAIL INPUT'!AM10</f>
        <v>3.1299999999999972</v>
      </c>
      <c r="AL11" s="138">
        <f>'ADJ DETAIL INPUT'!AN10</f>
        <v>3.139999999999997</v>
      </c>
      <c r="AM11" s="138">
        <f>'ADJ DETAIL INPUT'!AO10</f>
        <v>3.1499999999999968</v>
      </c>
      <c r="AN11" s="138">
        <f>'ADJ DETAIL INPUT'!AP10</f>
        <v>3.1599999999999966</v>
      </c>
      <c r="AO11" s="138">
        <f>'ADJ DETAIL INPUT'!AQ10</f>
        <v>3.1699999999999964</v>
      </c>
      <c r="AP11" s="138">
        <f>'ADJ DETAIL INPUT'!AR10</f>
        <v>3.1799999999999962</v>
      </c>
      <c r="AQ11" s="138">
        <f>'ADJ DETAIL INPUT'!AU10</f>
        <v>0</v>
      </c>
      <c r="AR11" s="138" t="str">
        <f>'ADJ DETAIL INPUT'!AV10</f>
        <v>4.00T</v>
      </c>
      <c r="AS11" s="138" t="str">
        <f>'ADJ DETAIL INPUT'!AW10</f>
        <v>Net Billed</v>
      </c>
    </row>
    <row r="12" spans="1:45" s="104" customFormat="1">
      <c r="A12" s="103"/>
      <c r="B12" s="137" t="s">
        <v>172</v>
      </c>
      <c r="E12" s="105" t="str">
        <f>'ADJ DETAIL INPUT'!E11</f>
        <v>G-ROO</v>
      </c>
      <c r="F12" s="105" t="str">
        <f>'ADJ DETAIL INPUT'!F11</f>
        <v>G-DFIT</v>
      </c>
      <c r="G12" s="105" t="str">
        <f>'ADJ DETAIL INPUT'!G11</f>
        <v>G-DDC</v>
      </c>
      <c r="H12" s="105" t="str">
        <f>'ADJ DETAIL INPUT'!H11</f>
        <v>G-WC</v>
      </c>
      <c r="I12" s="105" t="str">
        <f>'ADJ DETAIL INPUT'!I11</f>
        <v>G-AMI</v>
      </c>
      <c r="J12" s="105" t="str">
        <f>'ADJ DETAIL INPUT'!J11</f>
        <v>G-EBO</v>
      </c>
      <c r="K12" s="105" t="str">
        <f>'ADJ DETAIL INPUT'!K11</f>
        <v>G-RPT</v>
      </c>
      <c r="L12" s="105" t="str">
        <f>'ADJ DETAIL INPUT'!L11</f>
        <v>G-UE</v>
      </c>
      <c r="M12" s="105" t="str">
        <f>'ADJ DETAIL INPUT'!M11</f>
        <v>G-RE</v>
      </c>
      <c r="N12" s="105" t="str">
        <f>'ADJ DETAIL INPUT'!N11</f>
        <v>G-ID</v>
      </c>
      <c r="O12" s="105" t="str">
        <f>'ADJ DETAIL INPUT'!O11</f>
        <v>G-FIT</v>
      </c>
      <c r="P12" s="105" t="str">
        <f>'ADJ DETAIL INPUT'!P11</f>
        <v>G-OSC</v>
      </c>
      <c r="Q12" s="105" t="str">
        <f>'ADJ DETAIL INPUT'!Q11</f>
        <v>G-RET</v>
      </c>
      <c r="R12" s="105" t="str">
        <f>'ADJ DETAIL INPUT'!R11</f>
        <v>G-NGL</v>
      </c>
      <c r="S12" s="105" t="str">
        <f>'ADJ DETAIL INPUT'!S11</f>
        <v>G-WNGC</v>
      </c>
      <c r="T12" s="105" t="str">
        <f>'ADJ DETAIL INPUT'!T11</f>
        <v>G-EAS</v>
      </c>
      <c r="U12" s="105" t="str">
        <f>'ADJ DETAIL INPUT'!U11</f>
        <v>G-MR</v>
      </c>
      <c r="V12" s="105" t="str">
        <f>'ADJ DETAIL INPUT'!V11</f>
        <v>G-RI</v>
      </c>
      <c r="W12" s="105" t="str">
        <f>'ADJ DETAIL INPUT'!W11</f>
        <v>G-DI</v>
      </c>
      <c r="X12" s="105" t="str">
        <f>'ADJ DETAIL INPUT'!X11</f>
        <v>G-EOP19</v>
      </c>
      <c r="Y12" s="105" t="str">
        <f>'ADJ DETAIL INPUT'!AA11</f>
        <v>G-PREV</v>
      </c>
      <c r="Z12" s="105" t="str">
        <f>'ADJ DETAIL INPUT'!AB11</f>
        <v>G-PRA</v>
      </c>
      <c r="AA12" s="105" t="str">
        <f>'ADJ DETAIL INPUT'!AC11</f>
        <v>G-ARAM</v>
      </c>
      <c r="AB12" s="105" t="str">
        <f>'ADJ DETAIL INPUT'!AD11</f>
        <v>G-PLN</v>
      </c>
      <c r="AC12" s="105" t="str">
        <f>'ADJ DETAIL INPUT'!AE11</f>
        <v>G-PLE</v>
      </c>
      <c r="AD12" s="105" t="str">
        <f>'ADJ DETAIL INPUT'!AF11</f>
        <v>G-PEB</v>
      </c>
      <c r="AE12" s="105" t="str">
        <f>'ADJ DETAIL INPUT'!AG11</f>
        <v>G-PINS</v>
      </c>
      <c r="AF12" s="105" t="str">
        <f>'ADJ DETAIL INPUT'!AH11</f>
        <v>G-PIT</v>
      </c>
      <c r="AG12" s="105" t="str">
        <f>'ADJ DETAIL INPUT'!AI11</f>
        <v>G-PPT</v>
      </c>
      <c r="AH12" s="105" t="str">
        <f>'ADJ DETAIL INPUT'!AJ11</f>
        <v>G-PFEE</v>
      </c>
      <c r="AI12" s="105" t="str">
        <f>'ADJ DETAIL INPUT'!AK11</f>
        <v>G-PCAP1</v>
      </c>
      <c r="AJ12" s="105" t="str">
        <f>'ADJ DETAIL INPUT'!AL11</f>
        <v>G-PCAP2</v>
      </c>
      <c r="AK12" s="105" t="str">
        <f>'ADJ DETAIL INPUT'!AM11</f>
        <v>G-PCAP3</v>
      </c>
      <c r="AL12" s="105" t="str">
        <f>'ADJ DETAIL INPUT'!AN11</f>
        <v>G-PCAP4</v>
      </c>
      <c r="AM12" s="105" t="str">
        <f>'ADJ DETAIL INPUT'!AO11</f>
        <v>G-PCAP5</v>
      </c>
      <c r="AN12" s="105" t="str">
        <f>'ADJ DETAIL INPUT'!AP11</f>
        <v>G-PAMI</v>
      </c>
      <c r="AO12" s="105" t="str">
        <f>'ADJ DETAIL INPUT'!AQ11</f>
        <v>G-PLEAP</v>
      </c>
      <c r="AP12" s="105" t="str">
        <f>'ADJ DETAIL INPUT'!AR11</f>
        <v>G-RDFIT</v>
      </c>
      <c r="AQ12" s="105" t="str">
        <f>'ADJ DETAIL INPUT'!AU11</f>
        <v>PF-STtl</v>
      </c>
      <c r="AR12" s="105" t="str">
        <f>'ADJ DETAIL INPUT'!AV11</f>
        <v>G-Tax</v>
      </c>
      <c r="AS12" s="105" t="str">
        <f>'ADJ DETAIL INPUT'!AW11</f>
        <v>Total</v>
      </c>
    </row>
    <row r="14" spans="1:45">
      <c r="B14" s="97" t="s">
        <v>32</v>
      </c>
    </row>
    <row r="15" spans="1:45" s="122" customFormat="1">
      <c r="A15" s="121">
        <v>1</v>
      </c>
      <c r="B15" s="122" t="s">
        <v>33</v>
      </c>
      <c r="E15" s="219">
        <f>'ADJ DETAIL INPUT'!E14</f>
        <v>142552</v>
      </c>
      <c r="F15" s="219">
        <f>'ADJ DETAIL INPUT'!F14</f>
        <v>0</v>
      </c>
      <c r="G15" s="219">
        <f>'ADJ DETAIL INPUT'!G14</f>
        <v>0</v>
      </c>
      <c r="H15" s="219">
        <f>'ADJ DETAIL INPUT'!H14</f>
        <v>0</v>
      </c>
      <c r="I15" s="219">
        <f>'ADJ DETAIL INPUT'!I14</f>
        <v>0</v>
      </c>
      <c r="J15" s="219">
        <f>'ADJ DETAIL INPUT'!J14</f>
        <v>-5116</v>
      </c>
      <c r="K15" s="219">
        <f>'ADJ DETAIL INPUT'!K14</f>
        <v>0</v>
      </c>
      <c r="L15" s="219">
        <f>'ADJ DETAIL INPUT'!L14</f>
        <v>0</v>
      </c>
      <c r="M15" s="219">
        <f>'ADJ DETAIL INPUT'!M14</f>
        <v>0</v>
      </c>
      <c r="N15" s="219">
        <f>'ADJ DETAIL INPUT'!N14</f>
        <v>0</v>
      </c>
      <c r="O15" s="219">
        <f>'ADJ DETAIL INPUT'!O14</f>
        <v>0</v>
      </c>
      <c r="P15" s="219">
        <f>'ADJ DETAIL INPUT'!P14</f>
        <v>0</v>
      </c>
      <c r="Q15" s="219">
        <f>'ADJ DETAIL INPUT'!Q14</f>
        <v>0</v>
      </c>
      <c r="R15" s="219">
        <f>'ADJ DETAIL INPUT'!R14</f>
        <v>0</v>
      </c>
      <c r="S15" s="219">
        <f>'ADJ DETAIL INPUT'!S14</f>
        <v>-3931</v>
      </c>
      <c r="T15" s="219">
        <f>'ADJ DETAIL INPUT'!T14</f>
        <v>8060</v>
      </c>
      <c r="U15" s="219">
        <f>'ADJ DETAIL INPUT'!U14</f>
        <v>0</v>
      </c>
      <c r="V15" s="219">
        <f>'ADJ DETAIL INPUT'!V14</f>
        <v>0</v>
      </c>
      <c r="W15" s="219">
        <f>'ADJ DETAIL INPUT'!W14</f>
        <v>0</v>
      </c>
      <c r="X15" s="219">
        <f>'ADJ DETAIL INPUT'!X14</f>
        <v>0</v>
      </c>
      <c r="Y15" s="219">
        <f>'ADJ DETAIL INPUT'!AA14</f>
        <v>-41734</v>
      </c>
      <c r="Z15" s="219">
        <f>'ADJ DETAIL INPUT'!AB14</f>
        <v>0</v>
      </c>
      <c r="AA15" s="219">
        <f>'ADJ DETAIL INPUT'!AC14</f>
        <v>0</v>
      </c>
      <c r="AB15" s="219">
        <f>'ADJ DETAIL INPUT'!AD14</f>
        <v>0</v>
      </c>
      <c r="AC15" s="219">
        <f>'ADJ DETAIL INPUT'!AE14</f>
        <v>0</v>
      </c>
      <c r="AD15" s="219">
        <f>'ADJ DETAIL INPUT'!AF14</f>
        <v>0</v>
      </c>
      <c r="AE15" s="219">
        <f>'ADJ DETAIL INPUT'!AG14</f>
        <v>0</v>
      </c>
      <c r="AF15" s="219">
        <f>'ADJ DETAIL INPUT'!AH14</f>
        <v>0</v>
      </c>
      <c r="AG15" s="219">
        <f>'ADJ DETAIL INPUT'!AI14</f>
        <v>0</v>
      </c>
      <c r="AH15" s="219">
        <f>'ADJ DETAIL INPUT'!AJ14</f>
        <v>0</v>
      </c>
      <c r="AI15" s="219">
        <f>'ADJ DETAIL INPUT'!AK14</f>
        <v>0</v>
      </c>
      <c r="AJ15" s="219">
        <f>'ADJ DETAIL INPUT'!AL14</f>
        <v>0</v>
      </c>
      <c r="AK15" s="219">
        <f>'ADJ DETAIL INPUT'!AM14</f>
        <v>0</v>
      </c>
      <c r="AL15" s="219">
        <f>'ADJ DETAIL INPUT'!AN14</f>
        <v>0</v>
      </c>
      <c r="AM15" s="219">
        <f>'ADJ DETAIL INPUT'!AO14</f>
        <v>0</v>
      </c>
      <c r="AN15" s="219">
        <f>'ADJ DETAIL INPUT'!AP14</f>
        <v>0</v>
      </c>
      <c r="AO15" s="219">
        <f>'ADJ DETAIL INPUT'!AQ14</f>
        <v>0</v>
      </c>
      <c r="AP15" s="219">
        <f>'ADJ DETAIL INPUT'!AR14</f>
        <v>0</v>
      </c>
      <c r="AQ15" s="219">
        <f>'ADJ DETAIL INPUT'!AU14</f>
        <v>99831</v>
      </c>
      <c r="AR15" s="219">
        <f>'ADJ DETAIL INPUT'!AV14</f>
        <v>0</v>
      </c>
      <c r="AS15" s="219">
        <f>'ADJ DETAIL INPUT'!AW14</f>
        <v>99831</v>
      </c>
    </row>
    <row r="16" spans="1:45">
      <c r="A16" s="121">
        <v>2</v>
      </c>
      <c r="B16" s="123" t="s">
        <v>34</v>
      </c>
      <c r="D16" s="123"/>
      <c r="E16" s="140">
        <f>'ADJ DETAIL INPUT'!E15</f>
        <v>5183</v>
      </c>
      <c r="F16" s="140">
        <f>'ADJ DETAIL INPUT'!F15</f>
        <v>0</v>
      </c>
      <c r="G16" s="140">
        <f>'ADJ DETAIL INPUT'!G15</f>
        <v>0</v>
      </c>
      <c r="H16" s="140">
        <f>'ADJ DETAIL INPUT'!H15</f>
        <v>0</v>
      </c>
      <c r="I16" s="140">
        <f>'ADJ DETAIL INPUT'!I15</f>
        <v>0</v>
      </c>
      <c r="J16" s="140">
        <f>'ADJ DETAIL INPUT'!J15</f>
        <v>-131</v>
      </c>
      <c r="K16" s="140">
        <f>'ADJ DETAIL INPUT'!K15</f>
        <v>0</v>
      </c>
      <c r="L16" s="140">
        <f>'ADJ DETAIL INPUT'!L15</f>
        <v>0</v>
      </c>
      <c r="M16" s="140">
        <f>'ADJ DETAIL INPUT'!M15</f>
        <v>0</v>
      </c>
      <c r="N16" s="140">
        <f>'ADJ DETAIL INPUT'!N15</f>
        <v>0</v>
      </c>
      <c r="O16" s="140">
        <f>'ADJ DETAIL INPUT'!O15</f>
        <v>0</v>
      </c>
      <c r="P16" s="140">
        <f>'ADJ DETAIL INPUT'!P15</f>
        <v>0</v>
      </c>
      <c r="Q16" s="140">
        <f>'ADJ DETAIL INPUT'!Q15</f>
        <v>0</v>
      </c>
      <c r="R16" s="140">
        <f>'ADJ DETAIL INPUT'!R15</f>
        <v>0</v>
      </c>
      <c r="S16" s="140">
        <f>'ADJ DETAIL INPUT'!S15</f>
        <v>0</v>
      </c>
      <c r="T16" s="140">
        <f>'ADJ DETAIL INPUT'!T15</f>
        <v>0</v>
      </c>
      <c r="U16" s="140">
        <f>'ADJ DETAIL INPUT'!U15</f>
        <v>0</v>
      </c>
      <c r="V16" s="140">
        <f>'ADJ DETAIL INPUT'!V15</f>
        <v>0</v>
      </c>
      <c r="W16" s="140">
        <f>'ADJ DETAIL INPUT'!W15</f>
        <v>0</v>
      </c>
      <c r="X16" s="140">
        <f>'ADJ DETAIL INPUT'!X15</f>
        <v>0</v>
      </c>
      <c r="Y16" s="140">
        <f>'ADJ DETAIL INPUT'!AA15</f>
        <v>290</v>
      </c>
      <c r="Z16" s="140">
        <f>'ADJ DETAIL INPUT'!AB15</f>
        <v>0</v>
      </c>
      <c r="AA16" s="140">
        <f>'ADJ DETAIL INPUT'!AC15</f>
        <v>0</v>
      </c>
      <c r="AB16" s="140">
        <f>'ADJ DETAIL INPUT'!AD15</f>
        <v>0</v>
      </c>
      <c r="AC16" s="140">
        <f>'ADJ DETAIL INPUT'!AE15</f>
        <v>0</v>
      </c>
      <c r="AD16" s="140">
        <f>'ADJ DETAIL INPUT'!AF15</f>
        <v>0</v>
      </c>
      <c r="AE16" s="140">
        <f>'ADJ DETAIL INPUT'!AG15</f>
        <v>0</v>
      </c>
      <c r="AF16" s="140">
        <f>'ADJ DETAIL INPUT'!AH15</f>
        <v>0</v>
      </c>
      <c r="AG16" s="140">
        <f>'ADJ DETAIL INPUT'!AI15</f>
        <v>0</v>
      </c>
      <c r="AH16" s="140">
        <f>'ADJ DETAIL INPUT'!AJ15</f>
        <v>0</v>
      </c>
      <c r="AI16" s="140">
        <f>'ADJ DETAIL INPUT'!AK15</f>
        <v>0</v>
      </c>
      <c r="AJ16" s="140">
        <f>'ADJ DETAIL INPUT'!AL15</f>
        <v>0</v>
      </c>
      <c r="AK16" s="140">
        <f>'ADJ DETAIL INPUT'!AM15</f>
        <v>0</v>
      </c>
      <c r="AL16" s="140">
        <f>'ADJ DETAIL INPUT'!AN15</f>
        <v>0</v>
      </c>
      <c r="AM16" s="140">
        <f>'ADJ DETAIL INPUT'!AO15</f>
        <v>0</v>
      </c>
      <c r="AN16" s="140">
        <f>'ADJ DETAIL INPUT'!AP15</f>
        <v>0</v>
      </c>
      <c r="AO16" s="140">
        <f>'ADJ DETAIL INPUT'!AQ15</f>
        <v>0</v>
      </c>
      <c r="AP16" s="140">
        <f>'ADJ DETAIL INPUT'!AR15</f>
        <v>0</v>
      </c>
      <c r="AQ16" s="140">
        <f>'ADJ DETAIL INPUT'!AU15</f>
        <v>5342</v>
      </c>
      <c r="AR16" s="140">
        <f>'ADJ DETAIL INPUT'!AV15</f>
        <v>0</v>
      </c>
      <c r="AS16" s="140">
        <f>'ADJ DETAIL INPUT'!AW15</f>
        <v>5342</v>
      </c>
    </row>
    <row r="17" spans="1:45">
      <c r="A17" s="121">
        <v>3</v>
      </c>
      <c r="B17" s="123" t="s">
        <v>35</v>
      </c>
      <c r="D17" s="123"/>
      <c r="E17" s="141">
        <f>'ADJ DETAIL INPUT'!E16</f>
        <v>60090</v>
      </c>
      <c r="F17" s="141">
        <f>'ADJ DETAIL INPUT'!F16</f>
        <v>0</v>
      </c>
      <c r="G17" s="141">
        <f>'ADJ DETAIL INPUT'!G16</f>
        <v>0</v>
      </c>
      <c r="H17" s="141">
        <f>'ADJ DETAIL INPUT'!H16</f>
        <v>0</v>
      </c>
      <c r="I17" s="141">
        <f>'ADJ DETAIL INPUT'!I16</f>
        <v>0</v>
      </c>
      <c r="J17" s="141">
        <f>'ADJ DETAIL INPUT'!J16</f>
        <v>0</v>
      </c>
      <c r="K17" s="141">
        <f>'ADJ DETAIL INPUT'!K16</f>
        <v>0</v>
      </c>
      <c r="L17" s="141">
        <f>'ADJ DETAIL INPUT'!L16</f>
        <v>0</v>
      </c>
      <c r="M17" s="141">
        <f>'ADJ DETAIL INPUT'!M16</f>
        <v>0</v>
      </c>
      <c r="N17" s="141">
        <f>'ADJ DETAIL INPUT'!N16</f>
        <v>0</v>
      </c>
      <c r="O17" s="141">
        <f>'ADJ DETAIL INPUT'!O16</f>
        <v>0</v>
      </c>
      <c r="P17" s="141">
        <f>'ADJ DETAIL INPUT'!P16</f>
        <v>0</v>
      </c>
      <c r="Q17" s="141">
        <f>'ADJ DETAIL INPUT'!Q16</f>
        <v>0</v>
      </c>
      <c r="R17" s="141">
        <f>'ADJ DETAIL INPUT'!R16</f>
        <v>0</v>
      </c>
      <c r="S17" s="141">
        <f>'ADJ DETAIL INPUT'!S16</f>
        <v>2095</v>
      </c>
      <c r="T17" s="141">
        <f>'ADJ DETAIL INPUT'!T16</f>
        <v>-59974</v>
      </c>
      <c r="U17" s="141">
        <f>'ADJ DETAIL INPUT'!U16</f>
        <v>-444</v>
      </c>
      <c r="V17" s="141">
        <f>'ADJ DETAIL INPUT'!V16</f>
        <v>0</v>
      </c>
      <c r="W17" s="141">
        <f>'ADJ DETAIL INPUT'!W16</f>
        <v>0</v>
      </c>
      <c r="X17" s="141">
        <f>'ADJ DETAIL INPUT'!X16</f>
        <v>0</v>
      </c>
      <c r="Y17" s="141">
        <f>'ADJ DETAIL INPUT'!AA16</f>
        <v>-1153</v>
      </c>
      <c r="Z17" s="141">
        <f>'ADJ DETAIL INPUT'!AB16</f>
        <v>0</v>
      </c>
      <c r="AA17" s="141">
        <f>'ADJ DETAIL INPUT'!AC16</f>
        <v>0</v>
      </c>
      <c r="AB17" s="141">
        <f>'ADJ DETAIL INPUT'!AD16</f>
        <v>0</v>
      </c>
      <c r="AC17" s="141">
        <f>'ADJ DETAIL INPUT'!AE16</f>
        <v>0</v>
      </c>
      <c r="AD17" s="141">
        <f>'ADJ DETAIL INPUT'!AF16</f>
        <v>0</v>
      </c>
      <c r="AE17" s="141">
        <f>'ADJ DETAIL INPUT'!AG16</f>
        <v>0</v>
      </c>
      <c r="AF17" s="141">
        <f>'ADJ DETAIL INPUT'!AH16</f>
        <v>0</v>
      </c>
      <c r="AG17" s="141">
        <f>'ADJ DETAIL INPUT'!AI16</f>
        <v>0</v>
      </c>
      <c r="AH17" s="141">
        <f>'ADJ DETAIL INPUT'!AJ16</f>
        <v>0</v>
      </c>
      <c r="AI17" s="141">
        <f>'ADJ DETAIL INPUT'!AK16</f>
        <v>0</v>
      </c>
      <c r="AJ17" s="141">
        <f>'ADJ DETAIL INPUT'!AL16</f>
        <v>0</v>
      </c>
      <c r="AK17" s="141">
        <f>'ADJ DETAIL INPUT'!AM16</f>
        <v>0</v>
      </c>
      <c r="AL17" s="141">
        <f>'ADJ DETAIL INPUT'!AN16</f>
        <v>0</v>
      </c>
      <c r="AM17" s="141">
        <f>'ADJ DETAIL INPUT'!AO16</f>
        <v>0</v>
      </c>
      <c r="AN17" s="141">
        <f>'ADJ DETAIL INPUT'!AP16</f>
        <v>0</v>
      </c>
      <c r="AO17" s="141">
        <f>'ADJ DETAIL INPUT'!AQ16</f>
        <v>0</v>
      </c>
      <c r="AP17" s="141">
        <f>'ADJ DETAIL INPUT'!AR16</f>
        <v>0</v>
      </c>
      <c r="AQ17" s="141">
        <f>'ADJ DETAIL INPUT'!AU16</f>
        <v>614</v>
      </c>
      <c r="AR17" s="141">
        <f>'ADJ DETAIL INPUT'!AV16</f>
        <v>0</v>
      </c>
      <c r="AS17" s="141">
        <f>'ADJ DETAIL INPUT'!AW16</f>
        <v>614</v>
      </c>
    </row>
    <row r="18" spans="1:45">
      <c r="A18" s="121">
        <v>4</v>
      </c>
      <c r="B18" s="97" t="s">
        <v>36</v>
      </c>
      <c r="C18" s="123"/>
      <c r="D18" s="123"/>
      <c r="E18" s="140">
        <f>SUM(E15:E17)</f>
        <v>207825</v>
      </c>
      <c r="F18" s="140">
        <f t="shared" ref="F18:AG18" si="0">SUM(F15:F17)</f>
        <v>0</v>
      </c>
      <c r="G18" s="140">
        <f t="shared" si="0"/>
        <v>0</v>
      </c>
      <c r="H18" s="140">
        <f t="shared" si="0"/>
        <v>0</v>
      </c>
      <c r="I18" s="140">
        <f t="shared" ref="I18" si="1">SUM(I15:I17)</f>
        <v>0</v>
      </c>
      <c r="J18" s="140">
        <f t="shared" si="0"/>
        <v>-5247</v>
      </c>
      <c r="K18" s="140">
        <f t="shared" si="0"/>
        <v>0</v>
      </c>
      <c r="L18" s="140">
        <f t="shared" si="0"/>
        <v>0</v>
      </c>
      <c r="M18" s="140">
        <f t="shared" si="0"/>
        <v>0</v>
      </c>
      <c r="N18" s="140">
        <f t="shared" si="0"/>
        <v>0</v>
      </c>
      <c r="O18" s="140">
        <f t="shared" si="0"/>
        <v>0</v>
      </c>
      <c r="P18" s="140">
        <f t="shared" si="0"/>
        <v>0</v>
      </c>
      <c r="Q18" s="140">
        <f t="shared" si="0"/>
        <v>0</v>
      </c>
      <c r="R18" s="140">
        <f t="shared" si="0"/>
        <v>0</v>
      </c>
      <c r="S18" s="140">
        <f t="shared" si="0"/>
        <v>-1836</v>
      </c>
      <c r="T18" s="140">
        <f t="shared" ref="T18:U18" si="2">SUM(T15:T17)</f>
        <v>-51914</v>
      </c>
      <c r="U18" s="140">
        <f t="shared" si="2"/>
        <v>-444</v>
      </c>
      <c r="V18" s="140">
        <f t="shared" ref="V18" si="3">SUM(V15:V17)</f>
        <v>0</v>
      </c>
      <c r="W18" s="140">
        <f>SUM(W15:W17)</f>
        <v>0</v>
      </c>
      <c r="X18" s="140">
        <f>SUM(X15:X17)</f>
        <v>0</v>
      </c>
      <c r="Y18" s="140">
        <f>SUM(Y15:Y17)</f>
        <v>-42597</v>
      </c>
      <c r="Z18" s="140">
        <f>SUM(Z15:Z17)</f>
        <v>0</v>
      </c>
      <c r="AA18" s="140">
        <f>SUM(AA15:AA17)</f>
        <v>0</v>
      </c>
      <c r="AB18" s="140">
        <f t="shared" si="0"/>
        <v>0</v>
      </c>
      <c r="AC18" s="140">
        <f t="shared" ref="AC18" si="4">SUM(AC15:AC17)</f>
        <v>0</v>
      </c>
      <c r="AD18" s="140">
        <f t="shared" si="0"/>
        <v>0</v>
      </c>
      <c r="AE18" s="140">
        <f t="shared" ref="AE18" si="5">SUM(AE15:AE17)</f>
        <v>0</v>
      </c>
      <c r="AF18" s="140">
        <f t="shared" ref="AF18" si="6">SUM(AF15:AF17)</f>
        <v>0</v>
      </c>
      <c r="AG18" s="140">
        <f t="shared" si="0"/>
        <v>0</v>
      </c>
      <c r="AH18" s="140">
        <f>SUM(AH15:AH17)</f>
        <v>0</v>
      </c>
      <c r="AI18" s="140">
        <f t="shared" ref="AI18" si="7">SUM(AI15:AI17)</f>
        <v>0</v>
      </c>
      <c r="AJ18" s="140">
        <f t="shared" ref="AJ18:AK18" si="8">SUM(AJ15:AJ17)</f>
        <v>0</v>
      </c>
      <c r="AK18" s="140">
        <f t="shared" si="8"/>
        <v>0</v>
      </c>
      <c r="AL18" s="140">
        <f t="shared" ref="AL18:AP18" si="9">SUM(AL15:AL17)</f>
        <v>0</v>
      </c>
      <c r="AM18" s="140">
        <f t="shared" si="9"/>
        <v>0</v>
      </c>
      <c r="AN18" s="140">
        <f t="shared" si="9"/>
        <v>0</v>
      </c>
      <c r="AO18" s="140">
        <f t="shared" si="9"/>
        <v>0</v>
      </c>
      <c r="AP18" s="140">
        <f t="shared" si="9"/>
        <v>0</v>
      </c>
      <c r="AQ18" s="140">
        <f t="shared" ref="AQ18:AR18" si="10">SUM(AQ15:AQ17)</f>
        <v>105787</v>
      </c>
      <c r="AR18" s="140">
        <f t="shared" si="10"/>
        <v>0</v>
      </c>
      <c r="AS18" s="140">
        <f t="shared" ref="AS18" si="11">SUM(AS15:AS17)</f>
        <v>105787</v>
      </c>
    </row>
    <row r="19" spans="1:45">
      <c r="C19" s="123"/>
      <c r="D19" s="123"/>
      <c r="E19" s="140"/>
      <c r="F19" s="140"/>
      <c r="G19" s="140"/>
      <c r="H19" s="140"/>
      <c r="I19" s="140"/>
      <c r="J19" s="140"/>
      <c r="K19" s="140"/>
      <c r="L19" s="140"/>
      <c r="M19" s="140"/>
      <c r="N19" s="140"/>
      <c r="O19" s="140"/>
      <c r="P19" s="140"/>
      <c r="Q19" s="140"/>
      <c r="R19" s="140"/>
      <c r="S19" s="140"/>
      <c r="T19" s="140"/>
      <c r="U19" s="140"/>
      <c r="V19" s="140"/>
      <c r="W19" s="140"/>
      <c r="X19" s="140"/>
      <c r="Y19" s="140"/>
      <c r="Z19" s="140"/>
      <c r="AA19" s="140"/>
      <c r="AB19" s="140"/>
      <c r="AC19" s="140"/>
      <c r="AD19" s="140"/>
      <c r="AE19" s="140"/>
      <c r="AF19" s="140"/>
      <c r="AG19" s="140"/>
      <c r="AH19" s="140"/>
      <c r="AI19" s="140"/>
      <c r="AJ19" s="140"/>
      <c r="AK19" s="140"/>
      <c r="AL19" s="140"/>
      <c r="AM19" s="140"/>
      <c r="AN19" s="140"/>
      <c r="AO19" s="140"/>
      <c r="AP19" s="140"/>
      <c r="AQ19" s="140"/>
      <c r="AR19" s="140"/>
      <c r="AS19" s="140"/>
    </row>
    <row r="20" spans="1:45">
      <c r="B20" s="97" t="s">
        <v>37</v>
      </c>
      <c r="C20" s="123"/>
      <c r="D20" s="123"/>
      <c r="E20" s="140"/>
      <c r="F20" s="140"/>
      <c r="G20" s="140"/>
      <c r="H20" s="140"/>
      <c r="I20" s="140"/>
      <c r="J20" s="140"/>
      <c r="K20" s="140"/>
      <c r="L20" s="140"/>
      <c r="M20" s="140"/>
      <c r="N20" s="140"/>
      <c r="O20" s="140"/>
      <c r="P20" s="140"/>
      <c r="Q20" s="140"/>
      <c r="R20" s="140"/>
      <c r="S20" s="140"/>
      <c r="T20" s="140"/>
      <c r="U20" s="140"/>
      <c r="V20" s="140"/>
      <c r="W20" s="140"/>
      <c r="X20" s="140"/>
      <c r="Y20" s="140"/>
      <c r="Z20" s="140"/>
      <c r="AA20" s="140"/>
      <c r="AB20" s="140"/>
      <c r="AC20" s="140"/>
      <c r="AD20" s="140"/>
      <c r="AE20" s="140"/>
      <c r="AF20" s="140"/>
      <c r="AG20" s="140"/>
      <c r="AH20" s="140"/>
      <c r="AI20" s="140"/>
      <c r="AJ20" s="140"/>
      <c r="AK20" s="140"/>
      <c r="AL20" s="140"/>
      <c r="AM20" s="140"/>
      <c r="AN20" s="140"/>
      <c r="AO20" s="140"/>
      <c r="AP20" s="140"/>
      <c r="AQ20" s="140"/>
      <c r="AR20" s="140"/>
      <c r="AS20" s="140"/>
    </row>
    <row r="21" spans="1:45">
      <c r="B21" s="123" t="s">
        <v>193</v>
      </c>
      <c r="D21" s="123"/>
      <c r="E21" s="140"/>
      <c r="F21" s="140"/>
      <c r="G21" s="140"/>
      <c r="H21" s="140"/>
      <c r="I21" s="140"/>
      <c r="J21" s="140"/>
      <c r="K21" s="140"/>
      <c r="L21" s="140"/>
      <c r="M21" s="140"/>
      <c r="N21" s="140"/>
      <c r="O21" s="140"/>
      <c r="P21" s="140"/>
      <c r="Q21" s="140"/>
      <c r="R21" s="140"/>
      <c r="S21" s="140"/>
      <c r="T21" s="140"/>
      <c r="U21" s="140"/>
      <c r="V21" s="140"/>
      <c r="W21" s="140"/>
      <c r="X21" s="140"/>
      <c r="Y21" s="140"/>
      <c r="Z21" s="140"/>
      <c r="AA21" s="140"/>
      <c r="AB21" s="140"/>
      <c r="AC21" s="140"/>
      <c r="AD21" s="140"/>
      <c r="AE21" s="140"/>
      <c r="AF21" s="140"/>
      <c r="AG21" s="140"/>
      <c r="AH21" s="140"/>
      <c r="AI21" s="140"/>
      <c r="AJ21" s="140"/>
      <c r="AK21" s="140"/>
      <c r="AL21" s="140"/>
      <c r="AM21" s="140"/>
      <c r="AN21" s="140"/>
      <c r="AO21" s="140"/>
      <c r="AP21" s="140"/>
      <c r="AQ21" s="140"/>
      <c r="AR21" s="140"/>
      <c r="AS21" s="140"/>
    </row>
    <row r="22" spans="1:45">
      <c r="A22" s="121">
        <v>5</v>
      </c>
      <c r="C22" s="123" t="s">
        <v>38</v>
      </c>
      <c r="D22" s="123"/>
      <c r="E22" s="140">
        <f>'ADJ DETAIL INPUT'!E21</f>
        <v>100541</v>
      </c>
      <c r="F22" s="140">
        <f>'ADJ DETAIL INPUT'!F21</f>
        <v>0</v>
      </c>
      <c r="G22" s="140">
        <f>'ADJ DETAIL INPUT'!G21</f>
        <v>0</v>
      </c>
      <c r="H22" s="140">
        <f>'ADJ DETAIL INPUT'!H21</f>
        <v>0</v>
      </c>
      <c r="I22" s="140">
        <f>'ADJ DETAIL INPUT'!I21</f>
        <v>0</v>
      </c>
      <c r="J22" s="140">
        <f>'ADJ DETAIL INPUT'!J21</f>
        <v>0</v>
      </c>
      <c r="K22" s="140">
        <f>'ADJ DETAIL INPUT'!K21</f>
        <v>0</v>
      </c>
      <c r="L22" s="140">
        <f>'ADJ DETAIL INPUT'!L21</f>
        <v>0</v>
      </c>
      <c r="M22" s="140">
        <f>'ADJ DETAIL INPUT'!M21</f>
        <v>0</v>
      </c>
      <c r="N22" s="140">
        <f>'ADJ DETAIL INPUT'!N21</f>
        <v>0</v>
      </c>
      <c r="O22" s="140">
        <f>'ADJ DETAIL INPUT'!O21</f>
        <v>0</v>
      </c>
      <c r="P22" s="140">
        <f>'ADJ DETAIL INPUT'!P21</f>
        <v>0</v>
      </c>
      <c r="Q22" s="140">
        <f>'ADJ DETAIL INPUT'!Q21</f>
        <v>0</v>
      </c>
      <c r="R22" s="140">
        <f>'ADJ DETAIL INPUT'!R21</f>
        <v>0</v>
      </c>
      <c r="S22" s="140">
        <f>'ADJ DETAIL INPUT'!S21</f>
        <v>-1655</v>
      </c>
      <c r="T22" s="140">
        <f>'ADJ DETAIL INPUT'!T21</f>
        <v>-47738</v>
      </c>
      <c r="U22" s="140">
        <f>'ADJ DETAIL INPUT'!U21</f>
        <v>0</v>
      </c>
      <c r="V22" s="140">
        <f>'ADJ DETAIL INPUT'!V21</f>
        <v>0</v>
      </c>
      <c r="W22" s="140">
        <f>'ADJ DETAIL INPUT'!W21</f>
        <v>0</v>
      </c>
      <c r="X22" s="140">
        <f>'ADJ DETAIL INPUT'!X21</f>
        <v>0</v>
      </c>
      <c r="Y22" s="140">
        <f>'ADJ DETAIL INPUT'!AA21</f>
        <v>-51148</v>
      </c>
      <c r="Z22" s="140">
        <f>'ADJ DETAIL INPUT'!AB21</f>
        <v>0</v>
      </c>
      <c r="AA22" s="140">
        <f>'ADJ DETAIL INPUT'!AC21</f>
        <v>0</v>
      </c>
      <c r="AB22" s="140">
        <f>'ADJ DETAIL INPUT'!AD21</f>
        <v>0</v>
      </c>
      <c r="AC22" s="140">
        <f>'ADJ DETAIL INPUT'!AE21</f>
        <v>0</v>
      </c>
      <c r="AD22" s="140">
        <f>'ADJ DETAIL INPUT'!AF21</f>
        <v>0</v>
      </c>
      <c r="AE22" s="140">
        <f>'ADJ DETAIL INPUT'!AG21</f>
        <v>0</v>
      </c>
      <c r="AF22" s="140">
        <f>'ADJ DETAIL INPUT'!AH21</f>
        <v>0</v>
      </c>
      <c r="AG22" s="140">
        <f>'ADJ DETAIL INPUT'!AI21</f>
        <v>0</v>
      </c>
      <c r="AH22" s="140">
        <f>'ADJ DETAIL INPUT'!AJ21</f>
        <v>0</v>
      </c>
      <c r="AI22" s="140">
        <f>'ADJ DETAIL INPUT'!AK21</f>
        <v>0</v>
      </c>
      <c r="AJ22" s="140">
        <f>'ADJ DETAIL INPUT'!AL21</f>
        <v>0</v>
      </c>
      <c r="AK22" s="140">
        <f>'ADJ DETAIL INPUT'!AM21</f>
        <v>0</v>
      </c>
      <c r="AL22" s="140">
        <f>'ADJ DETAIL INPUT'!AN21</f>
        <v>0</v>
      </c>
      <c r="AM22" s="140">
        <f>'ADJ DETAIL INPUT'!AO21</f>
        <v>0</v>
      </c>
      <c r="AN22" s="140">
        <f>'ADJ DETAIL INPUT'!AP21</f>
        <v>0</v>
      </c>
      <c r="AO22" s="140">
        <f>'ADJ DETAIL INPUT'!AQ21</f>
        <v>0</v>
      </c>
      <c r="AP22" s="140">
        <f>'ADJ DETAIL INPUT'!AR21</f>
        <v>0</v>
      </c>
      <c r="AQ22" s="140">
        <f>'ADJ DETAIL INPUT'!AU21</f>
        <v>0</v>
      </c>
      <c r="AR22" s="140">
        <f>'ADJ DETAIL INPUT'!AV21</f>
        <v>0</v>
      </c>
      <c r="AS22" s="140">
        <f>'ADJ DETAIL INPUT'!AW21</f>
        <v>0</v>
      </c>
    </row>
    <row r="23" spans="1:45">
      <c r="A23" s="121">
        <v>6</v>
      </c>
      <c r="C23" s="123" t="s">
        <v>39</v>
      </c>
      <c r="D23" s="123"/>
      <c r="E23" s="140">
        <f>'ADJ DETAIL INPUT'!E22</f>
        <v>959</v>
      </c>
      <c r="F23" s="140">
        <f>'ADJ DETAIL INPUT'!F22</f>
        <v>0</v>
      </c>
      <c r="G23" s="140">
        <f>'ADJ DETAIL INPUT'!G22</f>
        <v>0</v>
      </c>
      <c r="H23" s="140">
        <f>'ADJ DETAIL INPUT'!H22</f>
        <v>0</v>
      </c>
      <c r="I23" s="140">
        <f>'ADJ DETAIL INPUT'!I22</f>
        <v>0</v>
      </c>
      <c r="J23" s="140">
        <f>'ADJ DETAIL INPUT'!J22</f>
        <v>0</v>
      </c>
      <c r="K23" s="140">
        <f>'ADJ DETAIL INPUT'!K22</f>
        <v>0</v>
      </c>
      <c r="L23" s="140">
        <f>'ADJ DETAIL INPUT'!L22</f>
        <v>0</v>
      </c>
      <c r="M23" s="140">
        <f>'ADJ DETAIL INPUT'!M22</f>
        <v>0</v>
      </c>
      <c r="N23" s="140">
        <f>'ADJ DETAIL INPUT'!N22</f>
        <v>0</v>
      </c>
      <c r="O23" s="140">
        <f>'ADJ DETAIL INPUT'!O22</f>
        <v>0</v>
      </c>
      <c r="P23" s="140">
        <f>'ADJ DETAIL INPUT'!P22</f>
        <v>0</v>
      </c>
      <c r="Q23" s="140">
        <f>'ADJ DETAIL INPUT'!Q22</f>
        <v>0</v>
      </c>
      <c r="R23" s="140">
        <f>'ADJ DETAIL INPUT'!R22</f>
        <v>0</v>
      </c>
      <c r="S23" s="140">
        <f>'ADJ DETAIL INPUT'!S22</f>
        <v>-3</v>
      </c>
      <c r="T23" s="140">
        <f>'ADJ DETAIL INPUT'!T22</f>
        <v>0</v>
      </c>
      <c r="U23" s="140">
        <f>'ADJ DETAIL INPUT'!U22</f>
        <v>0</v>
      </c>
      <c r="V23" s="140">
        <f>'ADJ DETAIL INPUT'!V22</f>
        <v>0</v>
      </c>
      <c r="W23" s="140">
        <f>'ADJ DETAIL INPUT'!W22</f>
        <v>0</v>
      </c>
      <c r="X23" s="140">
        <f>'ADJ DETAIL INPUT'!X22</f>
        <v>0</v>
      </c>
      <c r="Y23" s="140">
        <f>'ADJ DETAIL INPUT'!AA22</f>
        <v>0</v>
      </c>
      <c r="Z23" s="140">
        <f>'ADJ DETAIL INPUT'!AB22</f>
        <v>0</v>
      </c>
      <c r="AA23" s="140">
        <f>'ADJ DETAIL INPUT'!AC22</f>
        <v>0</v>
      </c>
      <c r="AB23" s="140">
        <f>'ADJ DETAIL INPUT'!AD22</f>
        <v>30</v>
      </c>
      <c r="AC23" s="140">
        <f>'ADJ DETAIL INPUT'!AE22</f>
        <v>0</v>
      </c>
      <c r="AD23" s="140">
        <f>'ADJ DETAIL INPUT'!AF22</f>
        <v>11</v>
      </c>
      <c r="AE23" s="140">
        <f>'ADJ DETAIL INPUT'!AG22</f>
        <v>0</v>
      </c>
      <c r="AF23" s="140">
        <f>'ADJ DETAIL INPUT'!AH22</f>
        <v>0</v>
      </c>
      <c r="AG23" s="140">
        <f>'ADJ DETAIL INPUT'!AI22</f>
        <v>0</v>
      </c>
      <c r="AH23" s="140">
        <f>'ADJ DETAIL INPUT'!AJ22</f>
        <v>0</v>
      </c>
      <c r="AI23" s="140">
        <f>'ADJ DETAIL INPUT'!AK22</f>
        <v>0</v>
      </c>
      <c r="AJ23" s="140">
        <f>'ADJ DETAIL INPUT'!AL22</f>
        <v>0</v>
      </c>
      <c r="AK23" s="140">
        <f>'ADJ DETAIL INPUT'!AM22</f>
        <v>0</v>
      </c>
      <c r="AL23" s="140">
        <f>'ADJ DETAIL INPUT'!AN22</f>
        <v>0</v>
      </c>
      <c r="AM23" s="140">
        <f>'ADJ DETAIL INPUT'!AO22</f>
        <v>0</v>
      </c>
      <c r="AN23" s="140">
        <f>'ADJ DETAIL INPUT'!AP22</f>
        <v>0</v>
      </c>
      <c r="AO23" s="140">
        <f>'ADJ DETAIL INPUT'!AQ22</f>
        <v>0</v>
      </c>
      <c r="AP23" s="140">
        <f>'ADJ DETAIL INPUT'!AR22</f>
        <v>0</v>
      </c>
      <c r="AQ23" s="140">
        <f>'ADJ DETAIL INPUT'!AU22</f>
        <v>997</v>
      </c>
      <c r="AR23" s="140">
        <f>'ADJ DETAIL INPUT'!AV22</f>
        <v>0</v>
      </c>
      <c r="AS23" s="140">
        <f>'ADJ DETAIL INPUT'!AW22</f>
        <v>997</v>
      </c>
    </row>
    <row r="24" spans="1:45">
      <c r="A24" s="121">
        <v>7</v>
      </c>
      <c r="C24" s="123" t="s">
        <v>40</v>
      </c>
      <c r="D24" s="123"/>
      <c r="E24" s="141">
        <f>'ADJ DETAIL INPUT'!E23</f>
        <v>-1928</v>
      </c>
      <c r="F24" s="141">
        <f>'ADJ DETAIL INPUT'!F23</f>
        <v>0</v>
      </c>
      <c r="G24" s="141">
        <f>'ADJ DETAIL INPUT'!G23</f>
        <v>0</v>
      </c>
      <c r="H24" s="141">
        <f>'ADJ DETAIL INPUT'!H23</f>
        <v>0</v>
      </c>
      <c r="I24" s="141">
        <f>'ADJ DETAIL INPUT'!I23</f>
        <v>0</v>
      </c>
      <c r="J24" s="141">
        <f>'ADJ DETAIL INPUT'!J23</f>
        <v>0</v>
      </c>
      <c r="K24" s="141">
        <f>'ADJ DETAIL INPUT'!K23</f>
        <v>0</v>
      </c>
      <c r="L24" s="141">
        <f>'ADJ DETAIL INPUT'!L23</f>
        <v>0</v>
      </c>
      <c r="M24" s="141">
        <f>'ADJ DETAIL INPUT'!M23</f>
        <v>0</v>
      </c>
      <c r="N24" s="141">
        <f>'ADJ DETAIL INPUT'!N23</f>
        <v>0</v>
      </c>
      <c r="O24" s="141">
        <f>'ADJ DETAIL INPUT'!O23</f>
        <v>0</v>
      </c>
      <c r="P24" s="141">
        <f>'ADJ DETAIL INPUT'!P23</f>
        <v>0</v>
      </c>
      <c r="Q24" s="141">
        <f>'ADJ DETAIL INPUT'!Q23</f>
        <v>0</v>
      </c>
      <c r="R24" s="141">
        <f>'ADJ DETAIL INPUT'!R23</f>
        <v>0</v>
      </c>
      <c r="S24" s="141">
        <f>'ADJ DETAIL INPUT'!S23</f>
        <v>0</v>
      </c>
      <c r="T24" s="141">
        <f>'ADJ DETAIL INPUT'!T23</f>
        <v>1928</v>
      </c>
      <c r="U24" s="141">
        <f>'ADJ DETAIL INPUT'!U23</f>
        <v>0</v>
      </c>
      <c r="V24" s="141">
        <f>'ADJ DETAIL INPUT'!V23</f>
        <v>0</v>
      </c>
      <c r="W24" s="141">
        <f>'ADJ DETAIL INPUT'!W23</f>
        <v>0</v>
      </c>
      <c r="X24" s="141">
        <f>'ADJ DETAIL INPUT'!X23</f>
        <v>0</v>
      </c>
      <c r="Y24" s="141">
        <f>'ADJ DETAIL INPUT'!AA23</f>
        <v>0</v>
      </c>
      <c r="Z24" s="141">
        <f>'ADJ DETAIL INPUT'!AB23</f>
        <v>0</v>
      </c>
      <c r="AA24" s="141">
        <f>'ADJ DETAIL INPUT'!AC23</f>
        <v>0</v>
      </c>
      <c r="AB24" s="141">
        <f>'ADJ DETAIL INPUT'!AD23</f>
        <v>0</v>
      </c>
      <c r="AC24" s="141">
        <f>'ADJ DETAIL INPUT'!AE23</f>
        <v>0</v>
      </c>
      <c r="AD24" s="141">
        <f>'ADJ DETAIL INPUT'!AF23</f>
        <v>0</v>
      </c>
      <c r="AE24" s="141">
        <f>'ADJ DETAIL INPUT'!AG23</f>
        <v>0</v>
      </c>
      <c r="AF24" s="141">
        <f>'ADJ DETAIL INPUT'!AH23</f>
        <v>0</v>
      </c>
      <c r="AG24" s="141">
        <f>'ADJ DETAIL INPUT'!AI23</f>
        <v>0</v>
      </c>
      <c r="AH24" s="141">
        <f>'ADJ DETAIL INPUT'!AJ23</f>
        <v>0</v>
      </c>
      <c r="AI24" s="141">
        <f>'ADJ DETAIL INPUT'!AK23</f>
        <v>0</v>
      </c>
      <c r="AJ24" s="141">
        <f>'ADJ DETAIL INPUT'!AL23</f>
        <v>0</v>
      </c>
      <c r="AK24" s="141">
        <f>'ADJ DETAIL INPUT'!AM23</f>
        <v>0</v>
      </c>
      <c r="AL24" s="141">
        <f>'ADJ DETAIL INPUT'!AN23</f>
        <v>0</v>
      </c>
      <c r="AM24" s="141">
        <f>'ADJ DETAIL INPUT'!AO23</f>
        <v>0</v>
      </c>
      <c r="AN24" s="141">
        <f>'ADJ DETAIL INPUT'!AP23</f>
        <v>0</v>
      </c>
      <c r="AO24" s="141">
        <f>'ADJ DETAIL INPUT'!AQ23</f>
        <v>0</v>
      </c>
      <c r="AP24" s="141">
        <f>'ADJ DETAIL INPUT'!AR23</f>
        <v>0</v>
      </c>
      <c r="AQ24" s="141">
        <f>'ADJ DETAIL INPUT'!AU23</f>
        <v>0</v>
      </c>
      <c r="AR24" s="141">
        <f>'ADJ DETAIL INPUT'!AV23</f>
        <v>0</v>
      </c>
      <c r="AS24" s="141">
        <f>'ADJ DETAIL INPUT'!AW23</f>
        <v>0</v>
      </c>
    </row>
    <row r="25" spans="1:45">
      <c r="A25" s="121">
        <v>8</v>
      </c>
      <c r="B25" s="123" t="s">
        <v>41</v>
      </c>
      <c r="C25" s="123"/>
      <c r="E25" s="142">
        <f>SUM(E22:E24)</f>
        <v>99572</v>
      </c>
      <c r="F25" s="142">
        <f t="shared" ref="F25:AG25" si="12">SUM(F22:F24)</f>
        <v>0</v>
      </c>
      <c r="G25" s="142">
        <f t="shared" si="12"/>
        <v>0</v>
      </c>
      <c r="H25" s="142">
        <f t="shared" si="12"/>
        <v>0</v>
      </c>
      <c r="I25" s="142">
        <f t="shared" ref="I25" si="13">SUM(I22:I24)</f>
        <v>0</v>
      </c>
      <c r="J25" s="142">
        <f t="shared" si="12"/>
        <v>0</v>
      </c>
      <c r="K25" s="142">
        <f t="shared" si="12"/>
        <v>0</v>
      </c>
      <c r="L25" s="142">
        <f t="shared" si="12"/>
        <v>0</v>
      </c>
      <c r="M25" s="142">
        <f t="shared" si="12"/>
        <v>0</v>
      </c>
      <c r="N25" s="142">
        <f t="shared" si="12"/>
        <v>0</v>
      </c>
      <c r="O25" s="142">
        <f t="shared" si="12"/>
        <v>0</v>
      </c>
      <c r="P25" s="142">
        <f t="shared" si="12"/>
        <v>0</v>
      </c>
      <c r="Q25" s="142">
        <f t="shared" si="12"/>
        <v>0</v>
      </c>
      <c r="R25" s="142">
        <f t="shared" si="12"/>
        <v>0</v>
      </c>
      <c r="S25" s="142">
        <f t="shared" si="12"/>
        <v>-1658</v>
      </c>
      <c r="T25" s="142">
        <f t="shared" ref="T25:U25" si="14">SUM(T22:T24)</f>
        <v>-45810</v>
      </c>
      <c r="U25" s="142">
        <f t="shared" si="14"/>
        <v>0</v>
      </c>
      <c r="V25" s="142">
        <f t="shared" ref="V25" si="15">SUM(V22:V24)</f>
        <v>0</v>
      </c>
      <c r="W25" s="142">
        <f>SUM(W22:W24)</f>
        <v>0</v>
      </c>
      <c r="X25" s="142">
        <f>SUM(X22:X24)</f>
        <v>0</v>
      </c>
      <c r="Y25" s="142">
        <f>SUM(Y22:Y24)</f>
        <v>-51148</v>
      </c>
      <c r="Z25" s="142">
        <f>SUM(Z22:Z24)</f>
        <v>0</v>
      </c>
      <c r="AA25" s="142">
        <f>SUM(AA22:AA24)</f>
        <v>0</v>
      </c>
      <c r="AB25" s="142">
        <f t="shared" si="12"/>
        <v>30</v>
      </c>
      <c r="AC25" s="142">
        <f t="shared" ref="AC25" si="16">SUM(AC22:AC24)</f>
        <v>0</v>
      </c>
      <c r="AD25" s="142">
        <f t="shared" si="12"/>
        <v>11</v>
      </c>
      <c r="AE25" s="142">
        <f t="shared" ref="AE25" si="17">SUM(AE22:AE24)</f>
        <v>0</v>
      </c>
      <c r="AF25" s="142">
        <f t="shared" ref="AF25" si="18">SUM(AF22:AF24)</f>
        <v>0</v>
      </c>
      <c r="AG25" s="142">
        <f t="shared" si="12"/>
        <v>0</v>
      </c>
      <c r="AH25" s="142">
        <f>SUM(AH22:AH24)</f>
        <v>0</v>
      </c>
      <c r="AI25" s="142">
        <f t="shared" ref="AI25" si="19">SUM(AI22:AI24)</f>
        <v>0</v>
      </c>
      <c r="AJ25" s="142">
        <f t="shared" ref="AJ25:AK25" si="20">SUM(AJ22:AJ24)</f>
        <v>0</v>
      </c>
      <c r="AK25" s="142">
        <f t="shared" si="20"/>
        <v>0</v>
      </c>
      <c r="AL25" s="142">
        <f t="shared" ref="AL25:AP25" si="21">SUM(AL22:AL24)</f>
        <v>0</v>
      </c>
      <c r="AM25" s="142">
        <f t="shared" si="21"/>
        <v>0</v>
      </c>
      <c r="AN25" s="142">
        <f t="shared" si="21"/>
        <v>0</v>
      </c>
      <c r="AO25" s="142">
        <f t="shared" si="21"/>
        <v>0</v>
      </c>
      <c r="AP25" s="142">
        <f t="shared" si="21"/>
        <v>0</v>
      </c>
      <c r="AQ25" s="142">
        <f t="shared" ref="AQ25:AR25" si="22">SUM(AQ22:AQ24)</f>
        <v>997</v>
      </c>
      <c r="AR25" s="142">
        <f t="shared" si="22"/>
        <v>0</v>
      </c>
      <c r="AS25" s="142">
        <f t="shared" ref="AS25" si="23">SUM(AS22:AS24)</f>
        <v>997</v>
      </c>
    </row>
    <row r="26" spans="1:45">
      <c r="B26" s="123"/>
      <c r="C26" s="123"/>
      <c r="E26" s="140"/>
      <c r="F26" s="140"/>
      <c r="G26" s="140"/>
      <c r="H26" s="140"/>
      <c r="I26" s="140"/>
      <c r="J26" s="140"/>
      <c r="K26" s="140"/>
      <c r="L26" s="140"/>
      <c r="M26" s="140"/>
      <c r="N26" s="140"/>
      <c r="O26" s="140"/>
      <c r="P26" s="140"/>
      <c r="Q26" s="140"/>
      <c r="R26" s="140"/>
      <c r="S26" s="140"/>
      <c r="T26" s="140"/>
      <c r="U26" s="140"/>
      <c r="V26" s="140"/>
      <c r="W26" s="140"/>
      <c r="X26" s="140"/>
      <c r="Y26" s="140"/>
      <c r="Z26" s="140"/>
      <c r="AA26" s="140"/>
      <c r="AB26" s="140"/>
      <c r="AC26" s="140"/>
      <c r="AD26" s="140"/>
      <c r="AE26" s="140"/>
      <c r="AF26" s="140"/>
      <c r="AG26" s="140"/>
      <c r="AH26" s="140"/>
      <c r="AI26" s="140"/>
      <c r="AJ26" s="140"/>
      <c r="AK26" s="140"/>
      <c r="AL26" s="140"/>
      <c r="AM26" s="140"/>
      <c r="AN26" s="140"/>
      <c r="AO26" s="140"/>
      <c r="AP26" s="140"/>
      <c r="AQ26" s="140"/>
      <c r="AR26" s="140"/>
      <c r="AS26" s="140"/>
    </row>
    <row r="27" spans="1:45">
      <c r="B27" s="123" t="s">
        <v>42</v>
      </c>
      <c r="D27" s="123"/>
      <c r="E27" s="140"/>
      <c r="F27" s="140"/>
      <c r="G27" s="140"/>
      <c r="H27" s="140"/>
      <c r="I27" s="140"/>
      <c r="J27" s="140"/>
      <c r="K27" s="140"/>
      <c r="L27" s="140"/>
      <c r="M27" s="140"/>
      <c r="N27" s="140"/>
      <c r="O27" s="140"/>
      <c r="P27" s="140"/>
      <c r="Q27" s="140"/>
      <c r="R27" s="140"/>
      <c r="S27" s="140"/>
      <c r="T27" s="140"/>
      <c r="U27" s="140"/>
      <c r="V27" s="140"/>
      <c r="W27" s="140"/>
      <c r="X27" s="140"/>
      <c r="Y27" s="140"/>
      <c r="Z27" s="140"/>
      <c r="AA27" s="140"/>
      <c r="AB27" s="140"/>
      <c r="AC27" s="140"/>
      <c r="AD27" s="140"/>
      <c r="AE27" s="140"/>
      <c r="AF27" s="140"/>
      <c r="AG27" s="140"/>
      <c r="AH27" s="140"/>
      <c r="AI27" s="140"/>
      <c r="AJ27" s="140"/>
      <c r="AK27" s="140"/>
      <c r="AL27" s="140"/>
      <c r="AM27" s="140"/>
      <c r="AN27" s="140"/>
      <c r="AO27" s="140"/>
      <c r="AP27" s="140"/>
      <c r="AQ27" s="140"/>
      <c r="AR27" s="140"/>
      <c r="AS27" s="140"/>
    </row>
    <row r="28" spans="1:45">
      <c r="A28" s="121">
        <v>9</v>
      </c>
      <c r="C28" s="123" t="s">
        <v>43</v>
      </c>
      <c r="D28" s="123"/>
      <c r="E28" s="140">
        <f>'ADJ DETAIL INPUT'!E27</f>
        <v>1883</v>
      </c>
      <c r="F28" s="140">
        <f>'ADJ DETAIL INPUT'!F27</f>
        <v>0</v>
      </c>
      <c r="G28" s="140">
        <f>'ADJ DETAIL INPUT'!G27</f>
        <v>0</v>
      </c>
      <c r="H28" s="140">
        <f>'ADJ DETAIL INPUT'!H27</f>
        <v>0</v>
      </c>
      <c r="I28" s="140">
        <f>'ADJ DETAIL INPUT'!I27</f>
        <v>0</v>
      </c>
      <c r="J28" s="140">
        <f>'ADJ DETAIL INPUT'!J27</f>
        <v>0</v>
      </c>
      <c r="K28" s="140">
        <f>'ADJ DETAIL INPUT'!K27</f>
        <v>0</v>
      </c>
      <c r="L28" s="140">
        <f>'ADJ DETAIL INPUT'!L27</f>
        <v>0</v>
      </c>
      <c r="M28" s="140">
        <f>'ADJ DETAIL INPUT'!M27</f>
        <v>0</v>
      </c>
      <c r="N28" s="140">
        <f>'ADJ DETAIL INPUT'!N27</f>
        <v>0</v>
      </c>
      <c r="O28" s="140">
        <f>'ADJ DETAIL INPUT'!O27</f>
        <v>0</v>
      </c>
      <c r="P28" s="140">
        <f>'ADJ DETAIL INPUT'!P27</f>
        <v>0</v>
      </c>
      <c r="Q28" s="140">
        <f>'ADJ DETAIL INPUT'!Q27</f>
        <v>0</v>
      </c>
      <c r="R28" s="140">
        <f>'ADJ DETAIL INPUT'!R27</f>
        <v>0</v>
      </c>
      <c r="S28" s="140">
        <f>'ADJ DETAIL INPUT'!S27</f>
        <v>0</v>
      </c>
      <c r="T28" s="140">
        <f>'ADJ DETAIL INPUT'!T27</f>
        <v>0</v>
      </c>
      <c r="U28" s="140">
        <f>'ADJ DETAIL INPUT'!U27</f>
        <v>0</v>
      </c>
      <c r="V28" s="140">
        <f>'ADJ DETAIL INPUT'!V27</f>
        <v>0</v>
      </c>
      <c r="W28" s="140">
        <f>'ADJ DETAIL INPUT'!W27</f>
        <v>0</v>
      </c>
      <c r="X28" s="140">
        <f>'ADJ DETAIL INPUT'!X27</f>
        <v>0</v>
      </c>
      <c r="Y28" s="140">
        <f>'ADJ DETAIL INPUT'!AA27</f>
        <v>0</v>
      </c>
      <c r="Z28" s="140">
        <f>'ADJ DETAIL INPUT'!AB27</f>
        <v>0</v>
      </c>
      <c r="AA28" s="140">
        <f>'ADJ DETAIL INPUT'!AC27</f>
        <v>0</v>
      </c>
      <c r="AB28" s="140">
        <f>'ADJ DETAIL INPUT'!AD27</f>
        <v>0</v>
      </c>
      <c r="AC28" s="140">
        <f>'ADJ DETAIL INPUT'!AE27</f>
        <v>0</v>
      </c>
      <c r="AD28" s="140">
        <f>'ADJ DETAIL INPUT'!AF27</f>
        <v>0</v>
      </c>
      <c r="AE28" s="140">
        <f>'ADJ DETAIL INPUT'!AG27</f>
        <v>0</v>
      </c>
      <c r="AF28" s="140">
        <f>'ADJ DETAIL INPUT'!AH27</f>
        <v>0</v>
      </c>
      <c r="AG28" s="140">
        <f>'ADJ DETAIL INPUT'!AI27</f>
        <v>0</v>
      </c>
      <c r="AH28" s="140">
        <f>'ADJ DETAIL INPUT'!AJ27</f>
        <v>0</v>
      </c>
      <c r="AI28" s="140">
        <f>'ADJ DETAIL INPUT'!AK27</f>
        <v>0</v>
      </c>
      <c r="AJ28" s="140">
        <f>'ADJ DETAIL INPUT'!AL27</f>
        <v>0</v>
      </c>
      <c r="AK28" s="140">
        <f>'ADJ DETAIL INPUT'!AM27</f>
        <v>0</v>
      </c>
      <c r="AL28" s="140">
        <f>'ADJ DETAIL INPUT'!AN27</f>
        <v>0</v>
      </c>
      <c r="AM28" s="140">
        <f>'ADJ DETAIL INPUT'!AO27</f>
        <v>0</v>
      </c>
      <c r="AN28" s="140">
        <f>'ADJ DETAIL INPUT'!AP27</f>
        <v>0</v>
      </c>
      <c r="AO28" s="140">
        <f>'ADJ DETAIL INPUT'!AQ27</f>
        <v>0</v>
      </c>
      <c r="AP28" s="140">
        <f>'ADJ DETAIL INPUT'!AR27</f>
        <v>0</v>
      </c>
      <c r="AQ28" s="140">
        <f>'ADJ DETAIL INPUT'!AU27</f>
        <v>1883</v>
      </c>
      <c r="AR28" s="140">
        <f>'ADJ DETAIL INPUT'!AV27</f>
        <v>0</v>
      </c>
      <c r="AS28" s="140">
        <f>'ADJ DETAIL INPUT'!AW27</f>
        <v>1883</v>
      </c>
    </row>
    <row r="29" spans="1:45">
      <c r="A29" s="121">
        <v>10</v>
      </c>
      <c r="C29" s="123" t="s">
        <v>189</v>
      </c>
      <c r="D29" s="123"/>
      <c r="E29" s="140">
        <f>'ADJ DETAIL INPUT'!E28</f>
        <v>494</v>
      </c>
      <c r="F29" s="140">
        <f>'ADJ DETAIL INPUT'!F28</f>
        <v>0</v>
      </c>
      <c r="G29" s="140">
        <f>'ADJ DETAIL INPUT'!G28</f>
        <v>0</v>
      </c>
      <c r="H29" s="140">
        <f>'ADJ DETAIL INPUT'!H28</f>
        <v>0</v>
      </c>
      <c r="I29" s="140">
        <f>'ADJ DETAIL INPUT'!I28</f>
        <v>0</v>
      </c>
      <c r="J29" s="140">
        <f>'ADJ DETAIL INPUT'!J28</f>
        <v>0</v>
      </c>
      <c r="K29" s="140">
        <f>'ADJ DETAIL INPUT'!K28</f>
        <v>0</v>
      </c>
      <c r="L29" s="140">
        <f>'ADJ DETAIL INPUT'!L28</f>
        <v>0</v>
      </c>
      <c r="M29" s="140">
        <f>'ADJ DETAIL INPUT'!M28</f>
        <v>0</v>
      </c>
      <c r="N29" s="140">
        <f>'ADJ DETAIL INPUT'!N28</f>
        <v>0</v>
      </c>
      <c r="O29" s="140">
        <f>'ADJ DETAIL INPUT'!O28</f>
        <v>0</v>
      </c>
      <c r="P29" s="140">
        <f>'ADJ DETAIL INPUT'!P28</f>
        <v>0</v>
      </c>
      <c r="Q29" s="140">
        <f>'ADJ DETAIL INPUT'!Q28</f>
        <v>0</v>
      </c>
      <c r="R29" s="140">
        <f>'ADJ DETAIL INPUT'!R28</f>
        <v>0</v>
      </c>
      <c r="S29" s="140">
        <f>'ADJ DETAIL INPUT'!S28</f>
        <v>0</v>
      </c>
      <c r="T29" s="140">
        <f>'ADJ DETAIL INPUT'!T28</f>
        <v>0</v>
      </c>
      <c r="U29" s="140">
        <f>'ADJ DETAIL INPUT'!U28</f>
        <v>0</v>
      </c>
      <c r="V29" s="140">
        <f>'ADJ DETAIL INPUT'!V28</f>
        <v>0</v>
      </c>
      <c r="W29" s="140">
        <f>'ADJ DETAIL INPUT'!W28</f>
        <v>0</v>
      </c>
      <c r="X29" s="140">
        <f>'ADJ DETAIL INPUT'!X28</f>
        <v>-164</v>
      </c>
      <c r="Y29" s="140">
        <f>'ADJ DETAIL INPUT'!AA28</f>
        <v>0</v>
      </c>
      <c r="Z29" s="140">
        <f>'ADJ DETAIL INPUT'!AB28</f>
        <v>0</v>
      </c>
      <c r="AA29" s="140">
        <f>'ADJ DETAIL INPUT'!AC28</f>
        <v>0</v>
      </c>
      <c r="AB29" s="140">
        <f>'ADJ DETAIL INPUT'!AD28</f>
        <v>0</v>
      </c>
      <c r="AC29" s="140">
        <f>'ADJ DETAIL INPUT'!AE28</f>
        <v>0</v>
      </c>
      <c r="AD29" s="140">
        <f>'ADJ DETAIL INPUT'!AF28</f>
        <v>0</v>
      </c>
      <c r="AE29" s="140">
        <f>'ADJ DETAIL INPUT'!AG28</f>
        <v>0</v>
      </c>
      <c r="AF29" s="140">
        <f>'ADJ DETAIL INPUT'!AH28</f>
        <v>0</v>
      </c>
      <c r="AG29" s="140">
        <f>'ADJ DETAIL INPUT'!AI28</f>
        <v>0</v>
      </c>
      <c r="AH29" s="140">
        <f>'ADJ DETAIL INPUT'!AJ28</f>
        <v>0</v>
      </c>
      <c r="AI29" s="140">
        <f>'ADJ DETAIL INPUT'!AK28</f>
        <v>0</v>
      </c>
      <c r="AJ29" s="140">
        <f>'ADJ DETAIL INPUT'!AL28</f>
        <v>21</v>
      </c>
      <c r="AK29" s="140">
        <f>'ADJ DETAIL INPUT'!AM28</f>
        <v>0</v>
      </c>
      <c r="AL29" s="140">
        <f>'ADJ DETAIL INPUT'!AN28</f>
        <v>0</v>
      </c>
      <c r="AM29" s="140">
        <f>'ADJ DETAIL INPUT'!AO28</f>
        <v>0</v>
      </c>
      <c r="AN29" s="140">
        <f>'ADJ DETAIL INPUT'!AP28</f>
        <v>0</v>
      </c>
      <c r="AO29" s="140">
        <f>'ADJ DETAIL INPUT'!AQ28</f>
        <v>0</v>
      </c>
      <c r="AP29" s="140">
        <f>'ADJ DETAIL INPUT'!AR28</f>
        <v>0</v>
      </c>
      <c r="AQ29" s="140">
        <f>'ADJ DETAIL INPUT'!AU28</f>
        <v>351</v>
      </c>
      <c r="AR29" s="140">
        <f>'ADJ DETAIL INPUT'!AV28</f>
        <v>0</v>
      </c>
      <c r="AS29" s="140">
        <f>'ADJ DETAIL INPUT'!AW28</f>
        <v>351</v>
      </c>
    </row>
    <row r="30" spans="1:45">
      <c r="A30" s="121">
        <v>11</v>
      </c>
      <c r="C30" s="123" t="s">
        <v>21</v>
      </c>
      <c r="D30" s="123"/>
      <c r="E30" s="141">
        <f>'ADJ DETAIL INPUT'!E29</f>
        <v>323</v>
      </c>
      <c r="F30" s="141">
        <f>'ADJ DETAIL INPUT'!F29</f>
        <v>0</v>
      </c>
      <c r="G30" s="141">
        <f>'ADJ DETAIL INPUT'!G29</f>
        <v>0</v>
      </c>
      <c r="H30" s="141">
        <f>'ADJ DETAIL INPUT'!H29</f>
        <v>0</v>
      </c>
      <c r="I30" s="141">
        <f>'ADJ DETAIL INPUT'!I29</f>
        <v>0</v>
      </c>
      <c r="J30" s="141">
        <f>'ADJ DETAIL INPUT'!J29</f>
        <v>0</v>
      </c>
      <c r="K30" s="141">
        <f>'ADJ DETAIL INPUT'!K29</f>
        <v>-66</v>
      </c>
      <c r="L30" s="141">
        <f>'ADJ DETAIL INPUT'!L29</f>
        <v>0</v>
      </c>
      <c r="M30" s="141">
        <f>'ADJ DETAIL INPUT'!M29</f>
        <v>0</v>
      </c>
      <c r="N30" s="141">
        <f>'ADJ DETAIL INPUT'!N29</f>
        <v>0</v>
      </c>
      <c r="O30" s="141">
        <f>'ADJ DETAIL INPUT'!O29</f>
        <v>0</v>
      </c>
      <c r="P30" s="141">
        <f>'ADJ DETAIL INPUT'!P29</f>
        <v>0</v>
      </c>
      <c r="Q30" s="141">
        <f>'ADJ DETAIL INPUT'!Q29</f>
        <v>0</v>
      </c>
      <c r="R30" s="141">
        <f>'ADJ DETAIL INPUT'!R29</f>
        <v>0</v>
      </c>
      <c r="S30" s="141">
        <f>'ADJ DETAIL INPUT'!S29</f>
        <v>0</v>
      </c>
      <c r="T30" s="141">
        <f>'ADJ DETAIL INPUT'!T29</f>
        <v>0</v>
      </c>
      <c r="U30" s="141">
        <f>'ADJ DETAIL INPUT'!U29</f>
        <v>0</v>
      </c>
      <c r="V30" s="141">
        <f>'ADJ DETAIL INPUT'!V29</f>
        <v>0</v>
      </c>
      <c r="W30" s="141">
        <f>'ADJ DETAIL INPUT'!W29</f>
        <v>0</v>
      </c>
      <c r="X30" s="141">
        <f>'ADJ DETAIL INPUT'!X29</f>
        <v>0</v>
      </c>
      <c r="Y30" s="141">
        <f>'ADJ DETAIL INPUT'!AA29</f>
        <v>0</v>
      </c>
      <c r="Z30" s="141">
        <f>'ADJ DETAIL INPUT'!AB29</f>
        <v>0</v>
      </c>
      <c r="AA30" s="141">
        <f>'ADJ DETAIL INPUT'!AC29</f>
        <v>0</v>
      </c>
      <c r="AB30" s="141">
        <f>'ADJ DETAIL INPUT'!AD29</f>
        <v>0</v>
      </c>
      <c r="AC30" s="141">
        <f>'ADJ DETAIL INPUT'!AE29</f>
        <v>0</v>
      </c>
      <c r="AD30" s="141">
        <f>'ADJ DETAIL INPUT'!AF29</f>
        <v>0</v>
      </c>
      <c r="AE30" s="141">
        <f>'ADJ DETAIL INPUT'!AG29</f>
        <v>0</v>
      </c>
      <c r="AF30" s="141">
        <f>'ADJ DETAIL INPUT'!AH29</f>
        <v>0</v>
      </c>
      <c r="AG30" s="141">
        <f>'ADJ DETAIL INPUT'!AI29</f>
        <v>20</v>
      </c>
      <c r="AH30" s="141">
        <f>'ADJ DETAIL INPUT'!AJ29</f>
        <v>0</v>
      </c>
      <c r="AI30" s="141">
        <f>'ADJ DETAIL INPUT'!AK29</f>
        <v>0</v>
      </c>
      <c r="AJ30" s="141">
        <f>'ADJ DETAIL INPUT'!AL29</f>
        <v>0</v>
      </c>
      <c r="AK30" s="141">
        <f>'ADJ DETAIL INPUT'!AM29</f>
        <v>0</v>
      </c>
      <c r="AL30" s="141">
        <f>'ADJ DETAIL INPUT'!AN29</f>
        <v>0</v>
      </c>
      <c r="AM30" s="141">
        <f>'ADJ DETAIL INPUT'!AO29</f>
        <v>0</v>
      </c>
      <c r="AN30" s="141">
        <f>'ADJ DETAIL INPUT'!AP29</f>
        <v>0</v>
      </c>
      <c r="AO30" s="141">
        <f>'ADJ DETAIL INPUT'!AQ29</f>
        <v>0</v>
      </c>
      <c r="AP30" s="141">
        <f>'ADJ DETAIL INPUT'!AR29</f>
        <v>0</v>
      </c>
      <c r="AQ30" s="141">
        <f>'ADJ DETAIL INPUT'!AU29</f>
        <v>277</v>
      </c>
      <c r="AR30" s="141">
        <f>'ADJ DETAIL INPUT'!AV29</f>
        <v>0</v>
      </c>
      <c r="AS30" s="141">
        <f>'ADJ DETAIL INPUT'!AW29</f>
        <v>277</v>
      </c>
    </row>
    <row r="31" spans="1:45">
      <c r="A31" s="121">
        <v>12</v>
      </c>
      <c r="B31" s="123" t="s">
        <v>45</v>
      </c>
      <c r="C31" s="123"/>
      <c r="E31" s="140">
        <f t="shared" ref="E31" si="24">SUM(E28:E30)</f>
        <v>2700</v>
      </c>
      <c r="F31" s="140">
        <f t="shared" ref="F31:AG31" si="25">SUM(F28:F30)</f>
        <v>0</v>
      </c>
      <c r="G31" s="140">
        <f t="shared" si="25"/>
        <v>0</v>
      </c>
      <c r="H31" s="140">
        <f t="shared" si="25"/>
        <v>0</v>
      </c>
      <c r="I31" s="140">
        <f t="shared" ref="I31" si="26">SUM(I28:I30)</f>
        <v>0</v>
      </c>
      <c r="J31" s="140">
        <f t="shared" si="25"/>
        <v>0</v>
      </c>
      <c r="K31" s="140">
        <f t="shared" si="25"/>
        <v>-66</v>
      </c>
      <c r="L31" s="140">
        <f t="shared" si="25"/>
        <v>0</v>
      </c>
      <c r="M31" s="140">
        <f t="shared" si="25"/>
        <v>0</v>
      </c>
      <c r="N31" s="140">
        <f t="shared" si="25"/>
        <v>0</v>
      </c>
      <c r="O31" s="140">
        <f t="shared" si="25"/>
        <v>0</v>
      </c>
      <c r="P31" s="140">
        <f t="shared" si="25"/>
        <v>0</v>
      </c>
      <c r="Q31" s="140">
        <f t="shared" si="25"/>
        <v>0</v>
      </c>
      <c r="R31" s="140">
        <f t="shared" si="25"/>
        <v>0</v>
      </c>
      <c r="S31" s="140">
        <f t="shared" si="25"/>
        <v>0</v>
      </c>
      <c r="T31" s="140">
        <f t="shared" ref="T31:U31" si="27">SUM(T28:T30)</f>
        <v>0</v>
      </c>
      <c r="U31" s="140">
        <f t="shared" si="27"/>
        <v>0</v>
      </c>
      <c r="V31" s="140">
        <f t="shared" ref="V31" si="28">SUM(V28:V30)</f>
        <v>0</v>
      </c>
      <c r="W31" s="140">
        <f>SUM(W28:W30)</f>
        <v>0</v>
      </c>
      <c r="X31" s="140">
        <f>SUM(X28:X30)</f>
        <v>-164</v>
      </c>
      <c r="Y31" s="140">
        <f>SUM(Y28:Y30)</f>
        <v>0</v>
      </c>
      <c r="Z31" s="140">
        <f>SUM(Z28:Z30)</f>
        <v>0</v>
      </c>
      <c r="AA31" s="140">
        <f>SUM(AA28:AA30)</f>
        <v>0</v>
      </c>
      <c r="AB31" s="140">
        <f t="shared" si="25"/>
        <v>0</v>
      </c>
      <c r="AC31" s="140">
        <f t="shared" ref="AC31" si="29">SUM(AC28:AC30)</f>
        <v>0</v>
      </c>
      <c r="AD31" s="140">
        <f t="shared" si="25"/>
        <v>0</v>
      </c>
      <c r="AE31" s="140">
        <f t="shared" ref="AE31" si="30">SUM(AE28:AE30)</f>
        <v>0</v>
      </c>
      <c r="AF31" s="140">
        <f t="shared" ref="AF31" si="31">SUM(AF28:AF30)</f>
        <v>0</v>
      </c>
      <c r="AG31" s="140">
        <f t="shared" si="25"/>
        <v>20</v>
      </c>
      <c r="AH31" s="140">
        <f>SUM(AH28:AH30)</f>
        <v>0</v>
      </c>
      <c r="AI31" s="140">
        <f t="shared" ref="AI31" si="32">SUM(AI28:AI30)</f>
        <v>0</v>
      </c>
      <c r="AJ31" s="140">
        <f t="shared" ref="AJ31:AK31" si="33">SUM(AJ28:AJ30)</f>
        <v>21</v>
      </c>
      <c r="AK31" s="140">
        <f t="shared" si="33"/>
        <v>0</v>
      </c>
      <c r="AL31" s="140">
        <f t="shared" ref="AL31:AP31" si="34">SUM(AL28:AL30)</f>
        <v>0</v>
      </c>
      <c r="AM31" s="140">
        <f t="shared" si="34"/>
        <v>0</v>
      </c>
      <c r="AN31" s="140">
        <f t="shared" si="34"/>
        <v>0</v>
      </c>
      <c r="AO31" s="140">
        <f t="shared" si="34"/>
        <v>0</v>
      </c>
      <c r="AP31" s="140">
        <f t="shared" si="34"/>
        <v>0</v>
      </c>
      <c r="AQ31" s="140">
        <f t="shared" ref="AQ31:AR31" si="35">SUM(AQ28:AQ30)</f>
        <v>2511</v>
      </c>
      <c r="AR31" s="140">
        <f t="shared" si="35"/>
        <v>0</v>
      </c>
      <c r="AS31" s="140">
        <f t="shared" ref="AS31" si="36">SUM(AS28:AS30)</f>
        <v>2511</v>
      </c>
    </row>
    <row r="32" spans="1:45">
      <c r="B32" s="123"/>
      <c r="C32" s="123"/>
      <c r="E32" s="140"/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0"/>
      <c r="Q32" s="140"/>
      <c r="R32" s="140"/>
      <c r="S32" s="140"/>
      <c r="T32" s="140"/>
      <c r="U32" s="140"/>
      <c r="V32" s="140"/>
      <c r="W32" s="140"/>
      <c r="X32" s="140"/>
      <c r="Y32" s="140"/>
      <c r="Z32" s="140"/>
      <c r="AA32" s="140"/>
      <c r="AB32" s="140"/>
      <c r="AC32" s="140"/>
      <c r="AD32" s="140"/>
      <c r="AE32" s="140"/>
      <c r="AF32" s="140"/>
      <c r="AG32" s="140"/>
      <c r="AH32" s="140"/>
      <c r="AI32" s="140"/>
      <c r="AJ32" s="140"/>
      <c r="AK32" s="140"/>
      <c r="AL32" s="140"/>
      <c r="AM32" s="140"/>
      <c r="AN32" s="140"/>
      <c r="AO32" s="140"/>
      <c r="AP32" s="140"/>
      <c r="AQ32" s="140"/>
      <c r="AR32" s="140"/>
      <c r="AS32" s="140"/>
    </row>
    <row r="33" spans="1:45">
      <c r="B33" s="123" t="s">
        <v>46</v>
      </c>
      <c r="D33" s="123"/>
      <c r="E33" s="140"/>
      <c r="F33" s="140"/>
      <c r="G33" s="140"/>
      <c r="H33" s="140"/>
      <c r="I33" s="140"/>
      <c r="J33" s="140"/>
      <c r="K33" s="140"/>
      <c r="L33" s="140"/>
      <c r="M33" s="140"/>
      <c r="N33" s="140"/>
      <c r="O33" s="140"/>
      <c r="P33" s="140"/>
      <c r="Q33" s="140"/>
      <c r="R33" s="140"/>
      <c r="S33" s="140"/>
      <c r="T33" s="140"/>
      <c r="U33" s="140"/>
      <c r="V33" s="140"/>
      <c r="W33" s="140"/>
      <c r="X33" s="140"/>
      <c r="Y33" s="140"/>
      <c r="Z33" s="140"/>
      <c r="AA33" s="140"/>
      <c r="AB33" s="140"/>
      <c r="AC33" s="140"/>
      <c r="AD33" s="140"/>
      <c r="AE33" s="140"/>
      <c r="AF33" s="140"/>
      <c r="AG33" s="140"/>
      <c r="AH33" s="140"/>
      <c r="AI33" s="140"/>
      <c r="AJ33" s="140"/>
      <c r="AK33" s="140"/>
      <c r="AL33" s="140"/>
      <c r="AM33" s="140"/>
      <c r="AN33" s="140"/>
      <c r="AO33" s="140"/>
      <c r="AP33" s="140"/>
      <c r="AQ33" s="140"/>
      <c r="AR33" s="140"/>
      <c r="AS33" s="140"/>
    </row>
    <row r="34" spans="1:45">
      <c r="A34" s="121">
        <v>13</v>
      </c>
      <c r="C34" s="123" t="s">
        <v>43</v>
      </c>
      <c r="D34" s="123"/>
      <c r="E34" s="140">
        <f>'ADJ DETAIL INPUT'!E33</f>
        <v>13669</v>
      </c>
      <c r="F34" s="140">
        <f>'ADJ DETAIL INPUT'!F33</f>
        <v>0</v>
      </c>
      <c r="G34" s="140">
        <f>'ADJ DETAIL INPUT'!G33</f>
        <v>0</v>
      </c>
      <c r="H34" s="140">
        <f>'ADJ DETAIL INPUT'!H33</f>
        <v>0</v>
      </c>
      <c r="I34" s="140">
        <f>'ADJ DETAIL INPUT'!I33</f>
        <v>0</v>
      </c>
      <c r="J34" s="140">
        <f>'ADJ DETAIL INPUT'!J33</f>
        <v>0</v>
      </c>
      <c r="K34" s="140">
        <f>'ADJ DETAIL INPUT'!K33</f>
        <v>0</v>
      </c>
      <c r="L34" s="140">
        <f>'ADJ DETAIL INPUT'!L33</f>
        <v>0</v>
      </c>
      <c r="M34" s="140">
        <f>'ADJ DETAIL INPUT'!M33</f>
        <v>0</v>
      </c>
      <c r="N34" s="140">
        <f>'ADJ DETAIL INPUT'!N33</f>
        <v>0</v>
      </c>
      <c r="O34" s="140">
        <f>'ADJ DETAIL INPUT'!O33</f>
        <v>0</v>
      </c>
      <c r="P34" s="140">
        <f>'ADJ DETAIL INPUT'!P33</f>
        <v>0</v>
      </c>
      <c r="Q34" s="140">
        <f>'ADJ DETAIL INPUT'!Q33</f>
        <v>0</v>
      </c>
      <c r="R34" s="140">
        <f>'ADJ DETAIL INPUT'!R33</f>
        <v>0</v>
      </c>
      <c r="S34" s="140">
        <f>'ADJ DETAIL INPUT'!S33</f>
        <v>0</v>
      </c>
      <c r="T34" s="140">
        <f>'ADJ DETAIL INPUT'!T33</f>
        <v>0</v>
      </c>
      <c r="U34" s="140">
        <f>'ADJ DETAIL INPUT'!U33</f>
        <v>-2</v>
      </c>
      <c r="V34" s="140">
        <f>'ADJ DETAIL INPUT'!V33</f>
        <v>0</v>
      </c>
      <c r="W34" s="140">
        <f>'ADJ DETAIL INPUT'!W33</f>
        <v>0</v>
      </c>
      <c r="X34" s="140">
        <f>'ADJ DETAIL INPUT'!X33</f>
        <v>0</v>
      </c>
      <c r="Y34" s="140">
        <f>'ADJ DETAIL INPUT'!AA33</f>
        <v>0</v>
      </c>
      <c r="Z34" s="140">
        <f>'ADJ DETAIL INPUT'!AB33</f>
        <v>0</v>
      </c>
      <c r="AA34" s="140">
        <f>'ADJ DETAIL INPUT'!AC33</f>
        <v>0</v>
      </c>
      <c r="AB34" s="140">
        <f>'ADJ DETAIL INPUT'!AD33</f>
        <v>283</v>
      </c>
      <c r="AC34" s="140">
        <f>'ADJ DETAIL INPUT'!AE33</f>
        <v>0</v>
      </c>
      <c r="AD34" s="140">
        <f>'ADJ DETAIL INPUT'!AF33</f>
        <v>167</v>
      </c>
      <c r="AE34" s="140">
        <f>'ADJ DETAIL INPUT'!AG33</f>
        <v>0</v>
      </c>
      <c r="AF34" s="140">
        <f>'ADJ DETAIL INPUT'!AH33</f>
        <v>0</v>
      </c>
      <c r="AG34" s="140">
        <f>'ADJ DETAIL INPUT'!AI33</f>
        <v>0</v>
      </c>
      <c r="AH34" s="140">
        <f>'ADJ DETAIL INPUT'!AJ33</f>
        <v>0</v>
      </c>
      <c r="AI34" s="140">
        <f>'ADJ DETAIL INPUT'!AK33</f>
        <v>0</v>
      </c>
      <c r="AJ34" s="140">
        <f>'ADJ DETAIL INPUT'!AL33</f>
        <v>0</v>
      </c>
      <c r="AK34" s="140">
        <f>'ADJ DETAIL INPUT'!AM33</f>
        <v>0</v>
      </c>
      <c r="AL34" s="140">
        <f>'ADJ DETAIL INPUT'!AN33</f>
        <v>0</v>
      </c>
      <c r="AM34" s="140">
        <f>'ADJ DETAIL INPUT'!AO33</f>
        <v>0</v>
      </c>
      <c r="AN34" s="140">
        <f>'ADJ DETAIL INPUT'!AP33</f>
        <v>-944</v>
      </c>
      <c r="AO34" s="140">
        <f>'ADJ DETAIL INPUT'!AQ33</f>
        <v>0</v>
      </c>
      <c r="AP34" s="140">
        <f>'ADJ DETAIL INPUT'!AR33</f>
        <v>0</v>
      </c>
      <c r="AQ34" s="140">
        <f>'ADJ DETAIL INPUT'!AU33</f>
        <v>13173</v>
      </c>
      <c r="AR34" s="140">
        <f>'ADJ DETAIL INPUT'!AV33</f>
        <v>0</v>
      </c>
      <c r="AS34" s="140">
        <f>'ADJ DETAIL INPUT'!AW33</f>
        <v>13173</v>
      </c>
    </row>
    <row r="35" spans="1:45">
      <c r="A35" s="121">
        <v>14</v>
      </c>
      <c r="C35" s="123" t="s">
        <v>189</v>
      </c>
      <c r="D35" s="123"/>
      <c r="E35" s="142">
        <f>'ADJ DETAIL INPUT'!E34</f>
        <v>12469</v>
      </c>
      <c r="F35" s="142">
        <f>'ADJ DETAIL INPUT'!F34</f>
        <v>0</v>
      </c>
      <c r="G35" s="142">
        <f>'ADJ DETAIL INPUT'!G34</f>
        <v>0</v>
      </c>
      <c r="H35" s="142">
        <f>'ADJ DETAIL INPUT'!H34</f>
        <v>0</v>
      </c>
      <c r="I35" s="142">
        <f>'ADJ DETAIL INPUT'!I34</f>
        <v>0</v>
      </c>
      <c r="J35" s="142">
        <f>'ADJ DETAIL INPUT'!J34</f>
        <v>0</v>
      </c>
      <c r="K35" s="142">
        <f>'ADJ DETAIL INPUT'!K34</f>
        <v>0</v>
      </c>
      <c r="L35" s="142">
        <f>'ADJ DETAIL INPUT'!L34</f>
        <v>0</v>
      </c>
      <c r="M35" s="142">
        <f>'ADJ DETAIL INPUT'!M34</f>
        <v>0</v>
      </c>
      <c r="N35" s="142">
        <f>'ADJ DETAIL INPUT'!N34</f>
        <v>0</v>
      </c>
      <c r="O35" s="142">
        <f>'ADJ DETAIL INPUT'!O34</f>
        <v>0</v>
      </c>
      <c r="P35" s="142">
        <f>'ADJ DETAIL INPUT'!P34</f>
        <v>0</v>
      </c>
      <c r="Q35" s="142">
        <f>'ADJ DETAIL INPUT'!Q34</f>
        <v>0</v>
      </c>
      <c r="R35" s="142">
        <f>'ADJ DETAIL INPUT'!R34</f>
        <v>-11</v>
      </c>
      <c r="S35" s="142">
        <f>'ADJ DETAIL INPUT'!S34</f>
        <v>0</v>
      </c>
      <c r="T35" s="142">
        <f>'ADJ DETAIL INPUT'!T34</f>
        <v>0</v>
      </c>
      <c r="U35" s="142">
        <f>'ADJ DETAIL INPUT'!U34</f>
        <v>0</v>
      </c>
      <c r="V35" s="142">
        <f>'ADJ DETAIL INPUT'!V34</f>
        <v>0</v>
      </c>
      <c r="W35" s="142">
        <f>'ADJ DETAIL INPUT'!W34</f>
        <v>0</v>
      </c>
      <c r="X35" s="142">
        <f>'ADJ DETAIL INPUT'!X34</f>
        <v>-112</v>
      </c>
      <c r="Y35" s="142">
        <f>'ADJ DETAIL INPUT'!AA34</f>
        <v>0</v>
      </c>
      <c r="Z35" s="142">
        <f>'ADJ DETAIL INPUT'!AB34</f>
        <v>0</v>
      </c>
      <c r="AA35" s="142">
        <f>'ADJ DETAIL INPUT'!AC34</f>
        <v>0</v>
      </c>
      <c r="AB35" s="142">
        <f>'ADJ DETAIL INPUT'!AD34</f>
        <v>0</v>
      </c>
      <c r="AC35" s="142">
        <f>'ADJ DETAIL INPUT'!AE34</f>
        <v>0</v>
      </c>
      <c r="AD35" s="142">
        <f>'ADJ DETAIL INPUT'!AF34</f>
        <v>0</v>
      </c>
      <c r="AE35" s="142">
        <f>'ADJ DETAIL INPUT'!AG34</f>
        <v>0</v>
      </c>
      <c r="AF35" s="142">
        <f>'ADJ DETAIL INPUT'!AH34</f>
        <v>0</v>
      </c>
      <c r="AG35" s="142">
        <f>'ADJ DETAIL INPUT'!AI34</f>
        <v>0</v>
      </c>
      <c r="AH35" s="142">
        <f>'ADJ DETAIL INPUT'!AJ34</f>
        <v>0</v>
      </c>
      <c r="AI35" s="142">
        <f>'ADJ DETAIL INPUT'!AK34</f>
        <v>0</v>
      </c>
      <c r="AJ35" s="142">
        <f>'ADJ DETAIL INPUT'!AL34</f>
        <v>96</v>
      </c>
      <c r="AK35" s="142">
        <f>'ADJ DETAIL INPUT'!AM34</f>
        <v>3</v>
      </c>
      <c r="AL35" s="142">
        <f>'ADJ DETAIL INPUT'!AN34</f>
        <v>174</v>
      </c>
      <c r="AM35" s="142">
        <f>'ADJ DETAIL INPUT'!AO34</f>
        <v>0</v>
      </c>
      <c r="AN35" s="142">
        <f>'ADJ DETAIL INPUT'!AP34</f>
        <v>776</v>
      </c>
      <c r="AO35" s="142">
        <f>'ADJ DETAIL INPUT'!AQ34</f>
        <v>0</v>
      </c>
      <c r="AP35" s="142">
        <f>'ADJ DETAIL INPUT'!AR34</f>
        <v>0</v>
      </c>
      <c r="AQ35" s="142">
        <f>'ADJ DETAIL INPUT'!AU34</f>
        <v>13395</v>
      </c>
      <c r="AR35" s="142">
        <f>'ADJ DETAIL INPUT'!AV34</f>
        <v>0</v>
      </c>
      <c r="AS35" s="142">
        <f>'ADJ DETAIL INPUT'!AW34</f>
        <v>13395</v>
      </c>
    </row>
    <row r="36" spans="1:45">
      <c r="A36" s="121">
        <v>15</v>
      </c>
      <c r="C36" s="123" t="s">
        <v>21</v>
      </c>
      <c r="D36" s="123"/>
      <c r="E36" s="141">
        <f>'ADJ DETAIL INPUT'!E35</f>
        <v>13739</v>
      </c>
      <c r="F36" s="141">
        <f>'ADJ DETAIL INPUT'!F35</f>
        <v>0</v>
      </c>
      <c r="G36" s="141">
        <f>'ADJ DETAIL INPUT'!G35</f>
        <v>0</v>
      </c>
      <c r="H36" s="141">
        <f>'ADJ DETAIL INPUT'!H35</f>
        <v>0</v>
      </c>
      <c r="I36" s="141">
        <f>'ADJ DETAIL INPUT'!I35</f>
        <v>0</v>
      </c>
      <c r="J36" s="141">
        <f>'ADJ DETAIL INPUT'!J35</f>
        <v>-5235</v>
      </c>
      <c r="K36" s="141">
        <f>'ADJ DETAIL INPUT'!K35</f>
        <v>305</v>
      </c>
      <c r="L36" s="141">
        <f>'ADJ DETAIL INPUT'!L35</f>
        <v>0</v>
      </c>
      <c r="M36" s="141">
        <f>'ADJ DETAIL INPUT'!M35</f>
        <v>0</v>
      </c>
      <c r="N36" s="141">
        <f>'ADJ DETAIL INPUT'!N35</f>
        <v>0</v>
      </c>
      <c r="O36" s="141">
        <f>'ADJ DETAIL INPUT'!O35</f>
        <v>0</v>
      </c>
      <c r="P36" s="141">
        <f>'ADJ DETAIL INPUT'!P35</f>
        <v>0</v>
      </c>
      <c r="Q36" s="141">
        <f>'ADJ DETAIL INPUT'!Q35</f>
        <v>1</v>
      </c>
      <c r="R36" s="141">
        <f>'ADJ DETAIL INPUT'!R35</f>
        <v>0</v>
      </c>
      <c r="S36" s="141">
        <f>'ADJ DETAIL INPUT'!S35</f>
        <v>-151</v>
      </c>
      <c r="T36" s="141">
        <f>'ADJ DETAIL INPUT'!T35</f>
        <v>309</v>
      </c>
      <c r="U36" s="141">
        <f>'ADJ DETAIL INPUT'!U35</f>
        <v>0</v>
      </c>
      <c r="V36" s="141">
        <f>'ADJ DETAIL INPUT'!V35</f>
        <v>0</v>
      </c>
      <c r="W36" s="141">
        <f>'ADJ DETAIL INPUT'!W35</f>
        <v>0</v>
      </c>
      <c r="X36" s="141">
        <f>'ADJ DETAIL INPUT'!X35</f>
        <v>0</v>
      </c>
      <c r="Y36" s="141">
        <f>'ADJ DETAIL INPUT'!AA35</f>
        <v>-1591</v>
      </c>
      <c r="Z36" s="141">
        <f>'ADJ DETAIL INPUT'!AB35</f>
        <v>0</v>
      </c>
      <c r="AA36" s="141">
        <f>'ADJ DETAIL INPUT'!AC35</f>
        <v>0</v>
      </c>
      <c r="AB36" s="141">
        <f>'ADJ DETAIL INPUT'!AD35</f>
        <v>0</v>
      </c>
      <c r="AC36" s="141">
        <f>'ADJ DETAIL INPUT'!AE35</f>
        <v>0</v>
      </c>
      <c r="AD36" s="141">
        <f>'ADJ DETAIL INPUT'!AF35</f>
        <v>0</v>
      </c>
      <c r="AE36" s="141">
        <f>'ADJ DETAIL INPUT'!AG35</f>
        <v>0</v>
      </c>
      <c r="AF36" s="141">
        <f>'ADJ DETAIL INPUT'!AH35</f>
        <v>0</v>
      </c>
      <c r="AG36" s="141">
        <f>'ADJ DETAIL INPUT'!AI35</f>
        <v>237</v>
      </c>
      <c r="AH36" s="141">
        <f>'ADJ DETAIL INPUT'!AJ35</f>
        <v>0</v>
      </c>
      <c r="AI36" s="141">
        <f>'ADJ DETAIL INPUT'!AK35</f>
        <v>0</v>
      </c>
      <c r="AJ36" s="141">
        <f>'ADJ DETAIL INPUT'!AL35</f>
        <v>0</v>
      </c>
      <c r="AK36" s="141">
        <f>'ADJ DETAIL INPUT'!AM35</f>
        <v>0</v>
      </c>
      <c r="AL36" s="141">
        <f>'ADJ DETAIL INPUT'!AN35</f>
        <v>0</v>
      </c>
      <c r="AM36" s="141">
        <f>'ADJ DETAIL INPUT'!AO35</f>
        <v>0</v>
      </c>
      <c r="AN36" s="141">
        <f>'ADJ DETAIL INPUT'!AP35</f>
        <v>0</v>
      </c>
      <c r="AO36" s="141">
        <f>'ADJ DETAIL INPUT'!AQ35</f>
        <v>0</v>
      </c>
      <c r="AP36" s="141">
        <f>'ADJ DETAIL INPUT'!AR35</f>
        <v>0</v>
      </c>
      <c r="AQ36" s="141">
        <f>'ADJ DETAIL INPUT'!AU35</f>
        <v>7614</v>
      </c>
      <c r="AR36" s="141">
        <f>'ADJ DETAIL INPUT'!AV35</f>
        <v>0</v>
      </c>
      <c r="AS36" s="141">
        <f>'ADJ DETAIL INPUT'!AW35</f>
        <v>7614</v>
      </c>
    </row>
    <row r="37" spans="1:45" ht="13" customHeight="1">
      <c r="A37" s="121">
        <v>16</v>
      </c>
      <c r="B37" s="123" t="s">
        <v>47</v>
      </c>
      <c r="C37" s="123"/>
      <c r="E37" s="140">
        <f t="shared" ref="E37" si="37">SUM(E34:E36)</f>
        <v>39877</v>
      </c>
      <c r="F37" s="140">
        <f t="shared" ref="F37:AG37" si="38">SUM(F34:F36)</f>
        <v>0</v>
      </c>
      <c r="G37" s="140">
        <f t="shared" si="38"/>
        <v>0</v>
      </c>
      <c r="H37" s="140">
        <f t="shared" si="38"/>
        <v>0</v>
      </c>
      <c r="I37" s="140">
        <f t="shared" ref="I37" si="39">SUM(I34:I36)</f>
        <v>0</v>
      </c>
      <c r="J37" s="140">
        <f t="shared" si="38"/>
        <v>-5235</v>
      </c>
      <c r="K37" s="140">
        <f t="shared" si="38"/>
        <v>305</v>
      </c>
      <c r="L37" s="140">
        <f t="shared" si="38"/>
        <v>0</v>
      </c>
      <c r="M37" s="140">
        <f t="shared" si="38"/>
        <v>0</v>
      </c>
      <c r="N37" s="140">
        <f t="shared" si="38"/>
        <v>0</v>
      </c>
      <c r="O37" s="140">
        <f t="shared" si="38"/>
        <v>0</v>
      </c>
      <c r="P37" s="140">
        <f t="shared" si="38"/>
        <v>0</v>
      </c>
      <c r="Q37" s="140">
        <f t="shared" si="38"/>
        <v>1</v>
      </c>
      <c r="R37" s="140">
        <f t="shared" si="38"/>
        <v>-11</v>
      </c>
      <c r="S37" s="140">
        <f t="shared" si="38"/>
        <v>-151</v>
      </c>
      <c r="T37" s="140">
        <f t="shared" ref="T37:U37" si="40">SUM(T34:T36)</f>
        <v>309</v>
      </c>
      <c r="U37" s="140">
        <f t="shared" si="40"/>
        <v>-2</v>
      </c>
      <c r="V37" s="140">
        <f t="shared" ref="V37" si="41">SUM(V34:V36)</f>
        <v>0</v>
      </c>
      <c r="W37" s="140">
        <f>SUM(W34:W36)</f>
        <v>0</v>
      </c>
      <c r="X37" s="140">
        <f>SUM(X34:X36)</f>
        <v>-112</v>
      </c>
      <c r="Y37" s="140">
        <f>SUM(Y34:Y36)</f>
        <v>-1591</v>
      </c>
      <c r="Z37" s="140">
        <f>SUM(Z34:Z36)</f>
        <v>0</v>
      </c>
      <c r="AA37" s="140">
        <f>SUM(AA34:AA36)</f>
        <v>0</v>
      </c>
      <c r="AB37" s="140">
        <f t="shared" si="38"/>
        <v>283</v>
      </c>
      <c r="AC37" s="140">
        <f t="shared" ref="AC37" si="42">SUM(AC34:AC36)</f>
        <v>0</v>
      </c>
      <c r="AD37" s="140">
        <f t="shared" si="38"/>
        <v>167</v>
      </c>
      <c r="AE37" s="140">
        <f t="shared" ref="AE37" si="43">SUM(AE34:AE36)</f>
        <v>0</v>
      </c>
      <c r="AF37" s="140">
        <f t="shared" ref="AF37" si="44">SUM(AF34:AF36)</f>
        <v>0</v>
      </c>
      <c r="AG37" s="140">
        <f t="shared" si="38"/>
        <v>237</v>
      </c>
      <c r="AH37" s="140">
        <f>SUM(AH34:AH36)</f>
        <v>0</v>
      </c>
      <c r="AI37" s="140">
        <f t="shared" ref="AI37" si="45">SUM(AI34:AI36)</f>
        <v>0</v>
      </c>
      <c r="AJ37" s="140">
        <f t="shared" ref="AJ37:AK37" si="46">SUM(AJ34:AJ36)</f>
        <v>96</v>
      </c>
      <c r="AK37" s="140">
        <f t="shared" si="46"/>
        <v>3</v>
      </c>
      <c r="AL37" s="140">
        <f t="shared" ref="AL37:AP37" si="47">SUM(AL34:AL36)</f>
        <v>174</v>
      </c>
      <c r="AM37" s="140">
        <f t="shared" si="47"/>
        <v>0</v>
      </c>
      <c r="AN37" s="140">
        <f t="shared" si="47"/>
        <v>-168</v>
      </c>
      <c r="AO37" s="140">
        <f t="shared" si="47"/>
        <v>0</v>
      </c>
      <c r="AP37" s="140">
        <f t="shared" si="47"/>
        <v>0</v>
      </c>
      <c r="AQ37" s="140">
        <f t="shared" ref="AQ37:AR37" si="48">SUM(AQ34:AQ36)</f>
        <v>34182</v>
      </c>
      <c r="AR37" s="140">
        <f t="shared" si="48"/>
        <v>0</v>
      </c>
      <c r="AS37" s="140">
        <f t="shared" ref="AS37" si="49">SUM(AS34:AS36)</f>
        <v>34182</v>
      </c>
    </row>
    <row r="38" spans="1:45" ht="13" customHeight="1">
      <c r="C38" s="123"/>
      <c r="D38" s="123"/>
      <c r="E38" s="140"/>
      <c r="F38" s="140"/>
      <c r="G38" s="140"/>
      <c r="H38" s="140"/>
      <c r="I38" s="140"/>
      <c r="J38" s="140"/>
      <c r="K38" s="140"/>
      <c r="L38" s="140"/>
      <c r="M38" s="140"/>
      <c r="N38" s="140"/>
      <c r="O38" s="140"/>
      <c r="P38" s="140"/>
      <c r="Q38" s="140"/>
      <c r="R38" s="140"/>
      <c r="S38" s="140"/>
      <c r="T38" s="140"/>
      <c r="U38" s="140"/>
      <c r="V38" s="140"/>
      <c r="W38" s="140"/>
      <c r="X38" s="140"/>
      <c r="Y38" s="140"/>
      <c r="Z38" s="140"/>
      <c r="AA38" s="140"/>
      <c r="AB38" s="140"/>
      <c r="AC38" s="140"/>
      <c r="AD38" s="140"/>
      <c r="AE38" s="140"/>
      <c r="AF38" s="140"/>
      <c r="AG38" s="140"/>
      <c r="AH38" s="140"/>
      <c r="AI38" s="140"/>
      <c r="AJ38" s="140"/>
      <c r="AK38" s="140"/>
      <c r="AL38" s="140"/>
      <c r="AM38" s="140"/>
      <c r="AN38" s="140"/>
      <c r="AO38" s="140"/>
      <c r="AP38" s="140"/>
      <c r="AQ38" s="140"/>
      <c r="AR38" s="140"/>
      <c r="AS38" s="140"/>
    </row>
    <row r="39" spans="1:45" ht="13" customHeight="1">
      <c r="A39" s="121">
        <v>17</v>
      </c>
      <c r="B39" s="97" t="s">
        <v>48</v>
      </c>
      <c r="C39" s="123"/>
      <c r="D39" s="123"/>
      <c r="E39" s="140">
        <f>'ADJ DETAIL INPUT'!E38</f>
        <v>6398</v>
      </c>
      <c r="F39" s="140">
        <f>'ADJ DETAIL INPUT'!F38</f>
        <v>0</v>
      </c>
      <c r="G39" s="140">
        <f>'ADJ DETAIL INPUT'!G38</f>
        <v>15</v>
      </c>
      <c r="H39" s="140">
        <f>'ADJ DETAIL INPUT'!H38</f>
        <v>0</v>
      </c>
      <c r="I39" s="140">
        <f>'ADJ DETAIL INPUT'!I38</f>
        <v>0</v>
      </c>
      <c r="J39" s="140">
        <f>'ADJ DETAIL INPUT'!J38</f>
        <v>0</v>
      </c>
      <c r="K39" s="140">
        <f>'ADJ DETAIL INPUT'!K38</f>
        <v>0</v>
      </c>
      <c r="L39" s="140">
        <f>'ADJ DETAIL INPUT'!L38</f>
        <v>166</v>
      </c>
      <c r="M39" s="140">
        <f>'ADJ DETAIL INPUT'!M38</f>
        <v>0</v>
      </c>
      <c r="N39" s="140">
        <f>'ADJ DETAIL INPUT'!N38</f>
        <v>0</v>
      </c>
      <c r="O39" s="140">
        <f>'ADJ DETAIL INPUT'!O38</f>
        <v>0</v>
      </c>
      <c r="P39" s="140">
        <f>'ADJ DETAIL INPUT'!P38</f>
        <v>0</v>
      </c>
      <c r="Q39" s="140">
        <f>'ADJ DETAIL INPUT'!Q38</f>
        <v>0</v>
      </c>
      <c r="R39" s="140">
        <f>'ADJ DETAIL INPUT'!R38</f>
        <v>0</v>
      </c>
      <c r="S39" s="140">
        <f>'ADJ DETAIL INPUT'!S38</f>
        <v>-13</v>
      </c>
      <c r="T39" s="140">
        <f>'ADJ DETAIL INPUT'!T38</f>
        <v>27</v>
      </c>
      <c r="U39" s="140">
        <f>'ADJ DETAIL INPUT'!U38</f>
        <v>0</v>
      </c>
      <c r="V39" s="140">
        <f>'ADJ DETAIL INPUT'!V38</f>
        <v>0</v>
      </c>
      <c r="W39" s="140">
        <f>'ADJ DETAIL INPUT'!W38</f>
        <v>0</v>
      </c>
      <c r="X39" s="140">
        <f>'ADJ DETAIL INPUT'!X38</f>
        <v>0</v>
      </c>
      <c r="Y39" s="140">
        <f>'ADJ DETAIL INPUT'!AA38</f>
        <v>-138</v>
      </c>
      <c r="Z39" s="140">
        <f>'ADJ DETAIL INPUT'!AB38</f>
        <v>0</v>
      </c>
      <c r="AA39" s="140">
        <f>'ADJ DETAIL INPUT'!AC38</f>
        <v>0</v>
      </c>
      <c r="AB39" s="140">
        <f>'ADJ DETAIL INPUT'!AD38</f>
        <v>170</v>
      </c>
      <c r="AC39" s="140">
        <f>'ADJ DETAIL INPUT'!AE38</f>
        <v>0</v>
      </c>
      <c r="AD39" s="140">
        <f>'ADJ DETAIL INPUT'!AF38</f>
        <v>78</v>
      </c>
      <c r="AE39" s="140">
        <f>'ADJ DETAIL INPUT'!AG38</f>
        <v>0</v>
      </c>
      <c r="AF39" s="140">
        <f>'ADJ DETAIL INPUT'!AH38</f>
        <v>0</v>
      </c>
      <c r="AG39" s="140">
        <f>'ADJ DETAIL INPUT'!AI38</f>
        <v>0</v>
      </c>
      <c r="AH39" s="140">
        <f>'ADJ DETAIL INPUT'!AJ38</f>
        <v>67</v>
      </c>
      <c r="AI39" s="140">
        <f>'ADJ DETAIL INPUT'!AK38</f>
        <v>0</v>
      </c>
      <c r="AJ39" s="140">
        <f>'ADJ DETAIL INPUT'!AL38</f>
        <v>0</v>
      </c>
      <c r="AK39" s="140">
        <f>'ADJ DETAIL INPUT'!AM38</f>
        <v>0</v>
      </c>
      <c r="AL39" s="140">
        <f>'ADJ DETAIL INPUT'!AN38</f>
        <v>0</v>
      </c>
      <c r="AM39" s="140">
        <f>'ADJ DETAIL INPUT'!AO38</f>
        <v>0</v>
      </c>
      <c r="AN39" s="140">
        <f>'ADJ DETAIL INPUT'!AP38</f>
        <v>0</v>
      </c>
      <c r="AO39" s="140">
        <f>'ADJ DETAIL INPUT'!AQ38</f>
        <v>0</v>
      </c>
      <c r="AP39" s="140">
        <f>'ADJ DETAIL INPUT'!AR38</f>
        <v>0</v>
      </c>
      <c r="AQ39" s="140">
        <f>'ADJ DETAIL INPUT'!AU38</f>
        <v>6770</v>
      </c>
      <c r="AR39" s="140">
        <f>'ADJ DETAIL INPUT'!AV38</f>
        <v>0</v>
      </c>
      <c r="AS39" s="140">
        <f>'ADJ DETAIL INPUT'!AW38</f>
        <v>6770</v>
      </c>
    </row>
    <row r="40" spans="1:45">
      <c r="A40" s="121">
        <v>18</v>
      </c>
      <c r="B40" s="97" t="s">
        <v>49</v>
      </c>
      <c r="C40" s="123"/>
      <c r="D40" s="123"/>
      <c r="E40" s="140">
        <f>'ADJ DETAIL INPUT'!E39</f>
        <v>9664</v>
      </c>
      <c r="F40" s="140">
        <f>'ADJ DETAIL INPUT'!F39</f>
        <v>0</v>
      </c>
      <c r="G40" s="140">
        <f>'ADJ DETAIL INPUT'!G39</f>
        <v>0</v>
      </c>
      <c r="H40" s="140">
        <f>'ADJ DETAIL INPUT'!H39</f>
        <v>0</v>
      </c>
      <c r="I40" s="140">
        <f>'ADJ DETAIL INPUT'!I39</f>
        <v>0</v>
      </c>
      <c r="J40" s="140">
        <f>'ADJ DETAIL INPUT'!J39</f>
        <v>0</v>
      </c>
      <c r="K40" s="140">
        <f>'ADJ DETAIL INPUT'!K39</f>
        <v>0</v>
      </c>
      <c r="L40" s="140">
        <f>'ADJ DETAIL INPUT'!L39</f>
        <v>0</v>
      </c>
      <c r="M40" s="140">
        <f>'ADJ DETAIL INPUT'!M39</f>
        <v>0</v>
      </c>
      <c r="N40" s="140">
        <f>'ADJ DETAIL INPUT'!N39</f>
        <v>0</v>
      </c>
      <c r="O40" s="140">
        <f>'ADJ DETAIL INPUT'!O39</f>
        <v>0</v>
      </c>
      <c r="P40" s="140">
        <f>'ADJ DETAIL INPUT'!P39</f>
        <v>0</v>
      </c>
      <c r="Q40" s="140">
        <f>'ADJ DETAIL INPUT'!Q39</f>
        <v>0</v>
      </c>
      <c r="R40" s="140">
        <f>'ADJ DETAIL INPUT'!R39</f>
        <v>0</v>
      </c>
      <c r="S40" s="140">
        <f>'ADJ DETAIL INPUT'!S39</f>
        <v>0</v>
      </c>
      <c r="T40" s="140">
        <f>'ADJ DETAIL INPUT'!T39</f>
        <v>-8485</v>
      </c>
      <c r="U40" s="140">
        <f>'ADJ DETAIL INPUT'!U39</f>
        <v>1</v>
      </c>
      <c r="V40" s="140">
        <f>'ADJ DETAIL INPUT'!V39</f>
        <v>0</v>
      </c>
      <c r="W40" s="140">
        <f>'ADJ DETAIL INPUT'!W39</f>
        <v>0</v>
      </c>
      <c r="X40" s="140">
        <f>'ADJ DETAIL INPUT'!X39</f>
        <v>0</v>
      </c>
      <c r="Y40" s="140">
        <f>'ADJ DETAIL INPUT'!AA39</f>
        <v>0</v>
      </c>
      <c r="Z40" s="140">
        <f>'ADJ DETAIL INPUT'!AB39</f>
        <v>0</v>
      </c>
      <c r="AA40" s="140">
        <f>'ADJ DETAIL INPUT'!AC39</f>
        <v>0</v>
      </c>
      <c r="AB40" s="140">
        <f>'ADJ DETAIL INPUT'!AD39</f>
        <v>18</v>
      </c>
      <c r="AC40" s="140">
        <f>'ADJ DETAIL INPUT'!AE39</f>
        <v>0</v>
      </c>
      <c r="AD40" s="140">
        <f>'ADJ DETAIL INPUT'!AF39</f>
        <v>8</v>
      </c>
      <c r="AE40" s="140">
        <f>'ADJ DETAIL INPUT'!AG39</f>
        <v>0</v>
      </c>
      <c r="AF40" s="140">
        <f>'ADJ DETAIL INPUT'!AH39</f>
        <v>0</v>
      </c>
      <c r="AG40" s="140">
        <f>'ADJ DETAIL INPUT'!AI39</f>
        <v>0</v>
      </c>
      <c r="AH40" s="140">
        <f>'ADJ DETAIL INPUT'!AJ39</f>
        <v>0</v>
      </c>
      <c r="AI40" s="140">
        <f>'ADJ DETAIL INPUT'!AK39</f>
        <v>0</v>
      </c>
      <c r="AJ40" s="140">
        <f>'ADJ DETAIL INPUT'!AL39</f>
        <v>0</v>
      </c>
      <c r="AK40" s="140">
        <f>'ADJ DETAIL INPUT'!AM39</f>
        <v>0</v>
      </c>
      <c r="AL40" s="140">
        <f>'ADJ DETAIL INPUT'!AN39</f>
        <v>0</v>
      </c>
      <c r="AM40" s="140">
        <f>'ADJ DETAIL INPUT'!AO39</f>
        <v>0</v>
      </c>
      <c r="AN40" s="140">
        <f>'ADJ DETAIL INPUT'!AP39</f>
        <v>0</v>
      </c>
      <c r="AO40" s="140">
        <f>'ADJ DETAIL INPUT'!AQ39</f>
        <v>0</v>
      </c>
      <c r="AP40" s="140">
        <f>'ADJ DETAIL INPUT'!AR39</f>
        <v>0</v>
      </c>
      <c r="AQ40" s="140">
        <f>'ADJ DETAIL INPUT'!AU39</f>
        <v>1206</v>
      </c>
      <c r="AR40" s="140">
        <f>'ADJ DETAIL INPUT'!AV39</f>
        <v>0</v>
      </c>
      <c r="AS40" s="140">
        <f>'ADJ DETAIL INPUT'!AW39</f>
        <v>1206</v>
      </c>
    </row>
    <row r="41" spans="1:45">
      <c r="A41" s="121">
        <v>19</v>
      </c>
      <c r="B41" s="97" t="s">
        <v>50</v>
      </c>
      <c r="C41" s="123"/>
      <c r="D41" s="123"/>
      <c r="E41" s="140">
        <f>'ADJ DETAIL INPUT'!E40</f>
        <v>0</v>
      </c>
      <c r="F41" s="140">
        <f>'ADJ DETAIL INPUT'!F40</f>
        <v>0</v>
      </c>
      <c r="G41" s="140">
        <f>'ADJ DETAIL INPUT'!G40</f>
        <v>0</v>
      </c>
      <c r="H41" s="140">
        <f>'ADJ DETAIL INPUT'!H40</f>
        <v>0</v>
      </c>
      <c r="I41" s="140">
        <f>'ADJ DETAIL INPUT'!I40</f>
        <v>0</v>
      </c>
      <c r="J41" s="140">
        <f>'ADJ DETAIL INPUT'!J40</f>
        <v>0</v>
      </c>
      <c r="K41" s="140">
        <f>'ADJ DETAIL INPUT'!K40</f>
        <v>0</v>
      </c>
      <c r="L41" s="140">
        <f>'ADJ DETAIL INPUT'!L40</f>
        <v>0</v>
      </c>
      <c r="M41" s="140">
        <f>'ADJ DETAIL INPUT'!M40</f>
        <v>0</v>
      </c>
      <c r="N41" s="140">
        <f>'ADJ DETAIL INPUT'!N40</f>
        <v>0</v>
      </c>
      <c r="O41" s="140">
        <f>'ADJ DETAIL INPUT'!O40</f>
        <v>0</v>
      </c>
      <c r="P41" s="140">
        <f>'ADJ DETAIL INPUT'!P40</f>
        <v>0</v>
      </c>
      <c r="Q41" s="140">
        <f>'ADJ DETAIL INPUT'!Q40</f>
        <v>0</v>
      </c>
      <c r="R41" s="140">
        <f>'ADJ DETAIL INPUT'!R40</f>
        <v>0</v>
      </c>
      <c r="S41" s="140">
        <f>'ADJ DETAIL INPUT'!S40</f>
        <v>0</v>
      </c>
      <c r="T41" s="140">
        <f>'ADJ DETAIL INPUT'!T40</f>
        <v>0</v>
      </c>
      <c r="U41" s="140">
        <f>'ADJ DETAIL INPUT'!U40</f>
        <v>0</v>
      </c>
      <c r="V41" s="140">
        <f>'ADJ DETAIL INPUT'!V40</f>
        <v>0</v>
      </c>
      <c r="W41" s="140">
        <f>'ADJ DETAIL INPUT'!W40</f>
        <v>0</v>
      </c>
      <c r="X41" s="140">
        <f>'ADJ DETAIL INPUT'!X40</f>
        <v>0</v>
      </c>
      <c r="Y41" s="140">
        <f>'ADJ DETAIL INPUT'!AA40</f>
        <v>0</v>
      </c>
      <c r="Z41" s="140">
        <f>'ADJ DETAIL INPUT'!AB40</f>
        <v>0</v>
      </c>
      <c r="AA41" s="140">
        <f>'ADJ DETAIL INPUT'!AC40</f>
        <v>0</v>
      </c>
      <c r="AB41" s="140">
        <f>'ADJ DETAIL INPUT'!AD40</f>
        <v>0</v>
      </c>
      <c r="AC41" s="140">
        <f>'ADJ DETAIL INPUT'!AE40</f>
        <v>0</v>
      </c>
      <c r="AD41" s="140">
        <f>'ADJ DETAIL INPUT'!AF40</f>
        <v>0</v>
      </c>
      <c r="AE41" s="140">
        <f>'ADJ DETAIL INPUT'!AG40</f>
        <v>0</v>
      </c>
      <c r="AF41" s="140">
        <f>'ADJ DETAIL INPUT'!AH40</f>
        <v>0</v>
      </c>
      <c r="AG41" s="140">
        <f>'ADJ DETAIL INPUT'!AI40</f>
        <v>0</v>
      </c>
      <c r="AH41" s="140">
        <f>'ADJ DETAIL INPUT'!AJ40</f>
        <v>0</v>
      </c>
      <c r="AI41" s="140">
        <f>'ADJ DETAIL INPUT'!AK40</f>
        <v>0</v>
      </c>
      <c r="AJ41" s="140">
        <f>'ADJ DETAIL INPUT'!AL40</f>
        <v>0</v>
      </c>
      <c r="AK41" s="140">
        <f>'ADJ DETAIL INPUT'!AM40</f>
        <v>0</v>
      </c>
      <c r="AL41" s="140">
        <f>'ADJ DETAIL INPUT'!AN40</f>
        <v>0</v>
      </c>
      <c r="AM41" s="140">
        <f>'ADJ DETAIL INPUT'!AO40</f>
        <v>0</v>
      </c>
      <c r="AN41" s="140">
        <f>'ADJ DETAIL INPUT'!AP40</f>
        <v>0</v>
      </c>
      <c r="AO41" s="140">
        <f>'ADJ DETAIL INPUT'!AQ40</f>
        <v>0</v>
      </c>
      <c r="AP41" s="140">
        <f>'ADJ DETAIL INPUT'!AR40</f>
        <v>0</v>
      </c>
      <c r="AQ41" s="140">
        <f>'ADJ DETAIL INPUT'!AU40</f>
        <v>0</v>
      </c>
      <c r="AR41" s="140">
        <f>'ADJ DETAIL INPUT'!AV40</f>
        <v>0</v>
      </c>
      <c r="AS41" s="140">
        <f>'ADJ DETAIL INPUT'!AW40</f>
        <v>0</v>
      </c>
    </row>
    <row r="42" spans="1:45">
      <c r="C42" s="123"/>
      <c r="D42" s="123"/>
      <c r="E42" s="140"/>
      <c r="F42" s="140"/>
      <c r="G42" s="140"/>
      <c r="H42" s="140"/>
      <c r="I42" s="140"/>
      <c r="J42" s="140"/>
      <c r="K42" s="140"/>
      <c r="L42" s="140"/>
      <c r="M42" s="140"/>
      <c r="N42" s="140"/>
      <c r="O42" s="140"/>
      <c r="P42" s="140"/>
      <c r="Q42" s="140"/>
      <c r="R42" s="140"/>
      <c r="S42" s="140"/>
      <c r="T42" s="140"/>
      <c r="U42" s="140"/>
      <c r="V42" s="140"/>
      <c r="W42" s="140"/>
      <c r="X42" s="140"/>
      <c r="Y42" s="140"/>
      <c r="Z42" s="140"/>
      <c r="AA42" s="140"/>
      <c r="AB42" s="140"/>
      <c r="AC42" s="140"/>
      <c r="AD42" s="140"/>
      <c r="AE42" s="140"/>
      <c r="AF42" s="140"/>
      <c r="AG42" s="140"/>
      <c r="AH42" s="140"/>
      <c r="AI42" s="140"/>
      <c r="AJ42" s="140"/>
      <c r="AK42" s="140"/>
      <c r="AL42" s="140"/>
      <c r="AM42" s="140"/>
      <c r="AN42" s="140"/>
      <c r="AO42" s="140"/>
      <c r="AP42" s="140"/>
      <c r="AQ42" s="140"/>
      <c r="AR42" s="140"/>
      <c r="AS42" s="140"/>
    </row>
    <row r="43" spans="1:45">
      <c r="B43" s="97" t="s">
        <v>51</v>
      </c>
      <c r="C43" s="123"/>
      <c r="D43" s="123"/>
      <c r="E43" s="140"/>
      <c r="F43" s="140"/>
      <c r="G43" s="140"/>
      <c r="H43" s="140"/>
      <c r="I43" s="140"/>
      <c r="J43" s="140"/>
      <c r="K43" s="140"/>
      <c r="L43" s="140"/>
      <c r="M43" s="140"/>
      <c r="N43" s="140"/>
      <c r="O43" s="140"/>
      <c r="P43" s="140"/>
      <c r="Q43" s="140"/>
      <c r="R43" s="140"/>
      <c r="S43" s="140"/>
      <c r="T43" s="140"/>
      <c r="U43" s="140"/>
      <c r="V43" s="140"/>
      <c r="W43" s="140"/>
      <c r="X43" s="140"/>
      <c r="Y43" s="140"/>
      <c r="Z43" s="140"/>
      <c r="AA43" s="140"/>
      <c r="AB43" s="140"/>
      <c r="AC43" s="140"/>
      <c r="AD43" s="140"/>
      <c r="AE43" s="140"/>
      <c r="AF43" s="140"/>
      <c r="AG43" s="140"/>
      <c r="AH43" s="140"/>
      <c r="AI43" s="140"/>
      <c r="AJ43" s="140"/>
      <c r="AK43" s="140"/>
      <c r="AL43" s="140"/>
      <c r="AM43" s="140"/>
      <c r="AN43" s="140"/>
      <c r="AO43" s="140"/>
      <c r="AP43" s="140"/>
      <c r="AQ43" s="140"/>
      <c r="AR43" s="140"/>
      <c r="AS43" s="140"/>
    </row>
    <row r="44" spans="1:45">
      <c r="A44" s="121">
        <v>20</v>
      </c>
      <c r="C44" s="123" t="s">
        <v>43</v>
      </c>
      <c r="D44" s="123"/>
      <c r="E44" s="140">
        <f>'ADJ DETAIL INPUT'!E43</f>
        <v>15696</v>
      </c>
      <c r="F44" s="140">
        <f>'ADJ DETAIL INPUT'!F43</f>
        <v>0</v>
      </c>
      <c r="G44" s="140">
        <f>'ADJ DETAIL INPUT'!G43</f>
        <v>0</v>
      </c>
      <c r="H44" s="140">
        <f>'ADJ DETAIL INPUT'!H43</f>
        <v>0</v>
      </c>
      <c r="I44" s="140">
        <f>'ADJ DETAIL INPUT'!I43</f>
        <v>0</v>
      </c>
      <c r="J44" s="140">
        <f>'ADJ DETAIL INPUT'!J43</f>
        <v>0</v>
      </c>
      <c r="K44" s="140">
        <f>'ADJ DETAIL INPUT'!K43</f>
        <v>0</v>
      </c>
      <c r="L44" s="140">
        <f>'ADJ DETAIL INPUT'!L43</f>
        <v>0</v>
      </c>
      <c r="M44" s="140">
        <f>'ADJ DETAIL INPUT'!M43</f>
        <v>-58</v>
      </c>
      <c r="N44" s="140">
        <f>'ADJ DETAIL INPUT'!N43</f>
        <v>-9</v>
      </c>
      <c r="O44" s="140">
        <f>'ADJ DETAIL INPUT'!O43</f>
        <v>0</v>
      </c>
      <c r="P44" s="140">
        <f>'ADJ DETAIL INPUT'!P43</f>
        <v>-16</v>
      </c>
      <c r="Q44" s="140">
        <f>'ADJ DETAIL INPUT'!Q43</f>
        <v>0</v>
      </c>
      <c r="R44" s="140">
        <f>'ADJ DETAIL INPUT'!R43</f>
        <v>0</v>
      </c>
      <c r="S44" s="140">
        <f>'ADJ DETAIL INPUT'!S43</f>
        <v>-8</v>
      </c>
      <c r="T44" s="140">
        <f>'ADJ DETAIL INPUT'!T43</f>
        <v>16</v>
      </c>
      <c r="U44" s="140">
        <f>'ADJ DETAIL INPUT'!U43</f>
        <v>-399</v>
      </c>
      <c r="V44" s="140">
        <f>'ADJ DETAIL INPUT'!V43</f>
        <v>219</v>
      </c>
      <c r="W44" s="140">
        <f>'ADJ DETAIL INPUT'!W43</f>
        <v>0</v>
      </c>
      <c r="X44" s="140">
        <f>'ADJ DETAIL INPUT'!X43</f>
        <v>0</v>
      </c>
      <c r="Y44" s="140">
        <f>'ADJ DETAIL INPUT'!AA43</f>
        <v>-83</v>
      </c>
      <c r="Z44" s="140">
        <f>'ADJ DETAIL INPUT'!AB43</f>
        <v>0</v>
      </c>
      <c r="AA44" s="140">
        <f>'ADJ DETAIL INPUT'!AC43</f>
        <v>0</v>
      </c>
      <c r="AB44" s="140">
        <f>'ADJ DETAIL INPUT'!AD43</f>
        <v>291</v>
      </c>
      <c r="AC44" s="140">
        <f>'ADJ DETAIL INPUT'!AE43</f>
        <v>-97</v>
      </c>
      <c r="AD44" s="140">
        <f>'ADJ DETAIL INPUT'!AF43</f>
        <v>108</v>
      </c>
      <c r="AE44" s="140">
        <f>'ADJ DETAIL INPUT'!AG43</f>
        <v>0</v>
      </c>
      <c r="AF44" s="140">
        <f>'ADJ DETAIL INPUT'!AH43</f>
        <v>0</v>
      </c>
      <c r="AG44" s="140">
        <f>'ADJ DETAIL INPUT'!AI43</f>
        <v>0</v>
      </c>
      <c r="AH44" s="140">
        <f>'ADJ DETAIL INPUT'!AJ43</f>
        <v>0</v>
      </c>
      <c r="AI44" s="140">
        <f>'ADJ DETAIL INPUT'!AK43</f>
        <v>0</v>
      </c>
      <c r="AJ44" s="140">
        <f>'ADJ DETAIL INPUT'!AL43</f>
        <v>0</v>
      </c>
      <c r="AK44" s="140">
        <f>'ADJ DETAIL INPUT'!AM43</f>
        <v>0</v>
      </c>
      <c r="AL44" s="140">
        <f>'ADJ DETAIL INPUT'!AN43</f>
        <v>0</v>
      </c>
      <c r="AM44" s="140">
        <f>'ADJ DETAIL INPUT'!AO43</f>
        <v>0</v>
      </c>
      <c r="AN44" s="140">
        <f>'ADJ DETAIL INPUT'!AP43</f>
        <v>0</v>
      </c>
      <c r="AO44" s="140">
        <f>'ADJ DETAIL INPUT'!AQ43</f>
        <v>0</v>
      </c>
      <c r="AP44" s="140">
        <f>'ADJ DETAIL INPUT'!AR43</f>
        <v>0</v>
      </c>
      <c r="AQ44" s="140">
        <f>'ADJ DETAIL INPUT'!AU43</f>
        <v>15660</v>
      </c>
      <c r="AR44" s="140">
        <f>'ADJ DETAIL INPUT'!AV43</f>
        <v>0</v>
      </c>
      <c r="AS44" s="140">
        <f>'ADJ DETAIL INPUT'!AW43</f>
        <v>15660</v>
      </c>
    </row>
    <row r="45" spans="1:45">
      <c r="A45" s="121">
        <v>21</v>
      </c>
      <c r="C45" s="123" t="s">
        <v>189</v>
      </c>
      <c r="D45" s="123"/>
      <c r="E45" s="140">
        <f>'ADJ DETAIL INPUT'!E44</f>
        <v>10678</v>
      </c>
      <c r="F45" s="140">
        <f>'ADJ DETAIL INPUT'!F44</f>
        <v>0</v>
      </c>
      <c r="G45" s="140">
        <f>'ADJ DETAIL INPUT'!G44</f>
        <v>0</v>
      </c>
      <c r="H45" s="140">
        <f>'ADJ DETAIL INPUT'!H44</f>
        <v>0</v>
      </c>
      <c r="I45" s="140">
        <f>'ADJ DETAIL INPUT'!I44</f>
        <v>0</v>
      </c>
      <c r="J45" s="140">
        <f>'ADJ DETAIL INPUT'!J44</f>
        <v>0</v>
      </c>
      <c r="K45" s="140">
        <f>'ADJ DETAIL INPUT'!K44</f>
        <v>0</v>
      </c>
      <c r="L45" s="140">
        <f>'ADJ DETAIL INPUT'!L44</f>
        <v>0</v>
      </c>
      <c r="M45" s="140">
        <f>'ADJ DETAIL INPUT'!M44</f>
        <v>0</v>
      </c>
      <c r="N45" s="140">
        <f>'ADJ DETAIL INPUT'!N44</f>
        <v>0</v>
      </c>
      <c r="O45" s="140">
        <f>'ADJ DETAIL INPUT'!O44</f>
        <v>0</v>
      </c>
      <c r="P45" s="140">
        <f>'ADJ DETAIL INPUT'!P44</f>
        <v>0</v>
      </c>
      <c r="Q45" s="140">
        <f>'ADJ DETAIL INPUT'!Q44</f>
        <v>0</v>
      </c>
      <c r="R45" s="140">
        <f>'ADJ DETAIL INPUT'!R44</f>
        <v>0</v>
      </c>
      <c r="S45" s="140">
        <f>'ADJ DETAIL INPUT'!S44</f>
        <v>0</v>
      </c>
      <c r="T45" s="140">
        <f>'ADJ DETAIL INPUT'!T44</f>
        <v>0</v>
      </c>
      <c r="U45" s="140">
        <f>'ADJ DETAIL INPUT'!U44</f>
        <v>0</v>
      </c>
      <c r="V45" s="140">
        <f>'ADJ DETAIL INPUT'!V44</f>
        <v>0</v>
      </c>
      <c r="W45" s="140">
        <f>'ADJ DETAIL INPUT'!W44</f>
        <v>0</v>
      </c>
      <c r="X45" s="140">
        <f>'ADJ DETAIL INPUT'!X44</f>
        <v>14</v>
      </c>
      <c r="Y45" s="140">
        <f>'ADJ DETAIL INPUT'!AA44</f>
        <v>0</v>
      </c>
      <c r="Z45" s="140">
        <f>'ADJ DETAIL INPUT'!AB44</f>
        <v>0</v>
      </c>
      <c r="AA45" s="140">
        <f>'ADJ DETAIL INPUT'!AC44</f>
        <v>0</v>
      </c>
      <c r="AB45" s="140">
        <f>'ADJ DETAIL INPUT'!AD44</f>
        <v>0</v>
      </c>
      <c r="AC45" s="140">
        <f>'ADJ DETAIL INPUT'!AE44</f>
        <v>0</v>
      </c>
      <c r="AD45" s="140">
        <f>'ADJ DETAIL INPUT'!AF44</f>
        <v>0</v>
      </c>
      <c r="AE45" s="140">
        <f>'ADJ DETAIL INPUT'!AG44</f>
        <v>0</v>
      </c>
      <c r="AF45" s="140">
        <f>'ADJ DETAIL INPUT'!AH44</f>
        <v>0</v>
      </c>
      <c r="AG45" s="140">
        <f>'ADJ DETAIL INPUT'!AI44</f>
        <v>0</v>
      </c>
      <c r="AH45" s="140">
        <f>'ADJ DETAIL INPUT'!AJ44</f>
        <v>0</v>
      </c>
      <c r="AI45" s="140">
        <f>'ADJ DETAIL INPUT'!AK44</f>
        <v>438</v>
      </c>
      <c r="AJ45" s="140">
        <f>'ADJ DETAIL INPUT'!AL44</f>
        <v>-45</v>
      </c>
      <c r="AK45" s="140">
        <f>'ADJ DETAIL INPUT'!AM44</f>
        <v>0</v>
      </c>
      <c r="AL45" s="140">
        <f>'ADJ DETAIL INPUT'!AN44</f>
        <v>-14</v>
      </c>
      <c r="AM45" s="140">
        <f>'ADJ DETAIL INPUT'!AO44</f>
        <v>451</v>
      </c>
      <c r="AN45" s="140">
        <f>'ADJ DETAIL INPUT'!AP44</f>
        <v>75</v>
      </c>
      <c r="AO45" s="140">
        <f>'ADJ DETAIL INPUT'!AQ44</f>
        <v>0</v>
      </c>
      <c r="AP45" s="140">
        <f>'ADJ DETAIL INPUT'!AR44</f>
        <v>0</v>
      </c>
      <c r="AQ45" s="140">
        <f>'ADJ DETAIL INPUT'!AU44</f>
        <v>11597</v>
      </c>
      <c r="AR45" s="140">
        <f>'ADJ DETAIL INPUT'!AV44</f>
        <v>0</v>
      </c>
      <c r="AS45" s="140">
        <f>'ADJ DETAIL INPUT'!AW44</f>
        <v>11597</v>
      </c>
    </row>
    <row r="46" spans="1:45">
      <c r="A46" s="121">
        <v>22</v>
      </c>
      <c r="C46" s="8" t="s">
        <v>400</v>
      </c>
      <c r="D46" s="123"/>
      <c r="E46" s="140">
        <f>'ADJ DETAIL INPUT'!E45</f>
        <v>-3003</v>
      </c>
      <c r="F46" s="140">
        <f>'ADJ DETAIL INPUT'!F45</f>
        <v>0</v>
      </c>
      <c r="G46" s="140">
        <f>'ADJ DETAIL INPUT'!G45</f>
        <v>0</v>
      </c>
      <c r="H46" s="140">
        <f>'ADJ DETAIL INPUT'!H45</f>
        <v>0</v>
      </c>
      <c r="I46" s="140">
        <f>'ADJ DETAIL INPUT'!I45</f>
        <v>0</v>
      </c>
      <c r="J46" s="140">
        <f>'ADJ DETAIL INPUT'!J45</f>
        <v>0</v>
      </c>
      <c r="K46" s="140">
        <f>'ADJ DETAIL INPUT'!K45</f>
        <v>0</v>
      </c>
      <c r="L46" s="140">
        <f>'ADJ DETAIL INPUT'!L45</f>
        <v>0</v>
      </c>
      <c r="M46" s="140">
        <f>'ADJ DETAIL INPUT'!M45</f>
        <v>0</v>
      </c>
      <c r="N46" s="140">
        <f>'ADJ DETAIL INPUT'!N45</f>
        <v>0</v>
      </c>
      <c r="O46" s="140">
        <f>'ADJ DETAIL INPUT'!O45</f>
        <v>0</v>
      </c>
      <c r="P46" s="140">
        <f>'ADJ DETAIL INPUT'!P45</f>
        <v>0</v>
      </c>
      <c r="Q46" s="140">
        <f>'ADJ DETAIL INPUT'!Q45</f>
        <v>0</v>
      </c>
      <c r="R46" s="140">
        <f>'ADJ DETAIL INPUT'!R45</f>
        <v>0</v>
      </c>
      <c r="S46" s="140">
        <f>'ADJ DETAIL INPUT'!S45</f>
        <v>0</v>
      </c>
      <c r="T46" s="140">
        <f>'ADJ DETAIL INPUT'!T45</f>
        <v>1205</v>
      </c>
      <c r="U46" s="140">
        <f>'ADJ DETAIL INPUT'!U45</f>
        <v>0</v>
      </c>
      <c r="V46" s="140">
        <f>'ADJ DETAIL INPUT'!V45</f>
        <v>0</v>
      </c>
      <c r="W46" s="140">
        <f>'ADJ DETAIL INPUT'!W45</f>
        <v>0</v>
      </c>
      <c r="X46" s="140">
        <f>'ADJ DETAIL INPUT'!X45</f>
        <v>0</v>
      </c>
      <c r="Y46" s="140">
        <f>'ADJ DETAIL INPUT'!AA45</f>
        <v>0</v>
      </c>
      <c r="Z46" s="140">
        <f>'ADJ DETAIL INPUT'!AB45</f>
        <v>-230</v>
      </c>
      <c r="AA46" s="140">
        <f>'ADJ DETAIL INPUT'!AC45</f>
        <v>0</v>
      </c>
      <c r="AB46" s="140">
        <f>'ADJ DETAIL INPUT'!AD45</f>
        <v>0</v>
      </c>
      <c r="AC46" s="140">
        <f>'ADJ DETAIL INPUT'!AE45</f>
        <v>0</v>
      </c>
      <c r="AD46" s="140">
        <f>'ADJ DETAIL INPUT'!AF45</f>
        <v>0</v>
      </c>
      <c r="AE46" s="140">
        <f>'ADJ DETAIL INPUT'!AG45</f>
        <v>0</v>
      </c>
      <c r="AF46" s="140">
        <f>'ADJ DETAIL INPUT'!AH45</f>
        <v>0</v>
      </c>
      <c r="AG46" s="140">
        <f>'ADJ DETAIL INPUT'!AI45</f>
        <v>0</v>
      </c>
      <c r="AH46" s="140">
        <f>'ADJ DETAIL INPUT'!AJ45</f>
        <v>805</v>
      </c>
      <c r="AI46" s="140">
        <f>'ADJ DETAIL INPUT'!AK45</f>
        <v>0</v>
      </c>
      <c r="AJ46" s="140">
        <f>'ADJ DETAIL INPUT'!AL45</f>
        <v>0</v>
      </c>
      <c r="AK46" s="140">
        <f>'ADJ DETAIL INPUT'!AM45</f>
        <v>-69</v>
      </c>
      <c r="AL46" s="140">
        <f>'ADJ DETAIL INPUT'!AN45</f>
        <v>0</v>
      </c>
      <c r="AM46" s="140">
        <f>'ADJ DETAIL INPUT'!AO45</f>
        <v>0</v>
      </c>
      <c r="AN46" s="140">
        <f>'ADJ DETAIL INPUT'!AP45</f>
        <v>3491</v>
      </c>
      <c r="AO46" s="140">
        <f>'ADJ DETAIL INPUT'!AQ45</f>
        <v>1550</v>
      </c>
      <c r="AP46" s="140">
        <f>'ADJ DETAIL INPUT'!AR45</f>
        <v>0</v>
      </c>
      <c r="AQ46" s="140">
        <f>'ADJ DETAIL INPUT'!AU45</f>
        <v>3749</v>
      </c>
      <c r="AR46" s="140">
        <f>'ADJ DETAIL INPUT'!AV45</f>
        <v>-6294.1716360994451</v>
      </c>
      <c r="AS46" s="140">
        <f>'ADJ DETAIL INPUT'!AW45</f>
        <v>-2545.1716360994451</v>
      </c>
    </row>
    <row r="47" spans="1:45">
      <c r="A47" s="121">
        <v>23</v>
      </c>
      <c r="C47" s="123" t="s">
        <v>21</v>
      </c>
      <c r="D47" s="123"/>
      <c r="E47" s="141">
        <f>'ADJ DETAIL INPUT'!E46</f>
        <v>0</v>
      </c>
      <c r="F47" s="141">
        <f>'ADJ DETAIL INPUT'!F46</f>
        <v>0</v>
      </c>
      <c r="G47" s="141">
        <f>'ADJ DETAIL INPUT'!G46</f>
        <v>0</v>
      </c>
      <c r="H47" s="141">
        <f>'ADJ DETAIL INPUT'!H46</f>
        <v>0</v>
      </c>
      <c r="I47" s="141">
        <f>'ADJ DETAIL INPUT'!I46</f>
        <v>0</v>
      </c>
      <c r="J47" s="141">
        <f>'ADJ DETAIL INPUT'!J46</f>
        <v>0</v>
      </c>
      <c r="K47" s="141">
        <f>'ADJ DETAIL INPUT'!K46</f>
        <v>0</v>
      </c>
      <c r="L47" s="141">
        <f>'ADJ DETAIL INPUT'!L46</f>
        <v>0</v>
      </c>
      <c r="M47" s="141">
        <f>'ADJ DETAIL INPUT'!M46</f>
        <v>0</v>
      </c>
      <c r="N47" s="141">
        <f>'ADJ DETAIL INPUT'!N46</f>
        <v>0</v>
      </c>
      <c r="O47" s="141">
        <f>'ADJ DETAIL INPUT'!O46</f>
        <v>0</v>
      </c>
      <c r="P47" s="141">
        <f>'ADJ DETAIL INPUT'!P46</f>
        <v>0</v>
      </c>
      <c r="Q47" s="141">
        <f>'ADJ DETAIL INPUT'!Q46</f>
        <v>0</v>
      </c>
      <c r="R47" s="141">
        <f>'ADJ DETAIL INPUT'!R46</f>
        <v>0</v>
      </c>
      <c r="S47" s="141">
        <f>'ADJ DETAIL INPUT'!S46</f>
        <v>0</v>
      </c>
      <c r="T47" s="141">
        <f>'ADJ DETAIL INPUT'!T46</f>
        <v>0</v>
      </c>
      <c r="U47" s="141">
        <f>'ADJ DETAIL INPUT'!U46</f>
        <v>0</v>
      </c>
      <c r="V47" s="141">
        <f>'ADJ DETAIL INPUT'!V46</f>
        <v>0</v>
      </c>
      <c r="W47" s="141">
        <f>'ADJ DETAIL INPUT'!W46</f>
        <v>0</v>
      </c>
      <c r="X47" s="141">
        <f>'ADJ DETAIL INPUT'!X46</f>
        <v>0</v>
      </c>
      <c r="Y47" s="141">
        <f>'ADJ DETAIL INPUT'!AA46</f>
        <v>0</v>
      </c>
      <c r="Z47" s="141">
        <f>'ADJ DETAIL INPUT'!AB46</f>
        <v>0</v>
      </c>
      <c r="AA47" s="141">
        <f>'ADJ DETAIL INPUT'!AC46</f>
        <v>0</v>
      </c>
      <c r="AB47" s="141">
        <f>'ADJ DETAIL INPUT'!AD46</f>
        <v>0</v>
      </c>
      <c r="AC47" s="141">
        <f>'ADJ DETAIL INPUT'!AE46</f>
        <v>0</v>
      </c>
      <c r="AD47" s="141">
        <f>'ADJ DETAIL INPUT'!AF46</f>
        <v>0</v>
      </c>
      <c r="AE47" s="141">
        <f>'ADJ DETAIL INPUT'!AG46</f>
        <v>0</v>
      </c>
      <c r="AF47" s="141">
        <f>'ADJ DETAIL INPUT'!AH46</f>
        <v>0</v>
      </c>
      <c r="AG47" s="141">
        <f>'ADJ DETAIL INPUT'!AI46</f>
        <v>0</v>
      </c>
      <c r="AH47" s="141">
        <f>'ADJ DETAIL INPUT'!AJ46</f>
        <v>0</v>
      </c>
      <c r="AI47" s="141">
        <f>'ADJ DETAIL INPUT'!AK46</f>
        <v>0</v>
      </c>
      <c r="AJ47" s="141">
        <f>'ADJ DETAIL INPUT'!AL46</f>
        <v>0</v>
      </c>
      <c r="AK47" s="141">
        <f>'ADJ DETAIL INPUT'!AM46</f>
        <v>0</v>
      </c>
      <c r="AL47" s="141">
        <f>'ADJ DETAIL INPUT'!AN46</f>
        <v>0</v>
      </c>
      <c r="AM47" s="141">
        <f>'ADJ DETAIL INPUT'!AO46</f>
        <v>0</v>
      </c>
      <c r="AN47" s="141">
        <f>'ADJ DETAIL INPUT'!AP46</f>
        <v>0</v>
      </c>
      <c r="AO47" s="141">
        <f>'ADJ DETAIL INPUT'!AQ46</f>
        <v>0</v>
      </c>
      <c r="AP47" s="141">
        <f>'ADJ DETAIL INPUT'!AR46</f>
        <v>0</v>
      </c>
      <c r="AQ47" s="141">
        <f>'ADJ DETAIL INPUT'!AU46</f>
        <v>0</v>
      </c>
      <c r="AR47" s="141">
        <f>'ADJ DETAIL INPUT'!AV46</f>
        <v>0</v>
      </c>
      <c r="AS47" s="141">
        <f>'ADJ DETAIL INPUT'!AW46</f>
        <v>0</v>
      </c>
    </row>
    <row r="48" spans="1:45">
      <c r="A48" s="121">
        <v>24</v>
      </c>
      <c r="B48" s="123" t="s">
        <v>52</v>
      </c>
      <c r="C48" s="123"/>
      <c r="E48" s="141">
        <f>SUM(E44:E47)</f>
        <v>23371</v>
      </c>
      <c r="F48" s="141">
        <f t="shared" ref="F48:AG48" si="50">SUM(F44:F47)</f>
        <v>0</v>
      </c>
      <c r="G48" s="141">
        <f t="shared" si="50"/>
        <v>0</v>
      </c>
      <c r="H48" s="141">
        <f t="shared" si="50"/>
        <v>0</v>
      </c>
      <c r="I48" s="141">
        <f t="shared" ref="I48" si="51">SUM(I44:I47)</f>
        <v>0</v>
      </c>
      <c r="J48" s="141">
        <f t="shared" si="50"/>
        <v>0</v>
      </c>
      <c r="K48" s="141">
        <f t="shared" si="50"/>
        <v>0</v>
      </c>
      <c r="L48" s="141">
        <f t="shared" si="50"/>
        <v>0</v>
      </c>
      <c r="M48" s="141">
        <f t="shared" si="50"/>
        <v>-58</v>
      </c>
      <c r="N48" s="141">
        <f t="shared" si="50"/>
        <v>-9</v>
      </c>
      <c r="O48" s="141">
        <f t="shared" si="50"/>
        <v>0</v>
      </c>
      <c r="P48" s="141">
        <f t="shared" si="50"/>
        <v>-16</v>
      </c>
      <c r="Q48" s="141">
        <f t="shared" si="50"/>
        <v>0</v>
      </c>
      <c r="R48" s="141">
        <f t="shared" si="50"/>
        <v>0</v>
      </c>
      <c r="S48" s="141">
        <f t="shared" si="50"/>
        <v>-8</v>
      </c>
      <c r="T48" s="141">
        <f t="shared" ref="T48:U48" si="52">SUM(T44:T47)</f>
        <v>1221</v>
      </c>
      <c r="U48" s="141">
        <f t="shared" si="52"/>
        <v>-399</v>
      </c>
      <c r="V48" s="141">
        <f t="shared" ref="V48" si="53">SUM(V44:V47)</f>
        <v>219</v>
      </c>
      <c r="W48" s="141">
        <f>SUM(W44:W47)</f>
        <v>0</v>
      </c>
      <c r="X48" s="141">
        <f>SUM(X44:X47)</f>
        <v>14</v>
      </c>
      <c r="Y48" s="141">
        <f>SUM(Y44:Y47)</f>
        <v>-83</v>
      </c>
      <c r="Z48" s="141">
        <f>SUM(Z44:Z47)</f>
        <v>-230</v>
      </c>
      <c r="AA48" s="141">
        <f>SUM(AA44:AA47)</f>
        <v>0</v>
      </c>
      <c r="AB48" s="141">
        <f t="shared" si="50"/>
        <v>291</v>
      </c>
      <c r="AC48" s="141">
        <f t="shared" ref="AC48" si="54">SUM(AC44:AC47)</f>
        <v>-97</v>
      </c>
      <c r="AD48" s="141">
        <f t="shared" si="50"/>
        <v>108</v>
      </c>
      <c r="AE48" s="141">
        <f t="shared" ref="AE48" si="55">SUM(AE44:AE47)</f>
        <v>0</v>
      </c>
      <c r="AF48" s="141">
        <f t="shared" ref="AF48" si="56">SUM(AF44:AF47)</f>
        <v>0</v>
      </c>
      <c r="AG48" s="141">
        <f t="shared" si="50"/>
        <v>0</v>
      </c>
      <c r="AH48" s="141">
        <f>SUM(AH44:AH47)</f>
        <v>805</v>
      </c>
      <c r="AI48" s="141">
        <f t="shared" ref="AI48" si="57">SUM(AI44:AI47)</f>
        <v>438</v>
      </c>
      <c r="AJ48" s="141">
        <f t="shared" ref="AJ48:AK48" si="58">SUM(AJ44:AJ47)</f>
        <v>-45</v>
      </c>
      <c r="AK48" s="141">
        <f t="shared" si="58"/>
        <v>-69</v>
      </c>
      <c r="AL48" s="141">
        <f t="shared" ref="AL48:AP48" si="59">SUM(AL44:AL47)</f>
        <v>-14</v>
      </c>
      <c r="AM48" s="141">
        <f t="shared" si="59"/>
        <v>451</v>
      </c>
      <c r="AN48" s="141">
        <f t="shared" si="59"/>
        <v>3566</v>
      </c>
      <c r="AO48" s="141">
        <f t="shared" si="59"/>
        <v>1550</v>
      </c>
      <c r="AP48" s="141">
        <f t="shared" si="59"/>
        <v>0</v>
      </c>
      <c r="AQ48" s="141">
        <f t="shared" ref="AQ48:AR48" si="60">SUM(AQ44:AQ47)</f>
        <v>31006</v>
      </c>
      <c r="AR48" s="141">
        <f t="shared" si="60"/>
        <v>-6294.1716360994451</v>
      </c>
      <c r="AS48" s="141">
        <f t="shared" ref="AS48" si="61">SUM(AS44:AS47)</f>
        <v>24711.828363900553</v>
      </c>
    </row>
    <row r="49" spans="1:45" ht="19.5" customHeight="1">
      <c r="A49" s="121">
        <v>25</v>
      </c>
      <c r="B49" s="97" t="s">
        <v>53</v>
      </c>
      <c r="C49" s="123"/>
      <c r="D49" s="123"/>
      <c r="E49" s="141">
        <f t="shared" ref="E49" si="62">E21+E25+E31+E37+E39+E40+E41+E48</f>
        <v>181582</v>
      </c>
      <c r="F49" s="141">
        <f t="shared" ref="F49:AG49" si="63">F21+F25+F31+F37+F39+F40+F41+F48</f>
        <v>0</v>
      </c>
      <c r="G49" s="141">
        <f t="shared" si="63"/>
        <v>15</v>
      </c>
      <c r="H49" s="141">
        <f t="shared" si="63"/>
        <v>0</v>
      </c>
      <c r="I49" s="141">
        <f t="shared" ref="I49" si="64">I21+I25+I31+I37+I39+I40+I41+I48</f>
        <v>0</v>
      </c>
      <c r="J49" s="141">
        <f t="shared" si="63"/>
        <v>-5235</v>
      </c>
      <c r="K49" s="141">
        <f t="shared" si="63"/>
        <v>239</v>
      </c>
      <c r="L49" s="141">
        <f t="shared" si="63"/>
        <v>166</v>
      </c>
      <c r="M49" s="141">
        <f t="shared" si="63"/>
        <v>-58</v>
      </c>
      <c r="N49" s="141">
        <f t="shared" si="63"/>
        <v>-9</v>
      </c>
      <c r="O49" s="141">
        <f t="shared" si="63"/>
        <v>0</v>
      </c>
      <c r="P49" s="141">
        <f t="shared" si="63"/>
        <v>-16</v>
      </c>
      <c r="Q49" s="141">
        <f t="shared" si="63"/>
        <v>1</v>
      </c>
      <c r="R49" s="141">
        <f t="shared" si="63"/>
        <v>-11</v>
      </c>
      <c r="S49" s="141">
        <f t="shared" si="63"/>
        <v>-1830</v>
      </c>
      <c r="T49" s="141">
        <f t="shared" ref="T49:U49" si="65">T21+T25+T31+T37+T39+T40+T41+T48</f>
        <v>-52738</v>
      </c>
      <c r="U49" s="141">
        <f t="shared" si="65"/>
        <v>-400</v>
      </c>
      <c r="V49" s="141">
        <f t="shared" ref="V49" si="66">V21+V25+V31+V37+V39+V40+V41+V48</f>
        <v>219</v>
      </c>
      <c r="W49" s="141">
        <f>W21+W25+W31+W37+W39+W40+W41+W48</f>
        <v>0</v>
      </c>
      <c r="X49" s="141">
        <f>X21+X25+X31+X37+X39+X40+X41+X48</f>
        <v>-262</v>
      </c>
      <c r="Y49" s="141">
        <f>Y21+Y25+Y31+Y37+Y39+Y40+Y41+Y48</f>
        <v>-52960</v>
      </c>
      <c r="Z49" s="141">
        <f>Z21+Z25+Z31+Z37+Z39+Z40+Z41+Z48</f>
        <v>-230</v>
      </c>
      <c r="AA49" s="141">
        <f>AA21+AA25+AA31+AA37+AA39+AA40+AA41+AA48</f>
        <v>0</v>
      </c>
      <c r="AB49" s="141">
        <f t="shared" si="63"/>
        <v>792</v>
      </c>
      <c r="AC49" s="141">
        <f t="shared" ref="AC49" si="67">AC21+AC25+AC31+AC37+AC39+AC40+AC41+AC48</f>
        <v>-97</v>
      </c>
      <c r="AD49" s="141">
        <f t="shared" si="63"/>
        <v>372</v>
      </c>
      <c r="AE49" s="141">
        <f t="shared" ref="AE49" si="68">AE21+AE25+AE31+AE37+AE39+AE40+AE41+AE48</f>
        <v>0</v>
      </c>
      <c r="AF49" s="141">
        <f t="shared" ref="AF49" si="69">AF21+AF25+AF31+AF37+AF39+AF40+AF41+AF48</f>
        <v>0</v>
      </c>
      <c r="AG49" s="141">
        <f t="shared" si="63"/>
        <v>257</v>
      </c>
      <c r="AH49" s="141">
        <f>AH21+AH25+AH31+AH37+AH39+AH40+AH41+AH48</f>
        <v>872</v>
      </c>
      <c r="AI49" s="141">
        <f t="shared" ref="AI49" si="70">AI21+AI25+AI31+AI37+AI39+AI40+AI41+AI48</f>
        <v>438</v>
      </c>
      <c r="AJ49" s="141">
        <f t="shared" ref="AJ49:AK49" si="71">AJ21+AJ25+AJ31+AJ37+AJ39+AJ40+AJ41+AJ48</f>
        <v>72</v>
      </c>
      <c r="AK49" s="141">
        <f t="shared" si="71"/>
        <v>-66</v>
      </c>
      <c r="AL49" s="141">
        <f t="shared" ref="AL49:AP49" si="72">AL21+AL25+AL31+AL37+AL39+AL40+AL41+AL48</f>
        <v>160</v>
      </c>
      <c r="AM49" s="141">
        <f t="shared" si="72"/>
        <v>451</v>
      </c>
      <c r="AN49" s="141">
        <f t="shared" si="72"/>
        <v>3398</v>
      </c>
      <c r="AO49" s="141">
        <f t="shared" si="72"/>
        <v>1550</v>
      </c>
      <c r="AP49" s="141">
        <f t="shared" si="72"/>
        <v>0</v>
      </c>
      <c r="AQ49" s="141">
        <f t="shared" ref="AQ49:AR49" si="73">AQ21+AQ25+AQ31+AQ37+AQ39+AQ40+AQ41+AQ48</f>
        <v>76672</v>
      </c>
      <c r="AR49" s="141">
        <f t="shared" si="73"/>
        <v>-6294.1716360994451</v>
      </c>
      <c r="AS49" s="141">
        <f t="shared" ref="AS49" si="74">AS21+AS25+AS31+AS37+AS39+AS40+AS41+AS48</f>
        <v>70377.828363900553</v>
      </c>
    </row>
    <row r="50" spans="1:45">
      <c r="C50" s="123"/>
      <c r="D50" s="123"/>
      <c r="E50" s="140"/>
      <c r="F50" s="140"/>
      <c r="G50" s="140"/>
      <c r="H50" s="140"/>
      <c r="I50" s="140"/>
      <c r="J50" s="140"/>
      <c r="K50" s="140"/>
      <c r="L50" s="140"/>
      <c r="M50" s="140"/>
      <c r="N50" s="140"/>
      <c r="O50" s="140"/>
      <c r="P50" s="140"/>
      <c r="Q50" s="140"/>
      <c r="R50" s="140"/>
      <c r="S50" s="140"/>
      <c r="T50" s="140"/>
      <c r="U50" s="140"/>
      <c r="V50" s="140"/>
      <c r="W50" s="140"/>
      <c r="X50" s="140"/>
      <c r="Y50" s="140"/>
      <c r="Z50" s="140"/>
      <c r="AA50" s="140"/>
      <c r="AB50" s="140"/>
      <c r="AC50" s="140"/>
      <c r="AD50" s="140"/>
      <c r="AE50" s="140"/>
      <c r="AF50" s="140"/>
      <c r="AG50" s="140"/>
      <c r="AH50" s="140"/>
      <c r="AI50" s="140"/>
      <c r="AJ50" s="140"/>
      <c r="AK50" s="140"/>
      <c r="AL50" s="140"/>
      <c r="AM50" s="140"/>
      <c r="AN50" s="140"/>
      <c r="AO50" s="140"/>
      <c r="AP50" s="140"/>
      <c r="AQ50" s="140"/>
      <c r="AR50" s="140"/>
      <c r="AS50" s="140"/>
    </row>
    <row r="51" spans="1:45" ht="13" customHeight="1">
      <c r="A51" s="121">
        <v>26</v>
      </c>
      <c r="B51" s="97" t="s">
        <v>54</v>
      </c>
      <c r="C51" s="123"/>
      <c r="D51" s="123"/>
      <c r="E51" s="140">
        <f>E18-E49</f>
        <v>26243</v>
      </c>
      <c r="F51" s="140">
        <f t="shared" ref="F51:AG51" si="75">F18-F49</f>
        <v>0</v>
      </c>
      <c r="G51" s="140">
        <f t="shared" si="75"/>
        <v>-15</v>
      </c>
      <c r="H51" s="140">
        <f t="shared" si="75"/>
        <v>0</v>
      </c>
      <c r="I51" s="140">
        <f t="shared" ref="I51" si="76">I18-I49</f>
        <v>0</v>
      </c>
      <c r="J51" s="140">
        <f t="shared" si="75"/>
        <v>-12</v>
      </c>
      <c r="K51" s="140">
        <f t="shared" si="75"/>
        <v>-239</v>
      </c>
      <c r="L51" s="140">
        <f t="shared" si="75"/>
        <v>-166</v>
      </c>
      <c r="M51" s="140">
        <f t="shared" si="75"/>
        <v>58</v>
      </c>
      <c r="N51" s="140">
        <f t="shared" si="75"/>
        <v>9</v>
      </c>
      <c r="O51" s="140">
        <f t="shared" si="75"/>
        <v>0</v>
      </c>
      <c r="P51" s="140">
        <f t="shared" si="75"/>
        <v>16</v>
      </c>
      <c r="Q51" s="140">
        <f t="shared" si="75"/>
        <v>-1</v>
      </c>
      <c r="R51" s="140">
        <f t="shared" si="75"/>
        <v>11</v>
      </c>
      <c r="S51" s="140">
        <f t="shared" si="75"/>
        <v>-6</v>
      </c>
      <c r="T51" s="140">
        <f t="shared" ref="T51:U51" si="77">T18-T49</f>
        <v>824</v>
      </c>
      <c r="U51" s="140">
        <f t="shared" si="77"/>
        <v>-44</v>
      </c>
      <c r="V51" s="140">
        <f t="shared" ref="V51" si="78">V18-V49</f>
        <v>-219</v>
      </c>
      <c r="W51" s="140">
        <f>W18-W49</f>
        <v>0</v>
      </c>
      <c r="X51" s="140">
        <f>X18-X49</f>
        <v>262</v>
      </c>
      <c r="Y51" s="140">
        <f>Y18-Y49</f>
        <v>10363</v>
      </c>
      <c r="Z51" s="140">
        <f>Z18-Z49</f>
        <v>230</v>
      </c>
      <c r="AA51" s="140">
        <f>AA18-AA49</f>
        <v>0</v>
      </c>
      <c r="AB51" s="140">
        <f t="shared" si="75"/>
        <v>-792</v>
      </c>
      <c r="AC51" s="140">
        <f t="shared" ref="AC51" si="79">AC18-AC49</f>
        <v>97</v>
      </c>
      <c r="AD51" s="140">
        <f t="shared" si="75"/>
        <v>-372</v>
      </c>
      <c r="AE51" s="140">
        <f t="shared" ref="AE51" si="80">AE18-AE49</f>
        <v>0</v>
      </c>
      <c r="AF51" s="140">
        <f t="shared" ref="AF51" si="81">AF18-AF49</f>
        <v>0</v>
      </c>
      <c r="AG51" s="140">
        <f t="shared" si="75"/>
        <v>-257</v>
      </c>
      <c r="AH51" s="140">
        <f>AH18-AH49</f>
        <v>-872</v>
      </c>
      <c r="AI51" s="140">
        <f t="shared" ref="AI51" si="82">AI18-AI49</f>
        <v>-438</v>
      </c>
      <c r="AJ51" s="140">
        <f t="shared" ref="AJ51:AK51" si="83">AJ18-AJ49</f>
        <v>-72</v>
      </c>
      <c r="AK51" s="140">
        <f t="shared" si="83"/>
        <v>66</v>
      </c>
      <c r="AL51" s="140">
        <f t="shared" ref="AL51:AP51" si="84">AL18-AL49</f>
        <v>-160</v>
      </c>
      <c r="AM51" s="140">
        <f t="shared" si="84"/>
        <v>-451</v>
      </c>
      <c r="AN51" s="140">
        <f t="shared" si="84"/>
        <v>-3398</v>
      </c>
      <c r="AO51" s="140">
        <f t="shared" si="84"/>
        <v>-1550</v>
      </c>
      <c r="AP51" s="140">
        <f t="shared" si="84"/>
        <v>0</v>
      </c>
      <c r="AQ51" s="140">
        <f t="shared" ref="AQ51:AR51" si="85">AQ18-AQ49</f>
        <v>29115</v>
      </c>
      <c r="AR51" s="140">
        <f t="shared" si="85"/>
        <v>6294.1716360994451</v>
      </c>
      <c r="AS51" s="140">
        <f t="shared" ref="AS51" si="86">AS18-AS49</f>
        <v>35409.171636099447</v>
      </c>
    </row>
    <row r="52" spans="1:45" ht="13" customHeight="1">
      <c r="C52" s="123"/>
      <c r="D52" s="123"/>
      <c r="E52" s="140"/>
      <c r="F52" s="140"/>
      <c r="G52" s="140"/>
      <c r="H52" s="140"/>
      <c r="I52" s="140"/>
      <c r="J52" s="140"/>
      <c r="K52" s="140"/>
      <c r="L52" s="140"/>
      <c r="M52" s="140"/>
      <c r="N52" s="140"/>
      <c r="O52" s="140"/>
      <c r="P52" s="140"/>
      <c r="Q52" s="140"/>
      <c r="R52" s="140"/>
      <c r="S52" s="140"/>
      <c r="T52" s="140"/>
      <c r="U52" s="140"/>
      <c r="V52" s="140"/>
      <c r="W52" s="140"/>
      <c r="X52" s="140"/>
      <c r="Y52" s="140"/>
      <c r="Z52" s="140"/>
      <c r="AA52" s="140"/>
      <c r="AB52" s="140"/>
      <c r="AC52" s="140"/>
      <c r="AD52" s="140"/>
      <c r="AE52" s="140"/>
      <c r="AF52" s="140"/>
      <c r="AG52" s="140"/>
      <c r="AH52" s="140"/>
      <c r="AI52" s="140"/>
      <c r="AJ52" s="140"/>
      <c r="AK52" s="140"/>
      <c r="AL52" s="140"/>
      <c r="AM52" s="140"/>
      <c r="AN52" s="140"/>
      <c r="AO52" s="140"/>
      <c r="AP52" s="140"/>
      <c r="AQ52" s="140"/>
      <c r="AR52" s="140"/>
      <c r="AS52" s="140"/>
    </row>
    <row r="53" spans="1:45" ht="13" customHeight="1">
      <c r="B53" s="97" t="s">
        <v>55</v>
      </c>
      <c r="C53" s="123"/>
      <c r="D53" s="123"/>
      <c r="E53" s="140"/>
      <c r="F53" s="140"/>
      <c r="G53" s="140"/>
      <c r="H53" s="140"/>
      <c r="I53" s="140"/>
      <c r="J53" s="140"/>
      <c r="K53" s="140"/>
      <c r="L53" s="140"/>
      <c r="M53" s="140"/>
      <c r="N53" s="140"/>
      <c r="O53" s="140"/>
      <c r="P53" s="140"/>
      <c r="Q53" s="140"/>
      <c r="R53" s="140"/>
      <c r="S53" s="140"/>
      <c r="T53" s="140"/>
      <c r="U53" s="140"/>
      <c r="V53" s="140"/>
      <c r="W53" s="140"/>
      <c r="X53" s="140"/>
      <c r="Y53" s="140"/>
      <c r="Z53" s="140"/>
      <c r="AA53" s="140"/>
      <c r="AB53" s="140"/>
      <c r="AC53" s="140"/>
      <c r="AD53" s="140"/>
      <c r="AE53" s="140"/>
      <c r="AF53" s="140"/>
      <c r="AG53" s="140"/>
      <c r="AH53" s="140"/>
      <c r="AI53" s="140"/>
      <c r="AJ53" s="140"/>
      <c r="AK53" s="140"/>
      <c r="AL53" s="140"/>
      <c r="AM53" s="140"/>
      <c r="AN53" s="140"/>
      <c r="AO53" s="140"/>
      <c r="AP53" s="140"/>
      <c r="AQ53" s="140"/>
      <c r="AR53" s="140"/>
      <c r="AS53" s="140"/>
    </row>
    <row r="54" spans="1:45">
      <c r="A54" s="121">
        <v>27</v>
      </c>
      <c r="B54" s="123" t="s">
        <v>56</v>
      </c>
      <c r="D54" s="123"/>
      <c r="E54" s="140">
        <f>'ADJ DETAIL INPUT'!E53</f>
        <v>-4720</v>
      </c>
      <c r="F54" s="140">
        <f>'ADJ DETAIL INPUT'!F53</f>
        <v>0</v>
      </c>
      <c r="G54" s="140">
        <f>'ADJ DETAIL INPUT'!G53</f>
        <v>-3.15</v>
      </c>
      <c r="H54" s="140">
        <f>'ADJ DETAIL INPUT'!H53</f>
        <v>0</v>
      </c>
      <c r="I54" s="140">
        <f>'ADJ DETAIL INPUT'!I53</f>
        <v>0</v>
      </c>
      <c r="J54" s="140">
        <f>'ADJ DETAIL INPUT'!J53</f>
        <v>-2.52</v>
      </c>
      <c r="K54" s="140">
        <f>'ADJ DETAIL INPUT'!K53</f>
        <v>-50.19</v>
      </c>
      <c r="L54" s="140">
        <f>'ADJ DETAIL INPUT'!L53</f>
        <v>-34.86</v>
      </c>
      <c r="M54" s="140">
        <f>'ADJ DETAIL INPUT'!M53</f>
        <v>12.18</v>
      </c>
      <c r="N54" s="140">
        <f>'ADJ DETAIL INPUT'!N53</f>
        <v>1.89</v>
      </c>
      <c r="O54" s="140">
        <f>'ADJ DETAIL INPUT'!O53</f>
        <v>0</v>
      </c>
      <c r="P54" s="140">
        <f>'ADJ DETAIL INPUT'!P53</f>
        <v>3.36</v>
      </c>
      <c r="Q54" s="140">
        <f>'ADJ DETAIL INPUT'!Q53</f>
        <v>-0.21</v>
      </c>
      <c r="R54" s="140">
        <f>'ADJ DETAIL INPUT'!R53</f>
        <v>2.31</v>
      </c>
      <c r="S54" s="140">
        <f>'ADJ DETAIL INPUT'!S53</f>
        <v>-1.26</v>
      </c>
      <c r="T54" s="140">
        <f>'ADJ DETAIL INPUT'!T53</f>
        <v>173.04</v>
      </c>
      <c r="U54" s="140">
        <f>'ADJ DETAIL INPUT'!U53</f>
        <v>-9.24</v>
      </c>
      <c r="V54" s="140">
        <f>'ADJ DETAIL INPUT'!V53</f>
        <v>-45.989999999999995</v>
      </c>
      <c r="W54" s="140">
        <f>'ADJ DETAIL INPUT'!W53</f>
        <v>154</v>
      </c>
      <c r="X54" s="140">
        <f>'ADJ DETAIL INPUT'!X53</f>
        <v>55.019999999999996</v>
      </c>
      <c r="Y54" s="140">
        <f>'ADJ DETAIL INPUT'!AA53</f>
        <v>2176.23</v>
      </c>
      <c r="Z54" s="140">
        <f>'ADJ DETAIL INPUT'!AB53</f>
        <v>48.3</v>
      </c>
      <c r="AA54" s="140">
        <f>'ADJ DETAIL INPUT'!AC53</f>
        <v>0</v>
      </c>
      <c r="AB54" s="140">
        <f>'ADJ DETAIL INPUT'!AD53</f>
        <v>-166.32</v>
      </c>
      <c r="AC54" s="140">
        <f>'ADJ DETAIL INPUT'!AE53</f>
        <v>20.37</v>
      </c>
      <c r="AD54" s="140">
        <f>'ADJ DETAIL INPUT'!AF53</f>
        <v>-78.11999999999999</v>
      </c>
      <c r="AE54" s="140">
        <f>'ADJ DETAIL INPUT'!AG53</f>
        <v>0</v>
      </c>
      <c r="AF54" s="140">
        <f>'ADJ DETAIL INPUT'!AH53</f>
        <v>0</v>
      </c>
      <c r="AG54" s="140">
        <f>'ADJ DETAIL INPUT'!AI53</f>
        <v>-53.97</v>
      </c>
      <c r="AH54" s="140">
        <f>'ADJ DETAIL INPUT'!AJ53</f>
        <v>-183.12</v>
      </c>
      <c r="AI54" s="140">
        <f>'ADJ DETAIL INPUT'!AK53</f>
        <v>-91.97999999999999</v>
      </c>
      <c r="AJ54" s="140">
        <f>'ADJ DETAIL INPUT'!AL53</f>
        <v>-15.12</v>
      </c>
      <c r="AK54" s="140">
        <f>'ADJ DETAIL INPUT'!AM53</f>
        <v>13.86</v>
      </c>
      <c r="AL54" s="140">
        <f>'ADJ DETAIL INPUT'!AN53</f>
        <v>-33.6</v>
      </c>
      <c r="AM54" s="140">
        <f>'ADJ DETAIL INPUT'!AO53</f>
        <v>-94.71</v>
      </c>
      <c r="AN54" s="140">
        <f>'ADJ DETAIL INPUT'!AP53</f>
        <v>-713.57999999999993</v>
      </c>
      <c r="AO54" s="140">
        <f>'ADJ DETAIL INPUT'!AQ53</f>
        <v>-325.5</v>
      </c>
      <c r="AP54" s="140">
        <f>'ADJ DETAIL INPUT'!AR53</f>
        <v>0</v>
      </c>
      <c r="AQ54" s="140">
        <f>'ADJ DETAIL INPUT'!AU53</f>
        <v>-3962.8799999999974</v>
      </c>
      <c r="AR54" s="140">
        <f>'ADJ DETAIL INPUT'!AV53</f>
        <v>1321.7760435808834</v>
      </c>
      <c r="AS54" s="140">
        <f>'ADJ DETAIL INPUT'!AW53</f>
        <v>-2641.1039564191142</v>
      </c>
    </row>
    <row r="55" spans="1:45">
      <c r="A55" s="121">
        <v>28</v>
      </c>
      <c r="B55" s="123" t="s">
        <v>170</v>
      </c>
      <c r="D55" s="123"/>
      <c r="E55" s="140">
        <f>'ADJ DETAIL INPUT'!E54</f>
        <v>0</v>
      </c>
      <c r="F55" s="140">
        <f>'ADJ DETAIL INPUT'!F54</f>
        <v>5.3437439999999992</v>
      </c>
      <c r="G55" s="140">
        <f>'ADJ DETAIL INPUT'!G54</f>
        <v>5.3759999999999997E-3</v>
      </c>
      <c r="H55" s="140">
        <f>'ADJ DETAIL INPUT'!H54</f>
        <v>6.1501439999999992</v>
      </c>
      <c r="I55" s="140">
        <f>'ADJ DETAIL INPUT'!I54</f>
        <v>98.934527999999986</v>
      </c>
      <c r="J55" s="140">
        <f>'ADJ DETAIL INPUT'!J54</f>
        <v>0</v>
      </c>
      <c r="K55" s="140">
        <f>'ADJ DETAIL INPUT'!K54</f>
        <v>0</v>
      </c>
      <c r="L55" s="140">
        <f>'ADJ DETAIL INPUT'!L54</f>
        <v>0</v>
      </c>
      <c r="M55" s="140">
        <f>'ADJ DETAIL INPUT'!M54</f>
        <v>0</v>
      </c>
      <c r="N55" s="140">
        <f>'ADJ DETAIL INPUT'!N54</f>
        <v>0</v>
      </c>
      <c r="O55" s="140">
        <f>'ADJ DETAIL INPUT'!O54</f>
        <v>0</v>
      </c>
      <c r="P55" s="140">
        <f>'ADJ DETAIL INPUT'!P54</f>
        <v>0</v>
      </c>
      <c r="Q55" s="140">
        <f>'ADJ DETAIL INPUT'!Q54</f>
        <v>0</v>
      </c>
      <c r="R55" s="140">
        <f>'ADJ DETAIL INPUT'!R54</f>
        <v>0</v>
      </c>
      <c r="S55" s="140">
        <f>'ADJ DETAIL INPUT'!S54</f>
        <v>0</v>
      </c>
      <c r="T55" s="140">
        <f>'ADJ DETAIL INPUT'!T54</f>
        <v>0</v>
      </c>
      <c r="U55" s="140">
        <f>'ADJ DETAIL INPUT'!U54</f>
        <v>0</v>
      </c>
      <c r="V55" s="140">
        <f>'ADJ DETAIL INPUT'!V54</f>
        <v>0</v>
      </c>
      <c r="W55" s="140">
        <f>'ADJ DETAIL INPUT'!W54</f>
        <v>0</v>
      </c>
      <c r="X55" s="140">
        <f>'ADJ DETAIL INPUT'!X54</f>
        <v>-68.439293098519258</v>
      </c>
      <c r="Y55" s="140">
        <f>'ADJ DETAIL INPUT'!AA54</f>
        <v>0</v>
      </c>
      <c r="Z55" s="140">
        <f>'ADJ DETAIL INPUT'!AB54</f>
        <v>0</v>
      </c>
      <c r="AA55" s="140">
        <f>'ADJ DETAIL INPUT'!AC54</f>
        <v>0</v>
      </c>
      <c r="AB55" s="140">
        <f>'ADJ DETAIL INPUT'!AD54</f>
        <v>0</v>
      </c>
      <c r="AC55" s="140">
        <f>'ADJ DETAIL INPUT'!AE54</f>
        <v>0</v>
      </c>
      <c r="AD55" s="140">
        <f>'ADJ DETAIL INPUT'!AF54</f>
        <v>0</v>
      </c>
      <c r="AE55" s="140">
        <f>'ADJ DETAIL INPUT'!AG54</f>
        <v>0</v>
      </c>
      <c r="AF55" s="140">
        <f>'ADJ DETAIL INPUT'!AH54</f>
        <v>0</v>
      </c>
      <c r="AG55" s="140">
        <f>'ADJ DETAIL INPUT'!AI54</f>
        <v>0</v>
      </c>
      <c r="AH55" s="140">
        <f>'ADJ DETAIL INPUT'!AJ54</f>
        <v>0</v>
      </c>
      <c r="AI55" s="140">
        <f>'ADJ DETAIL INPUT'!AK54</f>
        <v>-12.219647999999998</v>
      </c>
      <c r="AJ55" s="140">
        <f>'ADJ DETAIL INPUT'!AL54</f>
        <v>-33.32582399999999</v>
      </c>
      <c r="AK55" s="140">
        <f>'ADJ DETAIL INPUT'!AM54</f>
        <v>0</v>
      </c>
      <c r="AL55" s="140">
        <f>'ADJ DETAIL INPUT'!AN54</f>
        <v>-48.254975999999999</v>
      </c>
      <c r="AM55" s="140">
        <f>'ADJ DETAIL INPUT'!AO54</f>
        <v>-13.348607999999997</v>
      </c>
      <c r="AN55" s="140">
        <f>'ADJ DETAIL INPUT'!AP54</f>
        <v>-177.85958399999998</v>
      </c>
      <c r="AO55" s="140">
        <f>'ADJ DETAIL INPUT'!AQ54</f>
        <v>21.283583999999998</v>
      </c>
      <c r="AP55" s="140">
        <f>'ADJ DETAIL INPUT'!AR54</f>
        <v>81.86572799999999</v>
      </c>
      <c r="AQ55" s="140">
        <f>'ADJ DETAIL INPUT'!AU54</f>
        <v>-139.86482909851927</v>
      </c>
      <c r="AR55" s="140">
        <f>'ADJ DETAIL INPUT'!AV54</f>
        <v>-32.745215999999999</v>
      </c>
      <c r="AS55" s="140">
        <f>'ADJ DETAIL INPUT'!AW54</f>
        <v>-172.61004509851927</v>
      </c>
    </row>
    <row r="56" spans="1:45">
      <c r="A56" s="121">
        <v>29</v>
      </c>
      <c r="B56" s="123" t="s">
        <v>57</v>
      </c>
      <c r="D56" s="123"/>
      <c r="E56" s="140">
        <f>'ADJ DETAIL INPUT'!E55</f>
        <v>6501</v>
      </c>
      <c r="F56" s="140">
        <f>'ADJ DETAIL INPUT'!F55</f>
        <v>0</v>
      </c>
      <c r="G56" s="140">
        <f>'ADJ DETAIL INPUT'!G55</f>
        <v>0</v>
      </c>
      <c r="H56" s="140">
        <f>'ADJ DETAIL INPUT'!H55</f>
        <v>0</v>
      </c>
      <c r="I56" s="140">
        <f>'ADJ DETAIL INPUT'!I55</f>
        <v>0</v>
      </c>
      <c r="J56" s="140">
        <f>'ADJ DETAIL INPUT'!J55</f>
        <v>0</v>
      </c>
      <c r="K56" s="140">
        <f>'ADJ DETAIL INPUT'!K55</f>
        <v>0</v>
      </c>
      <c r="L56" s="140">
        <f>'ADJ DETAIL INPUT'!L55</f>
        <v>0</v>
      </c>
      <c r="M56" s="140">
        <f>'ADJ DETAIL INPUT'!M55</f>
        <v>0</v>
      </c>
      <c r="N56" s="140">
        <f>'ADJ DETAIL INPUT'!N55</f>
        <v>0</v>
      </c>
      <c r="O56" s="140">
        <f>'ADJ DETAIL INPUT'!O55</f>
        <v>53</v>
      </c>
      <c r="P56" s="140">
        <f>'ADJ DETAIL INPUT'!P55</f>
        <v>0</v>
      </c>
      <c r="Q56" s="140">
        <f>'ADJ DETAIL INPUT'!Q55</f>
        <v>0</v>
      </c>
      <c r="R56" s="140">
        <f>'ADJ DETAIL INPUT'!R55</f>
        <v>0</v>
      </c>
      <c r="S56" s="140">
        <f>'ADJ DETAIL INPUT'!S55</f>
        <v>0</v>
      </c>
      <c r="T56" s="140">
        <f>'ADJ DETAIL INPUT'!T55</f>
        <v>651</v>
      </c>
      <c r="U56" s="140">
        <f>'ADJ DETAIL INPUT'!U55</f>
        <v>0</v>
      </c>
      <c r="V56" s="140">
        <f>'ADJ DETAIL INPUT'!V55</f>
        <v>0</v>
      </c>
      <c r="W56" s="140">
        <f>'ADJ DETAIL INPUT'!W55</f>
        <v>0</v>
      </c>
      <c r="X56" s="140">
        <f>'ADJ DETAIL INPUT'!X55</f>
        <v>0</v>
      </c>
      <c r="Y56" s="140">
        <f>'ADJ DETAIL INPUT'!AA55</f>
        <v>0</v>
      </c>
      <c r="Z56" s="140">
        <f>'ADJ DETAIL INPUT'!AB55</f>
        <v>0</v>
      </c>
      <c r="AA56" s="140">
        <f>'ADJ DETAIL INPUT'!AC55</f>
        <v>-5</v>
      </c>
      <c r="AB56" s="140">
        <f>'ADJ DETAIL INPUT'!AD55</f>
        <v>0</v>
      </c>
      <c r="AC56" s="140">
        <f>'ADJ DETAIL INPUT'!AE55</f>
        <v>0</v>
      </c>
      <c r="AD56" s="140">
        <f>'ADJ DETAIL INPUT'!AF55</f>
        <v>0</v>
      </c>
      <c r="AE56" s="140">
        <f>'ADJ DETAIL INPUT'!AG55</f>
        <v>0</v>
      </c>
      <c r="AF56" s="140">
        <f>'ADJ DETAIL INPUT'!AH55</f>
        <v>0</v>
      </c>
      <c r="AG56" s="140">
        <f>'ADJ DETAIL INPUT'!AI55</f>
        <v>0</v>
      </c>
      <c r="AH56" s="140">
        <f>'ADJ DETAIL INPUT'!AJ55</f>
        <v>0</v>
      </c>
      <c r="AI56" s="140">
        <f>'ADJ DETAIL INPUT'!AK55</f>
        <v>0</v>
      </c>
      <c r="AJ56" s="140">
        <f>'ADJ DETAIL INPUT'!AL55</f>
        <v>0</v>
      </c>
      <c r="AK56" s="140">
        <f>'ADJ DETAIL INPUT'!AM55</f>
        <v>0</v>
      </c>
      <c r="AL56" s="140">
        <f>'ADJ DETAIL INPUT'!AN55</f>
        <v>0</v>
      </c>
      <c r="AM56" s="140">
        <f>'ADJ DETAIL INPUT'!AO55</f>
        <v>0</v>
      </c>
      <c r="AN56" s="140">
        <f>'ADJ DETAIL INPUT'!AP55</f>
        <v>0</v>
      </c>
      <c r="AO56" s="140">
        <f>'ADJ DETAIL INPUT'!AQ55</f>
        <v>0</v>
      </c>
      <c r="AP56" s="140">
        <f>'ADJ DETAIL INPUT'!AR55</f>
        <v>0</v>
      </c>
      <c r="AQ56" s="140">
        <f>'ADJ DETAIL INPUT'!AU55</f>
        <v>7200</v>
      </c>
      <c r="AR56" s="140">
        <f>'ADJ DETAIL INPUT'!AV55</f>
        <v>0</v>
      </c>
      <c r="AS56" s="140">
        <f>'ADJ DETAIL INPUT'!AW55</f>
        <v>7200</v>
      </c>
    </row>
    <row r="57" spans="1:45">
      <c r="A57" s="121">
        <v>30</v>
      </c>
      <c r="B57" s="123" t="s">
        <v>58</v>
      </c>
      <c r="D57" s="123"/>
      <c r="E57" s="141">
        <f>'ADJ DETAIL INPUT'!E56</f>
        <v>-12</v>
      </c>
      <c r="F57" s="141">
        <f>'ADJ DETAIL INPUT'!F56</f>
        <v>0</v>
      </c>
      <c r="G57" s="141">
        <f>'ADJ DETAIL INPUT'!G56</f>
        <v>0</v>
      </c>
      <c r="H57" s="141">
        <f>'ADJ DETAIL INPUT'!H56</f>
        <v>0</v>
      </c>
      <c r="I57" s="141">
        <f>'ADJ DETAIL INPUT'!I56</f>
        <v>0</v>
      </c>
      <c r="J57" s="141">
        <f>'ADJ DETAIL INPUT'!J56</f>
        <v>0</v>
      </c>
      <c r="K57" s="141">
        <f>'ADJ DETAIL INPUT'!K56</f>
        <v>0</v>
      </c>
      <c r="L57" s="141">
        <f>'ADJ DETAIL INPUT'!L56</f>
        <v>0</v>
      </c>
      <c r="M57" s="141">
        <f>'ADJ DETAIL INPUT'!M56</f>
        <v>0</v>
      </c>
      <c r="N57" s="141">
        <f>'ADJ DETAIL INPUT'!N56</f>
        <v>0</v>
      </c>
      <c r="O57" s="141">
        <f>'ADJ DETAIL INPUT'!O56</f>
        <v>0</v>
      </c>
      <c r="P57" s="141">
        <f>'ADJ DETAIL INPUT'!P56</f>
        <v>0</v>
      </c>
      <c r="Q57" s="141">
        <f>'ADJ DETAIL INPUT'!Q56</f>
        <v>0</v>
      </c>
      <c r="R57" s="141">
        <f>'ADJ DETAIL INPUT'!R56</f>
        <v>0</v>
      </c>
      <c r="S57" s="141">
        <f>'ADJ DETAIL INPUT'!S56</f>
        <v>0</v>
      </c>
      <c r="T57" s="141">
        <f>'ADJ DETAIL INPUT'!T56</f>
        <v>0</v>
      </c>
      <c r="U57" s="141">
        <f>'ADJ DETAIL INPUT'!U56</f>
        <v>0</v>
      </c>
      <c r="V57" s="141">
        <f>'ADJ DETAIL INPUT'!V56</f>
        <v>0</v>
      </c>
      <c r="W57" s="141">
        <f>'ADJ DETAIL INPUT'!W56</f>
        <v>0</v>
      </c>
      <c r="X57" s="141">
        <f>'ADJ DETAIL INPUT'!X56</f>
        <v>0</v>
      </c>
      <c r="Y57" s="141">
        <f>'ADJ DETAIL INPUT'!AA56</f>
        <v>0</v>
      </c>
      <c r="Z57" s="141">
        <f>'ADJ DETAIL INPUT'!AB56</f>
        <v>0</v>
      </c>
      <c r="AA57" s="141">
        <f>'ADJ DETAIL INPUT'!AC56</f>
        <v>0</v>
      </c>
      <c r="AB57" s="141">
        <f>'ADJ DETAIL INPUT'!AD56</f>
        <v>0</v>
      </c>
      <c r="AC57" s="141">
        <f>'ADJ DETAIL INPUT'!AE56</f>
        <v>0</v>
      </c>
      <c r="AD57" s="141">
        <f>'ADJ DETAIL INPUT'!AF56</f>
        <v>0</v>
      </c>
      <c r="AE57" s="141">
        <f>'ADJ DETAIL INPUT'!AG56</f>
        <v>0</v>
      </c>
      <c r="AF57" s="141">
        <f>'ADJ DETAIL INPUT'!AH56</f>
        <v>0</v>
      </c>
      <c r="AG57" s="141">
        <f>'ADJ DETAIL INPUT'!AI56</f>
        <v>0</v>
      </c>
      <c r="AH57" s="141">
        <f>'ADJ DETAIL INPUT'!AJ56</f>
        <v>0</v>
      </c>
      <c r="AI57" s="141">
        <f>'ADJ DETAIL INPUT'!AK56</f>
        <v>0</v>
      </c>
      <c r="AJ57" s="141">
        <f>'ADJ DETAIL INPUT'!AL56</f>
        <v>0</v>
      </c>
      <c r="AK57" s="141">
        <f>'ADJ DETAIL INPUT'!AM56</f>
        <v>0</v>
      </c>
      <c r="AL57" s="141">
        <f>'ADJ DETAIL INPUT'!AN56</f>
        <v>0</v>
      </c>
      <c r="AM57" s="141">
        <f>'ADJ DETAIL INPUT'!AO56</f>
        <v>0</v>
      </c>
      <c r="AN57" s="141">
        <f>'ADJ DETAIL INPUT'!AP56</f>
        <v>0</v>
      </c>
      <c r="AO57" s="141">
        <f>'ADJ DETAIL INPUT'!AQ56</f>
        <v>0</v>
      </c>
      <c r="AP57" s="141">
        <f>'ADJ DETAIL INPUT'!AR56</f>
        <v>0</v>
      </c>
      <c r="AQ57" s="141">
        <f>'ADJ DETAIL INPUT'!AU56</f>
        <v>-12</v>
      </c>
      <c r="AR57" s="141">
        <f>'ADJ DETAIL INPUT'!AV56</f>
        <v>0</v>
      </c>
      <c r="AS57" s="141">
        <f>'ADJ DETAIL INPUT'!AW56</f>
        <v>-12</v>
      </c>
    </row>
    <row r="58" spans="1:45">
      <c r="E58" s="140"/>
      <c r="F58" s="140"/>
      <c r="G58" s="140"/>
      <c r="H58" s="140"/>
      <c r="I58" s="140"/>
      <c r="J58" s="140"/>
      <c r="K58" s="140"/>
      <c r="L58" s="140"/>
      <c r="M58" s="140"/>
      <c r="N58" s="140"/>
      <c r="O58" s="140"/>
      <c r="P58" s="140"/>
      <c r="Q58" s="140"/>
      <c r="R58" s="140"/>
      <c r="S58" s="140"/>
      <c r="T58" s="140"/>
      <c r="U58" s="140"/>
      <c r="V58" s="140"/>
      <c r="W58" s="140"/>
      <c r="X58" s="140"/>
      <c r="Y58" s="140"/>
      <c r="Z58" s="140"/>
      <c r="AA58" s="140"/>
      <c r="AB58" s="140"/>
      <c r="AC58" s="140"/>
      <c r="AD58" s="140"/>
      <c r="AE58" s="140"/>
      <c r="AF58" s="140"/>
      <c r="AG58" s="140"/>
      <c r="AH58" s="140"/>
      <c r="AI58" s="140"/>
      <c r="AJ58" s="140"/>
      <c r="AK58" s="140"/>
      <c r="AL58" s="140"/>
      <c r="AM58" s="140"/>
      <c r="AN58" s="140"/>
      <c r="AO58" s="140"/>
      <c r="AP58" s="140"/>
      <c r="AQ58" s="140"/>
      <c r="AR58" s="140"/>
      <c r="AS58" s="140"/>
    </row>
    <row r="59" spans="1:45" s="122" customFormat="1" ht="12" thickBot="1">
      <c r="A59" s="121">
        <v>31</v>
      </c>
      <c r="B59" s="122" t="s">
        <v>59</v>
      </c>
      <c r="E59" s="259">
        <f>E51-SUM(E54:E57)</f>
        <v>24474</v>
      </c>
      <c r="F59" s="259">
        <f t="shared" ref="F59:AG59" si="87">F51-SUM(F54:F57)</f>
        <v>-5.3437439999999992</v>
      </c>
      <c r="G59" s="259">
        <f t="shared" si="87"/>
        <v>-11.855376</v>
      </c>
      <c r="H59" s="259">
        <f t="shared" si="87"/>
        <v>-6.1501439999999992</v>
      </c>
      <c r="I59" s="259">
        <f t="shared" ref="I59" si="88">I51-SUM(I54:I57)</f>
        <v>-98.934527999999986</v>
      </c>
      <c r="J59" s="259">
        <f t="shared" si="87"/>
        <v>-9.48</v>
      </c>
      <c r="K59" s="259">
        <f t="shared" si="87"/>
        <v>-188.81</v>
      </c>
      <c r="L59" s="259">
        <f t="shared" si="87"/>
        <v>-131.13999999999999</v>
      </c>
      <c r="M59" s="259">
        <f t="shared" si="87"/>
        <v>45.82</v>
      </c>
      <c r="N59" s="259">
        <f t="shared" si="87"/>
        <v>7.11</v>
      </c>
      <c r="O59" s="259">
        <f t="shared" si="87"/>
        <v>-53</v>
      </c>
      <c r="P59" s="259">
        <f t="shared" si="87"/>
        <v>12.64</v>
      </c>
      <c r="Q59" s="259">
        <f t="shared" si="87"/>
        <v>-0.79</v>
      </c>
      <c r="R59" s="259">
        <f t="shared" si="87"/>
        <v>8.69</v>
      </c>
      <c r="S59" s="259">
        <f t="shared" si="87"/>
        <v>-4.74</v>
      </c>
      <c r="T59" s="259">
        <f t="shared" ref="T59:U59" si="89">T51-SUM(T54:T57)</f>
        <v>-3.999999999996362E-2</v>
      </c>
      <c r="U59" s="259">
        <f t="shared" si="89"/>
        <v>-34.76</v>
      </c>
      <c r="V59" s="259">
        <f t="shared" ref="V59" si="90">V51-SUM(V54:V57)</f>
        <v>-173.01</v>
      </c>
      <c r="W59" s="259">
        <f>W51-SUM(W54:W57)</f>
        <v>-154</v>
      </c>
      <c r="X59" s="259">
        <f>X51-SUM(X54:X57)</f>
        <v>275.41929309851923</v>
      </c>
      <c r="Y59" s="259">
        <f>Y51-SUM(Y54:Y57)</f>
        <v>8186.77</v>
      </c>
      <c r="Z59" s="259">
        <f>Z51-SUM(Z54:Z57)</f>
        <v>181.7</v>
      </c>
      <c r="AA59" s="259">
        <f>AA51-SUM(AA54:AA57)</f>
        <v>5</v>
      </c>
      <c r="AB59" s="259">
        <f t="shared" si="87"/>
        <v>-625.68000000000006</v>
      </c>
      <c r="AC59" s="259">
        <f t="shared" ref="AC59" si="91">AC51-SUM(AC54:AC57)</f>
        <v>76.63</v>
      </c>
      <c r="AD59" s="259">
        <f t="shared" si="87"/>
        <v>-293.88</v>
      </c>
      <c r="AE59" s="259">
        <f t="shared" ref="AE59" si="92">AE51-SUM(AE54:AE57)</f>
        <v>0</v>
      </c>
      <c r="AF59" s="259">
        <f t="shared" ref="AF59" si="93">AF51-SUM(AF54:AF57)</f>
        <v>0</v>
      </c>
      <c r="AG59" s="259">
        <f t="shared" si="87"/>
        <v>-203.03</v>
      </c>
      <c r="AH59" s="259">
        <f>AH51-SUM(AH54:AH57)</f>
        <v>-688.88</v>
      </c>
      <c r="AI59" s="259">
        <f t="shared" ref="AI59" si="94">AI51-SUM(AI54:AI57)</f>
        <v>-333.80035200000003</v>
      </c>
      <c r="AJ59" s="259">
        <f t="shared" ref="AJ59:AK59" si="95">AJ51-SUM(AJ54:AJ57)</f>
        <v>-23.554176000000012</v>
      </c>
      <c r="AK59" s="259">
        <f t="shared" si="95"/>
        <v>52.14</v>
      </c>
      <c r="AL59" s="259">
        <f t="shared" ref="AL59:AP59" si="96">AL51-SUM(AL54:AL57)</f>
        <v>-78.145024000000006</v>
      </c>
      <c r="AM59" s="259">
        <f t="shared" si="96"/>
        <v>-342.94139200000001</v>
      </c>
      <c r="AN59" s="259">
        <f t="shared" si="96"/>
        <v>-2506.5604160000003</v>
      </c>
      <c r="AO59" s="259">
        <f t="shared" si="96"/>
        <v>-1245.783584</v>
      </c>
      <c r="AP59" s="259">
        <f t="shared" si="96"/>
        <v>-81.86572799999999</v>
      </c>
      <c r="AQ59" s="259">
        <f t="shared" ref="AQ59:AR59" si="97">AQ51-SUM(AQ54:AQ57)</f>
        <v>26029.744829098516</v>
      </c>
      <c r="AR59" s="259">
        <f t="shared" si="97"/>
        <v>5005.1408085185612</v>
      </c>
      <c r="AS59" s="259">
        <f t="shared" ref="AS59" si="98">AS51-SUM(AS54:AS57)</f>
        <v>31034.885637617081</v>
      </c>
    </row>
    <row r="60" spans="1:45" ht="12" thickTop="1">
      <c r="E60" s="140"/>
      <c r="F60" s="140"/>
      <c r="G60" s="140"/>
      <c r="H60" s="140"/>
      <c r="I60" s="140"/>
      <c r="J60" s="140"/>
      <c r="K60" s="140"/>
      <c r="L60" s="140"/>
      <c r="M60" s="140"/>
      <c r="N60" s="140"/>
      <c r="O60" s="140"/>
      <c r="P60" s="140"/>
      <c r="Q60" s="140"/>
      <c r="R60" s="140"/>
      <c r="S60" s="140"/>
      <c r="T60" s="140"/>
      <c r="U60" s="140"/>
      <c r="V60" s="140"/>
      <c r="W60" s="140"/>
      <c r="X60" s="140"/>
      <c r="Y60" s="140"/>
      <c r="Z60" s="140"/>
      <c r="AA60" s="140"/>
      <c r="AB60" s="140"/>
      <c r="AC60" s="140"/>
      <c r="AD60" s="140"/>
      <c r="AE60" s="140"/>
      <c r="AF60" s="140"/>
      <c r="AG60" s="140"/>
      <c r="AH60" s="140"/>
      <c r="AI60" s="140"/>
      <c r="AJ60" s="140"/>
      <c r="AK60" s="140"/>
      <c r="AL60" s="140"/>
      <c r="AM60" s="140"/>
      <c r="AN60" s="140"/>
      <c r="AO60" s="140"/>
      <c r="AP60" s="140"/>
      <c r="AQ60" s="140"/>
      <c r="AR60" s="140"/>
      <c r="AS60" s="140"/>
    </row>
    <row r="61" spans="1:45">
      <c r="B61" s="97" t="s">
        <v>104</v>
      </c>
      <c r="E61" s="140"/>
      <c r="F61" s="140"/>
      <c r="G61" s="140"/>
      <c r="H61" s="140"/>
      <c r="I61" s="140"/>
      <c r="J61" s="140"/>
      <c r="K61" s="140"/>
      <c r="L61" s="140"/>
      <c r="M61" s="140"/>
      <c r="N61" s="140"/>
      <c r="O61" s="140"/>
      <c r="P61" s="140"/>
      <c r="Q61" s="140"/>
      <c r="R61" s="140"/>
      <c r="S61" s="140"/>
      <c r="T61" s="140"/>
      <c r="U61" s="140"/>
      <c r="V61" s="140"/>
      <c r="W61" s="140"/>
      <c r="X61" s="140"/>
      <c r="Y61" s="140"/>
      <c r="Z61" s="140"/>
      <c r="AA61" s="140"/>
      <c r="AB61" s="140"/>
      <c r="AC61" s="140"/>
      <c r="AD61" s="140"/>
      <c r="AE61" s="140"/>
      <c r="AF61" s="140"/>
      <c r="AG61" s="140"/>
      <c r="AH61" s="140"/>
      <c r="AI61" s="140"/>
      <c r="AJ61" s="140"/>
      <c r="AK61" s="140"/>
      <c r="AL61" s="140"/>
      <c r="AM61" s="140"/>
      <c r="AN61" s="140"/>
      <c r="AO61" s="140"/>
      <c r="AP61" s="140"/>
      <c r="AQ61" s="140"/>
      <c r="AR61" s="140"/>
      <c r="AS61" s="140"/>
    </row>
    <row r="62" spans="1:45">
      <c r="B62" s="97" t="s">
        <v>105</v>
      </c>
      <c r="E62" s="140"/>
      <c r="F62" s="140"/>
      <c r="G62" s="140"/>
      <c r="H62" s="140"/>
      <c r="I62" s="140"/>
      <c r="J62" s="140"/>
      <c r="K62" s="140"/>
      <c r="L62" s="140"/>
      <c r="M62" s="140"/>
      <c r="N62" s="140"/>
      <c r="O62" s="140"/>
      <c r="P62" s="140"/>
      <c r="Q62" s="140"/>
      <c r="R62" s="140"/>
      <c r="S62" s="140"/>
      <c r="T62" s="140"/>
      <c r="U62" s="140"/>
      <c r="V62" s="140"/>
      <c r="W62" s="140"/>
      <c r="X62" s="140"/>
      <c r="Y62" s="140"/>
      <c r="Z62" s="140"/>
      <c r="AA62" s="140"/>
      <c r="AB62" s="140"/>
      <c r="AC62" s="140"/>
      <c r="AD62" s="140"/>
      <c r="AE62" s="140"/>
      <c r="AF62" s="140"/>
      <c r="AG62" s="140"/>
      <c r="AH62" s="140"/>
      <c r="AI62" s="140"/>
      <c r="AJ62" s="140"/>
      <c r="AK62" s="140"/>
      <c r="AL62" s="140"/>
      <c r="AM62" s="140"/>
      <c r="AN62" s="140"/>
      <c r="AO62" s="140"/>
      <c r="AP62" s="140"/>
      <c r="AQ62" s="140"/>
      <c r="AR62" s="140"/>
      <c r="AS62" s="140"/>
    </row>
    <row r="63" spans="1:45">
      <c r="A63" s="121">
        <v>32</v>
      </c>
      <c r="B63" s="123"/>
      <c r="C63" s="123" t="s">
        <v>42</v>
      </c>
      <c r="D63" s="123"/>
      <c r="E63" s="219">
        <f>'ADJ DETAIL INPUT'!E62</f>
        <v>29714</v>
      </c>
      <c r="F63" s="219">
        <f>'ADJ DETAIL INPUT'!F62</f>
        <v>0</v>
      </c>
      <c r="G63" s="219">
        <f>'ADJ DETAIL INPUT'!G62</f>
        <v>0</v>
      </c>
      <c r="H63" s="219">
        <f>'ADJ DETAIL INPUT'!H62</f>
        <v>0</v>
      </c>
      <c r="I63" s="219">
        <f>'ADJ DETAIL INPUT'!I62</f>
        <v>0</v>
      </c>
      <c r="J63" s="219">
        <f>'ADJ DETAIL INPUT'!J62</f>
        <v>0</v>
      </c>
      <c r="K63" s="219">
        <f>'ADJ DETAIL INPUT'!K62</f>
        <v>0</v>
      </c>
      <c r="L63" s="219">
        <f>'ADJ DETAIL INPUT'!L62</f>
        <v>0</v>
      </c>
      <c r="M63" s="219">
        <f>'ADJ DETAIL INPUT'!M62</f>
        <v>0</v>
      </c>
      <c r="N63" s="219">
        <f>'ADJ DETAIL INPUT'!N62</f>
        <v>0</v>
      </c>
      <c r="O63" s="219">
        <f>'ADJ DETAIL INPUT'!O62</f>
        <v>0</v>
      </c>
      <c r="P63" s="219">
        <f>'ADJ DETAIL INPUT'!P62</f>
        <v>0</v>
      </c>
      <c r="Q63" s="219">
        <f>'ADJ DETAIL INPUT'!Q62</f>
        <v>0</v>
      </c>
      <c r="R63" s="219">
        <f>'ADJ DETAIL INPUT'!R62</f>
        <v>0</v>
      </c>
      <c r="S63" s="219">
        <f>'ADJ DETAIL INPUT'!S62</f>
        <v>0</v>
      </c>
      <c r="T63" s="219">
        <f>'ADJ DETAIL INPUT'!T62</f>
        <v>0</v>
      </c>
      <c r="U63" s="219">
        <f>'ADJ DETAIL INPUT'!U62</f>
        <v>0</v>
      </c>
      <c r="V63" s="219">
        <f>'ADJ DETAIL INPUT'!V62</f>
        <v>0</v>
      </c>
      <c r="W63" s="219">
        <f>'ADJ DETAIL INPUT'!W62</f>
        <v>0</v>
      </c>
      <c r="X63" s="219">
        <f>'ADJ DETAIL INPUT'!X62</f>
        <v>700.36999999999898</v>
      </c>
      <c r="Y63" s="219">
        <f>'ADJ DETAIL INPUT'!AA62</f>
        <v>0</v>
      </c>
      <c r="Z63" s="219">
        <f>'ADJ DETAIL INPUT'!AB62</f>
        <v>0</v>
      </c>
      <c r="AA63" s="219">
        <f>'ADJ DETAIL INPUT'!AC62</f>
        <v>0</v>
      </c>
      <c r="AB63" s="219">
        <f>'ADJ DETAIL INPUT'!AD62</f>
        <v>0</v>
      </c>
      <c r="AC63" s="219">
        <f>'ADJ DETAIL INPUT'!AE62</f>
        <v>0</v>
      </c>
      <c r="AD63" s="219">
        <f>'ADJ DETAIL INPUT'!AF62</f>
        <v>0</v>
      </c>
      <c r="AE63" s="219">
        <f>'ADJ DETAIL INPUT'!AG62</f>
        <v>0</v>
      </c>
      <c r="AF63" s="219">
        <f>'ADJ DETAIL INPUT'!AH62</f>
        <v>0</v>
      </c>
      <c r="AG63" s="219">
        <f>'ADJ DETAIL INPUT'!AI62</f>
        <v>0</v>
      </c>
      <c r="AH63" s="219">
        <f>'ADJ DETAIL INPUT'!AJ62</f>
        <v>0</v>
      </c>
      <c r="AI63" s="219">
        <f>'ADJ DETAIL INPUT'!AK62</f>
        <v>0</v>
      </c>
      <c r="AJ63" s="219">
        <f>'ADJ DETAIL INPUT'!AL62</f>
        <v>1464</v>
      </c>
      <c r="AK63" s="219">
        <f>'ADJ DETAIL INPUT'!AM62</f>
        <v>0</v>
      </c>
      <c r="AL63" s="219">
        <f>'ADJ DETAIL INPUT'!AN62</f>
        <v>0</v>
      </c>
      <c r="AM63" s="219">
        <f>'ADJ DETAIL INPUT'!AO62</f>
        <v>0</v>
      </c>
      <c r="AN63" s="219">
        <f>'ADJ DETAIL INPUT'!AP62</f>
        <v>0</v>
      </c>
      <c r="AO63" s="219">
        <f>'ADJ DETAIL INPUT'!AQ62</f>
        <v>0</v>
      </c>
      <c r="AP63" s="219">
        <f>'ADJ DETAIL INPUT'!AR62</f>
        <v>0</v>
      </c>
      <c r="AQ63" s="219">
        <f>'ADJ DETAIL INPUT'!AU62</f>
        <v>31878.37</v>
      </c>
      <c r="AR63" s="219">
        <f>'ADJ DETAIL INPUT'!AV62</f>
        <v>0</v>
      </c>
      <c r="AS63" s="219">
        <f>'ADJ DETAIL INPUT'!AW62</f>
        <v>31878.37</v>
      </c>
    </row>
    <row r="64" spans="1:45">
      <c r="A64" s="121">
        <v>33</v>
      </c>
      <c r="B64" s="123"/>
      <c r="C64" s="123" t="s">
        <v>61</v>
      </c>
      <c r="D64" s="123"/>
      <c r="E64" s="140">
        <f>'ADJ DETAIL INPUT'!E63</f>
        <v>505864</v>
      </c>
      <c r="F64" s="140">
        <f>'ADJ DETAIL INPUT'!F63</f>
        <v>0</v>
      </c>
      <c r="G64" s="140">
        <f>'ADJ DETAIL INPUT'!G63</f>
        <v>0</v>
      </c>
      <c r="H64" s="140">
        <f>'ADJ DETAIL INPUT'!H63</f>
        <v>0</v>
      </c>
      <c r="I64" s="140">
        <f>'ADJ DETAIL INPUT'!I63</f>
        <v>-10036</v>
      </c>
      <c r="J64" s="140">
        <f>'ADJ DETAIL INPUT'!J63</f>
        <v>0</v>
      </c>
      <c r="K64" s="140">
        <f>'ADJ DETAIL INPUT'!K63</f>
        <v>0</v>
      </c>
      <c r="L64" s="140">
        <f>'ADJ DETAIL INPUT'!L63</f>
        <v>0</v>
      </c>
      <c r="M64" s="140">
        <f>'ADJ DETAIL INPUT'!M63</f>
        <v>0</v>
      </c>
      <c r="N64" s="140">
        <f>'ADJ DETAIL INPUT'!N63</f>
        <v>0</v>
      </c>
      <c r="O64" s="140">
        <f>'ADJ DETAIL INPUT'!O63</f>
        <v>0</v>
      </c>
      <c r="P64" s="140">
        <f>'ADJ DETAIL INPUT'!P63</f>
        <v>0</v>
      </c>
      <c r="Q64" s="140">
        <f>'ADJ DETAIL INPUT'!Q63</f>
        <v>0</v>
      </c>
      <c r="R64" s="140">
        <f>'ADJ DETAIL INPUT'!R63</f>
        <v>0</v>
      </c>
      <c r="S64" s="140">
        <f>'ADJ DETAIL INPUT'!S63</f>
        <v>0</v>
      </c>
      <c r="T64" s="140">
        <f>'ADJ DETAIL INPUT'!T63</f>
        <v>0</v>
      </c>
      <c r="U64" s="140">
        <f>'ADJ DETAIL INPUT'!U63</f>
        <v>0</v>
      </c>
      <c r="V64" s="140">
        <f>'ADJ DETAIL INPUT'!V63</f>
        <v>0</v>
      </c>
      <c r="W64" s="140">
        <f>'ADJ DETAIL INPUT'!W63</f>
        <v>0</v>
      </c>
      <c r="X64" s="140">
        <f>'ADJ DETAIL INPUT'!X63</f>
        <v>4408.7749406308112</v>
      </c>
      <c r="Y64" s="140">
        <f>'ADJ DETAIL INPUT'!AA63</f>
        <v>0</v>
      </c>
      <c r="Z64" s="140">
        <f>'ADJ DETAIL INPUT'!AB63</f>
        <v>0</v>
      </c>
      <c r="AA64" s="140">
        <f>'ADJ DETAIL INPUT'!AC63</f>
        <v>0</v>
      </c>
      <c r="AB64" s="140">
        <f>'ADJ DETAIL INPUT'!AD63</f>
        <v>0</v>
      </c>
      <c r="AC64" s="140">
        <f>'ADJ DETAIL INPUT'!AE63</f>
        <v>0</v>
      </c>
      <c r="AD64" s="140">
        <f>'ADJ DETAIL INPUT'!AF63</f>
        <v>0</v>
      </c>
      <c r="AE64" s="140">
        <f>'ADJ DETAIL INPUT'!AG63</f>
        <v>0</v>
      </c>
      <c r="AF64" s="140">
        <f>'ADJ DETAIL INPUT'!AH63</f>
        <v>0</v>
      </c>
      <c r="AG64" s="140">
        <f>'ADJ DETAIL INPUT'!AI63</f>
        <v>0</v>
      </c>
      <c r="AH64" s="140">
        <f>'ADJ DETAIL INPUT'!AJ63</f>
        <v>0</v>
      </c>
      <c r="AI64" s="140">
        <f>'ADJ DETAIL INPUT'!AK63</f>
        <v>0</v>
      </c>
      <c r="AJ64" s="140">
        <f>'ADJ DETAIL INPUT'!AL63</f>
        <v>3918</v>
      </c>
      <c r="AK64" s="140">
        <f>'ADJ DETAIL INPUT'!AM63</f>
        <v>-7</v>
      </c>
      <c r="AL64" s="140">
        <f>'ADJ DETAIL INPUT'!AN63</f>
        <v>7068</v>
      </c>
      <c r="AM64" s="140">
        <f>'ADJ DETAIL INPUT'!AO63</f>
        <v>0</v>
      </c>
      <c r="AN64" s="140">
        <f>'ADJ DETAIL INPUT'!AP63</f>
        <v>18713</v>
      </c>
      <c r="AO64" s="140">
        <f>'ADJ DETAIL INPUT'!AQ63</f>
        <v>0</v>
      </c>
      <c r="AP64" s="140">
        <f>'ADJ DETAIL INPUT'!AR63</f>
        <v>0</v>
      </c>
      <c r="AQ64" s="140">
        <f>'ADJ DETAIL INPUT'!AU63</f>
        <v>529928.77494063089</v>
      </c>
      <c r="AR64" s="140">
        <f>'ADJ DETAIL INPUT'!AV63</f>
        <v>0</v>
      </c>
      <c r="AS64" s="140">
        <f>'ADJ DETAIL INPUT'!AW63</f>
        <v>529928.77494063089</v>
      </c>
    </row>
    <row r="65" spans="1:45">
      <c r="A65" s="121">
        <v>34</v>
      </c>
      <c r="B65" s="123"/>
      <c r="C65" s="123" t="s">
        <v>62</v>
      </c>
      <c r="D65" s="123"/>
      <c r="E65" s="141">
        <f>'ADJ DETAIL INPUT'!E64</f>
        <v>141661</v>
      </c>
      <c r="F65" s="141">
        <f>'ADJ DETAIL INPUT'!F64</f>
        <v>0</v>
      </c>
      <c r="G65" s="141">
        <f>'ADJ DETAIL INPUT'!G64</f>
        <v>0</v>
      </c>
      <c r="H65" s="141">
        <f>'ADJ DETAIL INPUT'!H64</f>
        <v>0</v>
      </c>
      <c r="I65" s="141">
        <f>'ADJ DETAIL INPUT'!I64</f>
        <v>-11292</v>
      </c>
      <c r="J65" s="141">
        <f>'ADJ DETAIL INPUT'!J64</f>
        <v>0</v>
      </c>
      <c r="K65" s="141">
        <f>'ADJ DETAIL INPUT'!K64</f>
        <v>0</v>
      </c>
      <c r="L65" s="141">
        <f>'ADJ DETAIL INPUT'!L64</f>
        <v>0</v>
      </c>
      <c r="M65" s="141">
        <f>'ADJ DETAIL INPUT'!M64</f>
        <v>0</v>
      </c>
      <c r="N65" s="141">
        <f>'ADJ DETAIL INPUT'!N64</f>
        <v>0</v>
      </c>
      <c r="O65" s="141">
        <f>'ADJ DETAIL INPUT'!O64</f>
        <v>0</v>
      </c>
      <c r="P65" s="141">
        <f>'ADJ DETAIL INPUT'!P64</f>
        <v>0</v>
      </c>
      <c r="Q65" s="141">
        <f>'ADJ DETAIL INPUT'!Q64</f>
        <v>0</v>
      </c>
      <c r="R65" s="141">
        <f>'ADJ DETAIL INPUT'!R64</f>
        <v>0</v>
      </c>
      <c r="S65" s="141">
        <f>'ADJ DETAIL INPUT'!S64</f>
        <v>0</v>
      </c>
      <c r="T65" s="141">
        <f>'ADJ DETAIL INPUT'!T64</f>
        <v>0</v>
      </c>
      <c r="U65" s="141">
        <f>'ADJ DETAIL INPUT'!U64</f>
        <v>0</v>
      </c>
      <c r="V65" s="141">
        <f>'ADJ DETAIL INPUT'!V64</f>
        <v>0</v>
      </c>
      <c r="W65" s="141">
        <f>'ADJ DETAIL INPUT'!W64</f>
        <v>0</v>
      </c>
      <c r="X65" s="141">
        <f>'ADJ DETAIL INPUT'!X64</f>
        <v>8492</v>
      </c>
      <c r="Y65" s="141">
        <f>'ADJ DETAIL INPUT'!AA64</f>
        <v>0</v>
      </c>
      <c r="Z65" s="141">
        <f>'ADJ DETAIL INPUT'!AB64</f>
        <v>0</v>
      </c>
      <c r="AA65" s="141">
        <f>'ADJ DETAIL INPUT'!AC64</f>
        <v>0</v>
      </c>
      <c r="AB65" s="141">
        <f>'ADJ DETAIL INPUT'!AD64</f>
        <v>0</v>
      </c>
      <c r="AC65" s="141">
        <f>'ADJ DETAIL INPUT'!AE64</f>
        <v>0</v>
      </c>
      <c r="AD65" s="141">
        <f>'ADJ DETAIL INPUT'!AF64</f>
        <v>0</v>
      </c>
      <c r="AE65" s="141">
        <f>'ADJ DETAIL INPUT'!AG64</f>
        <v>0</v>
      </c>
      <c r="AF65" s="141">
        <f>'ADJ DETAIL INPUT'!AH64</f>
        <v>0</v>
      </c>
      <c r="AG65" s="141">
        <f>'ADJ DETAIL INPUT'!AI64</f>
        <v>0</v>
      </c>
      <c r="AH65" s="141">
        <f>'ADJ DETAIL INPUT'!AJ64</f>
        <v>0</v>
      </c>
      <c r="AI65" s="141">
        <f>'ADJ DETAIL INPUT'!AK64</f>
        <v>1616</v>
      </c>
      <c r="AJ65" s="141">
        <f>'ADJ DETAIL INPUT'!AL64</f>
        <v>-790</v>
      </c>
      <c r="AK65" s="141">
        <f>'ADJ DETAIL INPUT'!AM64</f>
        <v>-1257</v>
      </c>
      <c r="AL65" s="141">
        <f>'ADJ DETAIL INPUT'!AN64</f>
        <v>-246</v>
      </c>
      <c r="AM65" s="141">
        <f>'ADJ DETAIL INPUT'!AO64</f>
        <v>1343</v>
      </c>
      <c r="AN65" s="141">
        <f>'ADJ DETAIL INPUT'!AP64</f>
        <v>12190</v>
      </c>
      <c r="AO65" s="141">
        <f>'ADJ DETAIL INPUT'!AQ64</f>
        <v>0</v>
      </c>
      <c r="AP65" s="141">
        <f>'ADJ DETAIL INPUT'!AR64</f>
        <v>0</v>
      </c>
      <c r="AQ65" s="141">
        <f>'ADJ DETAIL INPUT'!AU64</f>
        <v>151717</v>
      </c>
      <c r="AR65" s="141">
        <f>'ADJ DETAIL INPUT'!AV64</f>
        <v>0</v>
      </c>
      <c r="AS65" s="141">
        <f>'ADJ DETAIL INPUT'!AW64</f>
        <v>151717</v>
      </c>
    </row>
    <row r="66" spans="1:45" ht="18" customHeight="1">
      <c r="A66" s="121">
        <v>35</v>
      </c>
      <c r="B66" s="123" t="s">
        <v>63</v>
      </c>
      <c r="C66" s="123"/>
      <c r="E66" s="140">
        <f>SUM(E63:E65)</f>
        <v>677239</v>
      </c>
      <c r="F66" s="140">
        <f t="shared" ref="F66:AG66" si="99">SUM(F63:F65)</f>
        <v>0</v>
      </c>
      <c r="G66" s="140">
        <f t="shared" si="99"/>
        <v>0</v>
      </c>
      <c r="H66" s="140">
        <f t="shared" si="99"/>
        <v>0</v>
      </c>
      <c r="I66" s="140">
        <f t="shared" ref="I66" si="100">SUM(I63:I65)</f>
        <v>-21328</v>
      </c>
      <c r="J66" s="140">
        <f t="shared" si="99"/>
        <v>0</v>
      </c>
      <c r="K66" s="140">
        <f t="shared" si="99"/>
        <v>0</v>
      </c>
      <c r="L66" s="140">
        <f t="shared" si="99"/>
        <v>0</v>
      </c>
      <c r="M66" s="140">
        <f t="shared" si="99"/>
        <v>0</v>
      </c>
      <c r="N66" s="140">
        <f t="shared" si="99"/>
        <v>0</v>
      </c>
      <c r="O66" s="140">
        <f t="shared" si="99"/>
        <v>0</v>
      </c>
      <c r="P66" s="140">
        <f t="shared" si="99"/>
        <v>0</v>
      </c>
      <c r="Q66" s="140">
        <f t="shared" si="99"/>
        <v>0</v>
      </c>
      <c r="R66" s="140">
        <f t="shared" si="99"/>
        <v>0</v>
      </c>
      <c r="S66" s="140">
        <f t="shared" si="99"/>
        <v>0</v>
      </c>
      <c r="T66" s="140">
        <f t="shared" ref="T66:U66" si="101">SUM(T63:T65)</f>
        <v>0</v>
      </c>
      <c r="U66" s="140">
        <f t="shared" si="101"/>
        <v>0</v>
      </c>
      <c r="V66" s="140">
        <f t="shared" ref="V66" si="102">SUM(V63:V65)</f>
        <v>0</v>
      </c>
      <c r="W66" s="140">
        <f>SUM(W63:W65)</f>
        <v>0</v>
      </c>
      <c r="X66" s="140">
        <f>SUM(X63:X65)</f>
        <v>13601.144940630809</v>
      </c>
      <c r="Y66" s="140">
        <f>SUM(Y63:Y65)</f>
        <v>0</v>
      </c>
      <c r="Z66" s="140">
        <f>SUM(Z63:Z65)</f>
        <v>0</v>
      </c>
      <c r="AA66" s="140">
        <f>SUM(AA63:AA65)</f>
        <v>0</v>
      </c>
      <c r="AB66" s="140">
        <f t="shared" si="99"/>
        <v>0</v>
      </c>
      <c r="AC66" s="140">
        <f t="shared" ref="AC66" si="103">SUM(AC63:AC65)</f>
        <v>0</v>
      </c>
      <c r="AD66" s="140">
        <f t="shared" si="99"/>
        <v>0</v>
      </c>
      <c r="AE66" s="140">
        <f t="shared" ref="AE66" si="104">SUM(AE63:AE65)</f>
        <v>0</v>
      </c>
      <c r="AF66" s="140">
        <f t="shared" ref="AF66" si="105">SUM(AF63:AF65)</f>
        <v>0</v>
      </c>
      <c r="AG66" s="140">
        <f t="shared" si="99"/>
        <v>0</v>
      </c>
      <c r="AH66" s="140">
        <f>SUM(AH63:AH65)</f>
        <v>0</v>
      </c>
      <c r="AI66" s="140">
        <f t="shared" ref="AI66" si="106">SUM(AI63:AI65)</f>
        <v>1616</v>
      </c>
      <c r="AJ66" s="140">
        <f t="shared" ref="AJ66:AK66" si="107">SUM(AJ63:AJ65)</f>
        <v>4592</v>
      </c>
      <c r="AK66" s="140">
        <f t="shared" si="107"/>
        <v>-1264</v>
      </c>
      <c r="AL66" s="140">
        <f t="shared" ref="AL66:AP66" si="108">SUM(AL63:AL65)</f>
        <v>6822</v>
      </c>
      <c r="AM66" s="140">
        <f t="shared" si="108"/>
        <v>1343</v>
      </c>
      <c r="AN66" s="140">
        <f t="shared" si="108"/>
        <v>30903</v>
      </c>
      <c r="AO66" s="140">
        <f t="shared" si="108"/>
        <v>0</v>
      </c>
      <c r="AP66" s="140">
        <f t="shared" si="108"/>
        <v>0</v>
      </c>
      <c r="AQ66" s="140">
        <f t="shared" ref="AQ66:AR66" si="109">SUM(AQ63:AQ65)</f>
        <v>713524.14494063088</v>
      </c>
      <c r="AR66" s="140">
        <f t="shared" si="109"/>
        <v>0</v>
      </c>
      <c r="AS66" s="140">
        <f t="shared" ref="AS66" si="110">SUM(AS63:AS65)</f>
        <v>713524.14494063088</v>
      </c>
    </row>
    <row r="67" spans="1:45" ht="12.75" customHeight="1">
      <c r="B67" s="123"/>
      <c r="C67" s="123"/>
      <c r="E67" s="140"/>
      <c r="F67" s="140"/>
      <c r="G67" s="140"/>
      <c r="H67" s="140"/>
      <c r="I67" s="140"/>
      <c r="J67" s="140"/>
      <c r="K67" s="140"/>
      <c r="L67" s="140"/>
      <c r="M67" s="140"/>
      <c r="N67" s="140"/>
      <c r="O67" s="140"/>
      <c r="P67" s="140"/>
      <c r="Q67" s="140"/>
      <c r="R67" s="140"/>
      <c r="S67" s="140"/>
      <c r="T67" s="140"/>
      <c r="U67" s="140"/>
      <c r="V67" s="140"/>
      <c r="W67" s="140"/>
      <c r="X67" s="140"/>
      <c r="Y67" s="140"/>
      <c r="Z67" s="140"/>
      <c r="AA67" s="140"/>
      <c r="AB67" s="140"/>
      <c r="AC67" s="140"/>
      <c r="AD67" s="140"/>
      <c r="AE67" s="140"/>
      <c r="AF67" s="140"/>
      <c r="AG67" s="140"/>
      <c r="AH67" s="140"/>
      <c r="AI67" s="140"/>
      <c r="AJ67" s="140"/>
      <c r="AK67" s="140"/>
      <c r="AL67" s="140"/>
      <c r="AM67" s="140"/>
      <c r="AN67" s="140"/>
      <c r="AO67" s="140"/>
      <c r="AP67" s="140"/>
      <c r="AQ67" s="140"/>
      <c r="AR67" s="140"/>
      <c r="AS67" s="140"/>
    </row>
    <row r="68" spans="1:45">
      <c r="B68" s="123" t="s">
        <v>191</v>
      </c>
      <c r="C68" s="123"/>
      <c r="D68" s="123"/>
      <c r="E68" s="140"/>
      <c r="F68" s="140"/>
      <c r="G68" s="140"/>
      <c r="H68" s="140"/>
      <c r="I68" s="140"/>
      <c r="J68" s="140"/>
      <c r="K68" s="140"/>
      <c r="L68" s="140"/>
      <c r="M68" s="140"/>
      <c r="N68" s="140"/>
      <c r="O68" s="140"/>
      <c r="P68" s="140"/>
      <c r="Q68" s="140"/>
      <c r="R68" s="140"/>
      <c r="S68" s="140"/>
      <c r="T68" s="140"/>
      <c r="U68" s="140"/>
      <c r="V68" s="140"/>
      <c r="W68" s="140"/>
      <c r="X68" s="140"/>
      <c r="Y68" s="140"/>
      <c r="Z68" s="140"/>
      <c r="AA68" s="140"/>
      <c r="AB68" s="140"/>
      <c r="AC68" s="140"/>
      <c r="AD68" s="140"/>
      <c r="AE68" s="140"/>
      <c r="AF68" s="140"/>
      <c r="AG68" s="140"/>
      <c r="AH68" s="140"/>
      <c r="AI68" s="140"/>
      <c r="AJ68" s="140"/>
      <c r="AK68" s="140"/>
      <c r="AL68" s="140"/>
      <c r="AM68" s="140"/>
      <c r="AN68" s="140"/>
      <c r="AO68" s="140"/>
      <c r="AP68" s="140"/>
      <c r="AQ68" s="140"/>
      <c r="AR68" s="140"/>
      <c r="AS68" s="140"/>
    </row>
    <row r="69" spans="1:45">
      <c r="A69" s="121">
        <v>36</v>
      </c>
      <c r="B69" s="123"/>
      <c r="C69" s="123" t="s">
        <v>42</v>
      </c>
      <c r="D69" s="123"/>
      <c r="E69" s="140">
        <f>'ADJ DETAIL INPUT'!E68</f>
        <v>-11566</v>
      </c>
      <c r="F69" s="140">
        <f>'ADJ DETAIL INPUT'!F68</f>
        <v>0</v>
      </c>
      <c r="G69" s="140">
        <f>'ADJ DETAIL INPUT'!G68</f>
        <v>0</v>
      </c>
      <c r="H69" s="140">
        <f>'ADJ DETAIL INPUT'!H68</f>
        <v>0</v>
      </c>
      <c r="I69" s="140">
        <f>'ADJ DETAIL INPUT'!I68</f>
        <v>0</v>
      </c>
      <c r="J69" s="140">
        <f>'ADJ DETAIL INPUT'!J68</f>
        <v>0</v>
      </c>
      <c r="K69" s="140">
        <f>'ADJ DETAIL INPUT'!K68</f>
        <v>0</v>
      </c>
      <c r="L69" s="140">
        <f>'ADJ DETAIL INPUT'!L68</f>
        <v>0</v>
      </c>
      <c r="M69" s="140">
        <f>'ADJ DETAIL INPUT'!M68</f>
        <v>0</v>
      </c>
      <c r="N69" s="140">
        <f>'ADJ DETAIL INPUT'!N68</f>
        <v>0</v>
      </c>
      <c r="O69" s="140">
        <f>'ADJ DETAIL INPUT'!O68</f>
        <v>0</v>
      </c>
      <c r="P69" s="140">
        <f>'ADJ DETAIL INPUT'!P68</f>
        <v>0</v>
      </c>
      <c r="Q69" s="140">
        <f>'ADJ DETAIL INPUT'!Q68</f>
        <v>0</v>
      </c>
      <c r="R69" s="140">
        <f>'ADJ DETAIL INPUT'!R68</f>
        <v>0</v>
      </c>
      <c r="S69" s="140">
        <f>'ADJ DETAIL INPUT'!S68</f>
        <v>0</v>
      </c>
      <c r="T69" s="140">
        <f>'ADJ DETAIL INPUT'!T68</f>
        <v>0</v>
      </c>
      <c r="U69" s="140">
        <f>'ADJ DETAIL INPUT'!U68</f>
        <v>0</v>
      </c>
      <c r="V69" s="140">
        <f>'ADJ DETAIL INPUT'!V68</f>
        <v>0</v>
      </c>
      <c r="W69" s="140">
        <f>'ADJ DETAIL INPUT'!W68</f>
        <v>0</v>
      </c>
      <c r="X69" s="140">
        <f>'ADJ DETAIL INPUT'!X68</f>
        <v>-223.28800000000047</v>
      </c>
      <c r="Y69" s="140">
        <f>'ADJ DETAIL INPUT'!AA68</f>
        <v>0</v>
      </c>
      <c r="Z69" s="140">
        <f>'ADJ DETAIL INPUT'!AB68</f>
        <v>0</v>
      </c>
      <c r="AA69" s="140">
        <f>'ADJ DETAIL INPUT'!AC68</f>
        <v>0</v>
      </c>
      <c r="AB69" s="140">
        <f>'ADJ DETAIL INPUT'!AD68</f>
        <v>0</v>
      </c>
      <c r="AC69" s="140">
        <f>'ADJ DETAIL INPUT'!AE68</f>
        <v>0</v>
      </c>
      <c r="AD69" s="140">
        <f>'ADJ DETAIL INPUT'!AF68</f>
        <v>0</v>
      </c>
      <c r="AE69" s="140">
        <f>'ADJ DETAIL INPUT'!AG68</f>
        <v>0</v>
      </c>
      <c r="AF69" s="140">
        <f>'ADJ DETAIL INPUT'!AH68</f>
        <v>0</v>
      </c>
      <c r="AG69" s="140">
        <f>'ADJ DETAIL INPUT'!AI68</f>
        <v>0</v>
      </c>
      <c r="AH69" s="140">
        <f>'ADJ DETAIL INPUT'!AJ68</f>
        <v>0</v>
      </c>
      <c r="AI69" s="140">
        <f>'ADJ DETAIL INPUT'!AK68</f>
        <v>0</v>
      </c>
      <c r="AJ69" s="140">
        <f>'ADJ DETAIL INPUT'!AL68</f>
        <v>-9</v>
      </c>
      <c r="AK69" s="140">
        <f>'ADJ DETAIL INPUT'!AM68</f>
        <v>0</v>
      </c>
      <c r="AL69" s="140">
        <f>'ADJ DETAIL INPUT'!AN68</f>
        <v>0</v>
      </c>
      <c r="AM69" s="140">
        <f>'ADJ DETAIL INPUT'!AO68</f>
        <v>0</v>
      </c>
      <c r="AN69" s="140">
        <f>'ADJ DETAIL INPUT'!AP68</f>
        <v>0</v>
      </c>
      <c r="AO69" s="140">
        <f>'ADJ DETAIL INPUT'!AQ68</f>
        <v>0</v>
      </c>
      <c r="AP69" s="140">
        <f>'ADJ DETAIL INPUT'!AR68</f>
        <v>0</v>
      </c>
      <c r="AQ69" s="140">
        <f>'ADJ DETAIL INPUT'!AU68</f>
        <v>-11798.288</v>
      </c>
      <c r="AR69" s="140">
        <f>'ADJ DETAIL INPUT'!AV68</f>
        <v>0</v>
      </c>
      <c r="AS69" s="140">
        <f>'ADJ DETAIL INPUT'!AW68</f>
        <v>-11798.288</v>
      </c>
    </row>
    <row r="70" spans="1:45">
      <c r="A70" s="121">
        <v>37</v>
      </c>
      <c r="B70" s="123"/>
      <c r="C70" s="123" t="s">
        <v>61</v>
      </c>
      <c r="D70" s="123"/>
      <c r="E70" s="140">
        <f>'ADJ DETAIL INPUT'!E69</f>
        <v>-151240</v>
      </c>
      <c r="F70" s="140">
        <f>'ADJ DETAIL INPUT'!F69</f>
        <v>0</v>
      </c>
      <c r="G70" s="140">
        <f>'ADJ DETAIL INPUT'!G69</f>
        <v>0</v>
      </c>
      <c r="H70" s="140">
        <f>'ADJ DETAIL INPUT'!H69</f>
        <v>0</v>
      </c>
      <c r="I70" s="140">
        <f>'ADJ DETAIL INPUT'!I69</f>
        <v>301</v>
      </c>
      <c r="J70" s="140">
        <f>'ADJ DETAIL INPUT'!J69</f>
        <v>0</v>
      </c>
      <c r="K70" s="140">
        <f>'ADJ DETAIL INPUT'!K69</f>
        <v>0</v>
      </c>
      <c r="L70" s="140">
        <f>'ADJ DETAIL INPUT'!L69</f>
        <v>0</v>
      </c>
      <c r="M70" s="140">
        <f>'ADJ DETAIL INPUT'!M69</f>
        <v>0</v>
      </c>
      <c r="N70" s="140">
        <f>'ADJ DETAIL INPUT'!N69</f>
        <v>0</v>
      </c>
      <c r="O70" s="140">
        <f>'ADJ DETAIL INPUT'!O69</f>
        <v>0</v>
      </c>
      <c r="P70" s="140">
        <f>'ADJ DETAIL INPUT'!P69</f>
        <v>0</v>
      </c>
      <c r="Q70" s="140">
        <f>'ADJ DETAIL INPUT'!Q69</f>
        <v>0</v>
      </c>
      <c r="R70" s="140">
        <f>'ADJ DETAIL INPUT'!R69</f>
        <v>0</v>
      </c>
      <c r="S70" s="140">
        <f>'ADJ DETAIL INPUT'!S69</f>
        <v>0</v>
      </c>
      <c r="T70" s="140">
        <f>'ADJ DETAIL INPUT'!T69</f>
        <v>0</v>
      </c>
      <c r="U70" s="140">
        <f>'ADJ DETAIL INPUT'!U69</f>
        <v>0</v>
      </c>
      <c r="V70" s="140">
        <f>'ADJ DETAIL INPUT'!V69</f>
        <v>0</v>
      </c>
      <c r="W70" s="140">
        <f>'ADJ DETAIL INPUT'!W69</f>
        <v>0</v>
      </c>
      <c r="X70" s="140">
        <f>'ADJ DETAIL INPUT'!X69</f>
        <v>2028.6663291830437</v>
      </c>
      <c r="Y70" s="140">
        <f>'ADJ DETAIL INPUT'!AA69</f>
        <v>0</v>
      </c>
      <c r="Z70" s="140">
        <f>'ADJ DETAIL INPUT'!AB69</f>
        <v>0</v>
      </c>
      <c r="AA70" s="140">
        <f>'ADJ DETAIL INPUT'!AC69</f>
        <v>0</v>
      </c>
      <c r="AB70" s="140">
        <f>'ADJ DETAIL INPUT'!AD69</f>
        <v>0</v>
      </c>
      <c r="AC70" s="140">
        <f>'ADJ DETAIL INPUT'!AE69</f>
        <v>0</v>
      </c>
      <c r="AD70" s="140">
        <f>'ADJ DETAIL INPUT'!AF69</f>
        <v>0</v>
      </c>
      <c r="AE70" s="140">
        <f>'ADJ DETAIL INPUT'!AG69</f>
        <v>0</v>
      </c>
      <c r="AF70" s="140">
        <f>'ADJ DETAIL INPUT'!AH69</f>
        <v>0</v>
      </c>
      <c r="AG70" s="140">
        <f>'ADJ DETAIL INPUT'!AI69</f>
        <v>0</v>
      </c>
      <c r="AH70" s="140">
        <f>'ADJ DETAIL INPUT'!AJ69</f>
        <v>0</v>
      </c>
      <c r="AI70" s="140">
        <f>'ADJ DETAIL INPUT'!AK69</f>
        <v>0</v>
      </c>
      <c r="AJ70" s="140">
        <f>'ADJ DETAIL INPUT'!AL69</f>
        <v>963</v>
      </c>
      <c r="AK70" s="140">
        <f>'ADJ DETAIL INPUT'!AM69</f>
        <v>952</v>
      </c>
      <c r="AL70" s="140">
        <f>'ADJ DETAIL INPUT'!AN69</f>
        <v>2149</v>
      </c>
      <c r="AM70" s="140">
        <f>'ADJ DETAIL INPUT'!AO69</f>
        <v>0</v>
      </c>
      <c r="AN70" s="140">
        <f>'ADJ DETAIL INPUT'!AP69</f>
        <v>-3231</v>
      </c>
      <c r="AO70" s="140">
        <f>'ADJ DETAIL INPUT'!AQ69</f>
        <v>0</v>
      </c>
      <c r="AP70" s="140">
        <f>'ADJ DETAIL INPUT'!AR69</f>
        <v>0</v>
      </c>
      <c r="AQ70" s="140">
        <f>'ADJ DETAIL INPUT'!AU69</f>
        <v>-148077.33367081697</v>
      </c>
      <c r="AR70" s="140">
        <f>'ADJ DETAIL INPUT'!AV69</f>
        <v>0</v>
      </c>
      <c r="AS70" s="140">
        <f>'ADJ DETAIL INPUT'!AW69</f>
        <v>-148077.33367081697</v>
      </c>
    </row>
    <row r="71" spans="1:45">
      <c r="A71" s="121">
        <v>38</v>
      </c>
      <c r="B71" s="123"/>
      <c r="C71" s="123" t="s">
        <v>62</v>
      </c>
      <c r="D71" s="123"/>
      <c r="E71" s="141">
        <f>'ADJ DETAIL INPUT'!E70</f>
        <v>-38750</v>
      </c>
      <c r="F71" s="141">
        <f>'ADJ DETAIL INPUT'!F70</f>
        <v>0</v>
      </c>
      <c r="G71" s="141">
        <f>'ADJ DETAIL INPUT'!G70</f>
        <v>0</v>
      </c>
      <c r="H71" s="141">
        <f>'ADJ DETAIL INPUT'!H70</f>
        <v>0</v>
      </c>
      <c r="I71" s="141">
        <f>'ADJ DETAIL INPUT'!I70</f>
        <v>1658</v>
      </c>
      <c r="J71" s="141">
        <f>'ADJ DETAIL INPUT'!J70</f>
        <v>0</v>
      </c>
      <c r="K71" s="141">
        <f>'ADJ DETAIL INPUT'!K70</f>
        <v>0</v>
      </c>
      <c r="L71" s="141">
        <f>'ADJ DETAIL INPUT'!L70</f>
        <v>0</v>
      </c>
      <c r="M71" s="141">
        <f>'ADJ DETAIL INPUT'!M70</f>
        <v>0</v>
      </c>
      <c r="N71" s="141">
        <f>'ADJ DETAIL INPUT'!N70</f>
        <v>0</v>
      </c>
      <c r="O71" s="141">
        <f>'ADJ DETAIL INPUT'!O70</f>
        <v>0</v>
      </c>
      <c r="P71" s="141">
        <f>'ADJ DETAIL INPUT'!P70</f>
        <v>0</v>
      </c>
      <c r="Q71" s="141">
        <f>'ADJ DETAIL INPUT'!Q70</f>
        <v>0</v>
      </c>
      <c r="R71" s="141">
        <f>'ADJ DETAIL INPUT'!R70</f>
        <v>0</v>
      </c>
      <c r="S71" s="141">
        <f>'ADJ DETAIL INPUT'!S70</f>
        <v>0</v>
      </c>
      <c r="T71" s="141">
        <f>'ADJ DETAIL INPUT'!T70</f>
        <v>0</v>
      </c>
      <c r="U71" s="141">
        <f>'ADJ DETAIL INPUT'!U70</f>
        <v>0</v>
      </c>
      <c r="V71" s="141">
        <f>'ADJ DETAIL INPUT'!V70</f>
        <v>0</v>
      </c>
      <c r="W71" s="141">
        <f>'ADJ DETAIL INPUT'!W70</f>
        <v>0</v>
      </c>
      <c r="X71" s="141">
        <f>'ADJ DETAIL INPUT'!X70</f>
        <v>-2799</v>
      </c>
      <c r="Y71" s="141">
        <f>'ADJ DETAIL INPUT'!AA70</f>
        <v>0</v>
      </c>
      <c r="Z71" s="141">
        <f>'ADJ DETAIL INPUT'!AB70</f>
        <v>0</v>
      </c>
      <c r="AA71" s="141">
        <f>'ADJ DETAIL INPUT'!AC70</f>
        <v>0</v>
      </c>
      <c r="AB71" s="141">
        <f>'ADJ DETAIL INPUT'!AD70</f>
        <v>0</v>
      </c>
      <c r="AC71" s="141">
        <f>'ADJ DETAIL INPUT'!AE70</f>
        <v>0</v>
      </c>
      <c r="AD71" s="141">
        <f>'ADJ DETAIL INPUT'!AF70</f>
        <v>0</v>
      </c>
      <c r="AE71" s="141">
        <f>'ADJ DETAIL INPUT'!AG70</f>
        <v>0</v>
      </c>
      <c r="AF71" s="141">
        <f>'ADJ DETAIL INPUT'!AH70</f>
        <v>0</v>
      </c>
      <c r="AG71" s="141">
        <f>'ADJ DETAIL INPUT'!AI70</f>
        <v>0</v>
      </c>
      <c r="AH71" s="141">
        <f>'ADJ DETAIL INPUT'!AJ70</f>
        <v>0</v>
      </c>
      <c r="AI71" s="141">
        <f>'ADJ DETAIL INPUT'!AK70</f>
        <v>698</v>
      </c>
      <c r="AJ71" s="141">
        <f>'ADJ DETAIL INPUT'!AL70</f>
        <v>790</v>
      </c>
      <c r="AK71" s="141">
        <f>'ADJ DETAIL INPUT'!AM70</f>
        <v>1257</v>
      </c>
      <c r="AL71" s="141">
        <f>'ADJ DETAIL INPUT'!AN70</f>
        <v>246</v>
      </c>
      <c r="AM71" s="141">
        <f>'ADJ DETAIL INPUT'!AO70</f>
        <v>1190</v>
      </c>
      <c r="AN71" s="141">
        <f>'ADJ DETAIL INPUT'!AP70</f>
        <v>-5942</v>
      </c>
      <c r="AO71" s="141">
        <f>'ADJ DETAIL INPUT'!AQ70</f>
        <v>0</v>
      </c>
      <c r="AP71" s="141">
        <f>'ADJ DETAIL INPUT'!AR70</f>
        <v>0</v>
      </c>
      <c r="AQ71" s="141">
        <f>'ADJ DETAIL INPUT'!AU70</f>
        <v>-41652</v>
      </c>
      <c r="AR71" s="141">
        <f>'ADJ DETAIL INPUT'!AV70</f>
        <v>0</v>
      </c>
      <c r="AS71" s="141">
        <f>'ADJ DETAIL INPUT'!AW70</f>
        <v>-41652</v>
      </c>
    </row>
    <row r="72" spans="1:45">
      <c r="A72" s="121">
        <v>39</v>
      </c>
      <c r="B72" s="123" t="s">
        <v>404</v>
      </c>
      <c r="C72" s="123"/>
      <c r="E72" s="143">
        <f>SUM(E69:E71)</f>
        <v>-201556</v>
      </c>
      <c r="F72" s="143">
        <f t="shared" ref="F72:AG72" si="111">SUM(F69:F71)</f>
        <v>0</v>
      </c>
      <c r="G72" s="143">
        <f t="shared" si="111"/>
        <v>0</v>
      </c>
      <c r="H72" s="143">
        <f t="shared" si="111"/>
        <v>0</v>
      </c>
      <c r="I72" s="143">
        <f t="shared" ref="I72" si="112">SUM(I69:I71)</f>
        <v>1959</v>
      </c>
      <c r="J72" s="143">
        <f t="shared" si="111"/>
        <v>0</v>
      </c>
      <c r="K72" s="143">
        <f t="shared" si="111"/>
        <v>0</v>
      </c>
      <c r="L72" s="143">
        <f t="shared" si="111"/>
        <v>0</v>
      </c>
      <c r="M72" s="143">
        <f t="shared" si="111"/>
        <v>0</v>
      </c>
      <c r="N72" s="143">
        <f t="shared" si="111"/>
        <v>0</v>
      </c>
      <c r="O72" s="143">
        <f t="shared" si="111"/>
        <v>0</v>
      </c>
      <c r="P72" s="143">
        <f t="shared" si="111"/>
        <v>0</v>
      </c>
      <c r="Q72" s="143">
        <f t="shared" si="111"/>
        <v>0</v>
      </c>
      <c r="R72" s="143">
        <f t="shared" si="111"/>
        <v>0</v>
      </c>
      <c r="S72" s="143">
        <f t="shared" si="111"/>
        <v>0</v>
      </c>
      <c r="T72" s="143">
        <f t="shared" ref="T72:U72" si="113">SUM(T69:T71)</f>
        <v>0</v>
      </c>
      <c r="U72" s="143">
        <f t="shared" si="113"/>
        <v>0</v>
      </c>
      <c r="V72" s="143">
        <f t="shared" ref="V72" si="114">SUM(V69:V71)</f>
        <v>0</v>
      </c>
      <c r="W72" s="143">
        <f>SUM(W69:W71)</f>
        <v>0</v>
      </c>
      <c r="X72" s="143">
        <f>SUM(X69:X71)</f>
        <v>-993.62167081695679</v>
      </c>
      <c r="Y72" s="143">
        <f>SUM(Y69:Y71)</f>
        <v>0</v>
      </c>
      <c r="Z72" s="143">
        <f>SUM(Z69:Z71)</f>
        <v>0</v>
      </c>
      <c r="AA72" s="143">
        <f>SUM(AA69:AA71)</f>
        <v>0</v>
      </c>
      <c r="AB72" s="143">
        <f t="shared" si="111"/>
        <v>0</v>
      </c>
      <c r="AC72" s="143">
        <f t="shared" ref="AC72" si="115">SUM(AC69:AC71)</f>
        <v>0</v>
      </c>
      <c r="AD72" s="143">
        <f t="shared" si="111"/>
        <v>0</v>
      </c>
      <c r="AE72" s="143">
        <f t="shared" ref="AE72" si="116">SUM(AE69:AE71)</f>
        <v>0</v>
      </c>
      <c r="AF72" s="143">
        <f t="shared" ref="AF72" si="117">SUM(AF69:AF71)</f>
        <v>0</v>
      </c>
      <c r="AG72" s="143">
        <f t="shared" si="111"/>
        <v>0</v>
      </c>
      <c r="AH72" s="143">
        <f>SUM(AH69:AH71)</f>
        <v>0</v>
      </c>
      <c r="AI72" s="143">
        <f t="shared" ref="AI72" si="118">SUM(AI69:AI71)</f>
        <v>698</v>
      </c>
      <c r="AJ72" s="143">
        <f t="shared" ref="AJ72:AK72" si="119">SUM(AJ69:AJ71)</f>
        <v>1744</v>
      </c>
      <c r="AK72" s="143">
        <f t="shared" si="119"/>
        <v>2209</v>
      </c>
      <c r="AL72" s="143">
        <f t="shared" ref="AL72:AP72" si="120">SUM(AL69:AL71)</f>
        <v>2395</v>
      </c>
      <c r="AM72" s="143">
        <f t="shared" si="120"/>
        <v>1190</v>
      </c>
      <c r="AN72" s="143">
        <f t="shared" si="120"/>
        <v>-9173</v>
      </c>
      <c r="AO72" s="143">
        <f t="shared" si="120"/>
        <v>0</v>
      </c>
      <c r="AP72" s="143">
        <f t="shared" si="120"/>
        <v>0</v>
      </c>
      <c r="AQ72" s="143">
        <f t="shared" ref="AQ72:AR72" si="121">SUM(AQ69:AQ71)</f>
        <v>-201527.62167081697</v>
      </c>
      <c r="AR72" s="143">
        <f t="shared" si="121"/>
        <v>0</v>
      </c>
      <c r="AS72" s="143">
        <f t="shared" ref="AS72" si="122">SUM(AS69:AS71)</f>
        <v>-201527.62167081697</v>
      </c>
    </row>
    <row r="73" spans="1:45">
      <c r="A73" s="121">
        <v>40</v>
      </c>
      <c r="B73" s="123" t="s">
        <v>165</v>
      </c>
      <c r="C73" s="123"/>
      <c r="D73" s="123"/>
      <c r="E73" s="144">
        <f>E66+E72</f>
        <v>475683</v>
      </c>
      <c r="F73" s="144">
        <f t="shared" ref="F73:AG73" si="123">F66+F72</f>
        <v>0</v>
      </c>
      <c r="G73" s="144">
        <f t="shared" si="123"/>
        <v>0</v>
      </c>
      <c r="H73" s="144">
        <f t="shared" si="123"/>
        <v>0</v>
      </c>
      <c r="I73" s="144">
        <f t="shared" ref="I73" si="124">I66+I72</f>
        <v>-19369</v>
      </c>
      <c r="J73" s="144">
        <f t="shared" si="123"/>
        <v>0</v>
      </c>
      <c r="K73" s="144">
        <f t="shared" si="123"/>
        <v>0</v>
      </c>
      <c r="L73" s="144">
        <f t="shared" si="123"/>
        <v>0</v>
      </c>
      <c r="M73" s="144">
        <f t="shared" si="123"/>
        <v>0</v>
      </c>
      <c r="N73" s="144">
        <f t="shared" si="123"/>
        <v>0</v>
      </c>
      <c r="O73" s="144">
        <f t="shared" si="123"/>
        <v>0</v>
      </c>
      <c r="P73" s="144">
        <f t="shared" si="123"/>
        <v>0</v>
      </c>
      <c r="Q73" s="144">
        <f t="shared" si="123"/>
        <v>0</v>
      </c>
      <c r="R73" s="144">
        <f t="shared" si="123"/>
        <v>0</v>
      </c>
      <c r="S73" s="144">
        <f t="shared" si="123"/>
        <v>0</v>
      </c>
      <c r="T73" s="144">
        <f t="shared" ref="T73:U73" si="125">T66+T72</f>
        <v>0</v>
      </c>
      <c r="U73" s="144">
        <f t="shared" si="125"/>
        <v>0</v>
      </c>
      <c r="V73" s="144">
        <f t="shared" ref="V73" si="126">V66+V72</f>
        <v>0</v>
      </c>
      <c r="W73" s="144">
        <f>W66+W72</f>
        <v>0</v>
      </c>
      <c r="X73" s="144">
        <f>X66+X72</f>
        <v>12607.523269813853</v>
      </c>
      <c r="Y73" s="144">
        <f>Y66+Y72</f>
        <v>0</v>
      </c>
      <c r="Z73" s="144">
        <f>Z66+Z72</f>
        <v>0</v>
      </c>
      <c r="AA73" s="144">
        <f>AA66+AA72</f>
        <v>0</v>
      </c>
      <c r="AB73" s="144">
        <f t="shared" si="123"/>
        <v>0</v>
      </c>
      <c r="AC73" s="144">
        <f t="shared" ref="AC73" si="127">AC66+AC72</f>
        <v>0</v>
      </c>
      <c r="AD73" s="144">
        <f t="shared" si="123"/>
        <v>0</v>
      </c>
      <c r="AE73" s="144">
        <f t="shared" ref="AE73" si="128">AE66+AE72</f>
        <v>0</v>
      </c>
      <c r="AF73" s="144">
        <f t="shared" ref="AF73" si="129">AF66+AF72</f>
        <v>0</v>
      </c>
      <c r="AG73" s="144">
        <f t="shared" si="123"/>
        <v>0</v>
      </c>
      <c r="AH73" s="144">
        <f>AH66+AH72</f>
        <v>0</v>
      </c>
      <c r="AI73" s="144">
        <f t="shared" ref="AI73" si="130">AI66+AI72</f>
        <v>2314</v>
      </c>
      <c r="AJ73" s="144">
        <f t="shared" ref="AJ73:AK73" si="131">AJ66+AJ72</f>
        <v>6336</v>
      </c>
      <c r="AK73" s="144">
        <f t="shared" si="131"/>
        <v>945</v>
      </c>
      <c r="AL73" s="144">
        <f t="shared" ref="AL73:AP73" si="132">AL66+AL72</f>
        <v>9217</v>
      </c>
      <c r="AM73" s="144">
        <f t="shared" si="132"/>
        <v>2533</v>
      </c>
      <c r="AN73" s="144">
        <f t="shared" si="132"/>
        <v>21730</v>
      </c>
      <c r="AO73" s="144">
        <f t="shared" si="132"/>
        <v>0</v>
      </c>
      <c r="AP73" s="144">
        <f t="shared" si="132"/>
        <v>0</v>
      </c>
      <c r="AQ73" s="144">
        <f t="shared" ref="AQ73:AR73" si="133">AQ66+AQ72</f>
        <v>511996.52326981392</v>
      </c>
      <c r="AR73" s="144">
        <f t="shared" si="133"/>
        <v>0</v>
      </c>
      <c r="AS73" s="144">
        <f t="shared" ref="AS73" si="134">AS66+AS72</f>
        <v>511996.52326981392</v>
      </c>
    </row>
    <row r="74" spans="1:45" s="126" customFormat="1" ht="19" customHeight="1">
      <c r="A74" s="124">
        <v>41</v>
      </c>
      <c r="B74" s="125" t="s">
        <v>194</v>
      </c>
      <c r="C74" s="125"/>
      <c r="D74" s="125"/>
      <c r="E74" s="141">
        <f>'ADJ DETAIL INPUT'!E73</f>
        <v>-91014</v>
      </c>
      <c r="F74" s="141">
        <f>'ADJ DETAIL INPUT'!F73</f>
        <v>-994</v>
      </c>
      <c r="G74" s="141">
        <f>'ADJ DETAIL INPUT'!G73</f>
        <v>0</v>
      </c>
      <c r="H74" s="141">
        <f>'ADJ DETAIL INPUT'!H73</f>
        <v>0</v>
      </c>
      <c r="I74" s="141">
        <f>'ADJ DETAIL INPUT'!I73</f>
        <v>1019</v>
      </c>
      <c r="J74" s="141">
        <f>'ADJ DETAIL INPUT'!J73</f>
        <v>0</v>
      </c>
      <c r="K74" s="141">
        <f>'ADJ DETAIL INPUT'!K73</f>
        <v>0</v>
      </c>
      <c r="L74" s="141">
        <f>'ADJ DETAIL INPUT'!L73</f>
        <v>0</v>
      </c>
      <c r="M74" s="141">
        <f>'ADJ DETAIL INPUT'!M73</f>
        <v>0</v>
      </c>
      <c r="N74" s="141">
        <f>'ADJ DETAIL INPUT'!N73</f>
        <v>0</v>
      </c>
      <c r="O74" s="141">
        <f>'ADJ DETAIL INPUT'!O73</f>
        <v>0</v>
      </c>
      <c r="P74" s="141">
        <f>'ADJ DETAIL INPUT'!P73</f>
        <v>0</v>
      </c>
      <c r="Q74" s="141">
        <f>'ADJ DETAIL INPUT'!Q73</f>
        <v>0</v>
      </c>
      <c r="R74" s="141">
        <f>'ADJ DETAIL INPUT'!R73</f>
        <v>0</v>
      </c>
      <c r="S74" s="141">
        <f>'ADJ DETAIL INPUT'!S73</f>
        <v>0</v>
      </c>
      <c r="T74" s="141">
        <f>'ADJ DETAIL INPUT'!T73</f>
        <v>0</v>
      </c>
      <c r="U74" s="141">
        <f>'ADJ DETAIL INPUT'!U73</f>
        <v>0</v>
      </c>
      <c r="V74" s="141">
        <f>'ADJ DETAIL INPUT'!V73</f>
        <v>0</v>
      </c>
      <c r="W74" s="141">
        <f>'ADJ DETAIL INPUT'!W73</f>
        <v>0</v>
      </c>
      <c r="X74" s="141">
        <f>'ADJ DETAIL INPUT'!X73</f>
        <v>123</v>
      </c>
      <c r="Y74" s="141">
        <f>'ADJ DETAIL INPUT'!AA73</f>
        <v>0</v>
      </c>
      <c r="Z74" s="141">
        <f>'ADJ DETAIL INPUT'!AB73</f>
        <v>0</v>
      </c>
      <c r="AA74" s="141">
        <f>'ADJ DETAIL INPUT'!AC73</f>
        <v>0</v>
      </c>
      <c r="AB74" s="141">
        <f>'ADJ DETAIL INPUT'!AD73</f>
        <v>0</v>
      </c>
      <c r="AC74" s="141">
        <f>'ADJ DETAIL INPUT'!AE73</f>
        <v>0</v>
      </c>
      <c r="AD74" s="141">
        <f>'ADJ DETAIL INPUT'!AF73</f>
        <v>0</v>
      </c>
      <c r="AE74" s="141">
        <f>'ADJ DETAIL INPUT'!AG73</f>
        <v>0</v>
      </c>
      <c r="AF74" s="141">
        <f>'ADJ DETAIL INPUT'!AH73</f>
        <v>0</v>
      </c>
      <c r="AG74" s="141">
        <f>'ADJ DETAIL INPUT'!AI73</f>
        <v>0</v>
      </c>
      <c r="AH74" s="141">
        <f>'ADJ DETAIL INPUT'!AJ73</f>
        <v>0</v>
      </c>
      <c r="AI74" s="141">
        <f>'ADJ DETAIL INPUT'!AK73</f>
        <v>-41</v>
      </c>
      <c r="AJ74" s="141">
        <f>'ADJ DETAIL INPUT'!AL73</f>
        <v>-136</v>
      </c>
      <c r="AK74" s="141">
        <f>'ADJ DETAIL INPUT'!AM73</f>
        <v>-25</v>
      </c>
      <c r="AL74" s="141">
        <f>'ADJ DETAIL INPUT'!AN73</f>
        <v>-242</v>
      </c>
      <c r="AM74" s="141">
        <f>'ADJ DETAIL INPUT'!AO73</f>
        <v>-50</v>
      </c>
      <c r="AN74" s="141">
        <f>'ADJ DETAIL INPUT'!AP73</f>
        <v>-4222</v>
      </c>
      <c r="AO74" s="141">
        <f>'ADJ DETAIL INPUT'!AQ73</f>
        <v>0</v>
      </c>
      <c r="AP74" s="141">
        <f>'ADJ DETAIL INPUT'!AR73</f>
        <v>-15228</v>
      </c>
      <c r="AQ74" s="141">
        <f>'ADJ DETAIL INPUT'!AU73</f>
        <v>-110810</v>
      </c>
      <c r="AR74" s="141">
        <f>'ADJ DETAIL INPUT'!AV73</f>
        <v>6091</v>
      </c>
      <c r="AS74" s="141">
        <f>'ADJ DETAIL INPUT'!AW73</f>
        <v>-104719</v>
      </c>
    </row>
    <row r="75" spans="1:45" s="126" customFormat="1" ht="19" customHeight="1">
      <c r="A75" s="124">
        <v>42</v>
      </c>
      <c r="B75" s="125" t="s">
        <v>192</v>
      </c>
      <c r="C75" s="125"/>
      <c r="D75" s="125"/>
      <c r="E75" s="144">
        <f>E73+E74</f>
        <v>384669</v>
      </c>
      <c r="F75" s="144">
        <f t="shared" ref="F75:AG75" si="135">F73+F74</f>
        <v>-994</v>
      </c>
      <c r="G75" s="144">
        <f t="shared" si="135"/>
        <v>0</v>
      </c>
      <c r="H75" s="144">
        <f t="shared" si="135"/>
        <v>0</v>
      </c>
      <c r="I75" s="144">
        <f t="shared" ref="I75" si="136">I73+I74</f>
        <v>-18350</v>
      </c>
      <c r="J75" s="144">
        <f t="shared" si="135"/>
        <v>0</v>
      </c>
      <c r="K75" s="144">
        <f t="shared" si="135"/>
        <v>0</v>
      </c>
      <c r="L75" s="144">
        <f t="shared" si="135"/>
        <v>0</v>
      </c>
      <c r="M75" s="144">
        <f t="shared" si="135"/>
        <v>0</v>
      </c>
      <c r="N75" s="144">
        <f t="shared" si="135"/>
        <v>0</v>
      </c>
      <c r="O75" s="144">
        <f t="shared" si="135"/>
        <v>0</v>
      </c>
      <c r="P75" s="144">
        <f t="shared" si="135"/>
        <v>0</v>
      </c>
      <c r="Q75" s="144">
        <f t="shared" si="135"/>
        <v>0</v>
      </c>
      <c r="R75" s="144">
        <f t="shared" si="135"/>
        <v>0</v>
      </c>
      <c r="S75" s="144">
        <f t="shared" si="135"/>
        <v>0</v>
      </c>
      <c r="T75" s="144">
        <f t="shared" ref="T75:U75" si="137">T73+T74</f>
        <v>0</v>
      </c>
      <c r="U75" s="144">
        <f t="shared" si="137"/>
        <v>0</v>
      </c>
      <c r="V75" s="144">
        <f t="shared" ref="V75" si="138">V73+V74</f>
        <v>0</v>
      </c>
      <c r="W75" s="144">
        <f>W73+W74</f>
        <v>0</v>
      </c>
      <c r="X75" s="144">
        <f>X73+X74</f>
        <v>12730.523269813853</v>
      </c>
      <c r="Y75" s="144">
        <f>Y73+Y74</f>
        <v>0</v>
      </c>
      <c r="Z75" s="144">
        <f>Z73+Z74</f>
        <v>0</v>
      </c>
      <c r="AA75" s="144">
        <f>AA73+AA74</f>
        <v>0</v>
      </c>
      <c r="AB75" s="144">
        <f t="shared" si="135"/>
        <v>0</v>
      </c>
      <c r="AC75" s="144">
        <f t="shared" ref="AC75" si="139">AC73+AC74</f>
        <v>0</v>
      </c>
      <c r="AD75" s="144">
        <f t="shared" si="135"/>
        <v>0</v>
      </c>
      <c r="AE75" s="144">
        <f t="shared" ref="AE75" si="140">AE73+AE74</f>
        <v>0</v>
      </c>
      <c r="AF75" s="144">
        <f t="shared" ref="AF75" si="141">AF73+AF74</f>
        <v>0</v>
      </c>
      <c r="AG75" s="144">
        <f t="shared" si="135"/>
        <v>0</v>
      </c>
      <c r="AH75" s="144">
        <f>AH73+AH74</f>
        <v>0</v>
      </c>
      <c r="AI75" s="144">
        <f t="shared" ref="AI75" si="142">AI73+AI74</f>
        <v>2273</v>
      </c>
      <c r="AJ75" s="144">
        <f t="shared" ref="AJ75:AK75" si="143">AJ73+AJ74</f>
        <v>6200</v>
      </c>
      <c r="AK75" s="144">
        <f t="shared" si="143"/>
        <v>920</v>
      </c>
      <c r="AL75" s="144">
        <f t="shared" ref="AL75:AP75" si="144">AL73+AL74</f>
        <v>8975</v>
      </c>
      <c r="AM75" s="144">
        <f t="shared" si="144"/>
        <v>2483</v>
      </c>
      <c r="AN75" s="144">
        <f t="shared" si="144"/>
        <v>17508</v>
      </c>
      <c r="AO75" s="144">
        <f t="shared" si="144"/>
        <v>0</v>
      </c>
      <c r="AP75" s="144">
        <f t="shared" si="144"/>
        <v>-15228</v>
      </c>
      <c r="AQ75" s="144">
        <f t="shared" ref="AQ75:AR75" si="145">AQ73+AQ74</f>
        <v>401186.52326981392</v>
      </c>
      <c r="AR75" s="144">
        <f t="shared" si="145"/>
        <v>6091</v>
      </c>
      <c r="AS75" s="144">
        <f t="shared" ref="AS75" si="146">AS73+AS74</f>
        <v>407277.52326981392</v>
      </c>
    </row>
    <row r="76" spans="1:45">
      <c r="A76" s="121">
        <v>43</v>
      </c>
      <c r="B76" s="123" t="s">
        <v>66</v>
      </c>
      <c r="C76" s="123"/>
      <c r="D76" s="123"/>
      <c r="E76" s="140">
        <f>'ADJ DETAIL INPUT'!E75</f>
        <v>10411</v>
      </c>
      <c r="F76" s="140">
        <f>'ADJ DETAIL INPUT'!F75</f>
        <v>0</v>
      </c>
      <c r="G76" s="140">
        <f>'ADJ DETAIL INPUT'!G75</f>
        <v>0</v>
      </c>
      <c r="H76" s="140">
        <f>'ADJ DETAIL INPUT'!H75</f>
        <v>0</v>
      </c>
      <c r="I76" s="140">
        <f>'ADJ DETAIL INPUT'!I75</f>
        <v>0</v>
      </c>
      <c r="J76" s="140">
        <f>'ADJ DETAIL INPUT'!J75</f>
        <v>0</v>
      </c>
      <c r="K76" s="140">
        <f>'ADJ DETAIL INPUT'!K75</f>
        <v>0</v>
      </c>
      <c r="L76" s="140">
        <f>'ADJ DETAIL INPUT'!L75</f>
        <v>0</v>
      </c>
      <c r="M76" s="140">
        <f>'ADJ DETAIL INPUT'!M75</f>
        <v>0</v>
      </c>
      <c r="N76" s="140">
        <f>'ADJ DETAIL INPUT'!N75</f>
        <v>0</v>
      </c>
      <c r="O76" s="140">
        <f>'ADJ DETAIL INPUT'!O75</f>
        <v>0</v>
      </c>
      <c r="P76" s="140">
        <f>'ADJ DETAIL INPUT'!P75</f>
        <v>0</v>
      </c>
      <c r="Q76" s="140">
        <f>'ADJ DETAIL INPUT'!Q75</f>
        <v>0</v>
      </c>
      <c r="R76" s="140">
        <f>'ADJ DETAIL INPUT'!R75</f>
        <v>0</v>
      </c>
      <c r="S76" s="140">
        <f>'ADJ DETAIL INPUT'!S75</f>
        <v>0</v>
      </c>
      <c r="T76" s="140">
        <f>'ADJ DETAIL INPUT'!T75</f>
        <v>0</v>
      </c>
      <c r="U76" s="140">
        <f>'ADJ DETAIL INPUT'!U75</f>
        <v>0</v>
      </c>
      <c r="V76" s="140">
        <f>'ADJ DETAIL INPUT'!V75</f>
        <v>0</v>
      </c>
      <c r="W76" s="140">
        <f>'ADJ DETAIL INPUT'!W75</f>
        <v>0</v>
      </c>
      <c r="X76" s="140">
        <f>'ADJ DETAIL INPUT'!X75</f>
        <v>0</v>
      </c>
      <c r="Y76" s="140">
        <f>'ADJ DETAIL INPUT'!AA75</f>
        <v>0</v>
      </c>
      <c r="Z76" s="140">
        <f>'ADJ DETAIL INPUT'!AB75</f>
        <v>0</v>
      </c>
      <c r="AA76" s="140">
        <f>'ADJ DETAIL INPUT'!AC75</f>
        <v>0</v>
      </c>
      <c r="AB76" s="140">
        <f>'ADJ DETAIL INPUT'!AD75</f>
        <v>0</v>
      </c>
      <c r="AC76" s="140">
        <f>'ADJ DETAIL INPUT'!AE75</f>
        <v>0</v>
      </c>
      <c r="AD76" s="140">
        <f>'ADJ DETAIL INPUT'!AF75</f>
        <v>0</v>
      </c>
      <c r="AE76" s="140">
        <f>'ADJ DETAIL INPUT'!AG75</f>
        <v>0</v>
      </c>
      <c r="AF76" s="140">
        <f>'ADJ DETAIL INPUT'!AH75</f>
        <v>0</v>
      </c>
      <c r="AG76" s="140">
        <f>'ADJ DETAIL INPUT'!AI75</f>
        <v>0</v>
      </c>
      <c r="AH76" s="140">
        <f>'ADJ DETAIL INPUT'!AJ75</f>
        <v>0</v>
      </c>
      <c r="AI76" s="140">
        <f>'ADJ DETAIL INPUT'!AK75</f>
        <v>0</v>
      </c>
      <c r="AJ76" s="140">
        <f>'ADJ DETAIL INPUT'!AL75</f>
        <v>0</v>
      </c>
      <c r="AK76" s="140">
        <f>'ADJ DETAIL INPUT'!AM75</f>
        <v>0</v>
      </c>
      <c r="AL76" s="140">
        <f>'ADJ DETAIL INPUT'!AN75</f>
        <v>0</v>
      </c>
      <c r="AM76" s="140">
        <f>'ADJ DETAIL INPUT'!AO75</f>
        <v>0</v>
      </c>
      <c r="AN76" s="140">
        <f>'ADJ DETAIL INPUT'!AP75</f>
        <v>0</v>
      </c>
      <c r="AO76" s="140">
        <f>'ADJ DETAIL INPUT'!AQ75</f>
        <v>0</v>
      </c>
      <c r="AP76" s="140">
        <f>'ADJ DETAIL INPUT'!AR75</f>
        <v>0</v>
      </c>
      <c r="AQ76" s="140">
        <f>'ADJ DETAIL INPUT'!AU75</f>
        <v>10411</v>
      </c>
      <c r="AR76" s="140">
        <f>'ADJ DETAIL INPUT'!AV75</f>
        <v>0</v>
      </c>
      <c r="AS76" s="140">
        <f>'ADJ DETAIL INPUT'!AW75</f>
        <v>10411</v>
      </c>
    </row>
    <row r="77" spans="1:45" s="126" customFormat="1">
      <c r="A77" s="124">
        <v>44</v>
      </c>
      <c r="B77" s="125" t="s">
        <v>67</v>
      </c>
      <c r="C77" s="125"/>
      <c r="D77" s="125"/>
      <c r="E77" s="140">
        <f>'ADJ DETAIL INPUT'!E76</f>
        <v>0</v>
      </c>
      <c r="F77" s="140">
        <f>'ADJ DETAIL INPUT'!F76</f>
        <v>0</v>
      </c>
      <c r="G77" s="140">
        <f>'ADJ DETAIL INPUT'!G76</f>
        <v>0</v>
      </c>
      <c r="H77" s="140">
        <f>'ADJ DETAIL INPUT'!H76</f>
        <v>0</v>
      </c>
      <c r="I77" s="140">
        <f>'ADJ DETAIL INPUT'!I76</f>
        <v>0</v>
      </c>
      <c r="J77" s="140">
        <f>'ADJ DETAIL INPUT'!J76</f>
        <v>0</v>
      </c>
      <c r="K77" s="140">
        <f>'ADJ DETAIL INPUT'!K76</f>
        <v>0</v>
      </c>
      <c r="L77" s="140">
        <f>'ADJ DETAIL INPUT'!L76</f>
        <v>0</v>
      </c>
      <c r="M77" s="140">
        <f>'ADJ DETAIL INPUT'!M76</f>
        <v>0</v>
      </c>
      <c r="N77" s="140">
        <f>'ADJ DETAIL INPUT'!N76</f>
        <v>0</v>
      </c>
      <c r="O77" s="140">
        <f>'ADJ DETAIL INPUT'!O76</f>
        <v>0</v>
      </c>
      <c r="P77" s="140">
        <f>'ADJ DETAIL INPUT'!P76</f>
        <v>0</v>
      </c>
      <c r="Q77" s="140">
        <f>'ADJ DETAIL INPUT'!Q76</f>
        <v>0</v>
      </c>
      <c r="R77" s="140">
        <f>'ADJ DETAIL INPUT'!R76</f>
        <v>0</v>
      </c>
      <c r="S77" s="140">
        <f>'ADJ DETAIL INPUT'!S76</f>
        <v>0</v>
      </c>
      <c r="T77" s="140">
        <f>'ADJ DETAIL INPUT'!T76</f>
        <v>0</v>
      </c>
      <c r="U77" s="140">
        <f>'ADJ DETAIL INPUT'!U76</f>
        <v>0</v>
      </c>
      <c r="V77" s="140">
        <f>'ADJ DETAIL INPUT'!V76</f>
        <v>0</v>
      </c>
      <c r="W77" s="140">
        <f>'ADJ DETAIL INPUT'!W76</f>
        <v>0</v>
      </c>
      <c r="X77" s="140">
        <f>'ADJ DETAIL INPUT'!X76</f>
        <v>0</v>
      </c>
      <c r="Y77" s="140">
        <f>'ADJ DETAIL INPUT'!AA76</f>
        <v>0</v>
      </c>
      <c r="Z77" s="140">
        <f>'ADJ DETAIL INPUT'!AB76</f>
        <v>0</v>
      </c>
      <c r="AA77" s="140">
        <f>'ADJ DETAIL INPUT'!AC76</f>
        <v>0</v>
      </c>
      <c r="AB77" s="140">
        <f>'ADJ DETAIL INPUT'!AD76</f>
        <v>0</v>
      </c>
      <c r="AC77" s="140">
        <f>'ADJ DETAIL INPUT'!AE76</f>
        <v>0</v>
      </c>
      <c r="AD77" s="140">
        <f>'ADJ DETAIL INPUT'!AF76</f>
        <v>0</v>
      </c>
      <c r="AE77" s="140">
        <f>'ADJ DETAIL INPUT'!AG76</f>
        <v>0</v>
      </c>
      <c r="AF77" s="140">
        <f>'ADJ DETAIL INPUT'!AH76</f>
        <v>0</v>
      </c>
      <c r="AG77" s="140">
        <f>'ADJ DETAIL INPUT'!AI76</f>
        <v>0</v>
      </c>
      <c r="AH77" s="140">
        <f>'ADJ DETAIL INPUT'!AJ76</f>
        <v>0</v>
      </c>
      <c r="AI77" s="140">
        <f>'ADJ DETAIL INPUT'!AK76</f>
        <v>0</v>
      </c>
      <c r="AJ77" s="140">
        <f>'ADJ DETAIL INPUT'!AL76</f>
        <v>0</v>
      </c>
      <c r="AK77" s="140">
        <f>'ADJ DETAIL INPUT'!AM76</f>
        <v>0</v>
      </c>
      <c r="AL77" s="140">
        <f>'ADJ DETAIL INPUT'!AN76</f>
        <v>0</v>
      </c>
      <c r="AM77" s="140">
        <f>'ADJ DETAIL INPUT'!AO76</f>
        <v>0</v>
      </c>
      <c r="AN77" s="140">
        <f>'ADJ DETAIL INPUT'!AP76</f>
        <v>0</v>
      </c>
      <c r="AO77" s="140">
        <f>'ADJ DETAIL INPUT'!AQ76</f>
        <v>0</v>
      </c>
      <c r="AP77" s="140">
        <f>'ADJ DETAIL INPUT'!AR76</f>
        <v>0</v>
      </c>
      <c r="AQ77" s="140">
        <f>'ADJ DETAIL INPUT'!AU76</f>
        <v>0</v>
      </c>
      <c r="AR77" s="140">
        <f>'ADJ DETAIL INPUT'!AV76</f>
        <v>0</v>
      </c>
      <c r="AS77" s="140">
        <f>'ADJ DETAIL INPUT'!AW76</f>
        <v>0</v>
      </c>
    </row>
    <row r="78" spans="1:45" s="126" customFormat="1">
      <c r="A78" s="124">
        <v>45</v>
      </c>
      <c r="B78" s="125" t="s">
        <v>407</v>
      </c>
      <c r="C78" s="125"/>
      <c r="D78" s="125"/>
      <c r="E78" s="140">
        <f>'ADJ DETAIL INPUT'!E77</f>
        <v>7359</v>
      </c>
      <c r="F78" s="140">
        <f>'ADJ DETAIL INPUT'!F77</f>
        <v>0</v>
      </c>
      <c r="G78" s="140">
        <f>'ADJ DETAIL INPUT'!G77</f>
        <v>-1</v>
      </c>
      <c r="H78" s="140">
        <f>'ADJ DETAIL INPUT'!H77</f>
        <v>0</v>
      </c>
      <c r="I78" s="140">
        <f>'ADJ DETAIL INPUT'!I77</f>
        <v>-53</v>
      </c>
      <c r="J78" s="140">
        <f>'ADJ DETAIL INPUT'!J77</f>
        <v>0</v>
      </c>
      <c r="K78" s="140">
        <f>'ADJ DETAIL INPUT'!K77</f>
        <v>0</v>
      </c>
      <c r="L78" s="140">
        <f>'ADJ DETAIL INPUT'!L77</f>
        <v>0</v>
      </c>
      <c r="M78" s="140">
        <f>'ADJ DETAIL INPUT'!M77</f>
        <v>0</v>
      </c>
      <c r="N78" s="140">
        <f>'ADJ DETAIL INPUT'!N77</f>
        <v>0</v>
      </c>
      <c r="O78" s="140">
        <f>'ADJ DETAIL INPUT'!O77</f>
        <v>0</v>
      </c>
      <c r="P78" s="140">
        <f>'ADJ DETAIL INPUT'!P77</f>
        <v>0</v>
      </c>
      <c r="Q78" s="140">
        <f>'ADJ DETAIL INPUT'!Q77</f>
        <v>0</v>
      </c>
      <c r="R78" s="140">
        <f>'ADJ DETAIL INPUT'!R77</f>
        <v>0</v>
      </c>
      <c r="S78" s="140">
        <f>'ADJ DETAIL INPUT'!S77</f>
        <v>0</v>
      </c>
      <c r="T78" s="140">
        <f>'ADJ DETAIL INPUT'!T77</f>
        <v>0</v>
      </c>
      <c r="U78" s="140">
        <f>'ADJ DETAIL INPUT'!U77</f>
        <v>0</v>
      </c>
      <c r="V78" s="140">
        <f>'ADJ DETAIL INPUT'!V77</f>
        <v>0</v>
      </c>
      <c r="W78" s="140">
        <f>'ADJ DETAIL INPUT'!W77</f>
        <v>0</v>
      </c>
      <c r="X78" s="140">
        <f>'ADJ DETAIL INPUT'!X77</f>
        <v>0</v>
      </c>
      <c r="Y78" s="140">
        <f>'ADJ DETAIL INPUT'!AA77</f>
        <v>0</v>
      </c>
      <c r="Z78" s="140">
        <f>'ADJ DETAIL INPUT'!AB77</f>
        <v>0</v>
      </c>
      <c r="AA78" s="140">
        <f>'ADJ DETAIL INPUT'!AC77</f>
        <v>0</v>
      </c>
      <c r="AB78" s="140">
        <f>'ADJ DETAIL INPUT'!AD77</f>
        <v>0</v>
      </c>
      <c r="AC78" s="140">
        <f>'ADJ DETAIL INPUT'!AE77</f>
        <v>0</v>
      </c>
      <c r="AD78" s="140">
        <f>'ADJ DETAIL INPUT'!AF77</f>
        <v>0</v>
      </c>
      <c r="AE78" s="140">
        <f>'ADJ DETAIL INPUT'!AG77</f>
        <v>0</v>
      </c>
      <c r="AF78" s="140">
        <f>'ADJ DETAIL INPUT'!AH77</f>
        <v>0</v>
      </c>
      <c r="AG78" s="140">
        <f>'ADJ DETAIL INPUT'!AI77</f>
        <v>0</v>
      </c>
      <c r="AH78" s="140">
        <f>'ADJ DETAIL INPUT'!AJ77</f>
        <v>0</v>
      </c>
      <c r="AI78" s="140">
        <f>'ADJ DETAIL INPUT'!AK77</f>
        <v>0</v>
      </c>
      <c r="AJ78" s="140">
        <f>'ADJ DETAIL INPUT'!AL77</f>
        <v>0</v>
      </c>
      <c r="AK78" s="140">
        <f>'ADJ DETAIL INPUT'!AM77</f>
        <v>0</v>
      </c>
      <c r="AL78" s="140">
        <f>'ADJ DETAIL INPUT'!AN77</f>
        <v>0</v>
      </c>
      <c r="AM78" s="140">
        <f>'ADJ DETAIL INPUT'!AO77</f>
        <v>0</v>
      </c>
      <c r="AN78" s="140">
        <f>'ADJ DETAIL INPUT'!AP77</f>
        <v>15576</v>
      </c>
      <c r="AO78" s="140">
        <f>'ADJ DETAIL INPUT'!AQ77</f>
        <v>-3959</v>
      </c>
      <c r="AP78" s="140">
        <f>'ADJ DETAIL INPUT'!AR77</f>
        <v>0</v>
      </c>
      <c r="AQ78" s="140">
        <f>'ADJ DETAIL INPUT'!AU77</f>
        <v>18922</v>
      </c>
      <c r="AR78" s="140">
        <f>'ADJ DETAIL INPUT'!AV77</f>
        <v>0</v>
      </c>
      <c r="AS78" s="140">
        <f>'ADJ DETAIL INPUT'!AW77</f>
        <v>18922</v>
      </c>
    </row>
    <row r="79" spans="1:45">
      <c r="A79" s="121">
        <v>46</v>
      </c>
      <c r="B79" s="123" t="s">
        <v>166</v>
      </c>
      <c r="C79" s="123"/>
      <c r="D79" s="123"/>
      <c r="E79" s="141">
        <f>'ADJ DETAIL INPUT'!E78</f>
        <v>3494</v>
      </c>
      <c r="F79" s="141">
        <f>'ADJ DETAIL INPUT'!F78</f>
        <v>0</v>
      </c>
      <c r="G79" s="141">
        <f>'ADJ DETAIL INPUT'!G78</f>
        <v>0</v>
      </c>
      <c r="H79" s="141">
        <f>'ADJ DETAIL INPUT'!H78</f>
        <v>-1144</v>
      </c>
      <c r="I79" s="141">
        <f>'ADJ DETAIL INPUT'!I78</f>
        <v>0</v>
      </c>
      <c r="J79" s="141">
        <f>'ADJ DETAIL INPUT'!J78</f>
        <v>0</v>
      </c>
      <c r="K79" s="141">
        <f>'ADJ DETAIL INPUT'!K78</f>
        <v>0</v>
      </c>
      <c r="L79" s="141">
        <f>'ADJ DETAIL INPUT'!L78</f>
        <v>0</v>
      </c>
      <c r="M79" s="141">
        <f>'ADJ DETAIL INPUT'!M78</f>
        <v>0</v>
      </c>
      <c r="N79" s="141">
        <f>'ADJ DETAIL INPUT'!N78</f>
        <v>0</v>
      </c>
      <c r="O79" s="141">
        <f>'ADJ DETAIL INPUT'!O78</f>
        <v>0</v>
      </c>
      <c r="P79" s="141">
        <f>'ADJ DETAIL INPUT'!P78</f>
        <v>0</v>
      </c>
      <c r="Q79" s="141">
        <f>'ADJ DETAIL INPUT'!Q78</f>
        <v>0</v>
      </c>
      <c r="R79" s="141">
        <f>'ADJ DETAIL INPUT'!R78</f>
        <v>0</v>
      </c>
      <c r="S79" s="141">
        <f>'ADJ DETAIL INPUT'!S78</f>
        <v>0</v>
      </c>
      <c r="T79" s="141">
        <f>'ADJ DETAIL INPUT'!T78</f>
        <v>0</v>
      </c>
      <c r="U79" s="141">
        <f>'ADJ DETAIL INPUT'!U78</f>
        <v>0</v>
      </c>
      <c r="V79" s="141">
        <f>'ADJ DETAIL INPUT'!V78</f>
        <v>0</v>
      </c>
      <c r="W79" s="141">
        <f>'ADJ DETAIL INPUT'!W78</f>
        <v>0</v>
      </c>
      <c r="X79" s="141">
        <f>'ADJ DETAIL INPUT'!X78</f>
        <v>0</v>
      </c>
      <c r="Y79" s="141">
        <f>'ADJ DETAIL INPUT'!AA78</f>
        <v>0</v>
      </c>
      <c r="Z79" s="141">
        <f>'ADJ DETAIL INPUT'!AB78</f>
        <v>0</v>
      </c>
      <c r="AA79" s="141">
        <f>'ADJ DETAIL INPUT'!AC78</f>
        <v>0</v>
      </c>
      <c r="AB79" s="141">
        <f>'ADJ DETAIL INPUT'!AD78</f>
        <v>0</v>
      </c>
      <c r="AC79" s="141">
        <f>'ADJ DETAIL INPUT'!AE78</f>
        <v>0</v>
      </c>
      <c r="AD79" s="141">
        <f>'ADJ DETAIL INPUT'!AF78</f>
        <v>0</v>
      </c>
      <c r="AE79" s="141">
        <f>'ADJ DETAIL INPUT'!AG78</f>
        <v>0</v>
      </c>
      <c r="AF79" s="141">
        <f>'ADJ DETAIL INPUT'!AH78</f>
        <v>0</v>
      </c>
      <c r="AG79" s="141">
        <f>'ADJ DETAIL INPUT'!AI78</f>
        <v>0</v>
      </c>
      <c r="AH79" s="141">
        <f>'ADJ DETAIL INPUT'!AJ78</f>
        <v>0</v>
      </c>
      <c r="AI79" s="141">
        <f>'ADJ DETAIL INPUT'!AK78</f>
        <v>0</v>
      </c>
      <c r="AJ79" s="141">
        <f>'ADJ DETAIL INPUT'!AL78</f>
        <v>0</v>
      </c>
      <c r="AK79" s="141">
        <f>'ADJ DETAIL INPUT'!AM78</f>
        <v>0</v>
      </c>
      <c r="AL79" s="141">
        <f>'ADJ DETAIL INPUT'!AN78</f>
        <v>0</v>
      </c>
      <c r="AM79" s="141">
        <f>'ADJ DETAIL INPUT'!AO78</f>
        <v>0</v>
      </c>
      <c r="AN79" s="141">
        <f>'ADJ DETAIL INPUT'!AP78</f>
        <v>0</v>
      </c>
      <c r="AO79" s="141">
        <f>'ADJ DETAIL INPUT'!AQ78</f>
        <v>0</v>
      </c>
      <c r="AP79" s="141">
        <f>'ADJ DETAIL INPUT'!AR78</f>
        <v>0</v>
      </c>
      <c r="AQ79" s="141">
        <f>'ADJ DETAIL INPUT'!AU78</f>
        <v>2350</v>
      </c>
      <c r="AR79" s="141">
        <f>'ADJ DETAIL INPUT'!AV78</f>
        <v>0</v>
      </c>
      <c r="AS79" s="141">
        <f>'ADJ DETAIL INPUT'!AW78</f>
        <v>2350</v>
      </c>
    </row>
    <row r="81" spans="1:45">
      <c r="E81" s="140"/>
      <c r="F81" s="140"/>
      <c r="G81" s="140"/>
      <c r="H81" s="140"/>
      <c r="I81" s="140"/>
      <c r="J81" s="140"/>
      <c r="K81" s="140"/>
      <c r="L81" s="140"/>
      <c r="M81" s="140"/>
      <c r="N81" s="140"/>
      <c r="O81" s="140"/>
      <c r="P81" s="140"/>
      <c r="Q81" s="140"/>
      <c r="R81" s="140"/>
      <c r="S81" s="140"/>
      <c r="T81" s="140"/>
      <c r="U81" s="140"/>
      <c r="V81" s="140"/>
      <c r="W81" s="140"/>
      <c r="X81" s="140"/>
      <c r="Y81" s="140"/>
      <c r="Z81" s="140"/>
      <c r="AA81" s="140"/>
      <c r="AB81" s="140"/>
      <c r="AC81" s="140"/>
      <c r="AD81" s="140"/>
      <c r="AE81" s="140"/>
      <c r="AF81" s="140"/>
      <c r="AG81" s="140"/>
      <c r="AH81" s="140"/>
      <c r="AI81" s="140"/>
      <c r="AJ81" s="140"/>
      <c r="AK81" s="140"/>
      <c r="AL81" s="140"/>
      <c r="AM81" s="140"/>
      <c r="AN81" s="140"/>
      <c r="AO81" s="140"/>
      <c r="AP81" s="140"/>
      <c r="AQ81" s="140"/>
      <c r="AR81" s="140"/>
      <c r="AS81" s="140"/>
    </row>
    <row r="82" spans="1:45" s="258" customFormat="1" ht="12" thickBot="1">
      <c r="A82" s="103">
        <v>47</v>
      </c>
      <c r="B82" s="258" t="s">
        <v>68</v>
      </c>
      <c r="E82" s="260">
        <f>E75+E76+E77+E79+E78</f>
        <v>405933</v>
      </c>
      <c r="F82" s="260">
        <f t="shared" ref="F82:AG82" si="147">F75+F76+F77+F79+F78</f>
        <v>-994</v>
      </c>
      <c r="G82" s="260">
        <f t="shared" si="147"/>
        <v>-1</v>
      </c>
      <c r="H82" s="260">
        <f t="shared" si="147"/>
        <v>-1144</v>
      </c>
      <c r="I82" s="260">
        <f t="shared" ref="I82" si="148">I75+I76+I77+I79+I78</f>
        <v>-18403</v>
      </c>
      <c r="J82" s="260">
        <f t="shared" si="147"/>
        <v>0</v>
      </c>
      <c r="K82" s="260">
        <f t="shared" si="147"/>
        <v>0</v>
      </c>
      <c r="L82" s="260">
        <f t="shared" si="147"/>
        <v>0</v>
      </c>
      <c r="M82" s="260">
        <f t="shared" si="147"/>
        <v>0</v>
      </c>
      <c r="N82" s="260">
        <f t="shared" si="147"/>
        <v>0</v>
      </c>
      <c r="O82" s="260">
        <f t="shared" si="147"/>
        <v>0</v>
      </c>
      <c r="P82" s="260">
        <f t="shared" si="147"/>
        <v>0</v>
      </c>
      <c r="Q82" s="260">
        <f t="shared" si="147"/>
        <v>0</v>
      </c>
      <c r="R82" s="260">
        <f t="shared" si="147"/>
        <v>0</v>
      </c>
      <c r="S82" s="260">
        <f t="shared" si="147"/>
        <v>0</v>
      </c>
      <c r="T82" s="260">
        <f t="shared" ref="T82:U82" si="149">T75+T76+T77+T79+T78</f>
        <v>0</v>
      </c>
      <c r="U82" s="260">
        <f t="shared" si="149"/>
        <v>0</v>
      </c>
      <c r="V82" s="260">
        <f t="shared" ref="V82" si="150">V75+V76+V77+V79+V78</f>
        <v>0</v>
      </c>
      <c r="W82" s="260">
        <f>W75+W76+W77+W79+W78</f>
        <v>0</v>
      </c>
      <c r="X82" s="260">
        <f>X75+X76+X77+X79+X78</f>
        <v>12730.523269813853</v>
      </c>
      <c r="Y82" s="260">
        <f>Y75+Y76+Y77+Y79+Y78</f>
        <v>0</v>
      </c>
      <c r="Z82" s="260">
        <f>Z75+Z76+Z77+Z79+Z78</f>
        <v>0</v>
      </c>
      <c r="AA82" s="260">
        <f>AA75+AA76+AA77+AA79+AA78</f>
        <v>0</v>
      </c>
      <c r="AB82" s="260">
        <f t="shared" si="147"/>
        <v>0</v>
      </c>
      <c r="AC82" s="260">
        <f t="shared" ref="AC82" si="151">AC75+AC76+AC77+AC79+AC78</f>
        <v>0</v>
      </c>
      <c r="AD82" s="260">
        <f t="shared" si="147"/>
        <v>0</v>
      </c>
      <c r="AE82" s="260">
        <f t="shared" ref="AE82" si="152">AE75+AE76+AE77+AE79+AE78</f>
        <v>0</v>
      </c>
      <c r="AF82" s="260">
        <f t="shared" ref="AF82" si="153">AF75+AF76+AF77+AF79+AF78</f>
        <v>0</v>
      </c>
      <c r="AG82" s="260">
        <f t="shared" si="147"/>
        <v>0</v>
      </c>
      <c r="AH82" s="260">
        <f>AH75+AH76+AH77+AH79+AH78</f>
        <v>0</v>
      </c>
      <c r="AI82" s="260">
        <f t="shared" ref="AI82" si="154">AI75+AI76+AI77+AI79+AI78</f>
        <v>2273</v>
      </c>
      <c r="AJ82" s="260">
        <f t="shared" ref="AJ82:AK82" si="155">AJ75+AJ76+AJ77+AJ79+AJ78</f>
        <v>6200</v>
      </c>
      <c r="AK82" s="260">
        <f t="shared" si="155"/>
        <v>920</v>
      </c>
      <c r="AL82" s="260">
        <f t="shared" ref="AL82:AP82" si="156">AL75+AL76+AL77+AL79+AL78</f>
        <v>8975</v>
      </c>
      <c r="AM82" s="260">
        <f t="shared" si="156"/>
        <v>2483</v>
      </c>
      <c r="AN82" s="260">
        <f t="shared" si="156"/>
        <v>33084</v>
      </c>
      <c r="AO82" s="260">
        <f t="shared" si="156"/>
        <v>-3959</v>
      </c>
      <c r="AP82" s="260">
        <f t="shared" si="156"/>
        <v>-15228</v>
      </c>
      <c r="AQ82" s="260">
        <f t="shared" ref="AQ82:AR82" si="157">AQ75+AQ76+AQ77+AQ79+AQ78</f>
        <v>432869.52326981392</v>
      </c>
      <c r="AR82" s="260">
        <f t="shared" si="157"/>
        <v>6091</v>
      </c>
      <c r="AS82" s="260">
        <f t="shared" ref="AS82" si="158">AS75+AS76+AS77+AS79+AS78</f>
        <v>438960.52326981392</v>
      </c>
    </row>
    <row r="83" spans="1:45" ht="18" customHeight="1" thickTop="1">
      <c r="E83" s="218"/>
      <c r="F83" s="140"/>
      <c r="G83" s="140"/>
      <c r="H83" s="140"/>
      <c r="I83" s="140"/>
      <c r="J83" s="140"/>
      <c r="K83" s="140"/>
      <c r="L83" s="140"/>
      <c r="M83" s="140"/>
      <c r="N83" s="140"/>
      <c r="O83" s="140"/>
      <c r="P83" s="140"/>
      <c r="Q83" s="140"/>
      <c r="R83" s="140"/>
      <c r="S83" s="140"/>
      <c r="T83" s="140"/>
      <c r="U83" s="140"/>
      <c r="V83" s="140"/>
      <c r="W83" s="140"/>
      <c r="X83" s="140"/>
      <c r="Y83" s="140"/>
      <c r="Z83" s="140"/>
      <c r="AA83" s="140"/>
      <c r="AB83" s="140"/>
      <c r="AC83" s="140"/>
      <c r="AD83" s="140"/>
      <c r="AE83" s="140"/>
      <c r="AF83" s="140"/>
      <c r="AG83" s="140"/>
      <c r="AH83" s="140"/>
      <c r="AI83" s="140"/>
      <c r="AJ83" s="140"/>
      <c r="AK83" s="140"/>
      <c r="AL83" s="140"/>
      <c r="AM83" s="140"/>
      <c r="AN83" s="140"/>
      <c r="AO83" s="140"/>
      <c r="AP83" s="140"/>
      <c r="AQ83" s="140"/>
      <c r="AR83" s="140"/>
      <c r="AS83" s="140"/>
    </row>
    <row r="84" spans="1:45">
      <c r="F84" s="140"/>
      <c r="G84" s="140"/>
      <c r="H84" s="140"/>
      <c r="I84" s="140"/>
      <c r="J84" s="140"/>
      <c r="K84" s="140"/>
      <c r="L84" s="140"/>
      <c r="M84" s="140"/>
      <c r="N84" s="140"/>
      <c r="O84" s="140"/>
      <c r="P84" s="140"/>
      <c r="Q84" s="140"/>
      <c r="R84" s="140"/>
      <c r="S84" s="140"/>
      <c r="T84" s="140"/>
      <c r="U84" s="140"/>
      <c r="V84" s="140"/>
      <c r="W84" s="140"/>
      <c r="X84" s="140"/>
      <c r="Y84" s="140"/>
      <c r="Z84" s="140"/>
      <c r="AA84" s="140"/>
      <c r="AB84" s="140"/>
      <c r="AC84" s="140"/>
      <c r="AD84" s="140"/>
      <c r="AE84" s="140"/>
      <c r="AF84" s="140"/>
      <c r="AG84" s="140"/>
      <c r="AH84" s="140"/>
      <c r="AI84" s="140"/>
      <c r="AJ84" s="140"/>
      <c r="AK84" s="140"/>
      <c r="AL84" s="140"/>
      <c r="AM84" s="140"/>
      <c r="AN84" s="140"/>
      <c r="AO84" s="140"/>
      <c r="AP84" s="140"/>
      <c r="AQ84" s="140"/>
      <c r="AR84" s="140"/>
      <c r="AS84" s="140"/>
    </row>
    <row r="85" spans="1:45">
      <c r="E85" s="140"/>
      <c r="F85" s="140"/>
      <c r="G85" s="140"/>
      <c r="H85" s="140"/>
      <c r="I85" s="140"/>
      <c r="J85" s="140"/>
      <c r="K85" s="140"/>
      <c r="L85" s="140"/>
      <c r="M85" s="140"/>
      <c r="N85" s="140"/>
      <c r="O85" s="140"/>
      <c r="P85" s="140"/>
      <c r="Q85" s="140"/>
      <c r="R85" s="140"/>
      <c r="S85" s="140"/>
      <c r="T85" s="140"/>
      <c r="U85" s="140"/>
      <c r="V85" s="140"/>
      <c r="W85" s="140"/>
      <c r="X85" s="140"/>
      <c r="Y85" s="140"/>
      <c r="Z85" s="140"/>
      <c r="AA85" s="140"/>
      <c r="AB85" s="140"/>
      <c r="AC85" s="140"/>
      <c r="AD85" s="140"/>
      <c r="AE85" s="140"/>
      <c r="AF85" s="140"/>
      <c r="AG85" s="140"/>
      <c r="AH85" s="140"/>
      <c r="AI85" s="140"/>
      <c r="AJ85" s="140"/>
      <c r="AK85" s="140"/>
      <c r="AL85" s="140"/>
      <c r="AM85" s="140"/>
      <c r="AN85" s="140"/>
      <c r="AO85" s="140"/>
      <c r="AP85" s="140"/>
      <c r="AQ85" s="140"/>
      <c r="AR85" s="140"/>
      <c r="AS85" s="140"/>
    </row>
    <row r="86" spans="1:45" s="128" customFormat="1">
      <c r="A86" s="127"/>
      <c r="D86" s="129"/>
      <c r="E86" s="265"/>
      <c r="F86" s="142"/>
      <c r="G86" s="142"/>
      <c r="H86" s="142"/>
      <c r="I86" s="142"/>
      <c r="J86" s="142"/>
      <c r="K86" s="142"/>
      <c r="L86" s="142"/>
      <c r="M86" s="142"/>
      <c r="N86" s="142"/>
      <c r="O86" s="142"/>
      <c r="P86" s="142"/>
      <c r="Q86" s="142"/>
      <c r="R86" s="142"/>
      <c r="S86" s="142"/>
      <c r="T86" s="142"/>
      <c r="U86" s="142"/>
      <c r="V86" s="142"/>
      <c r="W86" s="142"/>
      <c r="X86" s="142"/>
      <c r="Y86" s="142"/>
      <c r="Z86" s="142"/>
      <c r="AA86" s="142"/>
      <c r="AB86" s="142"/>
      <c r="AC86" s="142"/>
      <c r="AD86" s="142"/>
      <c r="AE86" s="142"/>
      <c r="AF86" s="142"/>
      <c r="AG86" s="142"/>
      <c r="AH86" s="142"/>
      <c r="AI86" s="142"/>
      <c r="AJ86" s="142"/>
      <c r="AK86" s="142"/>
      <c r="AL86" s="142"/>
      <c r="AM86" s="142"/>
      <c r="AN86" s="142"/>
      <c r="AO86" s="142"/>
      <c r="AP86" s="142"/>
      <c r="AQ86" s="142"/>
      <c r="AR86" s="142"/>
      <c r="AS86" s="142"/>
    </row>
    <row r="87" spans="1:45" s="128" customFormat="1">
      <c r="A87" s="131"/>
      <c r="D87" s="129"/>
      <c r="E87" s="264"/>
      <c r="F87" s="142"/>
      <c r="G87" s="142"/>
      <c r="H87" s="142"/>
      <c r="I87" s="142"/>
      <c r="J87" s="142"/>
      <c r="K87" s="142"/>
      <c r="L87" s="142"/>
      <c r="M87" s="142"/>
      <c r="N87" s="142"/>
      <c r="O87" s="142"/>
      <c r="P87" s="142"/>
      <c r="Q87" s="142"/>
      <c r="R87" s="142"/>
      <c r="S87" s="142"/>
      <c r="T87" s="142"/>
      <c r="U87" s="142"/>
      <c r="V87" s="142"/>
      <c r="W87" s="142"/>
      <c r="X87" s="142"/>
      <c r="Y87" s="142"/>
      <c r="Z87" s="142"/>
      <c r="AA87" s="142"/>
      <c r="AB87" s="142"/>
      <c r="AC87" s="142"/>
      <c r="AD87" s="142"/>
      <c r="AE87" s="142"/>
      <c r="AF87" s="142"/>
      <c r="AG87" s="142"/>
      <c r="AH87" s="142"/>
      <c r="AI87" s="142"/>
      <c r="AJ87" s="142"/>
      <c r="AK87" s="142"/>
      <c r="AL87" s="142"/>
      <c r="AM87" s="142"/>
      <c r="AN87" s="142"/>
      <c r="AO87" s="142"/>
      <c r="AP87" s="142"/>
      <c r="AQ87" s="142"/>
      <c r="AR87" s="142"/>
      <c r="AS87" s="142"/>
    </row>
    <row r="88" spans="1:45" s="128" customFormat="1">
      <c r="A88" s="131"/>
      <c r="D88" s="129"/>
      <c r="E88" s="145"/>
      <c r="F88" s="142"/>
      <c r="G88" s="142"/>
      <c r="H88" s="142"/>
      <c r="I88" s="142"/>
      <c r="J88" s="142"/>
      <c r="K88" s="142"/>
      <c r="L88" s="142"/>
      <c r="M88" s="142"/>
      <c r="N88" s="142"/>
      <c r="O88" s="142"/>
      <c r="P88" s="142"/>
      <c r="Q88" s="142"/>
      <c r="R88" s="142"/>
      <c r="S88" s="142"/>
      <c r="T88" s="142"/>
      <c r="U88" s="142"/>
      <c r="V88" s="142"/>
      <c r="W88" s="142"/>
      <c r="X88" s="142"/>
      <c r="Y88" s="142"/>
      <c r="Z88" s="142"/>
      <c r="AA88" s="142"/>
      <c r="AB88" s="142"/>
      <c r="AC88" s="142"/>
      <c r="AD88" s="142"/>
      <c r="AE88" s="142"/>
      <c r="AF88" s="142"/>
      <c r="AG88" s="142"/>
      <c r="AH88" s="142"/>
      <c r="AI88" s="142"/>
      <c r="AJ88" s="142"/>
      <c r="AK88" s="142"/>
      <c r="AL88" s="142"/>
      <c r="AM88" s="142"/>
      <c r="AN88" s="142"/>
      <c r="AO88" s="142"/>
      <c r="AP88" s="142"/>
      <c r="AQ88" s="142"/>
      <c r="AR88" s="142"/>
      <c r="AS88" s="142"/>
    </row>
    <row r="89" spans="1:45" s="128" customFormat="1">
      <c r="A89" s="131"/>
      <c r="D89" s="129"/>
      <c r="E89" s="145"/>
      <c r="F89" s="145"/>
      <c r="G89" s="145"/>
      <c r="H89" s="145"/>
      <c r="I89" s="145"/>
      <c r="J89" s="145"/>
      <c r="K89" s="145"/>
      <c r="L89" s="145"/>
      <c r="M89" s="145"/>
      <c r="N89" s="145"/>
      <c r="O89" s="145"/>
      <c r="P89" s="145"/>
      <c r="Q89" s="145"/>
      <c r="R89" s="145"/>
      <c r="S89" s="145"/>
      <c r="T89" s="145"/>
      <c r="U89" s="145"/>
      <c r="V89" s="145"/>
      <c r="W89" s="145"/>
      <c r="X89" s="145"/>
      <c r="Y89" s="145"/>
      <c r="Z89" s="145"/>
      <c r="AA89" s="145"/>
      <c r="AB89" s="145"/>
      <c r="AC89" s="145"/>
      <c r="AD89" s="145"/>
      <c r="AE89" s="145"/>
      <c r="AF89" s="145"/>
      <c r="AG89" s="145"/>
      <c r="AH89" s="145"/>
      <c r="AI89" s="145"/>
      <c r="AJ89" s="145"/>
      <c r="AK89" s="145"/>
      <c r="AL89" s="145"/>
      <c r="AM89" s="145"/>
      <c r="AN89" s="145"/>
      <c r="AO89" s="145"/>
      <c r="AP89" s="145"/>
      <c r="AQ89" s="145"/>
      <c r="AR89" s="145"/>
      <c r="AS89" s="145"/>
    </row>
    <row r="90" spans="1:45" s="128" customFormat="1">
      <c r="A90" s="131"/>
      <c r="D90" s="129"/>
      <c r="E90" s="145"/>
      <c r="F90" s="145"/>
      <c r="G90" s="145"/>
      <c r="H90" s="145"/>
      <c r="I90" s="145"/>
      <c r="J90" s="145"/>
      <c r="K90" s="145"/>
      <c r="L90" s="145"/>
      <c r="M90" s="145"/>
      <c r="N90" s="145"/>
      <c r="O90" s="145"/>
      <c r="P90" s="145"/>
      <c r="Q90" s="145"/>
      <c r="R90" s="145"/>
      <c r="S90" s="145"/>
      <c r="T90" s="145"/>
      <c r="U90" s="145"/>
      <c r="V90" s="145"/>
      <c r="W90" s="145"/>
      <c r="X90" s="145"/>
      <c r="Y90" s="145"/>
      <c r="Z90" s="145"/>
      <c r="AA90" s="145"/>
      <c r="AB90" s="145"/>
      <c r="AC90" s="145"/>
      <c r="AD90" s="145"/>
      <c r="AE90" s="145"/>
      <c r="AF90" s="145"/>
      <c r="AG90" s="145"/>
      <c r="AH90" s="145"/>
      <c r="AI90" s="145"/>
      <c r="AJ90" s="145"/>
      <c r="AK90" s="145"/>
      <c r="AL90" s="145"/>
      <c r="AM90" s="145"/>
      <c r="AN90" s="145"/>
      <c r="AO90" s="145"/>
      <c r="AP90" s="145"/>
      <c r="AQ90" s="145"/>
      <c r="AR90" s="145"/>
      <c r="AS90" s="145"/>
    </row>
    <row r="91" spans="1:45" s="128" customFormat="1">
      <c r="A91" s="131"/>
      <c r="D91" s="129"/>
      <c r="E91" s="95"/>
      <c r="F91" s="95"/>
      <c r="G91" s="95"/>
      <c r="H91" s="95"/>
      <c r="I91" s="95"/>
      <c r="J91" s="95"/>
      <c r="K91" s="95"/>
      <c r="L91" s="95"/>
      <c r="M91" s="95"/>
      <c r="N91" s="95"/>
      <c r="O91" s="95"/>
      <c r="P91" s="95"/>
      <c r="Q91" s="95"/>
      <c r="R91" s="95"/>
      <c r="S91" s="95"/>
      <c r="T91" s="95"/>
      <c r="U91" s="95"/>
      <c r="V91" s="95"/>
      <c r="W91" s="95"/>
      <c r="X91" s="95"/>
      <c r="Y91" s="95"/>
      <c r="Z91" s="95"/>
      <c r="AA91" s="95"/>
      <c r="AB91" s="95"/>
      <c r="AC91" s="95"/>
      <c r="AD91" s="95"/>
      <c r="AE91" s="95"/>
      <c r="AF91" s="95"/>
      <c r="AG91" s="95"/>
      <c r="AH91" s="95"/>
      <c r="AI91" s="95"/>
      <c r="AJ91" s="95"/>
      <c r="AK91" s="95"/>
      <c r="AL91" s="95"/>
      <c r="AM91" s="95"/>
      <c r="AN91" s="95"/>
      <c r="AO91" s="95"/>
      <c r="AP91" s="95"/>
      <c r="AQ91" s="95"/>
      <c r="AR91" s="95"/>
      <c r="AS91" s="95"/>
    </row>
    <row r="92" spans="1:45" s="128" customFormat="1">
      <c r="A92" s="127"/>
      <c r="D92" s="129"/>
      <c r="E92" s="130"/>
      <c r="F92" s="95"/>
      <c r="G92" s="95"/>
      <c r="H92" s="95"/>
      <c r="I92" s="95"/>
      <c r="J92" s="95"/>
      <c r="K92" s="95"/>
      <c r="L92" s="95"/>
      <c r="M92" s="95"/>
      <c r="N92" s="95"/>
      <c r="O92" s="95"/>
      <c r="P92" s="95"/>
      <c r="Q92" s="95"/>
      <c r="R92" s="95"/>
      <c r="S92" s="95"/>
      <c r="T92" s="95"/>
      <c r="U92" s="95"/>
      <c r="V92" s="95"/>
      <c r="W92" s="95"/>
      <c r="X92" s="95"/>
      <c r="Y92" s="95"/>
      <c r="Z92" s="95"/>
      <c r="AA92" s="95"/>
      <c r="AB92" s="95"/>
      <c r="AC92" s="95"/>
      <c r="AD92" s="95"/>
      <c r="AE92" s="95"/>
      <c r="AF92" s="95"/>
      <c r="AG92" s="95"/>
      <c r="AH92" s="95"/>
      <c r="AI92" s="95"/>
      <c r="AJ92" s="95"/>
      <c r="AK92" s="95"/>
      <c r="AL92" s="95"/>
      <c r="AM92" s="95"/>
      <c r="AN92" s="95"/>
      <c r="AO92" s="95"/>
      <c r="AP92" s="95"/>
      <c r="AQ92" s="95"/>
      <c r="AR92" s="95"/>
      <c r="AS92" s="95"/>
    </row>
    <row r="93" spans="1:45" s="128" customFormat="1">
      <c r="A93" s="131"/>
      <c r="E93" s="95"/>
      <c r="F93" s="95"/>
      <c r="G93" s="95"/>
      <c r="H93" s="95"/>
      <c r="I93" s="95"/>
      <c r="J93" s="95"/>
      <c r="K93" s="95"/>
      <c r="L93" s="95"/>
      <c r="M93" s="95"/>
      <c r="N93" s="95"/>
      <c r="O93" s="95"/>
      <c r="P93" s="95"/>
      <c r="Q93" s="95"/>
      <c r="R93" s="95"/>
      <c r="S93" s="95"/>
      <c r="T93" s="95"/>
      <c r="U93" s="95"/>
      <c r="V93" s="95"/>
      <c r="W93" s="95"/>
      <c r="X93" s="95"/>
      <c r="Y93" s="95"/>
      <c r="Z93" s="95"/>
      <c r="AA93" s="95"/>
      <c r="AB93" s="95"/>
      <c r="AC93" s="95"/>
      <c r="AD93" s="95"/>
      <c r="AE93" s="95"/>
      <c r="AF93" s="95"/>
      <c r="AG93" s="95"/>
      <c r="AH93" s="95"/>
      <c r="AI93" s="95"/>
      <c r="AJ93" s="95"/>
      <c r="AK93" s="95"/>
      <c r="AL93" s="95"/>
      <c r="AM93" s="95"/>
      <c r="AN93" s="95"/>
      <c r="AO93" s="95"/>
      <c r="AP93" s="95"/>
      <c r="AQ93" s="95"/>
      <c r="AR93" s="95"/>
      <c r="AS93" s="95"/>
    </row>
    <row r="94" spans="1:45" s="128" customFormat="1">
      <c r="A94" s="131"/>
      <c r="D94" s="129"/>
      <c r="E94" s="95"/>
      <c r="F94" s="95"/>
      <c r="G94" s="95"/>
      <c r="H94" s="95"/>
      <c r="I94" s="95"/>
      <c r="J94" s="95"/>
      <c r="K94" s="95"/>
      <c r="L94" s="95"/>
      <c r="M94" s="95"/>
      <c r="N94" s="95"/>
      <c r="O94" s="95"/>
      <c r="P94" s="95"/>
      <c r="Q94" s="95"/>
      <c r="R94" s="95"/>
      <c r="S94" s="95"/>
      <c r="T94" s="95"/>
      <c r="U94" s="95"/>
      <c r="V94" s="95"/>
      <c r="W94" s="95"/>
      <c r="X94" s="95"/>
      <c r="Y94" s="95"/>
      <c r="Z94" s="95"/>
      <c r="AA94" s="95"/>
      <c r="AB94" s="95"/>
      <c r="AC94" s="95"/>
      <c r="AD94" s="95"/>
      <c r="AE94" s="95"/>
      <c r="AF94" s="95"/>
      <c r="AG94" s="95"/>
      <c r="AH94" s="95"/>
      <c r="AI94" s="95"/>
      <c r="AJ94" s="95"/>
      <c r="AK94" s="95"/>
      <c r="AL94" s="95"/>
      <c r="AM94" s="95"/>
      <c r="AN94" s="95"/>
      <c r="AO94" s="95"/>
      <c r="AP94" s="95"/>
      <c r="AQ94" s="95"/>
      <c r="AR94" s="95"/>
      <c r="AS94" s="95"/>
    </row>
    <row r="95" spans="1:45" s="128" customFormat="1">
      <c r="A95" s="131"/>
      <c r="D95" s="129"/>
      <c r="E95" s="95"/>
      <c r="F95" s="95"/>
      <c r="G95" s="95"/>
      <c r="H95" s="95"/>
      <c r="I95" s="95"/>
      <c r="J95" s="95"/>
      <c r="K95" s="95"/>
      <c r="L95" s="95"/>
      <c r="M95" s="95"/>
      <c r="N95" s="95"/>
      <c r="O95" s="95"/>
      <c r="P95" s="95"/>
      <c r="Q95" s="95"/>
      <c r="R95" s="95"/>
      <c r="S95" s="95"/>
      <c r="T95" s="95"/>
      <c r="U95" s="95"/>
      <c r="V95" s="95"/>
      <c r="W95" s="95"/>
      <c r="X95" s="95"/>
      <c r="Y95" s="95"/>
      <c r="Z95" s="95"/>
      <c r="AA95" s="95"/>
      <c r="AB95" s="95"/>
      <c r="AC95" s="95"/>
      <c r="AD95" s="95"/>
      <c r="AE95" s="95"/>
      <c r="AF95" s="95"/>
      <c r="AG95" s="95"/>
      <c r="AH95" s="95"/>
      <c r="AI95" s="95"/>
      <c r="AJ95" s="95"/>
      <c r="AK95" s="95"/>
      <c r="AL95" s="95"/>
      <c r="AM95" s="95"/>
      <c r="AN95" s="95"/>
      <c r="AO95" s="95"/>
      <c r="AP95" s="95"/>
      <c r="AQ95" s="95"/>
      <c r="AR95" s="95"/>
      <c r="AS95" s="95"/>
    </row>
    <row r="96" spans="1:45" s="128" customFormat="1">
      <c r="A96" s="131"/>
      <c r="D96" s="132"/>
      <c r="E96" s="95"/>
      <c r="F96" s="95"/>
      <c r="G96" s="95"/>
      <c r="H96" s="95"/>
      <c r="I96" s="95"/>
      <c r="J96" s="95"/>
      <c r="K96" s="95"/>
      <c r="L96" s="95"/>
      <c r="M96" s="95"/>
      <c r="N96" s="95"/>
      <c r="O96" s="95"/>
      <c r="P96" s="95"/>
      <c r="Q96" s="95"/>
      <c r="R96" s="95"/>
      <c r="S96" s="95"/>
      <c r="T96" s="95"/>
      <c r="U96" s="95"/>
      <c r="V96" s="95"/>
      <c r="W96" s="95"/>
      <c r="X96" s="95"/>
      <c r="Y96" s="95"/>
      <c r="Z96" s="95"/>
      <c r="AA96" s="95"/>
      <c r="AB96" s="95"/>
      <c r="AC96" s="95"/>
      <c r="AD96" s="95"/>
      <c r="AE96" s="95"/>
      <c r="AF96" s="95"/>
      <c r="AG96" s="95"/>
      <c r="AH96" s="95"/>
      <c r="AI96" s="95"/>
      <c r="AJ96" s="95"/>
      <c r="AK96" s="95"/>
      <c r="AL96" s="95"/>
      <c r="AM96" s="95"/>
      <c r="AN96" s="95"/>
      <c r="AO96" s="95"/>
      <c r="AP96" s="95"/>
      <c r="AQ96" s="95"/>
      <c r="AR96" s="95"/>
      <c r="AS96" s="95"/>
    </row>
    <row r="97" spans="1:45" s="128" customFormat="1">
      <c r="A97" s="131"/>
      <c r="E97" s="94"/>
      <c r="F97" s="94"/>
      <c r="G97" s="94"/>
      <c r="H97" s="94"/>
      <c r="I97" s="94"/>
      <c r="J97" s="94"/>
      <c r="K97" s="94"/>
      <c r="L97" s="94"/>
      <c r="M97" s="94"/>
      <c r="N97" s="94"/>
      <c r="O97" s="94"/>
      <c r="P97" s="94"/>
      <c r="Q97" s="94"/>
      <c r="R97" s="94"/>
      <c r="S97" s="94"/>
      <c r="T97" s="94"/>
      <c r="U97" s="94"/>
      <c r="V97" s="94"/>
      <c r="W97" s="94"/>
      <c r="X97" s="94"/>
      <c r="Y97" s="94"/>
      <c r="Z97" s="94"/>
      <c r="AA97" s="94"/>
      <c r="AB97" s="94"/>
      <c r="AC97" s="94"/>
      <c r="AD97" s="94"/>
      <c r="AE97" s="94"/>
      <c r="AF97" s="94"/>
      <c r="AG97" s="94"/>
      <c r="AH97" s="94"/>
      <c r="AI97" s="94"/>
      <c r="AJ97" s="94"/>
      <c r="AK97" s="94"/>
      <c r="AL97" s="94"/>
      <c r="AM97" s="94"/>
      <c r="AN97" s="94"/>
      <c r="AO97" s="94"/>
      <c r="AP97" s="94"/>
      <c r="AQ97" s="94"/>
      <c r="AR97" s="94"/>
      <c r="AS97" s="94"/>
    </row>
    <row r="98" spans="1:45" s="128" customFormat="1">
      <c r="A98" s="131"/>
      <c r="E98" s="94"/>
      <c r="F98" s="94"/>
      <c r="G98" s="94"/>
      <c r="H98" s="94"/>
      <c r="I98" s="94"/>
      <c r="J98" s="94"/>
      <c r="K98" s="94"/>
      <c r="L98" s="94"/>
      <c r="M98" s="94"/>
      <c r="N98" s="94"/>
      <c r="O98" s="94"/>
      <c r="P98" s="94"/>
      <c r="Q98" s="94"/>
      <c r="R98" s="94"/>
      <c r="S98" s="94"/>
      <c r="T98" s="94"/>
      <c r="U98" s="94"/>
      <c r="V98" s="94"/>
      <c r="W98" s="94"/>
      <c r="X98" s="94"/>
      <c r="Y98" s="94"/>
      <c r="Z98" s="94"/>
      <c r="AA98" s="94"/>
      <c r="AB98" s="94"/>
      <c r="AC98" s="94"/>
      <c r="AD98" s="94"/>
      <c r="AE98" s="94"/>
      <c r="AF98" s="94"/>
      <c r="AG98" s="94"/>
      <c r="AH98" s="94"/>
      <c r="AI98" s="94"/>
      <c r="AJ98" s="94"/>
      <c r="AK98" s="94"/>
      <c r="AL98" s="94"/>
      <c r="AM98" s="94"/>
      <c r="AN98" s="94"/>
      <c r="AO98" s="94"/>
      <c r="AP98" s="94"/>
      <c r="AQ98" s="94"/>
      <c r="AR98" s="94"/>
      <c r="AS98" s="94"/>
    </row>
  </sheetData>
  <pageMargins left="0.75" right="0.5" top="0.72" bottom="0.84" header="0.5" footer="0.5"/>
  <pageSetup scale="68" firstPageNumber="4" fitToWidth="2" orientation="portrait" r:id="rId1"/>
  <headerFooter scaleWithDoc="0" alignWithMargins="0"/>
  <colBreaks count="37" manualBreakCount="37">
    <brk id="5" max="1048575" man="1"/>
    <brk id="6" max="1048575" man="1"/>
    <brk id="7" max="1048575" man="1"/>
    <brk id="8" max="1048575" man="1"/>
    <brk id="9" max="1048575" man="1"/>
    <brk id="10" max="1048575" man="1"/>
    <brk id="11" max="1048575" man="1"/>
    <brk id="12" max="1048575" man="1"/>
    <brk id="13" max="1048575" man="1"/>
    <brk id="14" max="1048575" man="1"/>
    <brk id="15" max="1048575" man="1"/>
    <brk id="16" max="1048575" man="1"/>
    <brk id="17" max="1048575" man="1"/>
    <brk id="18" max="1048575" man="1"/>
    <brk id="19" max="1048575" man="1"/>
    <brk id="20" max="1048575" man="1"/>
    <brk id="21" max="1048575" man="1"/>
    <brk id="22" max="1048575" man="1"/>
    <brk id="23" max="1048575" man="1"/>
    <brk id="24" max="1048575" man="1"/>
    <brk id="25" max="1048575" man="1"/>
    <brk id="26" max="1048575" man="1"/>
    <brk id="27" max="1048575" man="1"/>
    <brk id="28" max="1048575" man="1"/>
    <brk id="29" max="1048575" man="1"/>
    <brk id="30" max="1048575" man="1"/>
    <brk id="31" max="1048575" man="1"/>
    <brk id="32" max="1048575" man="1"/>
    <brk id="33" max="1048575" man="1"/>
    <brk id="34" max="1048575" man="1"/>
    <brk id="35" max="1048575" man="1"/>
    <brk id="36" max="1048575" man="1"/>
    <brk id="37" max="1048575" man="1"/>
    <brk id="38" max="1048575" man="1"/>
    <brk id="39" max="1048575" man="1"/>
    <brk id="40" max="1048575" man="1"/>
    <brk id="4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5">
    <tabColor rgb="FFFFFF00"/>
    <pageSetUpPr fitToPage="1"/>
  </sheetPr>
  <dimension ref="A1:AI46"/>
  <sheetViews>
    <sheetView tabSelected="1" zoomScaleNormal="100" zoomScaleSheetLayoutView="85" workbookViewId="0">
      <selection activeCell="J56" sqref="J56"/>
    </sheetView>
  </sheetViews>
  <sheetFormatPr defaultColWidth="9.1796875" defaultRowHeight="15.5"/>
  <cols>
    <col min="1" max="1" width="7.453125" style="394" customWidth="1"/>
    <col min="2" max="2" width="1.453125" style="394" customWidth="1"/>
    <col min="3" max="3" width="49.453125" style="394" customWidth="1"/>
    <col min="4" max="4" width="1.1796875" style="394" customWidth="1"/>
    <col min="5" max="5" width="0.54296875" style="394" customWidth="1"/>
    <col min="6" max="6" width="22.453125" style="394" customWidth="1"/>
    <col min="7" max="7" width="13.7265625" style="394" customWidth="1"/>
    <col min="8" max="8" width="10.453125" style="394" bestFit="1" customWidth="1"/>
    <col min="9" max="9" width="4.81640625" style="394" customWidth="1"/>
    <col min="10" max="10" width="6.81640625" style="394" customWidth="1"/>
    <col min="11" max="11" width="16" style="394" customWidth="1"/>
    <col min="12" max="12" width="12.81640625" style="394" customWidth="1"/>
    <col min="13" max="13" width="15.1796875" style="449" customWidth="1"/>
    <col min="14" max="14" width="14.1796875" style="394" customWidth="1"/>
    <col min="15" max="15" width="6.1796875" style="394" customWidth="1"/>
    <col min="16" max="16" width="14" style="394" customWidth="1"/>
    <col min="17" max="17" width="9.453125" style="395" customWidth="1"/>
    <col min="18" max="16384" width="9.1796875" style="395"/>
  </cols>
  <sheetData>
    <row r="1" spans="1:35">
      <c r="A1" s="792" t="s">
        <v>112</v>
      </c>
      <c r="B1" s="792"/>
      <c r="C1" s="792"/>
      <c r="D1" s="792"/>
      <c r="E1" s="792"/>
      <c r="F1" s="792"/>
      <c r="G1" s="393"/>
      <c r="H1" s="393"/>
      <c r="I1" s="393"/>
      <c r="J1" s="795" t="s">
        <v>112</v>
      </c>
      <c r="K1" s="796"/>
      <c r="L1" s="796"/>
      <c r="M1" s="796"/>
      <c r="N1" s="797"/>
      <c r="O1" s="396"/>
      <c r="P1" s="393"/>
      <c r="Q1" s="394"/>
    </row>
    <row r="2" spans="1:35">
      <c r="A2" s="792" t="s">
        <v>485</v>
      </c>
      <c r="B2" s="792"/>
      <c r="C2" s="792"/>
      <c r="D2" s="792"/>
      <c r="E2" s="792"/>
      <c r="F2" s="792"/>
      <c r="G2" s="393"/>
      <c r="H2" s="393"/>
      <c r="I2" s="393"/>
      <c r="J2" s="798" t="s">
        <v>432</v>
      </c>
      <c r="K2" s="799"/>
      <c r="L2" s="799"/>
      <c r="M2" s="799"/>
      <c r="N2" s="800"/>
      <c r="O2" s="397"/>
      <c r="P2" s="396"/>
      <c r="Q2" s="394"/>
    </row>
    <row r="3" spans="1:35">
      <c r="A3" s="792" t="s">
        <v>431</v>
      </c>
      <c r="B3" s="792"/>
      <c r="C3" s="792"/>
      <c r="D3" s="792"/>
      <c r="E3" s="792"/>
      <c r="F3" s="792"/>
      <c r="G3" s="397"/>
      <c r="H3" s="397"/>
      <c r="I3" s="397"/>
      <c r="J3" s="798" t="s">
        <v>431</v>
      </c>
      <c r="K3" s="799"/>
      <c r="L3" s="799"/>
      <c r="M3" s="799"/>
      <c r="N3" s="800"/>
      <c r="O3" s="397"/>
      <c r="P3" s="393"/>
      <c r="Q3" s="394"/>
    </row>
    <row r="4" spans="1:35">
      <c r="A4" s="791" t="str">
        <f>'PROP0SED RATES'!A3</f>
        <v>TWELVE MONTHS ENDED DECEMBER 31, 2019</v>
      </c>
      <c r="B4" s="791"/>
      <c r="C4" s="791"/>
      <c r="D4" s="791"/>
      <c r="E4" s="791"/>
      <c r="F4" s="791"/>
      <c r="G4" s="398"/>
      <c r="H4" s="398"/>
      <c r="I4" s="398"/>
      <c r="J4" s="784"/>
      <c r="K4" s="785"/>
      <c r="L4" s="785"/>
      <c r="M4" s="785"/>
      <c r="N4" s="786"/>
      <c r="O4" s="403"/>
      <c r="P4" s="477"/>
    </row>
    <row r="5" spans="1:35" ht="16" thickBot="1">
      <c r="A5" s="396"/>
      <c r="B5" s="396"/>
      <c r="C5" s="396"/>
      <c r="D5" s="396"/>
      <c r="E5" s="396"/>
      <c r="F5" s="399" t="s">
        <v>481</v>
      </c>
      <c r="G5" s="399"/>
      <c r="H5" s="399"/>
      <c r="I5" s="399"/>
      <c r="J5" s="426"/>
      <c r="K5" s="84"/>
      <c r="L5" s="84"/>
      <c r="M5" s="84"/>
      <c r="N5" s="344"/>
      <c r="O5" s="403"/>
      <c r="P5" s="83"/>
      <c r="S5" s="400"/>
      <c r="T5" s="400"/>
      <c r="X5" s="400"/>
      <c r="Y5" s="400"/>
      <c r="Z5" s="400"/>
      <c r="AA5" s="400"/>
      <c r="AB5" s="400"/>
      <c r="AC5" s="400"/>
      <c r="AD5" s="400"/>
      <c r="AE5" s="400"/>
      <c r="AF5" s="400"/>
      <c r="AG5" s="400"/>
      <c r="AH5" s="400"/>
      <c r="AI5" s="400"/>
    </row>
    <row r="6" spans="1:35">
      <c r="C6" s="401"/>
      <c r="D6" s="401"/>
      <c r="F6" s="399" t="s">
        <v>482</v>
      </c>
      <c r="G6" s="399"/>
      <c r="H6" s="399"/>
      <c r="I6" s="399"/>
      <c r="J6" s="377" t="s">
        <v>487</v>
      </c>
      <c r="K6" s="427"/>
      <c r="L6" s="427"/>
      <c r="M6" s="427"/>
      <c r="N6" s="428"/>
      <c r="O6" s="84"/>
      <c r="P6" s="134"/>
    </row>
    <row r="7" spans="1:35">
      <c r="F7" s="563">
        <v>44470</v>
      </c>
      <c r="G7" s="793" t="s">
        <v>578</v>
      </c>
      <c r="H7" s="793" t="s">
        <v>579</v>
      </c>
      <c r="I7" s="425"/>
      <c r="J7" s="429"/>
      <c r="K7" s="430"/>
      <c r="L7" s="431"/>
      <c r="M7" s="432"/>
      <c r="N7" s="433"/>
      <c r="O7" s="84"/>
      <c r="P7" s="135"/>
    </row>
    <row r="8" spans="1:35" ht="15.75" customHeight="1">
      <c r="A8" s="402" t="s">
        <v>131</v>
      </c>
      <c r="B8" s="397"/>
      <c r="C8" s="787" t="s">
        <v>71</v>
      </c>
      <c r="D8" s="788"/>
      <c r="E8" s="403"/>
      <c r="F8" s="399" t="s">
        <v>483</v>
      </c>
      <c r="G8" s="793"/>
      <c r="H8" s="793"/>
      <c r="I8" s="404"/>
      <c r="J8" s="429"/>
      <c r="K8" s="434"/>
      <c r="L8" s="431" t="s">
        <v>132</v>
      </c>
      <c r="M8" s="431"/>
      <c r="N8" s="433" t="s">
        <v>133</v>
      </c>
      <c r="O8" s="84"/>
      <c r="P8" s="135"/>
    </row>
    <row r="9" spans="1:35" ht="16" thickBot="1">
      <c r="A9" s="405" t="s">
        <v>16</v>
      </c>
      <c r="B9" s="397"/>
      <c r="C9" s="789"/>
      <c r="D9" s="790"/>
      <c r="E9" s="403"/>
      <c r="F9" s="512" t="s">
        <v>484</v>
      </c>
      <c r="G9" s="794"/>
      <c r="H9" s="794"/>
      <c r="I9" s="404"/>
      <c r="J9" s="429"/>
      <c r="K9" s="435" t="s">
        <v>134</v>
      </c>
      <c r="L9" s="435" t="s">
        <v>135</v>
      </c>
      <c r="M9" s="435" t="s">
        <v>136</v>
      </c>
      <c r="N9" s="436" t="s">
        <v>136</v>
      </c>
      <c r="O9" s="437"/>
      <c r="P9" s="135"/>
    </row>
    <row r="10" spans="1:35">
      <c r="E10" s="406"/>
      <c r="G10" s="83"/>
      <c r="H10" s="83"/>
      <c r="I10" s="83"/>
      <c r="J10" s="429"/>
      <c r="K10" s="773" t="s">
        <v>603</v>
      </c>
      <c r="L10" s="440">
        <v>2.4799999999999999E-2</v>
      </c>
      <c r="M10" s="774">
        <v>3.2599999999999997E-2</v>
      </c>
      <c r="N10" s="439">
        <f>ROUND(L10*M10,4)</f>
        <v>8.0000000000000004E-4</v>
      </c>
      <c r="P10" s="782" t="s">
        <v>499</v>
      </c>
    </row>
    <row r="11" spans="1:35">
      <c r="A11" s="407">
        <v>1</v>
      </c>
      <c r="C11" s="394" t="s">
        <v>148</v>
      </c>
      <c r="F11" s="408">
        <f>'ADJ DETAIL INPUT'!AU81</f>
        <v>432869.52326981392</v>
      </c>
      <c r="G11" s="561"/>
      <c r="H11" s="408"/>
      <c r="I11" s="408"/>
      <c r="J11" s="429"/>
      <c r="K11" s="434" t="s">
        <v>604</v>
      </c>
      <c r="L11" s="440">
        <v>0.49020000000000002</v>
      </c>
      <c r="M11" s="440">
        <v>5.0500000000000003E-2</v>
      </c>
      <c r="N11" s="439">
        <f>ROUND(L11*M11,4)</f>
        <v>2.4799999999999999E-2</v>
      </c>
      <c r="P11" s="783"/>
      <c r="Q11" s="400"/>
    </row>
    <row r="12" spans="1:35" ht="16" thickBot="1">
      <c r="A12" s="407"/>
      <c r="F12" s="409"/>
      <c r="G12" s="562"/>
      <c r="H12" s="409"/>
      <c r="I12" s="409"/>
      <c r="J12" s="429"/>
      <c r="K12" s="434"/>
      <c r="L12" s="438"/>
      <c r="M12" s="440"/>
      <c r="N12" s="439"/>
      <c r="P12" s="521">
        <f>N11+N10</f>
        <v>2.5599999999999998E-2</v>
      </c>
    </row>
    <row r="13" spans="1:35">
      <c r="A13" s="407">
        <v>2</v>
      </c>
      <c r="C13" s="394" t="s">
        <v>137</v>
      </c>
      <c r="F13" s="410">
        <f>N15</f>
        <v>7.0699999999999999E-2</v>
      </c>
      <c r="G13" s="133"/>
      <c r="H13" s="411"/>
      <c r="I13" s="411"/>
      <c r="J13" s="429"/>
      <c r="K13" s="434" t="s">
        <v>486</v>
      </c>
      <c r="L13" s="440">
        <v>0.48499999999999999</v>
      </c>
      <c r="M13" s="440">
        <v>9.2999999999999999E-2</v>
      </c>
      <c r="N13" s="439">
        <f>ROUND(L13*M13,4)</f>
        <v>4.5100000000000001E-2</v>
      </c>
    </row>
    <row r="14" spans="1:35">
      <c r="A14" s="407"/>
      <c r="F14" s="412"/>
      <c r="G14" s="412"/>
      <c r="H14" s="412"/>
      <c r="I14" s="412"/>
      <c r="J14" s="429"/>
      <c r="K14" s="434"/>
      <c r="L14" s="440"/>
      <c r="M14" s="441"/>
      <c r="N14" s="439"/>
      <c r="P14" s="135"/>
      <c r="Q14" s="400"/>
    </row>
    <row r="15" spans="1:35" ht="16" thickBot="1">
      <c r="A15" s="407">
        <v>3</v>
      </c>
      <c r="C15" s="394" t="s">
        <v>138</v>
      </c>
      <c r="F15" s="409">
        <f>ROUND(F11*F13,0)</f>
        <v>30604</v>
      </c>
      <c r="G15" s="409"/>
      <c r="H15" s="409"/>
      <c r="I15" s="409"/>
      <c r="J15" s="429"/>
      <c r="K15" s="434" t="s">
        <v>25</v>
      </c>
      <c r="L15" s="442">
        <f>SUM(L10:L13)</f>
        <v>1</v>
      </c>
      <c r="M15" s="441"/>
      <c r="N15" s="443">
        <f>SUM(N10:N13)</f>
        <v>7.0699999999999999E-2</v>
      </c>
      <c r="O15" s="134"/>
      <c r="P15" s="135"/>
    </row>
    <row r="16" spans="1:35" ht="16.5" thickTop="1" thickBot="1">
      <c r="A16" s="407"/>
      <c r="F16" s="409"/>
      <c r="G16" s="409"/>
      <c r="H16" s="409"/>
      <c r="I16" s="409"/>
      <c r="J16" s="444"/>
      <c r="K16" s="445"/>
      <c r="L16" s="446"/>
      <c r="M16" s="447"/>
      <c r="N16" s="448"/>
      <c r="O16" s="437"/>
      <c r="P16" s="135"/>
    </row>
    <row r="17" spans="1:19">
      <c r="A17" s="407">
        <v>4</v>
      </c>
      <c r="C17" s="394" t="s">
        <v>139</v>
      </c>
      <c r="F17" s="413">
        <f>'ADJ DETAIL INPUT'!AU58</f>
        <v>26029.744829098516</v>
      </c>
      <c r="G17" s="414"/>
      <c r="H17" s="414"/>
      <c r="I17" s="414"/>
      <c r="J17" s="415"/>
      <c r="K17" s="83"/>
      <c r="L17" s="83"/>
      <c r="M17" s="564"/>
      <c r="N17" s="83"/>
      <c r="O17" s="437"/>
      <c r="P17" s="135"/>
      <c r="Q17" s="400"/>
      <c r="R17" s="400"/>
      <c r="S17" s="400"/>
    </row>
    <row r="18" spans="1:19">
      <c r="A18" s="407"/>
      <c r="K18" s="83"/>
      <c r="L18" s="565"/>
      <c r="M18" s="85"/>
      <c r="N18" s="566"/>
      <c r="O18" s="437"/>
      <c r="P18" s="135"/>
      <c r="Q18" s="400"/>
      <c r="R18" s="400"/>
      <c r="S18" s="400"/>
    </row>
    <row r="19" spans="1:19">
      <c r="A19" s="407">
        <v>5</v>
      </c>
      <c r="C19" s="394" t="s">
        <v>140</v>
      </c>
      <c r="F19" s="409">
        <f>F15-F17</f>
        <v>4574.2551709014842</v>
      </c>
      <c r="G19" s="409"/>
      <c r="H19" s="409"/>
      <c r="I19" s="409"/>
      <c r="K19" s="83"/>
      <c r="L19" s="522"/>
      <c r="M19" s="522"/>
      <c r="N19" s="524"/>
      <c r="O19" s="437"/>
      <c r="P19" s="134"/>
      <c r="Q19" s="400"/>
      <c r="R19" s="400"/>
      <c r="S19" s="400"/>
    </row>
    <row r="20" spans="1:19">
      <c r="A20" s="407"/>
      <c r="K20" s="83"/>
      <c r="L20" s="85"/>
      <c r="M20" s="523"/>
      <c r="N20" s="584"/>
      <c r="O20" s="134"/>
      <c r="P20" s="134"/>
      <c r="Q20" s="400"/>
      <c r="R20" s="400"/>
      <c r="S20" s="400"/>
    </row>
    <row r="21" spans="1:19">
      <c r="A21" s="407">
        <v>6</v>
      </c>
      <c r="C21" s="394" t="s">
        <v>141</v>
      </c>
      <c r="F21" s="416">
        <f>CF!E27</f>
        <v>0.755463</v>
      </c>
      <c r="G21" s="416"/>
      <c r="H21" s="416"/>
      <c r="I21" s="416"/>
      <c r="J21" s="134"/>
      <c r="K21" s="134"/>
      <c r="L21" s="85"/>
      <c r="M21" s="453"/>
      <c r="N21" s="85"/>
      <c r="O21" s="134"/>
      <c r="P21" s="135"/>
      <c r="Q21" s="400"/>
      <c r="R21" s="400"/>
      <c r="S21" s="400"/>
    </row>
    <row r="22" spans="1:19" ht="16" thickBot="1">
      <c r="A22" s="407"/>
      <c r="J22" s="134"/>
      <c r="K22" s="451"/>
      <c r="L22" s="85"/>
      <c r="M22" s="85"/>
      <c r="N22" s="85"/>
      <c r="O22" s="134"/>
      <c r="P22" s="135"/>
      <c r="Q22" s="400"/>
      <c r="R22" s="400"/>
      <c r="S22" s="400"/>
    </row>
    <row r="23" spans="1:19" ht="16" thickBot="1">
      <c r="A23" s="407">
        <v>7</v>
      </c>
      <c r="C23" s="394" t="s">
        <v>542</v>
      </c>
      <c r="E23" s="417"/>
      <c r="F23" s="418">
        <f>ROUND(F19/F21,0)</f>
        <v>6055</v>
      </c>
      <c r="G23" s="682">
        <f>'ADJ DETAIL INPUT'!AV83</f>
        <v>-6055.2364689184787</v>
      </c>
      <c r="H23" s="687">
        <v>0</v>
      </c>
      <c r="I23" s="419"/>
      <c r="K23" s="85"/>
      <c r="L23" s="591"/>
      <c r="M23" s="452"/>
      <c r="N23" s="524"/>
      <c r="O23" s="134"/>
      <c r="P23" s="135"/>
      <c r="Q23" s="400"/>
      <c r="R23" s="400"/>
      <c r="S23" s="400"/>
    </row>
    <row r="24" spans="1:19">
      <c r="E24" s="417"/>
      <c r="H24" s="684"/>
      <c r="J24" s="134"/>
      <c r="K24" s="85"/>
      <c r="L24" s="85"/>
      <c r="M24" s="452"/>
      <c r="N24" s="134"/>
      <c r="O24" s="567"/>
      <c r="P24" s="135"/>
      <c r="Q24" s="400"/>
      <c r="R24" s="400"/>
      <c r="S24" s="400"/>
    </row>
    <row r="25" spans="1:19">
      <c r="A25" s="407">
        <v>8</v>
      </c>
      <c r="C25" s="394" t="s">
        <v>454</v>
      </c>
      <c r="F25" s="414">
        <f>'PROP0SED RATES'!H14+'PROP0SED RATES'!H15</f>
        <v>105173</v>
      </c>
      <c r="G25" s="414"/>
      <c r="H25" s="685"/>
      <c r="I25" s="414"/>
      <c r="J25" s="86"/>
      <c r="K25" s="85"/>
      <c r="M25" s="453"/>
      <c r="O25" s="453"/>
      <c r="P25" s="135"/>
      <c r="Q25" s="400"/>
      <c r="R25" s="400"/>
      <c r="S25" s="400"/>
    </row>
    <row r="26" spans="1:19">
      <c r="G26" s="409"/>
      <c r="H26" s="684"/>
      <c r="J26" s="134"/>
      <c r="K26" s="85"/>
      <c r="L26" s="85"/>
      <c r="M26" s="453"/>
      <c r="N26" s="85"/>
      <c r="O26" s="453"/>
      <c r="P26" s="136"/>
      <c r="Q26" s="400"/>
      <c r="R26" s="400"/>
      <c r="S26" s="400"/>
    </row>
    <row r="27" spans="1:19" ht="16" thickBot="1">
      <c r="A27" s="407">
        <v>9</v>
      </c>
      <c r="C27" s="394" t="s">
        <v>457</v>
      </c>
      <c r="F27" s="420">
        <f>ROUND(F23/F25,4)</f>
        <v>5.7599999999999998E-2</v>
      </c>
      <c r="G27" s="683">
        <f>G23/F25</f>
        <v>-5.7574058635947237E-2</v>
      </c>
      <c r="H27" s="688">
        <v>0</v>
      </c>
      <c r="I27" s="421"/>
      <c r="J27" s="454"/>
      <c r="K27" s="524"/>
      <c r="L27" s="524"/>
      <c r="M27" s="524"/>
      <c r="N27" s="524"/>
      <c r="O27" s="524"/>
      <c r="P27" s="133"/>
      <c r="Q27" s="400"/>
      <c r="R27" s="400"/>
      <c r="S27" s="400"/>
    </row>
    <row r="28" spans="1:19" ht="9.75" customHeight="1" thickTop="1">
      <c r="C28" s="422"/>
      <c r="D28" s="422"/>
      <c r="E28" s="422"/>
      <c r="F28" s="422"/>
      <c r="G28" s="422"/>
      <c r="H28" s="686"/>
      <c r="I28" s="422"/>
      <c r="J28" s="437"/>
      <c r="K28" s="437"/>
      <c r="L28" s="524"/>
      <c r="M28" s="455"/>
      <c r="N28" s="524"/>
      <c r="O28" s="455"/>
      <c r="P28" s="135"/>
      <c r="Q28" s="400"/>
      <c r="R28" s="400"/>
      <c r="S28" s="400"/>
    </row>
    <row r="29" spans="1:19">
      <c r="A29" s="407">
        <v>10</v>
      </c>
      <c r="C29" s="394" t="s">
        <v>455</v>
      </c>
      <c r="F29" s="423">
        <v>161345</v>
      </c>
      <c r="G29" s="423"/>
      <c r="H29" s="684"/>
      <c r="I29" s="423"/>
      <c r="J29" s="423" t="s">
        <v>531</v>
      </c>
      <c r="K29" s="134"/>
      <c r="L29" s="456"/>
      <c r="M29" s="524"/>
      <c r="N29" s="456"/>
      <c r="O29" s="524"/>
      <c r="P29" s="135"/>
      <c r="Q29" s="400"/>
      <c r="R29" s="400"/>
      <c r="S29" s="400"/>
    </row>
    <row r="30" spans="1:19" ht="9" customHeight="1">
      <c r="H30" s="684"/>
      <c r="J30" s="437"/>
      <c r="K30" s="524"/>
      <c r="L30" s="437"/>
      <c r="M30" s="455"/>
      <c r="N30" s="437"/>
      <c r="O30" s="455"/>
      <c r="P30" s="135"/>
      <c r="Q30" s="400"/>
      <c r="R30" s="400"/>
      <c r="S30" s="400"/>
    </row>
    <row r="31" spans="1:19" ht="15.75" customHeight="1" thickBot="1">
      <c r="A31" s="407">
        <v>11</v>
      </c>
      <c r="C31" s="394" t="s">
        <v>456</v>
      </c>
      <c r="F31" s="420">
        <f>ROUND(F23/F29,4)</f>
        <v>3.7499999999999999E-2</v>
      </c>
      <c r="G31" s="683">
        <f>G23/F29</f>
        <v>-3.752974352423985E-2</v>
      </c>
      <c r="H31" s="688">
        <v>0</v>
      </c>
      <c r="I31" s="421"/>
      <c r="J31" s="437"/>
      <c r="K31" s="437"/>
      <c r="L31" s="457"/>
      <c r="M31" s="453"/>
      <c r="N31" s="457"/>
      <c r="O31" s="453"/>
      <c r="P31" s="135"/>
      <c r="Q31" s="400"/>
      <c r="R31" s="400"/>
      <c r="S31" s="400"/>
    </row>
    <row r="32" spans="1:19" ht="15.75" customHeight="1" thickTop="1">
      <c r="A32" s="424" t="s">
        <v>429</v>
      </c>
      <c r="F32" s="421"/>
      <c r="G32" s="421"/>
      <c r="H32" s="421"/>
      <c r="I32" s="421"/>
      <c r="J32" s="437"/>
      <c r="K32" s="134"/>
      <c r="L32" s="406"/>
      <c r="M32" s="450"/>
      <c r="N32" s="406"/>
      <c r="O32" s="406"/>
      <c r="P32" s="135"/>
      <c r="Q32" s="400"/>
    </row>
    <row r="33" spans="1:28">
      <c r="J33" s="437"/>
      <c r="K33" s="134"/>
      <c r="L33" s="133"/>
      <c r="M33" s="450"/>
      <c r="N33" s="133"/>
      <c r="O33" s="134"/>
      <c r="P33" s="135"/>
      <c r="Q33" s="400"/>
    </row>
    <row r="34" spans="1:28">
      <c r="A34" s="83"/>
      <c r="B34" s="83"/>
      <c r="C34" s="83"/>
      <c r="D34" s="83"/>
      <c r="E34" s="83"/>
      <c r="F34" s="83"/>
      <c r="G34" s="83"/>
      <c r="H34" s="83"/>
      <c r="I34" s="83"/>
      <c r="J34" s="134"/>
      <c r="K34" s="134"/>
      <c r="L34" s="134"/>
      <c r="M34" s="452"/>
      <c r="N34" s="134"/>
      <c r="O34" s="134"/>
    </row>
    <row r="35" spans="1:28">
      <c r="A35" s="83"/>
      <c r="B35" s="83"/>
      <c r="C35" s="83"/>
      <c r="D35" s="83"/>
      <c r="E35" s="83"/>
      <c r="F35" s="83"/>
      <c r="G35" s="83"/>
      <c r="H35" s="83"/>
      <c r="I35" s="83"/>
      <c r="J35" s="134"/>
      <c r="K35" s="134"/>
      <c r="L35" s="134"/>
      <c r="M35" s="452"/>
      <c r="N35" s="134"/>
      <c r="O35" s="134"/>
    </row>
    <row r="36" spans="1:28">
      <c r="J36" s="134"/>
      <c r="K36" s="134"/>
      <c r="L36" s="134"/>
      <c r="M36" s="452"/>
      <c r="N36" s="134"/>
      <c r="O36" s="134"/>
    </row>
    <row r="37" spans="1:28">
      <c r="J37" s="134"/>
      <c r="K37" s="134"/>
      <c r="L37" s="134"/>
      <c r="M37" s="452"/>
      <c r="N37" s="134"/>
      <c r="O37" s="134"/>
      <c r="AB37" s="395">
        <f>AB43</f>
        <v>0</v>
      </c>
    </row>
    <row r="38" spans="1:28">
      <c r="J38" s="134"/>
      <c r="K38" s="134"/>
      <c r="L38" s="134"/>
      <c r="M38" s="452"/>
      <c r="N38" s="134"/>
      <c r="O38" s="134"/>
    </row>
    <row r="39" spans="1:28">
      <c r="J39" s="134"/>
      <c r="K39" s="134"/>
      <c r="L39" s="134"/>
      <c r="M39" s="452"/>
      <c r="N39" s="134"/>
      <c r="O39" s="134"/>
    </row>
    <row r="40" spans="1:28">
      <c r="J40" s="134"/>
      <c r="K40" s="134"/>
      <c r="L40" s="134"/>
      <c r="M40" s="452"/>
      <c r="N40" s="134"/>
      <c r="O40" s="134"/>
    </row>
    <row r="41" spans="1:28">
      <c r="J41" s="134"/>
      <c r="K41" s="134"/>
      <c r="L41" s="134"/>
      <c r="M41" s="452"/>
      <c r="N41" s="134"/>
      <c r="O41" s="134"/>
    </row>
    <row r="42" spans="1:28">
      <c r="J42" s="134"/>
      <c r="K42" s="134"/>
      <c r="L42" s="134"/>
      <c r="M42" s="452"/>
      <c r="N42" s="134"/>
      <c r="O42" s="134"/>
    </row>
    <row r="43" spans="1:28">
      <c r="J43" s="134"/>
      <c r="K43" s="134"/>
      <c r="L43" s="134"/>
      <c r="M43" s="452"/>
      <c r="N43" s="134"/>
      <c r="O43" s="134"/>
    </row>
    <row r="44" spans="1:28">
      <c r="J44" s="134"/>
      <c r="K44" s="134"/>
      <c r="L44" s="134"/>
      <c r="M44" s="452"/>
      <c r="N44" s="134"/>
      <c r="O44" s="134"/>
    </row>
    <row r="45" spans="1:28">
      <c r="O45" s="134"/>
    </row>
    <row r="46" spans="1:28">
      <c r="O46" s="134"/>
    </row>
  </sheetData>
  <mergeCells count="12">
    <mergeCell ref="A1:F1"/>
    <mergeCell ref="A2:F2"/>
    <mergeCell ref="J1:N1"/>
    <mergeCell ref="J2:N2"/>
    <mergeCell ref="J3:N3"/>
    <mergeCell ref="P10:P11"/>
    <mergeCell ref="J4:N4"/>
    <mergeCell ref="C8:D9"/>
    <mergeCell ref="A4:F4"/>
    <mergeCell ref="A3:F3"/>
    <mergeCell ref="G7:G9"/>
    <mergeCell ref="H7:H9"/>
  </mergeCells>
  <phoneticPr fontId="0" type="noConversion"/>
  <printOptions horizontalCentered="1"/>
  <pageMargins left="0.75" right="0.5" top="1.72" bottom="0.84" header="0.5" footer="0.5"/>
  <pageSetup scale="88" orientation="portrait" r:id="rId1"/>
  <headerFooter scaleWithDoc="0" alignWithMargins="0">
    <oddHeader xml:space="preserve">&amp;R Exh. JH-3r
Dockets UE-200900-01-894
Page &amp;P of &amp;N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4">
    <tabColor rgb="FFFFFF00"/>
  </sheetPr>
  <dimension ref="A1:Y32"/>
  <sheetViews>
    <sheetView tabSelected="1" zoomScale="130" zoomScaleNormal="130" zoomScaleSheetLayoutView="130" workbookViewId="0">
      <selection activeCell="J56" sqref="J56"/>
    </sheetView>
  </sheetViews>
  <sheetFormatPr defaultColWidth="9.1796875" defaultRowHeight="13"/>
  <cols>
    <col min="1" max="1" width="9.1796875" style="12"/>
    <col min="2" max="2" width="6.54296875" style="12" customWidth="1"/>
    <col min="3" max="3" width="42" style="12" customWidth="1"/>
    <col min="4" max="4" width="2.81640625" style="12" customWidth="1"/>
    <col min="5" max="5" width="20.1796875" style="74" customWidth="1"/>
    <col min="6" max="6" width="2.54296875" style="12" customWidth="1"/>
    <col min="7" max="9" width="9.1796875" style="12"/>
    <col min="10" max="10" width="19.81640625" style="12" bestFit="1" customWidth="1"/>
    <col min="11" max="11" width="11.81640625" style="12" customWidth="1"/>
    <col min="12" max="16384" width="9.1796875" style="12"/>
  </cols>
  <sheetData>
    <row r="1" spans="1:25" s="64" customFormat="1">
      <c r="A1" s="12"/>
      <c r="B1" s="12"/>
      <c r="C1" s="61" t="s">
        <v>112</v>
      </c>
      <c r="D1" s="62"/>
      <c r="E1" s="63"/>
      <c r="G1" s="269"/>
      <c r="H1" s="270"/>
      <c r="I1" s="270"/>
      <c r="J1" s="12"/>
    </row>
    <row r="2" spans="1:25" s="64" customFormat="1">
      <c r="B2" s="12"/>
      <c r="C2" s="229" t="s">
        <v>157</v>
      </c>
      <c r="D2" s="62"/>
      <c r="E2" s="65"/>
      <c r="J2" s="12"/>
    </row>
    <row r="3" spans="1:25" s="64" customFormat="1">
      <c r="B3" s="12"/>
      <c r="C3" s="82" t="s">
        <v>431</v>
      </c>
      <c r="D3" s="62"/>
      <c r="E3" s="65"/>
      <c r="J3" s="12"/>
    </row>
    <row r="4" spans="1:25">
      <c r="B4" s="81"/>
      <c r="C4" s="229" t="str">
        <f>'PROP0SED RATES'!A3</f>
        <v>TWELVE MONTHS ENDED DECEMBER 31, 2019</v>
      </c>
      <c r="D4" s="81"/>
      <c r="E4" s="81"/>
      <c r="F4" s="81"/>
      <c r="G4" s="81"/>
      <c r="H4" s="81"/>
      <c r="I4" s="81"/>
      <c r="J4" s="81"/>
      <c r="K4" s="81"/>
      <c r="L4" s="81"/>
      <c r="M4" s="81"/>
      <c r="N4" s="61"/>
      <c r="O4" s="61"/>
      <c r="P4" s="61"/>
    </row>
    <row r="5" spans="1:25">
      <c r="C5" s="17"/>
      <c r="D5" s="66"/>
      <c r="Q5" s="76"/>
      <c r="R5" s="76"/>
      <c r="S5" s="76"/>
      <c r="T5" s="76"/>
      <c r="U5" s="76"/>
      <c r="V5" s="76"/>
      <c r="W5" s="76"/>
      <c r="X5" s="76"/>
      <c r="Y5" s="76"/>
    </row>
    <row r="6" spans="1:25" hidden="1">
      <c r="A6" s="17"/>
      <c r="C6" s="67"/>
      <c r="D6" s="66"/>
      <c r="E6" s="62"/>
      <c r="P6" s="76"/>
      <c r="Q6" s="76"/>
      <c r="R6" s="76"/>
      <c r="S6" s="76"/>
      <c r="T6" s="76"/>
      <c r="U6" s="76"/>
      <c r="V6" s="76"/>
      <c r="W6" s="76"/>
      <c r="X6" s="76"/>
      <c r="Y6" s="76"/>
    </row>
    <row r="7" spans="1:25" hidden="1">
      <c r="A7" s="17"/>
      <c r="C7" s="67"/>
      <c r="D7" s="66"/>
      <c r="E7" s="62"/>
    </row>
    <row r="8" spans="1:25" hidden="1">
      <c r="A8" s="17"/>
      <c r="C8" s="66"/>
      <c r="D8" s="66"/>
      <c r="E8" s="92"/>
      <c r="F8" s="93"/>
      <c r="G8" s="93"/>
    </row>
    <row r="9" spans="1:25">
      <c r="A9" s="17" t="s">
        <v>131</v>
      </c>
      <c r="C9" s="17"/>
      <c r="D9" s="66"/>
      <c r="E9" s="17"/>
      <c r="J9" s="75" t="s">
        <v>158</v>
      </c>
      <c r="M9" s="23"/>
      <c r="N9" s="23"/>
      <c r="O9" s="23"/>
      <c r="P9" s="23"/>
    </row>
    <row r="10" spans="1:25">
      <c r="A10" s="19" t="s">
        <v>16</v>
      </c>
      <c r="C10" s="19" t="s">
        <v>71</v>
      </c>
      <c r="D10" s="66"/>
      <c r="E10" s="19" t="s">
        <v>149</v>
      </c>
      <c r="F10" s="74"/>
      <c r="M10" s="23"/>
      <c r="N10" s="23"/>
      <c r="O10" s="23"/>
      <c r="P10" s="23"/>
    </row>
    <row r="11" spans="1:25" ht="9" customHeight="1">
      <c r="A11" s="17"/>
      <c r="C11" s="66"/>
      <c r="D11" s="66"/>
      <c r="E11" s="66"/>
      <c r="M11" s="23"/>
      <c r="N11" s="23"/>
      <c r="O11" s="23"/>
      <c r="P11" s="23"/>
    </row>
    <row r="12" spans="1:25">
      <c r="A12" s="13">
        <v>1</v>
      </c>
      <c r="C12" s="458" t="s">
        <v>150</v>
      </c>
      <c r="D12" s="459"/>
      <c r="E12" s="459">
        <v>1</v>
      </c>
      <c r="J12" s="68">
        <f>'RR SUMMARY'!F23</f>
        <v>6055</v>
      </c>
      <c r="K12" s="68"/>
      <c r="M12" s="23"/>
      <c r="N12" s="271"/>
      <c r="O12" s="23"/>
      <c r="P12" s="23"/>
    </row>
    <row r="13" spans="1:25" ht="9" customHeight="1">
      <c r="A13" s="13"/>
      <c r="C13" s="458"/>
      <c r="D13" s="459"/>
      <c r="E13" s="459"/>
      <c r="K13" s="354"/>
      <c r="M13" s="23"/>
      <c r="N13" s="23"/>
      <c r="O13" s="23"/>
      <c r="P13" s="23"/>
    </row>
    <row r="14" spans="1:25">
      <c r="A14" s="13"/>
      <c r="C14" s="458" t="s">
        <v>151</v>
      </c>
      <c r="D14" s="459"/>
      <c r="E14" s="459"/>
      <c r="K14" s="354"/>
      <c r="M14" s="23"/>
      <c r="N14" s="23"/>
      <c r="O14" s="23"/>
      <c r="P14" s="23"/>
    </row>
    <row r="15" spans="1:25">
      <c r="A15" s="13">
        <v>2</v>
      </c>
      <c r="B15" s="15"/>
      <c r="C15" s="459" t="s">
        <v>152</v>
      </c>
      <c r="D15" s="459"/>
      <c r="E15" s="460">
        <v>3.3260504272441039E-3</v>
      </c>
      <c r="F15" s="339"/>
      <c r="J15" s="69">
        <f>ROUND($J$12*E15,0)</f>
        <v>20</v>
      </c>
      <c r="K15" s="69"/>
      <c r="M15" s="23"/>
      <c r="N15" s="71"/>
      <c r="O15" s="23"/>
      <c r="P15" s="23"/>
    </row>
    <row r="16" spans="1:25" ht="9" customHeight="1">
      <c r="A16" s="13"/>
      <c r="C16" s="459"/>
      <c r="D16" s="459"/>
      <c r="E16" s="460"/>
      <c r="K16" s="354"/>
      <c r="M16" s="23"/>
      <c r="N16" s="23"/>
      <c r="O16" s="23"/>
      <c r="P16" s="23"/>
    </row>
    <row r="17" spans="1:16">
      <c r="A17" s="13">
        <v>3</v>
      </c>
      <c r="C17" s="459" t="s">
        <v>153</v>
      </c>
      <c r="D17" s="459"/>
      <c r="E17" s="460">
        <v>2E-3</v>
      </c>
      <c r="J17" s="69">
        <f>ROUND($J$12*E17,0)</f>
        <v>12</v>
      </c>
      <c r="K17" s="69"/>
      <c r="M17" s="23"/>
      <c r="N17" s="71"/>
      <c r="O17" s="23"/>
      <c r="P17" s="23"/>
    </row>
    <row r="18" spans="1:16" ht="9" customHeight="1">
      <c r="A18" s="13"/>
      <c r="C18" s="459"/>
      <c r="D18" s="459"/>
      <c r="E18" s="460"/>
      <c r="K18" s="354"/>
      <c r="M18" s="23"/>
      <c r="N18" s="23"/>
      <c r="O18" s="23"/>
      <c r="P18" s="23"/>
    </row>
    <row r="19" spans="1:16">
      <c r="A19" s="13">
        <v>4</v>
      </c>
      <c r="C19" s="459" t="s">
        <v>154</v>
      </c>
      <c r="D19" s="459"/>
      <c r="E19" s="460">
        <v>3.8391880537542555E-2</v>
      </c>
      <c r="F19" s="339"/>
      <c r="J19" s="69">
        <f>ROUND($J$12*E19,0)</f>
        <v>232</v>
      </c>
      <c r="K19" s="69"/>
      <c r="M19" s="23"/>
      <c r="N19" s="71"/>
      <c r="O19" s="23"/>
      <c r="P19" s="23"/>
    </row>
    <row r="20" spans="1:16" ht="9" customHeight="1">
      <c r="A20" s="13"/>
      <c r="C20" s="459"/>
      <c r="D20" s="459"/>
      <c r="E20" s="461"/>
      <c r="K20" s="354"/>
      <c r="M20" s="23"/>
      <c r="N20" s="23"/>
      <c r="O20" s="23"/>
      <c r="P20" s="23"/>
    </row>
    <row r="21" spans="1:16">
      <c r="A21" s="13">
        <v>6</v>
      </c>
      <c r="C21" s="459" t="s">
        <v>155</v>
      </c>
      <c r="D21" s="459"/>
      <c r="E21" s="462">
        <f>SUM(E15:E19)</f>
        <v>4.3717930964786655E-2</v>
      </c>
      <c r="J21" s="70">
        <f>SUM(J15:J20)</f>
        <v>264</v>
      </c>
      <c r="K21" s="70"/>
      <c r="M21" s="23"/>
      <c r="N21" s="71"/>
      <c r="O21" s="23"/>
      <c r="P21" s="23"/>
    </row>
    <row r="22" spans="1:16" ht="9.75" customHeight="1">
      <c r="A22" s="13"/>
      <c r="C22" s="459"/>
      <c r="D22" s="459"/>
      <c r="E22" s="459"/>
      <c r="J22" s="71"/>
      <c r="K22" s="71"/>
      <c r="M22" s="23"/>
      <c r="N22" s="71"/>
      <c r="O22" s="23"/>
      <c r="P22" s="23"/>
    </row>
    <row r="23" spans="1:16">
      <c r="A23" s="13">
        <v>7</v>
      </c>
      <c r="C23" s="459" t="s">
        <v>156</v>
      </c>
      <c r="D23" s="459"/>
      <c r="E23" s="459">
        <f>E12-E21</f>
        <v>0.9562820690352134</v>
      </c>
      <c r="J23" s="71">
        <f>J12-J21</f>
        <v>5791</v>
      </c>
      <c r="K23" s="71"/>
      <c r="M23" s="23"/>
      <c r="N23" s="71"/>
      <c r="O23" s="23"/>
      <c r="P23" s="23"/>
    </row>
    <row r="24" spans="1:16" ht="9.75" customHeight="1">
      <c r="A24" s="13"/>
      <c r="C24" s="459"/>
      <c r="D24" s="459"/>
      <c r="E24" s="459"/>
      <c r="K24" s="354"/>
      <c r="M24" s="23"/>
      <c r="N24" s="23"/>
      <c r="O24" s="23"/>
      <c r="P24" s="23"/>
    </row>
    <row r="25" spans="1:16">
      <c r="A25" s="13">
        <v>8</v>
      </c>
      <c r="C25" s="459" t="s">
        <v>480</v>
      </c>
      <c r="D25" s="463"/>
      <c r="E25" s="630">
        <f>E23*0.21</f>
        <v>0.20081923449739481</v>
      </c>
      <c r="J25" s="72">
        <f>ROUND(J23*0.21,0)</f>
        <v>1216</v>
      </c>
      <c r="K25" s="72"/>
      <c r="M25" s="23"/>
      <c r="N25" s="71"/>
      <c r="O25" s="23"/>
      <c r="P25" s="23"/>
    </row>
    <row r="26" spans="1:16" ht="9" customHeight="1">
      <c r="C26" s="459"/>
      <c r="D26" s="459"/>
      <c r="E26" s="459"/>
      <c r="K26" s="354"/>
      <c r="M26" s="23"/>
      <c r="N26" s="23"/>
      <c r="O26" s="23"/>
      <c r="P26" s="23"/>
    </row>
    <row r="27" spans="1:16" ht="13.5" thickBot="1">
      <c r="A27" s="13">
        <v>9</v>
      </c>
      <c r="C27" s="459" t="s">
        <v>157</v>
      </c>
      <c r="D27" s="459"/>
      <c r="E27" s="631">
        <f>ROUND(E23-E25,6)</f>
        <v>0.755463</v>
      </c>
      <c r="J27" s="73">
        <f>J23-J25</f>
        <v>4575</v>
      </c>
      <c r="K27" s="73"/>
      <c r="M27" s="23"/>
      <c r="N27" s="272"/>
      <c r="O27" s="23"/>
      <c r="P27" s="23"/>
    </row>
    <row r="28" spans="1:16" ht="13.5" customHeight="1" thickTop="1">
      <c r="C28" s="66"/>
      <c r="D28" s="66"/>
      <c r="F28" s="390"/>
      <c r="G28" s="390"/>
      <c r="H28" s="390"/>
      <c r="K28" s="354"/>
      <c r="M28" s="23"/>
      <c r="N28" s="23"/>
      <c r="O28" s="23"/>
      <c r="P28" s="23"/>
    </row>
    <row r="29" spans="1:16">
      <c r="A29" s="390"/>
      <c r="B29" s="390"/>
      <c r="C29" s="390"/>
      <c r="D29" s="390"/>
      <c r="E29" s="390"/>
      <c r="F29" s="390"/>
      <c r="G29" s="390"/>
      <c r="H29" s="390"/>
      <c r="J29" s="69">
        <f>J27/E27</f>
        <v>6055.8889052144186</v>
      </c>
      <c r="K29" s="69"/>
      <c r="L29" s="12" t="s">
        <v>418</v>
      </c>
      <c r="M29" s="23"/>
      <c r="N29" s="23"/>
      <c r="O29" s="23"/>
      <c r="P29" s="23"/>
    </row>
    <row r="30" spans="1:16" ht="15.75" customHeight="1">
      <c r="A30" s="390"/>
      <c r="B30" s="390"/>
      <c r="C30" s="390"/>
      <c r="D30" s="390"/>
      <c r="E30" s="390"/>
      <c r="F30" s="390"/>
      <c r="G30" s="390"/>
      <c r="H30" s="390"/>
      <c r="J30" s="376">
        <f>J29-'RR SUMMARY'!F23</f>
        <v>0.88890521441862802</v>
      </c>
      <c r="K30" s="376"/>
      <c r="L30" s="12" t="s">
        <v>83</v>
      </c>
      <c r="M30" s="23"/>
      <c r="N30" s="23"/>
      <c r="O30" s="23"/>
      <c r="P30" s="23"/>
    </row>
    <row r="31" spans="1:16" ht="4.5" customHeight="1">
      <c r="C31" s="66"/>
      <c r="D31" s="66"/>
      <c r="M31" s="23"/>
      <c r="N31" s="23"/>
      <c r="O31" s="23"/>
      <c r="P31" s="23"/>
    </row>
    <row r="32" spans="1:16">
      <c r="C32" s="66"/>
      <c r="D32" s="66"/>
      <c r="M32" s="23"/>
      <c r="N32" s="23"/>
      <c r="O32" s="23"/>
      <c r="P32" s="23"/>
    </row>
  </sheetData>
  <phoneticPr fontId="0" type="noConversion"/>
  <pageMargins left="0.75" right="0.5" top="0.97" bottom="0.84" header="0.5" footer="0.5"/>
  <pageSetup scale="98" orientation="portrait" r:id="rId1"/>
  <headerFooter alignWithMargins="0">
    <oddHeader xml:space="preserve">&amp;RExh. JH-3r
Dockets UE-200900-01-894
Page &amp;P of &amp;N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>
    <tabColor rgb="FFFFFF00"/>
    <pageSetUpPr fitToPage="1"/>
  </sheetPr>
  <dimension ref="A1:BD98"/>
  <sheetViews>
    <sheetView tabSelected="1" zoomScaleNormal="100" zoomScaleSheetLayoutView="100" workbookViewId="0">
      <pane xSplit="5" ySplit="12" topLeftCell="AE52" activePane="bottomRight" state="frozen"/>
      <selection activeCell="J56" sqref="J56"/>
      <selection pane="topRight" activeCell="J56" sqref="J56"/>
      <selection pane="bottomLeft" activeCell="J56" sqref="J56"/>
      <selection pane="bottomRight" activeCell="J56" sqref="J56"/>
    </sheetView>
  </sheetViews>
  <sheetFormatPr defaultColWidth="10.54296875" defaultRowHeight="11.5"/>
  <cols>
    <col min="1" max="1" width="5.54296875" style="89" customWidth="1"/>
    <col min="2" max="3" width="1.54296875" style="1" customWidth="1"/>
    <col min="4" max="4" width="30.453125" style="1" customWidth="1"/>
    <col min="5" max="5" width="14.26953125" style="29" customWidth="1"/>
    <col min="6" max="7" width="10.54296875" style="29" customWidth="1"/>
    <col min="8" max="8" width="10.81640625" style="29" customWidth="1"/>
    <col min="9" max="13" width="10.54296875" style="29" customWidth="1"/>
    <col min="14" max="14" width="10.81640625" style="29" customWidth="1"/>
    <col min="15" max="15" width="8.54296875" style="29" customWidth="1"/>
    <col min="16" max="16" width="12.54296875" style="29" customWidth="1"/>
    <col min="17" max="17" width="9.54296875" style="29" customWidth="1"/>
    <col min="18" max="18" width="10.453125" style="29" customWidth="1"/>
    <col min="19" max="19" width="14.453125" style="29" customWidth="1"/>
    <col min="20" max="20" width="11.453125" style="29" customWidth="1"/>
    <col min="21" max="21" width="16.81640625" style="29" customWidth="1"/>
    <col min="22" max="22" width="15.54296875" style="317" customWidth="1"/>
    <col min="23" max="23" width="15" style="488" customWidth="1"/>
    <col min="24" max="24" width="16" style="488" customWidth="1"/>
    <col min="25" max="25" width="18.54296875" style="278" customWidth="1"/>
    <col min="26" max="26" width="14.1796875" style="278" customWidth="1"/>
    <col min="27" max="27" width="15.453125" style="488" customWidth="1"/>
    <col min="28" max="28" width="19.1796875" style="488" bestFit="1" customWidth="1"/>
    <col min="29" max="29" width="13.81640625" style="571" customWidth="1"/>
    <col min="30" max="31" width="13.81640625" style="705" customWidth="1"/>
    <col min="32" max="32" width="13.81640625" style="317" customWidth="1"/>
    <col min="33" max="33" width="11.453125" style="488" customWidth="1"/>
    <col min="34" max="34" width="13" style="488" customWidth="1"/>
    <col min="35" max="35" width="11.54296875" style="571" customWidth="1"/>
    <col min="36" max="36" width="11" style="488" bestFit="1" customWidth="1"/>
    <col min="37" max="37" width="12.81640625" style="488" customWidth="1"/>
    <col min="38" max="38" width="14" style="488" customWidth="1"/>
    <col min="39" max="39" width="14.54296875" style="488" customWidth="1"/>
    <col min="40" max="44" width="16.81640625" style="488" customWidth="1"/>
    <col min="45" max="45" width="4.453125" style="571" customWidth="1"/>
    <col min="46" max="46" width="8.81640625" style="470" customWidth="1"/>
    <col min="47" max="47" width="15.81640625" style="278" customWidth="1"/>
    <col min="48" max="48" width="15.81640625" style="488" customWidth="1"/>
    <col min="49" max="49" width="15.81640625" style="29" customWidth="1"/>
    <col min="50" max="16384" width="10.54296875" style="1"/>
  </cols>
  <sheetData>
    <row r="1" spans="1:49" ht="8.25" customHeight="1"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</row>
    <row r="2" spans="1:49" ht="12.75" customHeight="1">
      <c r="A2" s="279" t="str">
        <f>'ROO INPUT'!A3:C3</f>
        <v>AVISTA UTILITIES</v>
      </c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354"/>
      <c r="T2" s="354"/>
      <c r="U2" s="354"/>
      <c r="V2" s="357"/>
      <c r="W2" s="357"/>
      <c r="X2" s="357"/>
      <c r="AA2" s="357"/>
      <c r="AB2" s="280"/>
      <c r="AC2" s="357"/>
      <c r="AD2" s="495"/>
      <c r="AE2" s="357"/>
      <c r="AG2" s="280"/>
      <c r="AH2" s="357"/>
      <c r="AI2" s="357"/>
      <c r="AJ2" s="357"/>
      <c r="AP2" s="357"/>
      <c r="AQ2" s="280"/>
      <c r="AR2" s="357"/>
      <c r="AS2" s="357"/>
      <c r="AT2" s="280"/>
    </row>
    <row r="3" spans="1:49" ht="15" customHeight="1">
      <c r="A3" s="279" t="s">
        <v>431</v>
      </c>
      <c r="F3" s="480" t="s">
        <v>449</v>
      </c>
      <c r="I3" s="488"/>
      <c r="J3" s="488"/>
      <c r="K3" s="280"/>
      <c r="L3" s="488"/>
      <c r="M3" s="488"/>
      <c r="N3" s="488"/>
      <c r="O3" s="488"/>
      <c r="P3" s="488"/>
      <c r="Q3" s="488"/>
      <c r="R3" s="280"/>
      <c r="S3" s="357"/>
      <c r="T3" s="357"/>
      <c r="U3" s="357"/>
      <c r="V3" s="357"/>
      <c r="W3" s="496"/>
      <c r="X3" s="269"/>
      <c r="Y3" s="317"/>
      <c r="Z3" s="317"/>
      <c r="AA3" s="628" t="s">
        <v>450</v>
      </c>
      <c r="AC3" s="769"/>
      <c r="AD3" s="769"/>
      <c r="AE3" s="776" t="s">
        <v>605</v>
      </c>
      <c r="AF3" s="776" t="s">
        <v>605</v>
      </c>
      <c r="AG3" s="769"/>
      <c r="AH3" s="769"/>
      <c r="AI3" s="769"/>
      <c r="AJ3" s="357"/>
      <c r="AK3" s="612"/>
      <c r="AL3" s="612"/>
      <c r="AM3" s="612"/>
      <c r="AN3" s="612"/>
      <c r="AO3" s="612"/>
      <c r="AP3" s="768"/>
      <c r="AR3" s="637" t="s">
        <v>560</v>
      </c>
      <c r="AS3" s="613"/>
      <c r="AT3" s="488"/>
      <c r="AV3" s="704" t="s">
        <v>573</v>
      </c>
    </row>
    <row r="4" spans="1:49" ht="12.75" customHeight="1">
      <c r="A4" s="279" t="str">
        <f>'ROO INPUT'!A5:C5</f>
        <v>TWELVE MONTHS ENDED DECEMBER 31, 2019</v>
      </c>
      <c r="E4" s="282" t="s">
        <v>472</v>
      </c>
      <c r="F4" s="278"/>
      <c r="G4" s="278"/>
      <c r="H4" s="602"/>
      <c r="I4" s="488"/>
      <c r="J4" s="317"/>
      <c r="K4" s="489"/>
      <c r="L4" s="489"/>
      <c r="M4" s="317"/>
      <c r="N4" s="317"/>
      <c r="O4" s="317"/>
      <c r="P4" s="317"/>
      <c r="Q4" s="317"/>
      <c r="R4" s="505"/>
      <c r="S4" s="357"/>
      <c r="T4" s="357"/>
      <c r="U4" s="527"/>
      <c r="V4" s="513"/>
      <c r="W4" s="496"/>
      <c r="X4" s="586"/>
      <c r="Y4" s="317"/>
      <c r="Z4" s="328"/>
      <c r="AA4" s="357"/>
      <c r="AC4" s="357"/>
      <c r="AD4" s="495"/>
      <c r="AE4" s="777" t="s">
        <v>606</v>
      </c>
      <c r="AF4" s="777" t="s">
        <v>607</v>
      </c>
      <c r="AG4" s="578"/>
      <c r="AH4" s="357"/>
      <c r="AI4" s="489"/>
      <c r="AJ4" s="489"/>
      <c r="AK4" s="613"/>
      <c r="AL4" s="613"/>
      <c r="AM4" s="613"/>
      <c r="AN4" s="613"/>
      <c r="AO4" s="613"/>
      <c r="AP4" s="768"/>
      <c r="AR4" s="638" t="s">
        <v>561</v>
      </c>
      <c r="AS4" s="613"/>
      <c r="AT4" s="488"/>
      <c r="AV4" s="638" t="s">
        <v>566</v>
      </c>
    </row>
    <row r="5" spans="1:49" s="283" customFormat="1" ht="14.25" customHeight="1">
      <c r="A5" s="279" t="str">
        <f>'ROO INPUT'!A6:C6</f>
        <v xml:space="preserve">(000'S OF DOLLARS)   </v>
      </c>
      <c r="B5" s="89"/>
      <c r="C5" s="89"/>
      <c r="D5" s="89"/>
      <c r="E5" s="389" t="s">
        <v>479</v>
      </c>
      <c r="F5" s="281"/>
      <c r="G5" s="281"/>
      <c r="H5" s="602"/>
      <c r="I5" s="489"/>
      <c r="J5" s="281"/>
      <c r="K5" s="489"/>
      <c r="L5" s="489"/>
      <c r="M5" s="281"/>
      <c r="N5" s="281"/>
      <c r="O5" s="281"/>
      <c r="P5" s="281"/>
      <c r="Q5" s="281"/>
      <c r="R5" s="505"/>
      <c r="S5" s="505"/>
      <c r="T5" s="506"/>
      <c r="U5" s="495"/>
      <c r="V5" s="506"/>
      <c r="W5" s="495"/>
      <c r="X5" s="495"/>
      <c r="Y5" s="281"/>
      <c r="Z5" s="507"/>
      <c r="AA5" s="578"/>
      <c r="AB5" s="495"/>
      <c r="AC5" s="495"/>
      <c r="AD5" s="578"/>
      <c r="AE5" s="777" t="s">
        <v>608</v>
      </c>
      <c r="AF5" s="777" t="s">
        <v>609</v>
      </c>
      <c r="AG5" s="495"/>
      <c r="AH5" s="495"/>
      <c r="AI5" s="489"/>
      <c r="AJ5" s="489"/>
      <c r="AK5" s="614"/>
      <c r="AL5" s="614"/>
      <c r="AM5" s="614"/>
      <c r="AN5" s="614"/>
      <c r="AO5" s="614"/>
      <c r="AP5" s="768"/>
      <c r="AQ5" s="578"/>
      <c r="AR5" s="637" t="s">
        <v>562</v>
      </c>
      <c r="AS5" s="613"/>
      <c r="AT5" s="578"/>
      <c r="AU5" s="281"/>
      <c r="AV5" s="637" t="s">
        <v>577</v>
      </c>
      <c r="AW5" s="281"/>
    </row>
    <row r="6" spans="1:49" s="286" customFormat="1" ht="6" customHeight="1">
      <c r="A6" s="285"/>
      <c r="D6" s="379"/>
      <c r="E6" s="379"/>
      <c r="F6" s="282"/>
      <c r="G6" s="282"/>
      <c r="H6" s="603"/>
      <c r="I6" s="280"/>
      <c r="J6" s="280"/>
      <c r="K6" s="495"/>
      <c r="L6" s="280"/>
      <c r="M6" s="280"/>
      <c r="N6" s="280"/>
      <c r="O6" s="280"/>
      <c r="P6" s="280"/>
      <c r="Q6" s="280"/>
      <c r="R6" s="495"/>
      <c r="S6" s="280"/>
      <c r="T6" s="280"/>
      <c r="U6" s="280"/>
      <c r="V6" s="514"/>
      <c r="W6" s="497"/>
      <c r="X6" s="587"/>
      <c r="Y6" s="280"/>
      <c r="Z6" s="284"/>
      <c r="AA6" s="280"/>
      <c r="AB6" s="280"/>
      <c r="AC6" s="582"/>
      <c r="AD6" s="585"/>
      <c r="AE6" s="585"/>
      <c r="AF6" s="585"/>
      <c r="AG6" s="280"/>
      <c r="AH6" s="582"/>
      <c r="AI6" s="770"/>
      <c r="AJ6" s="582"/>
      <c r="AK6" s="615"/>
      <c r="AL6" s="615"/>
      <c r="AM6" s="615"/>
      <c r="AN6" s="615"/>
      <c r="AO6" s="615"/>
      <c r="AP6" s="582"/>
      <c r="AQ6" s="280"/>
      <c r="AR6" s="639"/>
      <c r="AS6" s="582"/>
      <c r="AT6" s="280"/>
      <c r="AU6" s="280"/>
      <c r="AV6" s="639"/>
      <c r="AW6" s="585"/>
    </row>
    <row r="7" spans="1:49" s="286" customFormat="1" ht="12" customHeight="1">
      <c r="A7" s="287"/>
      <c r="B7" s="288"/>
      <c r="C7" s="289"/>
      <c r="D7" s="290"/>
      <c r="E7" s="291" t="s">
        <v>0</v>
      </c>
      <c r="F7" s="481" t="s">
        <v>1</v>
      </c>
      <c r="G7" s="481" t="s">
        <v>463</v>
      </c>
      <c r="H7" s="481" t="s">
        <v>422</v>
      </c>
      <c r="I7" s="491" t="s">
        <v>488</v>
      </c>
      <c r="J7" s="481" t="s">
        <v>2</v>
      </c>
      <c r="K7" s="481" t="s">
        <v>5</v>
      </c>
      <c r="L7" s="481" t="s">
        <v>113</v>
      </c>
      <c r="M7" s="481" t="s">
        <v>3</v>
      </c>
      <c r="N7" s="481" t="s">
        <v>4</v>
      </c>
      <c r="O7" s="481" t="s">
        <v>416</v>
      </c>
      <c r="P7" s="481" t="s">
        <v>6</v>
      </c>
      <c r="Q7" s="481" t="s">
        <v>5</v>
      </c>
      <c r="R7" s="481" t="s">
        <v>129</v>
      </c>
      <c r="S7" s="481" t="s">
        <v>434</v>
      </c>
      <c r="T7" s="498" t="s">
        <v>436</v>
      </c>
      <c r="U7" s="498" t="s">
        <v>468</v>
      </c>
      <c r="V7" s="481" t="s">
        <v>161</v>
      </c>
      <c r="W7" s="498" t="s">
        <v>5</v>
      </c>
      <c r="X7" s="274" t="s">
        <v>522</v>
      </c>
      <c r="Y7" s="274" t="s">
        <v>426</v>
      </c>
      <c r="Z7" s="508"/>
      <c r="AA7" s="579" t="s">
        <v>15</v>
      </c>
      <c r="AB7" s="625" t="s">
        <v>425</v>
      </c>
      <c r="AC7" s="481" t="s">
        <v>15</v>
      </c>
      <c r="AD7" s="481" t="s">
        <v>15</v>
      </c>
      <c r="AE7" s="481" t="s">
        <v>15</v>
      </c>
      <c r="AF7" s="481" t="s">
        <v>15</v>
      </c>
      <c r="AG7" s="481" t="s">
        <v>15</v>
      </c>
      <c r="AH7" s="481" t="s">
        <v>15</v>
      </c>
      <c r="AI7" s="481" t="s">
        <v>15</v>
      </c>
      <c r="AJ7" s="481" t="s">
        <v>15</v>
      </c>
      <c r="AK7" s="616" t="s">
        <v>425</v>
      </c>
      <c r="AL7" s="616" t="s">
        <v>425</v>
      </c>
      <c r="AM7" s="491" t="s">
        <v>425</v>
      </c>
      <c r="AN7" s="616" t="s">
        <v>425</v>
      </c>
      <c r="AO7" s="616" t="s">
        <v>425</v>
      </c>
      <c r="AP7" s="481" t="s">
        <v>15</v>
      </c>
      <c r="AQ7" s="481" t="s">
        <v>15</v>
      </c>
      <c r="AR7" s="625" t="s">
        <v>5</v>
      </c>
      <c r="AS7" s="481"/>
      <c r="AT7" s="481" t="s">
        <v>15</v>
      </c>
      <c r="AU7" s="380" t="s">
        <v>425</v>
      </c>
      <c r="AV7" s="642" t="s">
        <v>588</v>
      </c>
      <c r="AW7" s="642" t="s">
        <v>567</v>
      </c>
    </row>
    <row r="8" spans="1:49" s="286" customFormat="1">
      <c r="A8" s="292" t="s">
        <v>7</v>
      </c>
      <c r="B8" s="293"/>
      <c r="C8" s="294"/>
      <c r="D8" s="295"/>
      <c r="E8" s="362" t="s">
        <v>8</v>
      </c>
      <c r="F8" s="482" t="s">
        <v>9</v>
      </c>
      <c r="G8" s="482" t="s">
        <v>464</v>
      </c>
      <c r="H8" s="482" t="s">
        <v>132</v>
      </c>
      <c r="I8" s="492" t="s">
        <v>489</v>
      </c>
      <c r="J8" s="482" t="s">
        <v>10</v>
      </c>
      <c r="K8" s="482" t="s">
        <v>11</v>
      </c>
      <c r="L8" s="482" t="s">
        <v>12</v>
      </c>
      <c r="M8" s="482" t="s">
        <v>12</v>
      </c>
      <c r="N8" s="482" t="s">
        <v>467</v>
      </c>
      <c r="O8" s="482" t="s">
        <v>417</v>
      </c>
      <c r="P8" s="482" t="s">
        <v>14</v>
      </c>
      <c r="Q8" s="482" t="s">
        <v>130</v>
      </c>
      <c r="R8" s="482" t="s">
        <v>465</v>
      </c>
      <c r="S8" s="482" t="s">
        <v>435</v>
      </c>
      <c r="T8" s="499" t="s">
        <v>437</v>
      </c>
      <c r="U8" s="499" t="s">
        <v>469</v>
      </c>
      <c r="V8" s="515" t="s">
        <v>462</v>
      </c>
      <c r="W8" s="499" t="s">
        <v>13</v>
      </c>
      <c r="X8" s="588" t="s">
        <v>474</v>
      </c>
      <c r="Y8" s="336" t="s">
        <v>200</v>
      </c>
      <c r="Z8" s="508"/>
      <c r="AA8" s="580" t="s">
        <v>433</v>
      </c>
      <c r="AB8" s="626" t="s">
        <v>525</v>
      </c>
      <c r="AC8" s="515" t="s">
        <v>527</v>
      </c>
      <c r="AD8" s="515" t="s">
        <v>125</v>
      </c>
      <c r="AE8" s="515" t="s">
        <v>125</v>
      </c>
      <c r="AF8" s="515" t="s">
        <v>471</v>
      </c>
      <c r="AG8" s="482" t="s">
        <v>494</v>
      </c>
      <c r="AH8" s="515" t="s">
        <v>470</v>
      </c>
      <c r="AI8" s="482" t="s">
        <v>11</v>
      </c>
      <c r="AJ8" s="515" t="s">
        <v>493</v>
      </c>
      <c r="AK8" s="617" t="s">
        <v>532</v>
      </c>
      <c r="AL8" s="617" t="s">
        <v>551</v>
      </c>
      <c r="AM8" s="775" t="s">
        <v>533</v>
      </c>
      <c r="AN8" s="624" t="s">
        <v>553</v>
      </c>
      <c r="AO8" s="624" t="s">
        <v>533</v>
      </c>
      <c r="AP8" s="515" t="s">
        <v>489</v>
      </c>
      <c r="AQ8" s="482" t="s">
        <v>473</v>
      </c>
      <c r="AR8" s="640" t="s">
        <v>563</v>
      </c>
      <c r="AS8" s="515"/>
      <c r="AT8" s="482" t="s">
        <v>495</v>
      </c>
      <c r="AU8" s="660" t="s">
        <v>25</v>
      </c>
      <c r="AV8" s="658" t="s">
        <v>589</v>
      </c>
      <c r="AW8" s="643" t="s">
        <v>568</v>
      </c>
    </row>
    <row r="9" spans="1:49" s="286" customFormat="1">
      <c r="A9" s="296" t="s">
        <v>16</v>
      </c>
      <c r="B9" s="297"/>
      <c r="C9" s="298"/>
      <c r="D9" s="299" t="s">
        <v>17</v>
      </c>
      <c r="E9" s="363" t="s">
        <v>18</v>
      </c>
      <c r="F9" s="483" t="s">
        <v>19</v>
      </c>
      <c r="G9" s="483" t="s">
        <v>228</v>
      </c>
      <c r="H9" s="483"/>
      <c r="I9" s="493" t="s">
        <v>19</v>
      </c>
      <c r="J9" s="483" t="s">
        <v>21</v>
      </c>
      <c r="K9" s="483" t="s">
        <v>22</v>
      </c>
      <c r="L9" s="483"/>
      <c r="M9" s="483"/>
      <c r="N9" s="483" t="s">
        <v>23</v>
      </c>
      <c r="O9" s="483" t="s">
        <v>12</v>
      </c>
      <c r="P9" s="483" t="s">
        <v>491</v>
      </c>
      <c r="Q9" s="483" t="s">
        <v>21</v>
      </c>
      <c r="R9" s="483" t="s">
        <v>466</v>
      </c>
      <c r="S9" s="483" t="s">
        <v>114</v>
      </c>
      <c r="T9" s="500" t="s">
        <v>438</v>
      </c>
      <c r="U9" s="500" t="s">
        <v>492</v>
      </c>
      <c r="V9" s="516" t="s">
        <v>12</v>
      </c>
      <c r="W9" s="500" t="s">
        <v>24</v>
      </c>
      <c r="X9" s="589" t="s">
        <v>475</v>
      </c>
      <c r="Y9" s="465"/>
      <c r="Z9" s="509"/>
      <c r="AA9" s="581" t="s">
        <v>428</v>
      </c>
      <c r="AB9" s="627" t="s">
        <v>526</v>
      </c>
      <c r="AC9" s="483" t="s">
        <v>528</v>
      </c>
      <c r="AD9" s="516" t="s">
        <v>126</v>
      </c>
      <c r="AE9" s="516" t="s">
        <v>127</v>
      </c>
      <c r="AF9" s="516" t="s">
        <v>160</v>
      </c>
      <c r="AG9" s="483" t="s">
        <v>12</v>
      </c>
      <c r="AH9" s="483" t="s">
        <v>12</v>
      </c>
      <c r="AI9" s="483" t="s">
        <v>22</v>
      </c>
      <c r="AJ9" s="483" t="s">
        <v>442</v>
      </c>
      <c r="AK9" s="618" t="s">
        <v>534</v>
      </c>
      <c r="AL9" s="618" t="s">
        <v>552</v>
      </c>
      <c r="AM9" s="493" t="s">
        <v>535</v>
      </c>
      <c r="AN9" s="618" t="s">
        <v>554</v>
      </c>
      <c r="AO9" s="618" t="s">
        <v>541</v>
      </c>
      <c r="AP9" s="493" t="s">
        <v>451</v>
      </c>
      <c r="AQ9" s="483" t="s">
        <v>442</v>
      </c>
      <c r="AR9" s="627" t="s">
        <v>564</v>
      </c>
      <c r="AS9" s="493"/>
      <c r="AT9" s="483"/>
      <c r="AU9" s="661"/>
      <c r="AV9" s="659" t="s">
        <v>590</v>
      </c>
      <c r="AW9" s="644" t="s">
        <v>569</v>
      </c>
    </row>
    <row r="10" spans="1:49" s="286" customFormat="1">
      <c r="A10" s="285"/>
      <c r="B10" s="300" t="s">
        <v>171</v>
      </c>
      <c r="E10" s="341">
        <v>1</v>
      </c>
      <c r="F10" s="341">
        <f>E10+0.01</f>
        <v>1.01</v>
      </c>
      <c r="G10" s="341">
        <f t="shared" ref="G10" si="0">F10+0.01</f>
        <v>1.02</v>
      </c>
      <c r="H10" s="490">
        <f>G10+0.01</f>
        <v>1.03</v>
      </c>
      <c r="I10" s="494">
        <f>H10+0.01</f>
        <v>1.04</v>
      </c>
      <c r="J10" s="490">
        <v>2.0099999999999998</v>
      </c>
      <c r="K10" s="490">
        <f>J10+0.01</f>
        <v>2.0199999999999996</v>
      </c>
      <c r="L10" s="490">
        <f t="shared" ref="L10:S10" si="1">K10+0.01</f>
        <v>2.0299999999999994</v>
      </c>
      <c r="M10" s="490">
        <f t="shared" si="1"/>
        <v>2.0399999999999991</v>
      </c>
      <c r="N10" s="490">
        <f t="shared" si="1"/>
        <v>2.0499999999999989</v>
      </c>
      <c r="O10" s="490">
        <f t="shared" si="1"/>
        <v>2.0599999999999987</v>
      </c>
      <c r="P10" s="490">
        <f t="shared" si="1"/>
        <v>2.0699999999999985</v>
      </c>
      <c r="Q10" s="490">
        <f t="shared" si="1"/>
        <v>2.0799999999999983</v>
      </c>
      <c r="R10" s="490">
        <f t="shared" si="1"/>
        <v>2.0899999999999981</v>
      </c>
      <c r="S10" s="301">
        <f t="shared" si="1"/>
        <v>2.0999999999999979</v>
      </c>
      <c r="T10" s="301">
        <f t="shared" ref="T10" si="2">S10+0.01</f>
        <v>2.1099999999999977</v>
      </c>
      <c r="U10" s="301">
        <f t="shared" ref="U10" si="3">T10+0.01</f>
        <v>2.1199999999999974</v>
      </c>
      <c r="V10" s="301">
        <f t="shared" ref="V10" si="4">U10+0.01</f>
        <v>2.1299999999999972</v>
      </c>
      <c r="W10" s="301">
        <f t="shared" ref="W10" si="5">V10+0.01</f>
        <v>2.139999999999997</v>
      </c>
      <c r="X10" s="301">
        <f t="shared" ref="X10" si="6">W10+0.01</f>
        <v>2.1499999999999968</v>
      </c>
      <c r="Y10" s="280"/>
      <c r="Z10" s="284"/>
      <c r="AA10" s="301">
        <v>3.01</v>
      </c>
      <c r="AB10" s="301">
        <f>AA10+0.01</f>
        <v>3.0199999999999996</v>
      </c>
      <c r="AC10" s="301">
        <f>AB10+0.01</f>
        <v>3.0299999999999994</v>
      </c>
      <c r="AD10" s="301">
        <f>AC10+0.01</f>
        <v>3.0399999999999991</v>
      </c>
      <c r="AE10" s="301">
        <f t="shared" ref="AE10:AM10" si="7">AD10+0.01</f>
        <v>3.0499999999999989</v>
      </c>
      <c r="AF10" s="301">
        <f t="shared" si="7"/>
        <v>3.0599999999999987</v>
      </c>
      <c r="AG10" s="301">
        <f t="shared" si="7"/>
        <v>3.0699999999999985</v>
      </c>
      <c r="AH10" s="301">
        <f t="shared" si="7"/>
        <v>3.0799999999999983</v>
      </c>
      <c r="AI10" s="301">
        <f t="shared" si="7"/>
        <v>3.0899999999999981</v>
      </c>
      <c r="AJ10" s="301">
        <f t="shared" si="7"/>
        <v>3.0999999999999979</v>
      </c>
      <c r="AK10" s="301">
        <f t="shared" si="7"/>
        <v>3.1099999999999977</v>
      </c>
      <c r="AL10" s="301">
        <f t="shared" si="7"/>
        <v>3.1199999999999974</v>
      </c>
      <c r="AM10" s="301">
        <f t="shared" si="7"/>
        <v>3.1299999999999972</v>
      </c>
      <c r="AN10" s="301">
        <f t="shared" ref="AN10" si="8">AM10+0.01</f>
        <v>3.139999999999997</v>
      </c>
      <c r="AO10" s="301">
        <f t="shared" ref="AO10" si="9">AN10+0.01</f>
        <v>3.1499999999999968</v>
      </c>
      <c r="AP10" s="301">
        <f>AO10+0.01</f>
        <v>3.1599999999999966</v>
      </c>
      <c r="AQ10" s="301">
        <f>AP10+0.01</f>
        <v>3.1699999999999964</v>
      </c>
      <c r="AR10" s="641">
        <f>AQ10+0.01</f>
        <v>3.1799999999999962</v>
      </c>
      <c r="AS10" s="301"/>
      <c r="AT10" s="301">
        <f t="shared" ref="AT10" si="10">AS10+0.01</f>
        <v>0.01</v>
      </c>
      <c r="AU10" s="662"/>
      <c r="AV10" s="645" t="s">
        <v>572</v>
      </c>
      <c r="AW10" s="646" t="s">
        <v>570</v>
      </c>
    </row>
    <row r="11" spans="1:49" s="286" customFormat="1">
      <c r="A11" s="285"/>
      <c r="B11" s="300" t="s">
        <v>172</v>
      </c>
      <c r="E11" s="282" t="s">
        <v>173</v>
      </c>
      <c r="F11" s="282" t="s">
        <v>174</v>
      </c>
      <c r="G11" s="282" t="s">
        <v>175</v>
      </c>
      <c r="H11" s="280" t="s">
        <v>423</v>
      </c>
      <c r="I11" s="494" t="s">
        <v>490</v>
      </c>
      <c r="J11" s="280" t="s">
        <v>176</v>
      </c>
      <c r="K11" s="280" t="s">
        <v>420</v>
      </c>
      <c r="L11" s="280" t="s">
        <v>177</v>
      </c>
      <c r="M11" s="280" t="s">
        <v>178</v>
      </c>
      <c r="N11" s="280" t="s">
        <v>179</v>
      </c>
      <c r="O11" s="280" t="s">
        <v>180</v>
      </c>
      <c r="P11" s="280" t="s">
        <v>182</v>
      </c>
      <c r="Q11" s="280" t="s">
        <v>413</v>
      </c>
      <c r="R11" s="280" t="s">
        <v>181</v>
      </c>
      <c r="S11" s="280" t="s">
        <v>453</v>
      </c>
      <c r="T11" s="280" t="s">
        <v>439</v>
      </c>
      <c r="U11" s="282" t="s">
        <v>183</v>
      </c>
      <c r="V11" s="280" t="s">
        <v>184</v>
      </c>
      <c r="W11" s="280" t="s">
        <v>185</v>
      </c>
      <c r="X11" s="590" t="s">
        <v>523</v>
      </c>
      <c r="Y11" s="280" t="s">
        <v>414</v>
      </c>
      <c r="Z11" s="284"/>
      <c r="AA11" s="280" t="s">
        <v>441</v>
      </c>
      <c r="AB11" s="280" t="s">
        <v>530</v>
      </c>
      <c r="AC11" s="280" t="s">
        <v>529</v>
      </c>
      <c r="AD11" s="280" t="s">
        <v>186</v>
      </c>
      <c r="AE11" s="280" t="s">
        <v>187</v>
      </c>
      <c r="AF11" s="280" t="s">
        <v>188</v>
      </c>
      <c r="AG11" s="280" t="s">
        <v>498</v>
      </c>
      <c r="AH11" s="280" t="s">
        <v>496</v>
      </c>
      <c r="AI11" s="280" t="s">
        <v>421</v>
      </c>
      <c r="AJ11" s="280" t="s">
        <v>497</v>
      </c>
      <c r="AK11" s="284" t="s">
        <v>536</v>
      </c>
      <c r="AL11" s="284" t="s">
        <v>537</v>
      </c>
      <c r="AM11" s="284" t="s">
        <v>538</v>
      </c>
      <c r="AN11" s="284" t="s">
        <v>539</v>
      </c>
      <c r="AO11" s="284" t="s">
        <v>540</v>
      </c>
      <c r="AP11" s="280" t="s">
        <v>524</v>
      </c>
      <c r="AQ11" s="280" t="s">
        <v>460</v>
      </c>
      <c r="AR11" s="641" t="s">
        <v>565</v>
      </c>
      <c r="AS11" s="280"/>
      <c r="AT11" s="280"/>
      <c r="AU11" s="662" t="s">
        <v>415</v>
      </c>
      <c r="AV11" s="645" t="s">
        <v>571</v>
      </c>
      <c r="AW11" s="646" t="s">
        <v>25</v>
      </c>
    </row>
    <row r="12" spans="1:49" ht="6" customHeight="1">
      <c r="H12" s="488"/>
      <c r="I12" s="488"/>
      <c r="J12" s="488"/>
      <c r="K12" s="488"/>
      <c r="L12" s="488"/>
      <c r="M12" s="488"/>
      <c r="N12" s="488"/>
      <c r="O12" s="488"/>
      <c r="P12" s="488"/>
      <c r="Q12" s="488"/>
      <c r="R12" s="488"/>
      <c r="S12" s="488"/>
      <c r="T12" s="488"/>
      <c r="V12" s="488"/>
      <c r="Z12" s="369"/>
      <c r="AC12" s="488"/>
      <c r="AD12" s="488"/>
      <c r="AE12" s="488"/>
      <c r="AF12" s="488"/>
      <c r="AI12" s="488"/>
      <c r="AK12" s="302"/>
      <c r="AL12" s="302"/>
      <c r="AM12" s="302"/>
      <c r="AN12" s="302"/>
      <c r="AO12" s="302"/>
      <c r="AS12" s="488"/>
      <c r="AT12" s="488"/>
      <c r="AU12" s="663"/>
      <c r="AV12" s="647"/>
      <c r="AW12" s="671"/>
    </row>
    <row r="13" spans="1:49">
      <c r="B13" s="1" t="s">
        <v>32</v>
      </c>
      <c r="H13" s="488"/>
      <c r="I13" s="488"/>
      <c r="J13" s="488"/>
      <c r="K13" s="488"/>
      <c r="L13" s="488"/>
      <c r="M13" s="488"/>
      <c r="N13" s="488"/>
      <c r="O13" s="488"/>
      <c r="P13" s="488"/>
      <c r="Q13" s="488"/>
      <c r="R13" s="488"/>
      <c r="S13" s="488"/>
      <c r="T13" s="488"/>
      <c r="V13" s="488"/>
      <c r="Z13" s="369"/>
      <c r="AC13" s="488"/>
      <c r="AD13" s="488"/>
      <c r="AE13" s="488"/>
      <c r="AF13" s="488"/>
      <c r="AI13" s="488"/>
      <c r="AK13" s="302"/>
      <c r="AL13" s="302"/>
      <c r="AM13" s="302"/>
      <c r="AN13" s="302"/>
      <c r="AO13" s="302"/>
      <c r="AS13" s="488"/>
      <c r="AT13" s="488"/>
      <c r="AU13" s="663"/>
      <c r="AV13" s="647"/>
      <c r="AW13" s="671"/>
    </row>
    <row r="14" spans="1:49" s="3" customFormat="1">
      <c r="A14" s="89">
        <v>1</v>
      </c>
      <c r="B14" s="3" t="s">
        <v>33</v>
      </c>
      <c r="E14" s="364">
        <f>'ROO INPUT'!$F15</f>
        <v>142552</v>
      </c>
      <c r="F14" s="484">
        <v>0</v>
      </c>
      <c r="G14" s="484">
        <v>0</v>
      </c>
      <c r="H14" s="484">
        <v>0</v>
      </c>
      <c r="I14" s="484">
        <v>0</v>
      </c>
      <c r="J14" s="484">
        <v>-5116</v>
      </c>
      <c r="K14" s="484">
        <v>0</v>
      </c>
      <c r="L14" s="484">
        <v>0</v>
      </c>
      <c r="M14" s="484">
        <v>0</v>
      </c>
      <c r="N14" s="484">
        <v>0</v>
      </c>
      <c r="O14" s="484">
        <v>0</v>
      </c>
      <c r="P14" s="484">
        <v>0</v>
      </c>
      <c r="Q14" s="484">
        <v>0</v>
      </c>
      <c r="R14" s="484">
        <v>0</v>
      </c>
      <c r="S14" s="484">
        <v>-3931</v>
      </c>
      <c r="T14" s="484">
        <v>8060</v>
      </c>
      <c r="U14" s="484">
        <v>0</v>
      </c>
      <c r="V14" s="484">
        <v>0</v>
      </c>
      <c r="W14" s="484">
        <v>0</v>
      </c>
      <c r="X14" s="484">
        <v>0</v>
      </c>
      <c r="Y14" s="303">
        <f>SUM(E14:X14)</f>
        <v>141565</v>
      </c>
      <c r="Z14" s="510"/>
      <c r="AA14" s="484">
        <v>-41734</v>
      </c>
      <c r="AB14" s="484">
        <v>0</v>
      </c>
      <c r="AC14" s="484">
        <v>0</v>
      </c>
      <c r="AD14" s="484">
        <v>0</v>
      </c>
      <c r="AE14" s="484">
        <v>0</v>
      </c>
      <c r="AF14" s="484">
        <v>0</v>
      </c>
      <c r="AG14" s="484">
        <v>0</v>
      </c>
      <c r="AH14" s="484">
        <v>0</v>
      </c>
      <c r="AI14" s="484">
        <v>0</v>
      </c>
      <c r="AJ14" s="484">
        <v>0</v>
      </c>
      <c r="AK14" s="619">
        <v>0</v>
      </c>
      <c r="AL14" s="619">
        <v>0</v>
      </c>
      <c r="AM14" s="619">
        <v>0</v>
      </c>
      <c r="AN14" s="619">
        <v>0</v>
      </c>
      <c r="AO14" s="619">
        <v>0</v>
      </c>
      <c r="AP14" s="484">
        <v>0</v>
      </c>
      <c r="AQ14" s="484">
        <v>0</v>
      </c>
      <c r="AR14" s="484">
        <v>0</v>
      </c>
      <c r="AS14" s="484">
        <v>0</v>
      </c>
      <c r="AT14" s="484">
        <v>0</v>
      </c>
      <c r="AU14" s="664">
        <f>SUM(Y14:AT14)</f>
        <v>99831</v>
      </c>
      <c r="AV14" s="648">
        <v>0</v>
      </c>
      <c r="AW14" s="672">
        <f>SUM(AU14:AV14)</f>
        <v>99831</v>
      </c>
    </row>
    <row r="15" spans="1:49">
      <c r="A15" s="89">
        <v>2</v>
      </c>
      <c r="B15" s="4" t="s">
        <v>34</v>
      </c>
      <c r="D15" s="4"/>
      <c r="E15" s="220">
        <f>'ROO INPUT'!$F16</f>
        <v>5183</v>
      </c>
      <c r="F15" s="485">
        <v>0</v>
      </c>
      <c r="G15" s="485">
        <v>0</v>
      </c>
      <c r="H15" s="485">
        <v>0</v>
      </c>
      <c r="I15" s="485">
        <v>0</v>
      </c>
      <c r="J15" s="485">
        <v>-131</v>
      </c>
      <c r="K15" s="485">
        <v>0</v>
      </c>
      <c r="L15" s="485">
        <v>0</v>
      </c>
      <c r="M15" s="485">
        <v>0</v>
      </c>
      <c r="N15" s="485">
        <v>0</v>
      </c>
      <c r="O15" s="485">
        <v>0</v>
      </c>
      <c r="P15" s="485">
        <v>0</v>
      </c>
      <c r="Q15" s="485">
        <v>0</v>
      </c>
      <c r="R15" s="485">
        <v>0</v>
      </c>
      <c r="S15" s="485"/>
      <c r="T15" s="485">
        <v>0</v>
      </c>
      <c r="U15" s="485">
        <v>0</v>
      </c>
      <c r="V15" s="485">
        <v>0</v>
      </c>
      <c r="W15" s="485">
        <v>0</v>
      </c>
      <c r="X15" s="485">
        <v>0</v>
      </c>
      <c r="Y15" s="304">
        <f>SUM(E15:X15)</f>
        <v>5052</v>
      </c>
      <c r="Z15" s="309"/>
      <c r="AA15" s="485">
        <v>290</v>
      </c>
      <c r="AB15" s="485">
        <v>0</v>
      </c>
      <c r="AC15" s="485">
        <v>0</v>
      </c>
      <c r="AD15" s="485">
        <v>0</v>
      </c>
      <c r="AE15" s="485">
        <v>0</v>
      </c>
      <c r="AF15" s="485">
        <v>0</v>
      </c>
      <c r="AG15" s="485">
        <v>0</v>
      </c>
      <c r="AH15" s="485">
        <v>0</v>
      </c>
      <c r="AI15" s="485">
        <v>0</v>
      </c>
      <c r="AJ15" s="485">
        <v>0</v>
      </c>
      <c r="AK15" s="487">
        <v>0</v>
      </c>
      <c r="AL15" s="487">
        <v>0</v>
      </c>
      <c r="AM15" s="487">
        <v>0</v>
      </c>
      <c r="AN15" s="487">
        <v>0</v>
      </c>
      <c r="AO15" s="487">
        <v>0</v>
      </c>
      <c r="AP15" s="485">
        <v>0</v>
      </c>
      <c r="AQ15" s="485">
        <v>0</v>
      </c>
      <c r="AR15" s="485">
        <v>0</v>
      </c>
      <c r="AS15" s="485">
        <v>0</v>
      </c>
      <c r="AT15" s="485">
        <v>0</v>
      </c>
      <c r="AU15" s="665">
        <f>SUM(Y15:AT15)</f>
        <v>5342</v>
      </c>
      <c r="AV15" s="649">
        <v>0</v>
      </c>
      <c r="AW15" s="673">
        <f>SUM(AU15:AV15)</f>
        <v>5342</v>
      </c>
    </row>
    <row r="16" spans="1:49">
      <c r="A16" s="89">
        <v>3</v>
      </c>
      <c r="B16" s="4" t="s">
        <v>35</v>
      </c>
      <c r="D16" s="4"/>
      <c r="E16" s="222">
        <f>'ROO INPUT'!$F17</f>
        <v>60090</v>
      </c>
      <c r="F16" s="486">
        <v>0</v>
      </c>
      <c r="G16" s="486">
        <v>0</v>
      </c>
      <c r="H16" s="486">
        <v>0</v>
      </c>
      <c r="I16" s="486">
        <v>0</v>
      </c>
      <c r="J16" s="486">
        <v>0</v>
      </c>
      <c r="K16" s="486">
        <v>0</v>
      </c>
      <c r="L16" s="486">
        <v>0</v>
      </c>
      <c r="M16" s="486">
        <v>0</v>
      </c>
      <c r="N16" s="486">
        <v>0</v>
      </c>
      <c r="O16" s="486">
        <v>0</v>
      </c>
      <c r="P16" s="486">
        <v>0</v>
      </c>
      <c r="Q16" s="486">
        <v>0</v>
      </c>
      <c r="R16" s="486">
        <v>0</v>
      </c>
      <c r="S16" s="486">
        <v>2095</v>
      </c>
      <c r="T16" s="486">
        <v>-59974</v>
      </c>
      <c r="U16" s="486">
        <v>-444</v>
      </c>
      <c r="V16" s="486">
        <v>0</v>
      </c>
      <c r="W16" s="486">
        <v>0</v>
      </c>
      <c r="X16" s="486">
        <v>0</v>
      </c>
      <c r="Y16" s="305">
        <f>SUM(E16:X16)</f>
        <v>1767</v>
      </c>
      <c r="Z16" s="309"/>
      <c r="AA16" s="486">
        <f>-1188+35</f>
        <v>-1153</v>
      </c>
      <c r="AB16" s="486">
        <v>0</v>
      </c>
      <c r="AC16" s="486">
        <v>0</v>
      </c>
      <c r="AD16" s="486">
        <v>0</v>
      </c>
      <c r="AE16" s="486">
        <v>0</v>
      </c>
      <c r="AF16" s="486">
        <v>0</v>
      </c>
      <c r="AG16" s="486">
        <v>0</v>
      </c>
      <c r="AH16" s="486">
        <v>0</v>
      </c>
      <c r="AI16" s="486">
        <v>0</v>
      </c>
      <c r="AJ16" s="486">
        <v>0</v>
      </c>
      <c r="AK16" s="486">
        <v>0</v>
      </c>
      <c r="AL16" s="486">
        <v>0</v>
      </c>
      <c r="AM16" s="486">
        <v>0</v>
      </c>
      <c r="AN16" s="486">
        <v>0</v>
      </c>
      <c r="AO16" s="486">
        <v>0</v>
      </c>
      <c r="AP16" s="486">
        <v>0</v>
      </c>
      <c r="AQ16" s="486">
        <v>0</v>
      </c>
      <c r="AR16" s="486">
        <v>0</v>
      </c>
      <c r="AS16" s="486">
        <v>0</v>
      </c>
      <c r="AT16" s="486">
        <v>0</v>
      </c>
      <c r="AU16" s="666">
        <f>SUM(Y16:AT16)</f>
        <v>614</v>
      </c>
      <c r="AV16" s="650">
        <v>0</v>
      </c>
      <c r="AW16" s="674">
        <f>SUM(AU16:AV16)</f>
        <v>614</v>
      </c>
    </row>
    <row r="17" spans="1:49">
      <c r="A17" s="89">
        <v>4</v>
      </c>
      <c r="B17" s="1" t="s">
        <v>36</v>
      </c>
      <c r="C17" s="4"/>
      <c r="D17" s="4"/>
      <c r="E17" s="220">
        <f>SUM(E14:E16)</f>
        <v>207825</v>
      </c>
      <c r="F17" s="220">
        <f t="shared" ref="F17:O17" si="11">SUM(F14:F16)</f>
        <v>0</v>
      </c>
      <c r="G17" s="220">
        <f t="shared" si="11"/>
        <v>0</v>
      </c>
      <c r="H17" s="268">
        <f t="shared" si="11"/>
        <v>0</v>
      </c>
      <c r="I17" s="268">
        <f t="shared" ref="I17" si="12">SUM(I14:I16)</f>
        <v>0</v>
      </c>
      <c r="J17" s="268">
        <f t="shared" si="11"/>
        <v>-5247</v>
      </c>
      <c r="K17" s="268">
        <f>SUM(K14:K16)</f>
        <v>0</v>
      </c>
      <c r="L17" s="268">
        <f t="shared" si="11"/>
        <v>0</v>
      </c>
      <c r="M17" s="268">
        <f t="shared" si="11"/>
        <v>0</v>
      </c>
      <c r="N17" s="268">
        <f t="shared" si="11"/>
        <v>0</v>
      </c>
      <c r="O17" s="268">
        <f t="shared" si="11"/>
        <v>0</v>
      </c>
      <c r="P17" s="268">
        <f t="shared" ref="P17:Q17" si="13">SUM(P14:P16)</f>
        <v>0</v>
      </c>
      <c r="Q17" s="268">
        <f t="shared" si="13"/>
        <v>0</v>
      </c>
      <c r="R17" s="268">
        <f t="shared" ref="R17" si="14">SUM(R14:R16)</f>
        <v>0</v>
      </c>
      <c r="S17" s="268">
        <f>SUM(S14:S16)</f>
        <v>-1836</v>
      </c>
      <c r="T17" s="268">
        <f>SUM(T14:T16)</f>
        <v>-51914</v>
      </c>
      <c r="U17" s="220">
        <f t="shared" ref="U17" si="15">SUM(U14:U16)</f>
        <v>-444</v>
      </c>
      <c r="V17" s="268">
        <f>SUM(V14:V16)</f>
        <v>0</v>
      </c>
      <c r="W17" s="268">
        <f t="shared" ref="W17" si="16">SUM(W14:W16)</f>
        <v>0</v>
      </c>
      <c r="X17" s="268">
        <f>SUM(X14:X16)</f>
        <v>0</v>
      </c>
      <c r="Y17" s="304">
        <f>SUM(Y14:Y16)</f>
        <v>148384</v>
      </c>
      <c r="Z17" s="309"/>
      <c r="AA17" s="268">
        <f>SUM(AA14:AA16)</f>
        <v>-42597</v>
      </c>
      <c r="AB17" s="268">
        <f>SUM(AB14:AB16)</f>
        <v>0</v>
      </c>
      <c r="AC17" s="268">
        <f>SUM(AC14:AC16)</f>
        <v>0</v>
      </c>
      <c r="AD17" s="268">
        <f>SUM(AD14:AD16)</f>
        <v>0</v>
      </c>
      <c r="AE17" s="268">
        <f t="shared" ref="AE17:AG17" si="17">SUM(AE14:AE16)</f>
        <v>0</v>
      </c>
      <c r="AF17" s="268">
        <f t="shared" si="17"/>
        <v>0</v>
      </c>
      <c r="AG17" s="268">
        <f t="shared" si="17"/>
        <v>0</v>
      </c>
      <c r="AH17" s="268">
        <f>SUM(AH14:AH16)</f>
        <v>0</v>
      </c>
      <c r="AI17" s="268">
        <f t="shared" ref="AI17:AJ17" si="18">SUM(AI14:AI16)</f>
        <v>0</v>
      </c>
      <c r="AJ17" s="268">
        <f t="shared" si="18"/>
        <v>0</v>
      </c>
      <c r="AK17" s="503">
        <f>SUM(AK14:AK16)</f>
        <v>0</v>
      </c>
      <c r="AL17" s="503">
        <f>SUM(AL14:AL16)</f>
        <v>0</v>
      </c>
      <c r="AM17" s="503">
        <f>SUM(AM14:AM16)</f>
        <v>0</v>
      </c>
      <c r="AN17" s="503">
        <f t="shared" ref="AN17:AO17" si="19">SUM(AN14:AN16)</f>
        <v>0</v>
      </c>
      <c r="AO17" s="503">
        <f t="shared" si="19"/>
        <v>0</v>
      </c>
      <c r="AP17" s="268">
        <f t="shared" ref="AP17" si="20">SUM(AP14:AP16)</f>
        <v>0</v>
      </c>
      <c r="AQ17" s="268">
        <f>SUM(AQ14:AQ16)</f>
        <v>0</v>
      </c>
      <c r="AR17" s="268">
        <f>SUM(AR14:AR16)</f>
        <v>0</v>
      </c>
      <c r="AS17" s="268">
        <f t="shared" ref="AS17" si="21">SUM(AS14:AS16)</f>
        <v>0</v>
      </c>
      <c r="AT17" s="268">
        <f t="shared" ref="AT17" si="22">SUM(AT14:AT16)</f>
        <v>0</v>
      </c>
      <c r="AU17" s="665">
        <f t="shared" ref="AU17:AW17" si="23">SUM(AU14:AU16)</f>
        <v>105787</v>
      </c>
      <c r="AV17" s="651">
        <f>SUM(AV14:AV16)</f>
        <v>0</v>
      </c>
      <c r="AW17" s="673">
        <f t="shared" si="23"/>
        <v>105787</v>
      </c>
    </row>
    <row r="18" spans="1:49" ht="7.5" customHeight="1">
      <c r="C18" s="4"/>
      <c r="D18" s="4"/>
      <c r="E18" s="220"/>
      <c r="F18" s="485"/>
      <c r="G18" s="485"/>
      <c r="H18" s="485"/>
      <c r="I18" s="485"/>
      <c r="J18" s="485"/>
      <c r="K18" s="485"/>
      <c r="L18" s="485"/>
      <c r="M18" s="485"/>
      <c r="N18" s="485"/>
      <c r="O18" s="485"/>
      <c r="P18" s="485"/>
      <c r="Q18" s="485"/>
      <c r="R18" s="485"/>
      <c r="S18" s="485"/>
      <c r="T18" s="485"/>
      <c r="U18" s="485"/>
      <c r="V18" s="485"/>
      <c r="W18" s="485"/>
      <c r="X18" s="485"/>
      <c r="Y18" s="304"/>
      <c r="Z18" s="309"/>
      <c r="AA18" s="485"/>
      <c r="AB18" s="485"/>
      <c r="AC18" s="485"/>
      <c r="AD18" s="485"/>
      <c r="AE18" s="485"/>
      <c r="AF18" s="485"/>
      <c r="AG18" s="485"/>
      <c r="AH18" s="485"/>
      <c r="AI18" s="485"/>
      <c r="AJ18" s="485"/>
      <c r="AK18" s="487"/>
      <c r="AL18" s="487"/>
      <c r="AM18" s="487"/>
      <c r="AN18" s="487"/>
      <c r="AO18" s="487"/>
      <c r="AP18" s="485"/>
      <c r="AQ18" s="485"/>
      <c r="AR18" s="485"/>
      <c r="AS18" s="485"/>
      <c r="AT18" s="485"/>
      <c r="AU18" s="665"/>
      <c r="AV18" s="649"/>
      <c r="AW18" s="673"/>
    </row>
    <row r="19" spans="1:49">
      <c r="B19" s="1" t="s">
        <v>37</v>
      </c>
      <c r="C19" s="4"/>
      <c r="D19" s="4"/>
      <c r="E19" s="220"/>
      <c r="F19" s="485"/>
      <c r="G19" s="485"/>
      <c r="H19" s="485"/>
      <c r="I19" s="485"/>
      <c r="J19" s="485"/>
      <c r="K19" s="485"/>
      <c r="L19" s="485"/>
      <c r="M19" s="485"/>
      <c r="N19" s="485"/>
      <c r="O19" s="485"/>
      <c r="P19" s="485"/>
      <c r="Q19" s="485"/>
      <c r="R19" s="485"/>
      <c r="S19" s="485"/>
      <c r="T19" s="485"/>
      <c r="U19" s="485"/>
      <c r="V19" s="485"/>
      <c r="W19" s="485"/>
      <c r="X19" s="485"/>
      <c r="Y19" s="304"/>
      <c r="Z19" s="309"/>
      <c r="AA19" s="485"/>
      <c r="AB19" s="485"/>
      <c r="AC19" s="485"/>
      <c r="AD19" s="485"/>
      <c r="AE19" s="485"/>
      <c r="AF19" s="485"/>
      <c r="AG19" s="485"/>
      <c r="AH19" s="485"/>
      <c r="AI19" s="485"/>
      <c r="AJ19" s="485"/>
      <c r="AK19" s="487"/>
      <c r="AL19" s="487"/>
      <c r="AM19" s="487"/>
      <c r="AN19" s="487"/>
      <c r="AO19" s="487"/>
      <c r="AP19" s="485"/>
      <c r="AQ19" s="485"/>
      <c r="AR19" s="485"/>
      <c r="AS19" s="485"/>
      <c r="AT19" s="485"/>
      <c r="AU19" s="665"/>
      <c r="AV19" s="649"/>
      <c r="AW19" s="673"/>
    </row>
    <row r="20" spans="1:49">
      <c r="B20" s="4" t="s">
        <v>193</v>
      </c>
      <c r="D20" s="4"/>
      <c r="E20" s="220"/>
      <c r="F20" s="485"/>
      <c r="G20" s="485"/>
      <c r="H20" s="485"/>
      <c r="I20" s="485"/>
      <c r="J20" s="485"/>
      <c r="K20" s="485"/>
      <c r="L20" s="485"/>
      <c r="M20" s="485"/>
      <c r="N20" s="485"/>
      <c r="O20" s="485"/>
      <c r="P20" s="485"/>
      <c r="Q20" s="485"/>
      <c r="R20" s="485"/>
      <c r="S20" s="485"/>
      <c r="T20" s="485"/>
      <c r="U20" s="485"/>
      <c r="V20" s="485"/>
      <c r="W20" s="485"/>
      <c r="X20" s="485"/>
      <c r="Y20" s="304"/>
      <c r="Z20" s="309"/>
      <c r="AA20" s="485"/>
      <c r="AB20" s="485"/>
      <c r="AC20" s="485"/>
      <c r="AD20" s="485"/>
      <c r="AE20" s="485"/>
      <c r="AF20" s="485"/>
      <c r="AG20" s="485"/>
      <c r="AH20" s="485"/>
      <c r="AI20" s="485"/>
      <c r="AJ20" s="485"/>
      <c r="AK20" s="487"/>
      <c r="AL20" s="487"/>
      <c r="AM20" s="487"/>
      <c r="AN20" s="487"/>
      <c r="AO20" s="487"/>
      <c r="AP20" s="485"/>
      <c r="AQ20" s="485"/>
      <c r="AR20" s="485"/>
      <c r="AS20" s="485"/>
      <c r="AT20" s="485"/>
      <c r="AU20" s="665"/>
      <c r="AV20" s="649"/>
      <c r="AW20" s="673"/>
    </row>
    <row r="21" spans="1:49">
      <c r="A21" s="89">
        <v>5</v>
      </c>
      <c r="C21" s="4" t="s">
        <v>38</v>
      </c>
      <c r="D21" s="4"/>
      <c r="E21" s="220">
        <f>'ROO INPUT'!$F22</f>
        <v>100541</v>
      </c>
      <c r="F21" s="485">
        <v>0</v>
      </c>
      <c r="G21" s="485">
        <v>0</v>
      </c>
      <c r="H21" s="485">
        <v>0</v>
      </c>
      <c r="I21" s="485">
        <v>0</v>
      </c>
      <c r="J21" s="485">
        <v>0</v>
      </c>
      <c r="K21" s="485">
        <v>0</v>
      </c>
      <c r="L21" s="485">
        <v>0</v>
      </c>
      <c r="M21" s="485">
        <v>0</v>
      </c>
      <c r="N21" s="485">
        <v>0</v>
      </c>
      <c r="O21" s="485">
        <v>0</v>
      </c>
      <c r="P21" s="485">
        <v>0</v>
      </c>
      <c r="Q21" s="485">
        <v>0</v>
      </c>
      <c r="R21" s="485">
        <v>0</v>
      </c>
      <c r="S21" s="485">
        <v>-1655</v>
      </c>
      <c r="T21" s="485">
        <v>-47738</v>
      </c>
      <c r="U21" s="485">
        <v>0</v>
      </c>
      <c r="V21" s="485">
        <v>0</v>
      </c>
      <c r="W21" s="485">
        <v>0</v>
      </c>
      <c r="X21" s="485">
        <v>0</v>
      </c>
      <c r="Y21" s="304">
        <f>SUM(E21:X21)</f>
        <v>51148</v>
      </c>
      <c r="Z21" s="309"/>
      <c r="AA21" s="485">
        <v>-51148</v>
      </c>
      <c r="AB21" s="485">
        <v>0</v>
      </c>
      <c r="AC21" s="485">
        <v>0</v>
      </c>
      <c r="AD21" s="485">
        <v>0</v>
      </c>
      <c r="AE21" s="485">
        <v>0</v>
      </c>
      <c r="AF21" s="485">
        <v>0</v>
      </c>
      <c r="AG21" s="485">
        <v>0</v>
      </c>
      <c r="AH21" s="485">
        <v>0</v>
      </c>
      <c r="AI21" s="485">
        <v>0</v>
      </c>
      <c r="AJ21" s="485">
        <v>0</v>
      </c>
      <c r="AK21" s="487">
        <v>0</v>
      </c>
      <c r="AL21" s="487">
        <v>0</v>
      </c>
      <c r="AM21" s="487">
        <v>0</v>
      </c>
      <c r="AN21" s="487">
        <v>0</v>
      </c>
      <c r="AO21" s="487">
        <v>0</v>
      </c>
      <c r="AP21" s="485">
        <v>0</v>
      </c>
      <c r="AQ21" s="485">
        <v>0</v>
      </c>
      <c r="AR21" s="485">
        <v>0</v>
      </c>
      <c r="AS21" s="485">
        <v>0</v>
      </c>
      <c r="AT21" s="485">
        <v>0</v>
      </c>
      <c r="AU21" s="665">
        <f>SUM(Y21:AT21)</f>
        <v>0</v>
      </c>
      <c r="AV21" s="649">
        <v>0</v>
      </c>
      <c r="AW21" s="673">
        <f>SUM(AU21:AV21)</f>
        <v>0</v>
      </c>
    </row>
    <row r="22" spans="1:49">
      <c r="A22" s="89">
        <v>6</v>
      </c>
      <c r="C22" s="4" t="s">
        <v>39</v>
      </c>
      <c r="D22" s="4"/>
      <c r="E22" s="220">
        <f>'ROO INPUT'!$F23</f>
        <v>959</v>
      </c>
      <c r="F22" s="485">
        <v>0</v>
      </c>
      <c r="G22" s="485">
        <v>0</v>
      </c>
      <c r="H22" s="485">
        <v>0</v>
      </c>
      <c r="I22" s="485">
        <v>0</v>
      </c>
      <c r="J22" s="485">
        <v>0</v>
      </c>
      <c r="K22" s="485">
        <v>0</v>
      </c>
      <c r="L22" s="485">
        <v>0</v>
      </c>
      <c r="M22" s="485">
        <v>0</v>
      </c>
      <c r="N22" s="485">
        <v>0</v>
      </c>
      <c r="O22" s="485">
        <v>0</v>
      </c>
      <c r="P22" s="485">
        <v>0</v>
      </c>
      <c r="Q22" s="485">
        <v>0</v>
      </c>
      <c r="R22" s="485">
        <v>0</v>
      </c>
      <c r="S22" s="485">
        <v>-3</v>
      </c>
      <c r="T22" s="485">
        <v>0</v>
      </c>
      <c r="U22" s="485">
        <v>0</v>
      </c>
      <c r="V22" s="485">
        <v>0</v>
      </c>
      <c r="W22" s="485">
        <v>0</v>
      </c>
      <c r="X22" s="485">
        <v>0</v>
      </c>
      <c r="Y22" s="304">
        <f>SUM(E22:X22)</f>
        <v>956</v>
      </c>
      <c r="Z22" s="309"/>
      <c r="AA22" s="485">
        <v>0</v>
      </c>
      <c r="AB22" s="485">
        <v>0</v>
      </c>
      <c r="AC22" s="485">
        <v>0</v>
      </c>
      <c r="AD22" s="485">
        <v>30</v>
      </c>
      <c r="AE22" s="485">
        <v>0</v>
      </c>
      <c r="AF22" s="485">
        <v>11</v>
      </c>
      <c r="AG22" s="485">
        <v>0</v>
      </c>
      <c r="AH22" s="485">
        <v>0</v>
      </c>
      <c r="AI22" s="485">
        <v>0</v>
      </c>
      <c r="AJ22" s="485">
        <v>0</v>
      </c>
      <c r="AK22" s="487">
        <v>0</v>
      </c>
      <c r="AL22" s="487">
        <v>0</v>
      </c>
      <c r="AM22" s="487">
        <v>0</v>
      </c>
      <c r="AN22" s="487">
        <v>0</v>
      </c>
      <c r="AO22" s="487">
        <v>0</v>
      </c>
      <c r="AP22" s="485">
        <v>0</v>
      </c>
      <c r="AQ22" s="485">
        <v>0</v>
      </c>
      <c r="AR22" s="485">
        <v>0</v>
      </c>
      <c r="AS22" s="485">
        <v>0</v>
      </c>
      <c r="AT22" s="485">
        <v>0</v>
      </c>
      <c r="AU22" s="665">
        <f>SUM(Y22:AT22)</f>
        <v>997</v>
      </c>
      <c r="AV22" s="649">
        <v>0</v>
      </c>
      <c r="AW22" s="673">
        <f>SUM(AU22:AV22)</f>
        <v>997</v>
      </c>
    </row>
    <row r="23" spans="1:49">
      <c r="A23" s="89">
        <v>7</v>
      </c>
      <c r="C23" s="4" t="s">
        <v>40</v>
      </c>
      <c r="D23" s="4"/>
      <c r="E23" s="222">
        <f>'ROO INPUT'!$F24</f>
        <v>-1928</v>
      </c>
      <c r="F23" s="486">
        <v>0</v>
      </c>
      <c r="G23" s="486">
        <v>0</v>
      </c>
      <c r="H23" s="486">
        <v>0</v>
      </c>
      <c r="I23" s="486">
        <v>0</v>
      </c>
      <c r="J23" s="486">
        <v>0</v>
      </c>
      <c r="K23" s="486">
        <v>0</v>
      </c>
      <c r="L23" s="486">
        <v>0</v>
      </c>
      <c r="M23" s="486">
        <v>0</v>
      </c>
      <c r="N23" s="486">
        <v>0</v>
      </c>
      <c r="O23" s="486">
        <v>0</v>
      </c>
      <c r="P23" s="486">
        <v>0</v>
      </c>
      <c r="Q23" s="486">
        <v>0</v>
      </c>
      <c r="R23" s="486">
        <v>0</v>
      </c>
      <c r="S23" s="486">
        <v>0</v>
      </c>
      <c r="T23" s="486">
        <v>1928</v>
      </c>
      <c r="U23" s="486">
        <v>0</v>
      </c>
      <c r="V23" s="486">
        <v>0</v>
      </c>
      <c r="W23" s="486">
        <v>0</v>
      </c>
      <c r="X23" s="486">
        <v>0</v>
      </c>
      <c r="Y23" s="305">
        <f>SUM(E23:X23)</f>
        <v>0</v>
      </c>
      <c r="Z23" s="309"/>
      <c r="AA23" s="486">
        <v>0</v>
      </c>
      <c r="AB23" s="486">
        <v>0</v>
      </c>
      <c r="AC23" s="486">
        <v>0</v>
      </c>
      <c r="AD23" s="486"/>
      <c r="AE23" s="486">
        <v>0</v>
      </c>
      <c r="AF23" s="486">
        <v>0</v>
      </c>
      <c r="AG23" s="486">
        <v>0</v>
      </c>
      <c r="AH23" s="486">
        <v>0</v>
      </c>
      <c r="AI23" s="486">
        <v>0</v>
      </c>
      <c r="AJ23" s="486">
        <v>0</v>
      </c>
      <c r="AK23" s="486">
        <v>0</v>
      </c>
      <c r="AL23" s="486">
        <v>0</v>
      </c>
      <c r="AM23" s="486">
        <v>0</v>
      </c>
      <c r="AN23" s="486">
        <v>0</v>
      </c>
      <c r="AO23" s="486">
        <v>0</v>
      </c>
      <c r="AP23" s="486">
        <v>0</v>
      </c>
      <c r="AQ23" s="486">
        <v>0</v>
      </c>
      <c r="AR23" s="486">
        <v>0</v>
      </c>
      <c r="AS23" s="486">
        <v>0</v>
      </c>
      <c r="AT23" s="486">
        <v>0</v>
      </c>
      <c r="AU23" s="666">
        <f>SUM(Y23:AT23)</f>
        <v>0</v>
      </c>
      <c r="AV23" s="650">
        <v>0</v>
      </c>
      <c r="AW23" s="674">
        <f>SUM(AU23:AV23)</f>
        <v>0</v>
      </c>
    </row>
    <row r="24" spans="1:49">
      <c r="A24" s="89">
        <v>8</v>
      </c>
      <c r="B24" s="4" t="s">
        <v>41</v>
      </c>
      <c r="C24" s="4"/>
      <c r="E24" s="268">
        <f>SUM(E21:E23)</f>
        <v>99572</v>
      </c>
      <c r="F24" s="268">
        <f t="shared" ref="F24:O24" si="24">SUM(F21:F23)</f>
        <v>0</v>
      </c>
      <c r="G24" s="268">
        <f t="shared" si="24"/>
        <v>0</v>
      </c>
      <c r="H24" s="268">
        <f t="shared" si="24"/>
        <v>0</v>
      </c>
      <c r="I24" s="268">
        <f t="shared" ref="I24" si="25">SUM(I21:I23)</f>
        <v>0</v>
      </c>
      <c r="J24" s="268">
        <f t="shared" si="24"/>
        <v>0</v>
      </c>
      <c r="K24" s="268">
        <f>SUM(K21:K23)</f>
        <v>0</v>
      </c>
      <c r="L24" s="268">
        <f t="shared" si="24"/>
        <v>0</v>
      </c>
      <c r="M24" s="268">
        <f t="shared" si="24"/>
        <v>0</v>
      </c>
      <c r="N24" s="268">
        <f t="shared" si="24"/>
        <v>0</v>
      </c>
      <c r="O24" s="268">
        <f t="shared" si="24"/>
        <v>0</v>
      </c>
      <c r="P24" s="268">
        <f t="shared" ref="P24:Q24" si="26">SUM(P21:P23)</f>
        <v>0</v>
      </c>
      <c r="Q24" s="268">
        <f t="shared" si="26"/>
        <v>0</v>
      </c>
      <c r="R24" s="268">
        <f>SUM(R21:R23)</f>
        <v>0</v>
      </c>
      <c r="S24" s="268">
        <f>SUM(S21:S23)</f>
        <v>-1658</v>
      </c>
      <c r="T24" s="268">
        <f>SUM(T21:T23)</f>
        <v>-45810</v>
      </c>
      <c r="U24" s="268">
        <f t="shared" ref="U24" si="27">SUM(U21:U23)</f>
        <v>0</v>
      </c>
      <c r="V24" s="268">
        <f t="shared" ref="V24:AA24" si="28">SUM(V21:V23)</f>
        <v>0</v>
      </c>
      <c r="W24" s="268">
        <f t="shared" si="28"/>
        <v>0</v>
      </c>
      <c r="X24" s="268">
        <f t="shared" si="28"/>
        <v>0</v>
      </c>
      <c r="Y24" s="304">
        <f t="shared" si="28"/>
        <v>52104</v>
      </c>
      <c r="Z24" s="309"/>
      <c r="AA24" s="268">
        <f t="shared" si="28"/>
        <v>-51148</v>
      </c>
      <c r="AB24" s="268">
        <f t="shared" ref="AB24" si="29">SUM(AB21:AB23)</f>
        <v>0</v>
      </c>
      <c r="AC24" s="268">
        <f>SUM(AC21:AC23)</f>
        <v>0</v>
      </c>
      <c r="AD24" s="268">
        <f t="shared" ref="AD24" si="30">SUM(AD21:AD23)</f>
        <v>30</v>
      </c>
      <c r="AE24" s="268">
        <f t="shared" ref="AE24" si="31">SUM(AE21:AE23)</f>
        <v>0</v>
      </c>
      <c r="AF24" s="268">
        <f>SUM(AF21:AF23)</f>
        <v>11</v>
      </c>
      <c r="AG24" s="268">
        <f t="shared" ref="AG24" si="32">SUM(AG21:AG23)</f>
        <v>0</v>
      </c>
      <c r="AH24" s="268">
        <f>SUM(AH21:AH23)</f>
        <v>0</v>
      </c>
      <c r="AI24" s="268">
        <f t="shared" ref="AI24:AJ24" si="33">SUM(AI21:AI23)</f>
        <v>0</v>
      </c>
      <c r="AJ24" s="268">
        <f t="shared" si="33"/>
        <v>0</v>
      </c>
      <c r="AK24" s="503">
        <f>SUM(AK21:AK23)</f>
        <v>0</v>
      </c>
      <c r="AL24" s="503">
        <f>SUM(AL21:AL23)</f>
        <v>0</v>
      </c>
      <c r="AM24" s="503">
        <f>SUM(AM21:AM23)</f>
        <v>0</v>
      </c>
      <c r="AN24" s="503">
        <f t="shared" ref="AN24:AO24" si="34">SUM(AN21:AN23)</f>
        <v>0</v>
      </c>
      <c r="AO24" s="503">
        <f t="shared" si="34"/>
        <v>0</v>
      </c>
      <c r="AP24" s="268">
        <f t="shared" ref="AP24" si="35">SUM(AP21:AP23)</f>
        <v>0</v>
      </c>
      <c r="AQ24" s="268">
        <f>SUM(AQ21:AQ23)</f>
        <v>0</v>
      </c>
      <c r="AR24" s="268">
        <f>SUM(AR21:AR23)</f>
        <v>0</v>
      </c>
      <c r="AS24" s="268">
        <f t="shared" ref="AS24" si="36">SUM(AS21:AS23)</f>
        <v>0</v>
      </c>
      <c r="AT24" s="268">
        <f t="shared" ref="AT24" si="37">SUM(AT21:AT23)</f>
        <v>0</v>
      </c>
      <c r="AU24" s="665">
        <f t="shared" ref="AU24:AW24" si="38">SUM(AU21:AU23)</f>
        <v>997</v>
      </c>
      <c r="AV24" s="651">
        <f>SUM(AV21:AV23)</f>
        <v>0</v>
      </c>
      <c r="AW24" s="673">
        <f t="shared" si="38"/>
        <v>997</v>
      </c>
    </row>
    <row r="25" spans="1:49" ht="9" customHeight="1">
      <c r="B25" s="4"/>
      <c r="C25" s="4"/>
      <c r="E25" s="220"/>
      <c r="F25" s="220"/>
      <c r="G25" s="220"/>
      <c r="H25" s="268"/>
      <c r="I25" s="268"/>
      <c r="J25" s="268"/>
      <c r="K25" s="268"/>
      <c r="L25" s="268"/>
      <c r="M25" s="268"/>
      <c r="N25" s="268"/>
      <c r="O25" s="268"/>
      <c r="P25" s="268"/>
      <c r="Q25" s="268"/>
      <c r="R25" s="268"/>
      <c r="S25" s="268"/>
      <c r="T25" s="268"/>
      <c r="U25" s="220"/>
      <c r="V25" s="268"/>
      <c r="W25" s="268"/>
      <c r="X25" s="268"/>
      <c r="Y25" s="304"/>
      <c r="Z25" s="309"/>
      <c r="AA25" s="268"/>
      <c r="AB25" s="268"/>
      <c r="AC25" s="268"/>
      <c r="AD25" s="268"/>
      <c r="AE25" s="268"/>
      <c r="AF25" s="268"/>
      <c r="AG25" s="268"/>
      <c r="AH25" s="268"/>
      <c r="AI25" s="268"/>
      <c r="AJ25" s="268"/>
      <c r="AK25" s="503"/>
      <c r="AL25" s="503"/>
      <c r="AM25" s="503"/>
      <c r="AN25" s="503"/>
      <c r="AO25" s="503"/>
      <c r="AP25" s="268"/>
      <c r="AQ25" s="268"/>
      <c r="AR25" s="268"/>
      <c r="AS25" s="268"/>
      <c r="AT25" s="268"/>
      <c r="AU25" s="665"/>
      <c r="AV25" s="651"/>
      <c r="AW25" s="673"/>
    </row>
    <row r="26" spans="1:49">
      <c r="B26" s="4" t="s">
        <v>42</v>
      </c>
      <c r="D26" s="4"/>
      <c r="E26" s="220"/>
      <c r="F26" s="485"/>
      <c r="G26" s="485"/>
      <c r="H26" s="485"/>
      <c r="I26" s="485"/>
      <c r="J26" s="485"/>
      <c r="K26" s="485"/>
      <c r="L26" s="485"/>
      <c r="M26" s="485"/>
      <c r="N26" s="485"/>
      <c r="O26" s="485"/>
      <c r="P26" s="485"/>
      <c r="Q26" s="485"/>
      <c r="R26" s="485"/>
      <c r="S26" s="485"/>
      <c r="T26" s="485"/>
      <c r="U26" s="485"/>
      <c r="V26" s="485"/>
      <c r="W26" s="485"/>
      <c r="X26" s="485"/>
      <c r="Y26" s="304"/>
      <c r="Z26" s="309"/>
      <c r="AA26" s="485"/>
      <c r="AB26" s="485"/>
      <c r="AC26" s="485"/>
      <c r="AD26" s="485"/>
      <c r="AE26" s="485"/>
      <c r="AF26" s="485"/>
      <c r="AG26" s="485"/>
      <c r="AH26" s="485"/>
      <c r="AI26" s="485"/>
      <c r="AJ26" s="485"/>
      <c r="AK26" s="487"/>
      <c r="AL26" s="487"/>
      <c r="AM26" s="487"/>
      <c r="AN26" s="487"/>
      <c r="AO26" s="487"/>
      <c r="AP26" s="485"/>
      <c r="AQ26" s="485"/>
      <c r="AR26" s="485"/>
      <c r="AS26" s="485"/>
      <c r="AT26" s="485"/>
      <c r="AU26" s="665"/>
      <c r="AV26" s="649"/>
      <c r="AW26" s="673"/>
    </row>
    <row r="27" spans="1:49">
      <c r="A27" s="89">
        <v>9</v>
      </c>
      <c r="C27" s="4" t="s">
        <v>43</v>
      </c>
      <c r="D27" s="4"/>
      <c r="E27" s="220">
        <f>'ROO INPUT'!$F28</f>
        <v>1883</v>
      </c>
      <c r="F27" s="485">
        <v>0</v>
      </c>
      <c r="G27" s="485">
        <v>0</v>
      </c>
      <c r="H27" s="485">
        <v>0</v>
      </c>
      <c r="I27" s="485">
        <v>0</v>
      </c>
      <c r="J27" s="485">
        <v>0</v>
      </c>
      <c r="K27" s="485">
        <v>0</v>
      </c>
      <c r="L27" s="485">
        <v>0</v>
      </c>
      <c r="M27" s="485">
        <v>0</v>
      </c>
      <c r="N27" s="485">
        <v>0</v>
      </c>
      <c r="O27" s="485">
        <v>0</v>
      </c>
      <c r="P27" s="485">
        <v>0</v>
      </c>
      <c r="Q27" s="485">
        <v>0</v>
      </c>
      <c r="R27" s="485">
        <v>0</v>
      </c>
      <c r="S27" s="485">
        <v>0</v>
      </c>
      <c r="T27" s="485">
        <v>0</v>
      </c>
      <c r="U27" s="485">
        <v>0</v>
      </c>
      <c r="V27" s="485">
        <v>0</v>
      </c>
      <c r="W27" s="485">
        <v>0</v>
      </c>
      <c r="X27" s="485">
        <v>0</v>
      </c>
      <c r="Y27" s="304">
        <f>SUM(E27:X27)</f>
        <v>1883</v>
      </c>
      <c r="Z27" s="309"/>
      <c r="AA27" s="485">
        <v>0</v>
      </c>
      <c r="AB27" s="485">
        <v>0</v>
      </c>
      <c r="AC27" s="485">
        <v>0</v>
      </c>
      <c r="AD27" s="485">
        <v>0</v>
      </c>
      <c r="AE27" s="485">
        <v>0</v>
      </c>
      <c r="AF27" s="485">
        <v>0</v>
      </c>
      <c r="AG27" s="485">
        <v>0</v>
      </c>
      <c r="AH27" s="485">
        <v>0</v>
      </c>
      <c r="AI27" s="485">
        <v>0</v>
      </c>
      <c r="AJ27" s="485">
        <v>0</v>
      </c>
      <c r="AK27" s="487">
        <v>0</v>
      </c>
      <c r="AL27" s="487">
        <v>0</v>
      </c>
      <c r="AM27" s="487">
        <v>0</v>
      </c>
      <c r="AN27" s="487">
        <v>0</v>
      </c>
      <c r="AO27" s="487">
        <v>0</v>
      </c>
      <c r="AP27" s="485">
        <v>0</v>
      </c>
      <c r="AQ27" s="485">
        <v>0</v>
      </c>
      <c r="AR27" s="485">
        <v>0</v>
      </c>
      <c r="AS27" s="485">
        <v>0</v>
      </c>
      <c r="AT27" s="485">
        <v>0</v>
      </c>
      <c r="AU27" s="665">
        <f>SUM(Y27:AT27)</f>
        <v>1883</v>
      </c>
      <c r="AV27" s="649">
        <v>0</v>
      </c>
      <c r="AW27" s="673">
        <f>SUM(AU27:AV27)</f>
        <v>1883</v>
      </c>
    </row>
    <row r="28" spans="1:49">
      <c r="A28" s="89">
        <v>10</v>
      </c>
      <c r="C28" s="4" t="s">
        <v>189</v>
      </c>
      <c r="D28" s="4"/>
      <c r="E28" s="220">
        <f>'ROO INPUT'!$F29</f>
        <v>494</v>
      </c>
      <c r="F28" s="485">
        <v>0</v>
      </c>
      <c r="G28" s="485">
        <v>0</v>
      </c>
      <c r="H28" s="485">
        <v>0</v>
      </c>
      <c r="I28" s="485">
        <v>0</v>
      </c>
      <c r="J28" s="485">
        <v>0</v>
      </c>
      <c r="K28" s="485">
        <v>0</v>
      </c>
      <c r="L28" s="485">
        <v>0</v>
      </c>
      <c r="M28" s="485">
        <v>0</v>
      </c>
      <c r="N28" s="485">
        <v>0</v>
      </c>
      <c r="O28" s="485">
        <v>0</v>
      </c>
      <c r="P28" s="485">
        <v>0</v>
      </c>
      <c r="Q28" s="485">
        <v>0</v>
      </c>
      <c r="R28" s="485">
        <v>0</v>
      </c>
      <c r="S28" s="485">
        <v>0</v>
      </c>
      <c r="T28" s="485">
        <v>0</v>
      </c>
      <c r="U28" s="485">
        <v>0</v>
      </c>
      <c r="V28" s="485">
        <v>0</v>
      </c>
      <c r="W28" s="485">
        <v>0</v>
      </c>
      <c r="X28" s="485">
        <v>-164</v>
      </c>
      <c r="Y28" s="304">
        <f>SUM(E28:X28)</f>
        <v>330</v>
      </c>
      <c r="Z28" s="309"/>
      <c r="AA28" s="485">
        <v>0</v>
      </c>
      <c r="AB28" s="485">
        <v>0</v>
      </c>
      <c r="AC28" s="485">
        <v>0</v>
      </c>
      <c r="AD28" s="485">
        <v>0</v>
      </c>
      <c r="AE28" s="485">
        <v>0</v>
      </c>
      <c r="AF28" s="485">
        <v>0</v>
      </c>
      <c r="AG28" s="485">
        <v>0</v>
      </c>
      <c r="AH28" s="485">
        <v>0</v>
      </c>
      <c r="AI28" s="485">
        <v>0</v>
      </c>
      <c r="AJ28" s="485">
        <v>0</v>
      </c>
      <c r="AK28" s="487">
        <v>0</v>
      </c>
      <c r="AL28" s="487">
        <v>21</v>
      </c>
      <c r="AM28" s="487">
        <v>0</v>
      </c>
      <c r="AN28" s="487">
        <v>0</v>
      </c>
      <c r="AO28" s="487">
        <v>0</v>
      </c>
      <c r="AP28" s="485">
        <v>0</v>
      </c>
      <c r="AQ28" s="485">
        <v>0</v>
      </c>
      <c r="AR28" s="485">
        <v>0</v>
      </c>
      <c r="AS28" s="485">
        <v>0</v>
      </c>
      <c r="AT28" s="485">
        <v>0</v>
      </c>
      <c r="AU28" s="665">
        <f>SUM(Y28:AT28)</f>
        <v>351</v>
      </c>
      <c r="AV28" s="649">
        <v>0</v>
      </c>
      <c r="AW28" s="673">
        <f>SUM(AU28:AV28)</f>
        <v>351</v>
      </c>
    </row>
    <row r="29" spans="1:49">
      <c r="A29" s="89">
        <v>11</v>
      </c>
      <c r="C29" s="4" t="s">
        <v>21</v>
      </c>
      <c r="D29" s="4"/>
      <c r="E29" s="222">
        <f>'ROO INPUT'!$F30</f>
        <v>323</v>
      </c>
      <c r="F29" s="486">
        <v>0</v>
      </c>
      <c r="G29" s="486">
        <v>0</v>
      </c>
      <c r="H29" s="486">
        <v>0</v>
      </c>
      <c r="I29" s="486">
        <v>0</v>
      </c>
      <c r="J29" s="486">
        <v>0</v>
      </c>
      <c r="K29" s="486">
        <v>-66</v>
      </c>
      <c r="L29" s="486">
        <v>0</v>
      </c>
      <c r="M29" s="486">
        <v>0</v>
      </c>
      <c r="N29" s="486">
        <v>0</v>
      </c>
      <c r="O29" s="486">
        <v>0</v>
      </c>
      <c r="P29" s="486">
        <v>0</v>
      </c>
      <c r="Q29" s="486">
        <v>0</v>
      </c>
      <c r="R29" s="486">
        <v>0</v>
      </c>
      <c r="S29" s="486">
        <v>0</v>
      </c>
      <c r="T29" s="486">
        <v>0</v>
      </c>
      <c r="U29" s="486">
        <v>0</v>
      </c>
      <c r="V29" s="486">
        <v>0</v>
      </c>
      <c r="W29" s="486">
        <v>0</v>
      </c>
      <c r="X29" s="486">
        <v>0</v>
      </c>
      <c r="Y29" s="305">
        <f>SUM(E29:X29)</f>
        <v>257</v>
      </c>
      <c r="Z29" s="309"/>
      <c r="AA29" s="486">
        <v>0</v>
      </c>
      <c r="AB29" s="486">
        <v>0</v>
      </c>
      <c r="AC29" s="486">
        <v>0</v>
      </c>
      <c r="AD29" s="486">
        <v>0</v>
      </c>
      <c r="AE29" s="486">
        <v>0</v>
      </c>
      <c r="AF29" s="486">
        <v>0</v>
      </c>
      <c r="AG29" s="486">
        <v>0</v>
      </c>
      <c r="AH29" s="486">
        <v>0</v>
      </c>
      <c r="AI29" s="486">
        <v>20</v>
      </c>
      <c r="AJ29" s="486">
        <v>0</v>
      </c>
      <c r="AK29" s="486">
        <v>0</v>
      </c>
      <c r="AL29" s="486">
        <v>0</v>
      </c>
      <c r="AM29" s="486">
        <v>0</v>
      </c>
      <c r="AN29" s="486">
        <v>0</v>
      </c>
      <c r="AO29" s="486">
        <v>0</v>
      </c>
      <c r="AP29" s="486">
        <v>0</v>
      </c>
      <c r="AQ29" s="486">
        <v>0</v>
      </c>
      <c r="AR29" s="486">
        <v>0</v>
      </c>
      <c r="AS29" s="486">
        <v>0</v>
      </c>
      <c r="AT29" s="486">
        <v>0</v>
      </c>
      <c r="AU29" s="666">
        <f>SUM(Y29:AT29)</f>
        <v>277</v>
      </c>
      <c r="AV29" s="650">
        <v>0</v>
      </c>
      <c r="AW29" s="674">
        <f>SUM(AU29:AV29)</f>
        <v>277</v>
      </c>
    </row>
    <row r="30" spans="1:49">
      <c r="A30" s="89">
        <v>12</v>
      </c>
      <c r="B30" s="4" t="s">
        <v>45</v>
      </c>
      <c r="C30" s="4"/>
      <c r="E30" s="220">
        <f t="shared" ref="E30:AG30" si="39">SUM(E27:E29)</f>
        <v>2700</v>
      </c>
      <c r="F30" s="220">
        <f t="shared" si="39"/>
        <v>0</v>
      </c>
      <c r="G30" s="220">
        <f t="shared" si="39"/>
        <v>0</v>
      </c>
      <c r="H30" s="268">
        <f t="shared" si="39"/>
        <v>0</v>
      </c>
      <c r="I30" s="268">
        <f t="shared" ref="I30" si="40">SUM(I27:I29)</f>
        <v>0</v>
      </c>
      <c r="J30" s="268">
        <f t="shared" si="39"/>
        <v>0</v>
      </c>
      <c r="K30" s="268">
        <f>SUM(K27:K29)</f>
        <v>-66</v>
      </c>
      <c r="L30" s="268">
        <f t="shared" si="39"/>
        <v>0</v>
      </c>
      <c r="M30" s="268">
        <f t="shared" si="39"/>
        <v>0</v>
      </c>
      <c r="N30" s="268">
        <f t="shared" si="39"/>
        <v>0</v>
      </c>
      <c r="O30" s="268">
        <f t="shared" si="39"/>
        <v>0</v>
      </c>
      <c r="P30" s="268">
        <f t="shared" ref="P30:Q30" si="41">SUM(P27:P29)</f>
        <v>0</v>
      </c>
      <c r="Q30" s="268">
        <f t="shared" si="41"/>
        <v>0</v>
      </c>
      <c r="R30" s="268">
        <f>SUM(R27:R29)</f>
        <v>0</v>
      </c>
      <c r="S30" s="268">
        <f>SUM(S27:S29)</f>
        <v>0</v>
      </c>
      <c r="T30" s="268">
        <f>SUM(T27:T29)</f>
        <v>0</v>
      </c>
      <c r="U30" s="220">
        <f t="shared" ref="U30" si="42">SUM(U27:U29)</f>
        <v>0</v>
      </c>
      <c r="V30" s="268">
        <f>SUM(V27:V29)</f>
        <v>0</v>
      </c>
      <c r="W30" s="268">
        <f>SUM(W27:W29)</f>
        <v>0</v>
      </c>
      <c r="X30" s="268">
        <f>SUM(X27:X29)</f>
        <v>-164</v>
      </c>
      <c r="Y30" s="304">
        <f t="shared" si="39"/>
        <v>2470</v>
      </c>
      <c r="Z30" s="309"/>
      <c r="AA30" s="268">
        <f>SUM(AA27:AA29)</f>
        <v>0</v>
      </c>
      <c r="AB30" s="268">
        <f>SUM(AB27:AB29)</f>
        <v>0</v>
      </c>
      <c r="AC30" s="268">
        <f>SUM(AC27:AC29)</f>
        <v>0</v>
      </c>
      <c r="AD30" s="268">
        <f t="shared" ref="AD30" si="43">SUM(AD27:AD29)</f>
        <v>0</v>
      </c>
      <c r="AE30" s="268">
        <f t="shared" si="39"/>
        <v>0</v>
      </c>
      <c r="AF30" s="268">
        <f t="shared" si="39"/>
        <v>0</v>
      </c>
      <c r="AG30" s="268">
        <f t="shared" si="39"/>
        <v>0</v>
      </c>
      <c r="AH30" s="268">
        <f>SUM(AH27:AH29)</f>
        <v>0</v>
      </c>
      <c r="AI30" s="268">
        <f t="shared" ref="AI30:AJ30" si="44">SUM(AI27:AI29)</f>
        <v>20</v>
      </c>
      <c r="AJ30" s="268">
        <f t="shared" si="44"/>
        <v>0</v>
      </c>
      <c r="AK30" s="503">
        <f>SUM(AK27:AK29)</f>
        <v>0</v>
      </c>
      <c r="AL30" s="503">
        <f>SUM(AL27:AL29)</f>
        <v>21</v>
      </c>
      <c r="AM30" s="503">
        <f>SUM(AM27:AM29)</f>
        <v>0</v>
      </c>
      <c r="AN30" s="503">
        <f t="shared" ref="AN30:AO30" si="45">SUM(AN27:AN29)</f>
        <v>0</v>
      </c>
      <c r="AO30" s="503">
        <f t="shared" si="45"/>
        <v>0</v>
      </c>
      <c r="AP30" s="268">
        <f t="shared" ref="AP30" si="46">SUM(AP27:AP29)</f>
        <v>0</v>
      </c>
      <c r="AQ30" s="268">
        <f>SUM(AQ27:AQ29)</f>
        <v>0</v>
      </c>
      <c r="AR30" s="268">
        <f>SUM(AR27:AR29)</f>
        <v>0</v>
      </c>
      <c r="AS30" s="268">
        <f t="shared" ref="AS30" si="47">SUM(AS27:AS29)</f>
        <v>0</v>
      </c>
      <c r="AT30" s="268">
        <f t="shared" ref="AT30" si="48">SUM(AT27:AT29)</f>
        <v>0</v>
      </c>
      <c r="AU30" s="665">
        <f t="shared" ref="AU30:AW30" si="49">SUM(AU27:AU29)</f>
        <v>2511</v>
      </c>
      <c r="AV30" s="651">
        <f>SUM(AV27:AV29)</f>
        <v>0</v>
      </c>
      <c r="AW30" s="673">
        <f t="shared" si="49"/>
        <v>2511</v>
      </c>
    </row>
    <row r="31" spans="1:49" ht="9" customHeight="1">
      <c r="B31" s="4"/>
      <c r="C31" s="4"/>
      <c r="E31" s="220"/>
      <c r="F31" s="220"/>
      <c r="G31" s="220"/>
      <c r="H31" s="268"/>
      <c r="I31" s="268"/>
      <c r="J31" s="268"/>
      <c r="K31" s="268"/>
      <c r="L31" s="268"/>
      <c r="M31" s="268"/>
      <c r="N31" s="268"/>
      <c r="O31" s="268"/>
      <c r="P31" s="268"/>
      <c r="Q31" s="268"/>
      <c r="R31" s="268"/>
      <c r="S31" s="268"/>
      <c r="T31" s="268"/>
      <c r="U31" s="220"/>
      <c r="V31" s="268"/>
      <c r="W31" s="268"/>
      <c r="X31" s="268"/>
      <c r="Y31" s="304"/>
      <c r="Z31" s="309"/>
      <c r="AA31" s="268"/>
      <c r="AB31" s="268"/>
      <c r="AC31" s="268"/>
      <c r="AD31" s="268"/>
      <c r="AE31" s="268"/>
      <c r="AF31" s="268"/>
      <c r="AG31" s="268"/>
      <c r="AH31" s="268"/>
      <c r="AI31" s="268"/>
      <c r="AJ31" s="268"/>
      <c r="AK31" s="503"/>
      <c r="AL31" s="503"/>
      <c r="AM31" s="503"/>
      <c r="AN31" s="503"/>
      <c r="AO31" s="503"/>
      <c r="AP31" s="268"/>
      <c r="AQ31" s="268"/>
      <c r="AR31" s="268"/>
      <c r="AS31" s="268"/>
      <c r="AT31" s="268"/>
      <c r="AU31" s="665"/>
      <c r="AV31" s="651"/>
      <c r="AW31" s="673"/>
    </row>
    <row r="32" spans="1:49">
      <c r="B32" s="4" t="s">
        <v>46</v>
      </c>
      <c r="D32" s="4"/>
      <c r="E32" s="220"/>
      <c r="F32" s="485"/>
      <c r="G32" s="485"/>
      <c r="H32" s="485"/>
      <c r="I32" s="485"/>
      <c r="J32" s="485"/>
      <c r="K32" s="485"/>
      <c r="L32" s="485"/>
      <c r="M32" s="485"/>
      <c r="N32" s="485"/>
      <c r="O32" s="485"/>
      <c r="P32" s="485"/>
      <c r="Q32" s="485"/>
      <c r="R32" s="485"/>
      <c r="S32" s="485"/>
      <c r="T32" s="485"/>
      <c r="U32" s="485"/>
      <c r="V32" s="485"/>
      <c r="W32" s="485"/>
      <c r="X32" s="485"/>
      <c r="Y32" s="304"/>
      <c r="Z32" s="309"/>
      <c r="AA32" s="485"/>
      <c r="AB32" s="485"/>
      <c r="AC32" s="485"/>
      <c r="AD32" s="485"/>
      <c r="AE32" s="485"/>
      <c r="AF32" s="485"/>
      <c r="AG32" s="485"/>
      <c r="AH32" s="485"/>
      <c r="AI32" s="485"/>
      <c r="AJ32" s="485"/>
      <c r="AK32" s="487"/>
      <c r="AL32" s="487"/>
      <c r="AM32" s="487"/>
      <c r="AN32" s="487"/>
      <c r="AO32" s="487"/>
      <c r="AP32" s="485"/>
      <c r="AQ32" s="485"/>
      <c r="AR32" s="485"/>
      <c r="AS32" s="485"/>
      <c r="AT32" s="485"/>
      <c r="AU32" s="665"/>
      <c r="AV32" s="649"/>
      <c r="AW32" s="673"/>
    </row>
    <row r="33" spans="1:54">
      <c r="A33" s="89">
        <v>13</v>
      </c>
      <c r="C33" s="4" t="s">
        <v>43</v>
      </c>
      <c r="D33" s="4"/>
      <c r="E33" s="220">
        <f>'ROO INPUT'!$F34</f>
        <v>13669</v>
      </c>
      <c r="F33" s="485">
        <v>0</v>
      </c>
      <c r="G33" s="485">
        <v>0</v>
      </c>
      <c r="H33" s="485">
        <v>0</v>
      </c>
      <c r="I33" s="485">
        <v>0</v>
      </c>
      <c r="J33" s="485">
        <v>0</v>
      </c>
      <c r="K33" s="485">
        <v>0</v>
      </c>
      <c r="L33" s="485">
        <v>0</v>
      </c>
      <c r="M33" s="485">
        <v>0</v>
      </c>
      <c r="N33" s="485">
        <v>0</v>
      </c>
      <c r="O33" s="485">
        <v>0</v>
      </c>
      <c r="P33" s="485">
        <v>0</v>
      </c>
      <c r="Q33" s="485">
        <v>0</v>
      </c>
      <c r="R33" s="485">
        <v>0</v>
      </c>
      <c r="S33" s="485">
        <v>0</v>
      </c>
      <c r="T33" s="485">
        <v>0</v>
      </c>
      <c r="U33" s="485">
        <v>-2</v>
      </c>
      <c r="V33" s="485">
        <v>0</v>
      </c>
      <c r="W33" s="485">
        <v>0</v>
      </c>
      <c r="X33" s="485">
        <v>0</v>
      </c>
      <c r="Y33" s="304">
        <f>SUM(E33:X33)</f>
        <v>13667</v>
      </c>
      <c r="Z33" s="309"/>
      <c r="AA33" s="485">
        <v>0</v>
      </c>
      <c r="AB33" s="485">
        <v>0</v>
      </c>
      <c r="AC33" s="485">
        <v>0</v>
      </c>
      <c r="AD33" s="485">
        <v>283</v>
      </c>
      <c r="AE33" s="485"/>
      <c r="AF33" s="485">
        <v>167</v>
      </c>
      <c r="AG33" s="485">
        <v>0</v>
      </c>
      <c r="AH33" s="485">
        <v>0</v>
      </c>
      <c r="AI33" s="485">
        <v>0</v>
      </c>
      <c r="AJ33" s="485">
        <v>0</v>
      </c>
      <c r="AK33" s="487">
        <v>0</v>
      </c>
      <c r="AL33" s="487">
        <v>0</v>
      </c>
      <c r="AM33" s="487">
        <v>0</v>
      </c>
      <c r="AN33" s="487"/>
      <c r="AO33" s="487">
        <v>0</v>
      </c>
      <c r="AP33" s="485">
        <f>-944</f>
        <v>-944</v>
      </c>
      <c r="AQ33" s="485">
        <v>0</v>
      </c>
      <c r="AR33" s="485">
        <v>0</v>
      </c>
      <c r="AS33" s="485">
        <v>0</v>
      </c>
      <c r="AT33" s="485">
        <v>0</v>
      </c>
      <c r="AU33" s="665">
        <f>SUM(Y33:AT33)</f>
        <v>13173</v>
      </c>
      <c r="AV33" s="649">
        <v>0</v>
      </c>
      <c r="AW33" s="673">
        <f>SUM(AU33:AV33)</f>
        <v>13173</v>
      </c>
    </row>
    <row r="34" spans="1:54">
      <c r="A34" s="89">
        <v>14</v>
      </c>
      <c r="C34" s="4" t="s">
        <v>189</v>
      </c>
      <c r="D34" s="4"/>
      <c r="E34" s="268">
        <f>'ROO INPUT'!$F35</f>
        <v>12469</v>
      </c>
      <c r="F34" s="485">
        <v>0</v>
      </c>
      <c r="G34" s="485">
        <v>0</v>
      </c>
      <c r="H34" s="485">
        <v>0</v>
      </c>
      <c r="I34" s="485">
        <v>0</v>
      </c>
      <c r="J34" s="485">
        <v>0</v>
      </c>
      <c r="K34" s="485">
        <v>0</v>
      </c>
      <c r="L34" s="485">
        <v>0</v>
      </c>
      <c r="M34" s="485">
        <v>0</v>
      </c>
      <c r="N34" s="485">
        <v>0</v>
      </c>
      <c r="O34" s="485">
        <v>0</v>
      </c>
      <c r="P34" s="485">
        <v>0</v>
      </c>
      <c r="Q34" s="485">
        <v>0</v>
      </c>
      <c r="R34" s="485">
        <v>-11</v>
      </c>
      <c r="S34" s="485">
        <v>0</v>
      </c>
      <c r="T34" s="485">
        <v>0</v>
      </c>
      <c r="U34" s="485">
        <v>0</v>
      </c>
      <c r="V34" s="485">
        <v>0</v>
      </c>
      <c r="W34" s="485">
        <v>0</v>
      </c>
      <c r="X34" s="485">
        <v>-112</v>
      </c>
      <c r="Y34" s="304">
        <f>SUM(E34:X34)</f>
        <v>12346</v>
      </c>
      <c r="Z34" s="309"/>
      <c r="AA34" s="485">
        <v>0</v>
      </c>
      <c r="AB34" s="485">
        <v>0</v>
      </c>
      <c r="AC34" s="485">
        <v>0</v>
      </c>
      <c r="AD34" s="485">
        <v>0</v>
      </c>
      <c r="AE34" s="485">
        <v>0</v>
      </c>
      <c r="AF34" s="485">
        <v>0</v>
      </c>
      <c r="AG34" s="485">
        <v>0</v>
      </c>
      <c r="AH34" s="485">
        <v>0</v>
      </c>
      <c r="AI34" s="485">
        <v>0</v>
      </c>
      <c r="AJ34" s="485">
        <v>0</v>
      </c>
      <c r="AK34" s="487">
        <v>0</v>
      </c>
      <c r="AL34" s="487">
        <v>96</v>
      </c>
      <c r="AM34" s="487">
        <v>3</v>
      </c>
      <c r="AN34" s="487">
        <v>174</v>
      </c>
      <c r="AO34" s="487">
        <v>0</v>
      </c>
      <c r="AP34" s="485">
        <v>776</v>
      </c>
      <c r="AQ34" s="485">
        <v>0</v>
      </c>
      <c r="AR34" s="485">
        <v>0</v>
      </c>
      <c r="AS34" s="485">
        <v>0</v>
      </c>
      <c r="AT34" s="485">
        <v>0</v>
      </c>
      <c r="AU34" s="665">
        <f>SUM(Y34:AT34)</f>
        <v>13395</v>
      </c>
      <c r="AV34" s="649">
        <v>0</v>
      </c>
      <c r="AW34" s="673">
        <f>SUM(AU34:AV34)</f>
        <v>13395</v>
      </c>
    </row>
    <row r="35" spans="1:54">
      <c r="A35" s="89">
        <v>15</v>
      </c>
      <c r="C35" s="4" t="s">
        <v>21</v>
      </c>
      <c r="D35" s="4"/>
      <c r="E35" s="222">
        <f>'ROO INPUT'!$F36</f>
        <v>13739</v>
      </c>
      <c r="F35" s="486">
        <v>0</v>
      </c>
      <c r="G35" s="486">
        <v>0</v>
      </c>
      <c r="H35" s="486">
        <v>0</v>
      </c>
      <c r="I35" s="486">
        <v>0</v>
      </c>
      <c r="J35" s="486">
        <v>-5235</v>
      </c>
      <c r="K35" s="486">
        <v>305</v>
      </c>
      <c r="L35" s="486">
        <v>0</v>
      </c>
      <c r="M35" s="486">
        <v>0</v>
      </c>
      <c r="N35" s="486">
        <v>0</v>
      </c>
      <c r="O35" s="486">
        <v>0</v>
      </c>
      <c r="P35" s="486">
        <v>0</v>
      </c>
      <c r="Q35" s="486">
        <v>1</v>
      </c>
      <c r="R35" s="486">
        <v>0</v>
      </c>
      <c r="S35" s="486">
        <f>ROUND((S$14+S$15)*CF!$E$19,0)</f>
        <v>-151</v>
      </c>
      <c r="T35" s="486">
        <f>ROUND((T$14+T$15)*CF!$E$19,0)</f>
        <v>309</v>
      </c>
      <c r="U35" s="486">
        <v>0</v>
      </c>
      <c r="V35" s="486">
        <v>0</v>
      </c>
      <c r="W35" s="486">
        <v>0</v>
      </c>
      <c r="X35" s="486">
        <v>0</v>
      </c>
      <c r="Y35" s="305">
        <f>SUM(E35:X35)</f>
        <v>8968</v>
      </c>
      <c r="Z35" s="309"/>
      <c r="AA35" s="486">
        <f>ROUND((AA$14+AA$15)*CF!$E$19,0)</f>
        <v>-1591</v>
      </c>
      <c r="AB35" s="486">
        <v>0</v>
      </c>
      <c r="AC35" s="486">
        <v>0</v>
      </c>
      <c r="AD35" s="486">
        <v>0</v>
      </c>
      <c r="AE35" s="486">
        <v>0</v>
      </c>
      <c r="AF35" s="486">
        <v>0</v>
      </c>
      <c r="AG35" s="486">
        <v>0</v>
      </c>
      <c r="AH35" s="486">
        <v>0</v>
      </c>
      <c r="AI35" s="486">
        <v>237</v>
      </c>
      <c r="AJ35" s="486">
        <v>0</v>
      </c>
      <c r="AK35" s="486">
        <v>0</v>
      </c>
      <c r="AL35" s="486">
        <v>0</v>
      </c>
      <c r="AM35" s="486">
        <v>0</v>
      </c>
      <c r="AN35" s="486">
        <v>0</v>
      </c>
      <c r="AO35" s="486">
        <v>0</v>
      </c>
      <c r="AP35" s="486">
        <v>0</v>
      </c>
      <c r="AQ35" s="486">
        <v>0</v>
      </c>
      <c r="AR35" s="486">
        <v>0</v>
      </c>
      <c r="AS35" s="486">
        <v>0</v>
      </c>
      <c r="AT35" s="486">
        <v>0</v>
      </c>
      <c r="AU35" s="666">
        <f>SUM(Y35:AT35)</f>
        <v>7614</v>
      </c>
      <c r="AV35" s="650">
        <v>0</v>
      </c>
      <c r="AW35" s="674">
        <f>SUM(AU35:AV35)</f>
        <v>7614</v>
      </c>
    </row>
    <row r="36" spans="1:54" ht="13" customHeight="1">
      <c r="A36" s="89">
        <v>16</v>
      </c>
      <c r="B36" s="4" t="s">
        <v>47</v>
      </c>
      <c r="C36" s="4"/>
      <c r="E36" s="220">
        <f t="shared" ref="E36:O36" si="50">SUM(E33:E35)</f>
        <v>39877</v>
      </c>
      <c r="F36" s="220">
        <f t="shared" si="50"/>
        <v>0</v>
      </c>
      <c r="G36" s="220">
        <f t="shared" si="50"/>
        <v>0</v>
      </c>
      <c r="H36" s="268">
        <f t="shared" si="50"/>
        <v>0</v>
      </c>
      <c r="I36" s="268">
        <f t="shared" ref="I36" si="51">SUM(I33:I35)</f>
        <v>0</v>
      </c>
      <c r="J36" s="268">
        <f t="shared" si="50"/>
        <v>-5235</v>
      </c>
      <c r="K36" s="268">
        <f>SUM(K33:K35)</f>
        <v>305</v>
      </c>
      <c r="L36" s="268">
        <f t="shared" si="50"/>
        <v>0</v>
      </c>
      <c r="M36" s="268">
        <f t="shared" si="50"/>
        <v>0</v>
      </c>
      <c r="N36" s="268">
        <f t="shared" si="50"/>
        <v>0</v>
      </c>
      <c r="O36" s="268">
        <f t="shared" si="50"/>
        <v>0</v>
      </c>
      <c r="P36" s="268">
        <f t="shared" ref="P36:Q36" si="52">SUM(P33:P35)</f>
        <v>0</v>
      </c>
      <c r="Q36" s="268">
        <f t="shared" si="52"/>
        <v>1</v>
      </c>
      <c r="R36" s="268">
        <f t="shared" ref="R36:V36" si="53">SUM(R33:R35)</f>
        <v>-11</v>
      </c>
      <c r="S36" s="268">
        <f t="shared" si="53"/>
        <v>-151</v>
      </c>
      <c r="T36" s="268">
        <f t="shared" si="53"/>
        <v>309</v>
      </c>
      <c r="U36" s="268">
        <f t="shared" si="53"/>
        <v>-2</v>
      </c>
      <c r="V36" s="268">
        <f t="shared" si="53"/>
        <v>0</v>
      </c>
      <c r="W36" s="268">
        <f t="shared" ref="W36" si="54">SUM(W33:W35)</f>
        <v>0</v>
      </c>
      <c r="X36" s="268">
        <f t="shared" ref="X36" si="55">SUM(X33:X35)</f>
        <v>-112</v>
      </c>
      <c r="Y36" s="304">
        <f>SUM(Y33:Y35)</f>
        <v>34981</v>
      </c>
      <c r="Z36" s="309"/>
      <c r="AA36" s="268">
        <f>SUM(AA33:AA35)</f>
        <v>-1591</v>
      </c>
      <c r="AB36" s="268">
        <f>SUM(AB33:AB35)</f>
        <v>0</v>
      </c>
      <c r="AC36" s="268">
        <f>SUM(AC33:AC35)</f>
        <v>0</v>
      </c>
      <c r="AD36" s="268">
        <f>SUM(AD33:AD35)</f>
        <v>283</v>
      </c>
      <c r="AE36" s="268">
        <f>SUM(AE33:AE35)</f>
        <v>0</v>
      </c>
      <c r="AF36" s="268">
        <f t="shared" ref="AF36:AG36" si="56">SUM(AF33:AF35)</f>
        <v>167</v>
      </c>
      <c r="AG36" s="268">
        <f t="shared" si="56"/>
        <v>0</v>
      </c>
      <c r="AH36" s="268">
        <f>SUM(AH33:AH35)</f>
        <v>0</v>
      </c>
      <c r="AI36" s="268">
        <f t="shared" ref="AI36:AJ36" si="57">SUM(AI33:AI35)</f>
        <v>237</v>
      </c>
      <c r="AJ36" s="268">
        <f t="shared" si="57"/>
        <v>0</v>
      </c>
      <c r="AK36" s="503">
        <f>SUM(AK33:AK35)</f>
        <v>0</v>
      </c>
      <c r="AL36" s="503">
        <f>SUM(AL33:AL35)</f>
        <v>96</v>
      </c>
      <c r="AM36" s="503">
        <f>SUM(AM33:AM35)</f>
        <v>3</v>
      </c>
      <c r="AN36" s="503">
        <f t="shared" ref="AN36:AO36" si="58">SUM(AN33:AN35)</f>
        <v>174</v>
      </c>
      <c r="AO36" s="503">
        <f t="shared" si="58"/>
        <v>0</v>
      </c>
      <c r="AP36" s="268">
        <f t="shared" ref="AP36" si="59">SUM(AP33:AP35)</f>
        <v>-168</v>
      </c>
      <c r="AQ36" s="268">
        <f>SUM(AQ33:AQ35)</f>
        <v>0</v>
      </c>
      <c r="AR36" s="268">
        <f>SUM(AR33:AR35)</f>
        <v>0</v>
      </c>
      <c r="AS36" s="268">
        <f t="shared" ref="AS36" si="60">SUM(AS33:AS35)</f>
        <v>0</v>
      </c>
      <c r="AT36" s="268">
        <f t="shared" ref="AT36" si="61">SUM(AT33:AT35)</f>
        <v>0</v>
      </c>
      <c r="AU36" s="665">
        <f t="shared" ref="AU36:AW36" si="62">SUM(AU33:AU35)</f>
        <v>34182</v>
      </c>
      <c r="AV36" s="651">
        <f>SUM(AV33:AV35)</f>
        <v>0</v>
      </c>
      <c r="AW36" s="673">
        <f t="shared" si="62"/>
        <v>34182</v>
      </c>
    </row>
    <row r="37" spans="1:54" ht="9.75" customHeight="1" thickBot="1">
      <c r="C37" s="4"/>
      <c r="D37" s="4"/>
      <c r="E37" s="220"/>
      <c r="F37" s="220"/>
      <c r="G37" s="220"/>
      <c r="H37" s="268"/>
      <c r="I37" s="268"/>
      <c r="J37" s="268"/>
      <c r="K37" s="268"/>
      <c r="L37" s="268"/>
      <c r="M37" s="268"/>
      <c r="N37" s="268"/>
      <c r="O37" s="268"/>
      <c r="P37" s="268"/>
      <c r="Q37" s="268"/>
      <c r="R37" s="268"/>
      <c r="S37" s="268"/>
      <c r="T37" s="268"/>
      <c r="U37" s="268"/>
      <c r="V37" s="268"/>
      <c r="W37" s="268"/>
      <c r="X37" s="268"/>
      <c r="Y37" s="304"/>
      <c r="Z37" s="309"/>
      <c r="AA37" s="268"/>
      <c r="AB37" s="268"/>
      <c r="AC37" s="268"/>
      <c r="AD37" s="268"/>
      <c r="AE37" s="268"/>
      <c r="AF37" s="268"/>
      <c r="AG37" s="268"/>
      <c r="AH37" s="268"/>
      <c r="AI37" s="268"/>
      <c r="AJ37" s="268"/>
      <c r="AK37" s="503"/>
      <c r="AL37" s="503"/>
      <c r="AM37" s="503"/>
      <c r="AN37" s="503"/>
      <c r="AO37" s="503"/>
      <c r="AP37" s="268"/>
      <c r="AQ37" s="268"/>
      <c r="AR37" s="268"/>
      <c r="AS37" s="268"/>
      <c r="AT37" s="268"/>
      <c r="AU37" s="665"/>
      <c r="AV37" s="651"/>
      <c r="AW37" s="673"/>
    </row>
    <row r="38" spans="1:54" ht="13" customHeight="1">
      <c r="A38" s="89">
        <v>17</v>
      </c>
      <c r="B38" s="1" t="s">
        <v>48</v>
      </c>
      <c r="C38" s="4"/>
      <c r="D38" s="4"/>
      <c r="E38" s="220">
        <f>'ROO INPUT'!$F39</f>
        <v>6398</v>
      </c>
      <c r="F38" s="487">
        <v>0</v>
      </c>
      <c r="G38" s="487">
        <v>15</v>
      </c>
      <c r="H38" s="487">
        <v>0</v>
      </c>
      <c r="I38" s="487">
        <v>0</v>
      </c>
      <c r="J38" s="487">
        <v>0</v>
      </c>
      <c r="K38" s="487"/>
      <c r="L38" s="487">
        <v>166</v>
      </c>
      <c r="M38" s="487">
        <v>0</v>
      </c>
      <c r="N38" s="487">
        <v>0</v>
      </c>
      <c r="O38" s="487">
        <v>0</v>
      </c>
      <c r="P38" s="487">
        <v>0</v>
      </c>
      <c r="Q38" s="487">
        <v>0</v>
      </c>
      <c r="R38" s="487">
        <v>0</v>
      </c>
      <c r="S38" s="485">
        <f>ROUND((S$14+S$15)*CF!$E$15,0)</f>
        <v>-13</v>
      </c>
      <c r="T38" s="485">
        <f>ROUND((T$14+T$15)*CF!$E$15,0)</f>
        <v>27</v>
      </c>
      <c r="U38" s="485">
        <v>0</v>
      </c>
      <c r="V38" s="268">
        <v>0</v>
      </c>
      <c r="W38" s="485">
        <v>0</v>
      </c>
      <c r="X38" s="268">
        <v>0</v>
      </c>
      <c r="Y38" s="304">
        <f>SUM(E38:X38)</f>
        <v>6593</v>
      </c>
      <c r="Z38" s="309"/>
      <c r="AA38" s="485">
        <f>ROUND((AA$14+AA$15)*CF!$E$15,0)</f>
        <v>-138</v>
      </c>
      <c r="AB38" s="487">
        <v>0</v>
      </c>
      <c r="AC38" s="485"/>
      <c r="AD38" s="268">
        <v>170</v>
      </c>
      <c r="AE38" s="268">
        <v>0</v>
      </c>
      <c r="AF38" s="268">
        <v>78</v>
      </c>
      <c r="AG38" s="487">
        <v>0</v>
      </c>
      <c r="AH38" s="485"/>
      <c r="AI38" s="485"/>
      <c r="AJ38" s="485">
        <v>67</v>
      </c>
      <c r="AK38" s="487">
        <v>0</v>
      </c>
      <c r="AL38" s="487">
        <v>0</v>
      </c>
      <c r="AM38" s="487">
        <v>0</v>
      </c>
      <c r="AN38" s="487">
        <v>0</v>
      </c>
      <c r="AO38" s="487">
        <v>0</v>
      </c>
      <c r="AP38" s="485"/>
      <c r="AQ38" s="487">
        <v>0</v>
      </c>
      <c r="AR38" s="485">
        <v>0</v>
      </c>
      <c r="AS38" s="485"/>
      <c r="AT38" s="487">
        <v>0</v>
      </c>
      <c r="AU38" s="665">
        <f>SUM(Y38:AT38)</f>
        <v>6770</v>
      </c>
      <c r="AV38" s="649">
        <v>0</v>
      </c>
      <c r="AW38" s="673">
        <f>SUM(AU38:AV38)</f>
        <v>6770</v>
      </c>
      <c r="AZ38" s="802" t="s">
        <v>580</v>
      </c>
      <c r="BA38" s="691"/>
      <c r="BB38" s="689"/>
    </row>
    <row r="39" spans="1:54">
      <c r="A39" s="89">
        <v>18</v>
      </c>
      <c r="B39" s="1" t="s">
        <v>49</v>
      </c>
      <c r="C39" s="4"/>
      <c r="D39" s="4"/>
      <c r="E39" s="220">
        <f>'ROO INPUT'!$F40</f>
        <v>9664</v>
      </c>
      <c r="F39" s="485">
        <v>0</v>
      </c>
      <c r="G39" s="485">
        <v>0</v>
      </c>
      <c r="H39" s="485">
        <v>0</v>
      </c>
      <c r="I39" s="485">
        <v>0</v>
      </c>
      <c r="J39" s="485">
        <v>0</v>
      </c>
      <c r="K39" s="485">
        <v>0</v>
      </c>
      <c r="L39" s="485">
        <v>0</v>
      </c>
      <c r="M39" s="485">
        <v>0</v>
      </c>
      <c r="N39" s="485">
        <v>0</v>
      </c>
      <c r="O39" s="485">
        <v>0</v>
      </c>
      <c r="P39" s="485">
        <v>0</v>
      </c>
      <c r="Q39" s="485">
        <v>0</v>
      </c>
      <c r="R39" s="485">
        <v>0</v>
      </c>
      <c r="S39" s="485">
        <v>0</v>
      </c>
      <c r="T39" s="485">
        <v>-8485</v>
      </c>
      <c r="U39" s="485">
        <v>1</v>
      </c>
      <c r="V39" s="485">
        <v>0</v>
      </c>
      <c r="W39" s="485">
        <v>0</v>
      </c>
      <c r="X39" s="485">
        <v>0</v>
      </c>
      <c r="Y39" s="304">
        <f>SUM(E39:X39)</f>
        <v>1180</v>
      </c>
      <c r="Z39" s="309"/>
      <c r="AA39" s="485">
        <v>0</v>
      </c>
      <c r="AB39" s="485">
        <v>0</v>
      </c>
      <c r="AC39" s="485">
        <v>0</v>
      </c>
      <c r="AD39" s="485">
        <v>18</v>
      </c>
      <c r="AE39" s="485">
        <v>0</v>
      </c>
      <c r="AF39" s="485">
        <v>8</v>
      </c>
      <c r="AG39" s="485">
        <v>0</v>
      </c>
      <c r="AH39" s="485">
        <v>0</v>
      </c>
      <c r="AI39" s="485">
        <v>0</v>
      </c>
      <c r="AJ39" s="485">
        <v>0</v>
      </c>
      <c r="AK39" s="487">
        <v>0</v>
      </c>
      <c r="AL39" s="487">
        <v>0</v>
      </c>
      <c r="AM39" s="487">
        <v>0</v>
      </c>
      <c r="AN39" s="487">
        <v>0</v>
      </c>
      <c r="AO39" s="487">
        <v>0</v>
      </c>
      <c r="AP39" s="485">
        <v>0</v>
      </c>
      <c r="AQ39" s="485">
        <v>0</v>
      </c>
      <c r="AR39" s="485">
        <v>0</v>
      </c>
      <c r="AS39" s="485">
        <v>0</v>
      </c>
      <c r="AT39" s="485">
        <v>0</v>
      </c>
      <c r="AU39" s="665">
        <f>SUM(Y39:AT39)</f>
        <v>1206</v>
      </c>
      <c r="AV39" s="649">
        <v>0</v>
      </c>
      <c r="AW39" s="673">
        <f>SUM(AU39:AV39)</f>
        <v>1206</v>
      </c>
      <c r="AZ39" s="803"/>
      <c r="BA39" s="692">
        <f>-AV54/CF!E27</f>
        <v>43.344566179945275</v>
      </c>
      <c r="BB39" s="693" t="s">
        <v>581</v>
      </c>
    </row>
    <row r="40" spans="1:54" ht="12" thickBot="1">
      <c r="A40" s="89">
        <v>19</v>
      </c>
      <c r="B40" s="1" t="s">
        <v>50</v>
      </c>
      <c r="C40" s="4"/>
      <c r="D40" s="4"/>
      <c r="E40" s="220">
        <f>'ROO INPUT'!$F41</f>
        <v>0</v>
      </c>
      <c r="F40" s="485">
        <v>0</v>
      </c>
      <c r="G40" s="485">
        <v>0</v>
      </c>
      <c r="H40" s="485">
        <v>0</v>
      </c>
      <c r="I40" s="485">
        <v>0</v>
      </c>
      <c r="J40" s="485">
        <v>0</v>
      </c>
      <c r="K40" s="485">
        <v>0</v>
      </c>
      <c r="L40" s="485">
        <v>0</v>
      </c>
      <c r="M40" s="485">
        <v>0</v>
      </c>
      <c r="N40" s="485">
        <v>0</v>
      </c>
      <c r="O40" s="485">
        <v>0</v>
      </c>
      <c r="P40" s="485">
        <v>0</v>
      </c>
      <c r="Q40" s="485">
        <v>0</v>
      </c>
      <c r="R40" s="485">
        <v>0</v>
      </c>
      <c r="S40" s="485">
        <v>0</v>
      </c>
      <c r="T40" s="485">
        <v>0</v>
      </c>
      <c r="U40" s="485">
        <v>0</v>
      </c>
      <c r="V40" s="485">
        <v>0</v>
      </c>
      <c r="W40" s="485">
        <v>0</v>
      </c>
      <c r="X40" s="485">
        <v>0</v>
      </c>
      <c r="Y40" s="304">
        <f>SUM(E40:X40)</f>
        <v>0</v>
      </c>
      <c r="Z40" s="309"/>
      <c r="AA40" s="485">
        <v>0</v>
      </c>
      <c r="AB40" s="485">
        <v>0</v>
      </c>
      <c r="AC40" s="485">
        <v>0</v>
      </c>
      <c r="AD40" s="485">
        <v>0</v>
      </c>
      <c r="AE40" s="485">
        <v>0</v>
      </c>
      <c r="AF40" s="485">
        <v>0</v>
      </c>
      <c r="AG40" s="485">
        <v>0</v>
      </c>
      <c r="AH40" s="485">
        <v>0</v>
      </c>
      <c r="AI40" s="485">
        <v>0</v>
      </c>
      <c r="AJ40" s="485">
        <v>0</v>
      </c>
      <c r="AK40" s="487">
        <v>0</v>
      </c>
      <c r="AL40" s="487">
        <v>0</v>
      </c>
      <c r="AM40" s="487">
        <v>0</v>
      </c>
      <c r="AN40" s="487">
        <v>0</v>
      </c>
      <c r="AO40" s="487">
        <v>0</v>
      </c>
      <c r="AP40" s="485">
        <v>0</v>
      </c>
      <c r="AQ40" s="485">
        <v>0</v>
      </c>
      <c r="AR40" s="485">
        <v>0</v>
      </c>
      <c r="AS40" s="485">
        <v>0</v>
      </c>
      <c r="AT40" s="485">
        <v>0</v>
      </c>
      <c r="AU40" s="665">
        <f>SUM(Y40:AT40)</f>
        <v>0</v>
      </c>
      <c r="AV40" s="649">
        <v>0</v>
      </c>
      <c r="AW40" s="673">
        <f>SUM(AU40:AV40)</f>
        <v>0</v>
      </c>
      <c r="AZ40" s="694">
        <f>BA39+BA40</f>
        <v>-526.68162967610579</v>
      </c>
      <c r="BA40" s="700">
        <f>-AV81*'RR SUMMARY'!N15/CF!E27</f>
        <v>-570.02619585605112</v>
      </c>
      <c r="BB40" s="695" t="s">
        <v>582</v>
      </c>
    </row>
    <row r="41" spans="1:54" ht="7.5" customHeight="1">
      <c r="C41" s="4"/>
      <c r="D41" s="4"/>
      <c r="E41" s="220"/>
      <c r="F41" s="485"/>
      <c r="G41" s="485"/>
      <c r="H41" s="485"/>
      <c r="I41" s="485"/>
      <c r="J41" s="485"/>
      <c r="K41" s="485"/>
      <c r="L41" s="485"/>
      <c r="M41" s="485"/>
      <c r="N41" s="485"/>
      <c r="O41" s="485"/>
      <c r="P41" s="485"/>
      <c r="Q41" s="485"/>
      <c r="R41" s="485"/>
      <c r="S41" s="485"/>
      <c r="T41" s="485"/>
      <c r="U41" s="485"/>
      <c r="V41" s="485"/>
      <c r="W41" s="485"/>
      <c r="X41" s="485"/>
      <c r="Y41" s="304"/>
      <c r="Z41" s="309"/>
      <c r="AA41" s="485"/>
      <c r="AB41" s="485"/>
      <c r="AC41" s="485"/>
      <c r="AD41" s="485"/>
      <c r="AE41" s="485"/>
      <c r="AF41" s="485"/>
      <c r="AG41" s="485"/>
      <c r="AH41" s="485"/>
      <c r="AI41" s="485"/>
      <c r="AJ41" s="485"/>
      <c r="AK41" s="487"/>
      <c r="AL41" s="487"/>
      <c r="AM41" s="487"/>
      <c r="AN41" s="487"/>
      <c r="AO41" s="487"/>
      <c r="AP41" s="485"/>
      <c r="AQ41" s="485"/>
      <c r="AR41" s="485"/>
      <c r="AS41" s="485"/>
      <c r="AT41" s="485"/>
      <c r="AU41" s="665"/>
      <c r="AV41" s="649"/>
      <c r="AW41" s="673"/>
    </row>
    <row r="42" spans="1:54">
      <c r="B42" s="1" t="s">
        <v>51</v>
      </c>
      <c r="C42" s="4"/>
      <c r="D42" s="4"/>
      <c r="E42" s="220"/>
      <c r="F42" s="485"/>
      <c r="G42" s="485"/>
      <c r="H42" s="485"/>
      <c r="I42" s="485"/>
      <c r="J42" s="485"/>
      <c r="K42" s="485"/>
      <c r="L42" s="485"/>
      <c r="M42" s="485"/>
      <c r="N42" s="485"/>
      <c r="O42" s="485"/>
      <c r="P42" s="485"/>
      <c r="Q42" s="485"/>
      <c r="R42" s="485"/>
      <c r="S42" s="485"/>
      <c r="T42" s="485"/>
      <c r="U42" s="485"/>
      <c r="V42" s="485"/>
      <c r="W42" s="485"/>
      <c r="X42" s="485"/>
      <c r="Y42" s="304">
        <f>SUM(E42:X42)</f>
        <v>0</v>
      </c>
      <c r="Z42" s="309"/>
      <c r="AA42" s="485"/>
      <c r="AB42" s="485"/>
      <c r="AC42" s="485"/>
      <c r="AD42" s="485"/>
      <c r="AE42" s="485"/>
      <c r="AF42" s="485"/>
      <c r="AG42" s="485"/>
      <c r="AH42" s="485"/>
      <c r="AI42" s="485"/>
      <c r="AJ42" s="485"/>
      <c r="AK42" s="487"/>
      <c r="AL42" s="487"/>
      <c r="AM42" s="487"/>
      <c r="AN42" s="487"/>
      <c r="AO42" s="487"/>
      <c r="AP42" s="485"/>
      <c r="AQ42" s="485"/>
      <c r="AR42" s="485"/>
      <c r="AS42" s="485"/>
      <c r="AT42" s="485"/>
      <c r="AU42" s="665"/>
      <c r="AV42" s="649"/>
      <c r="AW42" s="673"/>
      <c r="BA42" s="695">
        <f>-AU83</f>
        <v>-6055.2379104963811</v>
      </c>
      <c r="BB42" s="695" t="s">
        <v>585</v>
      </c>
    </row>
    <row r="43" spans="1:54">
      <c r="A43" s="89">
        <v>20</v>
      </c>
      <c r="C43" s="4" t="s">
        <v>43</v>
      </c>
      <c r="D43" s="4"/>
      <c r="E43" s="220">
        <f>'ROO INPUT'!$F44</f>
        <v>15696</v>
      </c>
      <c r="F43" s="485">
        <v>0</v>
      </c>
      <c r="G43" s="485">
        <v>0</v>
      </c>
      <c r="H43" s="485">
        <v>0</v>
      </c>
      <c r="I43" s="485">
        <v>0</v>
      </c>
      <c r="J43" s="485">
        <v>0</v>
      </c>
      <c r="K43" s="485">
        <v>0</v>
      </c>
      <c r="L43" s="485">
        <v>0</v>
      </c>
      <c r="M43" s="485">
        <v>-58</v>
      </c>
      <c r="N43" s="485">
        <v>-9</v>
      </c>
      <c r="O43" s="485">
        <v>0</v>
      </c>
      <c r="P43" s="485">
        <v>-16</v>
      </c>
      <c r="Q43" s="485">
        <v>0</v>
      </c>
      <c r="R43" s="485">
        <v>0</v>
      </c>
      <c r="S43" s="485">
        <f>ROUND((S$14+S$15)*CF!$E$17,0)</f>
        <v>-8</v>
      </c>
      <c r="T43" s="485">
        <f>ROUND((T$14+T$15)*CF!$E$17,0)</f>
        <v>16</v>
      </c>
      <c r="U43" s="485">
        <v>-399</v>
      </c>
      <c r="V43" s="485">
        <v>219</v>
      </c>
      <c r="W43" s="485">
        <v>0</v>
      </c>
      <c r="X43" s="485">
        <v>0</v>
      </c>
      <c r="Y43" s="304">
        <f>SUM(E43:X43)</f>
        <v>15441</v>
      </c>
      <c r="Z43" s="309"/>
      <c r="AA43" s="485">
        <f>ROUND((AA$14+AA$15)*CF!$E$17,0)</f>
        <v>-83</v>
      </c>
      <c r="AB43" s="485">
        <v>0</v>
      </c>
      <c r="AC43" s="583">
        <v>0</v>
      </c>
      <c r="AD43" s="485">
        <v>291</v>
      </c>
      <c r="AE43" s="583">
        <v>-97</v>
      </c>
      <c r="AF43" s="485">
        <v>108</v>
      </c>
      <c r="AG43" s="485">
        <v>0</v>
      </c>
      <c r="AH43" s="583">
        <v>0</v>
      </c>
      <c r="AI43" s="485">
        <v>0</v>
      </c>
      <c r="AJ43" s="583">
        <v>0</v>
      </c>
      <c r="AK43" s="487">
        <v>0</v>
      </c>
      <c r="AL43" s="487">
        <v>0</v>
      </c>
      <c r="AM43" s="487">
        <v>0</v>
      </c>
      <c r="AN43" s="487">
        <v>0</v>
      </c>
      <c r="AO43" s="487">
        <v>0</v>
      </c>
      <c r="AP43" s="583">
        <v>0</v>
      </c>
      <c r="AQ43" s="485">
        <v>0</v>
      </c>
      <c r="AR43" s="485"/>
      <c r="AS43" s="583">
        <v>0</v>
      </c>
      <c r="AT43" s="485">
        <v>0</v>
      </c>
      <c r="AU43" s="665">
        <f>SUM(Y43:AT43)</f>
        <v>15660</v>
      </c>
      <c r="AV43" s="649"/>
      <c r="AW43" s="673">
        <f>SUM(AU43:AV43)</f>
        <v>15660</v>
      </c>
      <c r="BA43" s="698">
        <f>AZ40</f>
        <v>-526.68162967610579</v>
      </c>
      <c r="BB43" s="695" t="s">
        <v>583</v>
      </c>
    </row>
    <row r="44" spans="1:54">
      <c r="A44" s="89">
        <v>21</v>
      </c>
      <c r="C44" s="4" t="s">
        <v>189</v>
      </c>
      <c r="D44" s="4"/>
      <c r="E44" s="220">
        <f>'ROO INPUT'!$F45</f>
        <v>10678</v>
      </c>
      <c r="F44" s="485">
        <v>0</v>
      </c>
      <c r="G44" s="485">
        <v>0</v>
      </c>
      <c r="H44" s="485">
        <v>0</v>
      </c>
      <c r="I44" s="485">
        <v>0</v>
      </c>
      <c r="J44" s="485">
        <v>0</v>
      </c>
      <c r="K44" s="485">
        <v>0</v>
      </c>
      <c r="L44" s="485">
        <v>0</v>
      </c>
      <c r="M44" s="485">
        <v>0</v>
      </c>
      <c r="N44" s="485">
        <v>0</v>
      </c>
      <c r="O44" s="485">
        <v>0</v>
      </c>
      <c r="P44" s="485">
        <v>0</v>
      </c>
      <c r="Q44" s="485">
        <v>0</v>
      </c>
      <c r="R44" s="485">
        <v>0</v>
      </c>
      <c r="S44" s="485"/>
      <c r="T44" s="485"/>
      <c r="U44" s="485">
        <v>0</v>
      </c>
      <c r="V44" s="485">
        <v>0</v>
      </c>
      <c r="W44" s="485">
        <v>0</v>
      </c>
      <c r="X44" s="485">
        <f>299-285</f>
        <v>14</v>
      </c>
      <c r="Y44" s="304">
        <f>SUM(E44:X44)</f>
        <v>10692</v>
      </c>
      <c r="Z44" s="309"/>
      <c r="AA44" s="485">
        <v>0</v>
      </c>
      <c r="AB44" s="485">
        <v>0</v>
      </c>
      <c r="AC44" s="485">
        <v>0</v>
      </c>
      <c r="AD44" s="485">
        <v>0</v>
      </c>
      <c r="AE44" s="485"/>
      <c r="AF44" s="485">
        <v>0</v>
      </c>
      <c r="AG44" s="485">
        <v>0</v>
      </c>
      <c r="AH44" s="485">
        <v>0</v>
      </c>
      <c r="AI44" s="485">
        <v>0</v>
      </c>
      <c r="AJ44" s="485"/>
      <c r="AK44" s="487">
        <f>429+9</f>
        <v>438</v>
      </c>
      <c r="AL44" s="487">
        <f>-45-0</f>
        <v>-45</v>
      </c>
      <c r="AM44" s="487">
        <v>0</v>
      </c>
      <c r="AN44" s="487">
        <v>-14</v>
      </c>
      <c r="AO44" s="487">
        <f>333+118</f>
        <v>451</v>
      </c>
      <c r="AP44" s="485">
        <v>75</v>
      </c>
      <c r="AQ44" s="485">
        <v>0</v>
      </c>
      <c r="AR44" s="485">
        <v>0</v>
      </c>
      <c r="AS44" s="485">
        <v>0</v>
      </c>
      <c r="AT44" s="485">
        <v>0</v>
      </c>
      <c r="AU44" s="665">
        <f>SUM(Y44:AT44)</f>
        <v>11597</v>
      </c>
      <c r="AV44" s="649">
        <v>0</v>
      </c>
      <c r="AW44" s="673">
        <f>SUM(AU44:AV44)</f>
        <v>11597</v>
      </c>
      <c r="BA44" s="695">
        <f>BA42+BA43</f>
        <v>-6581.9195401724864</v>
      </c>
      <c r="BB44" s="695" t="s">
        <v>586</v>
      </c>
    </row>
    <row r="45" spans="1:54">
      <c r="A45" s="89">
        <v>22</v>
      </c>
      <c r="C45" s="329" t="s">
        <v>400</v>
      </c>
      <c r="D45" s="4"/>
      <c r="E45" s="220">
        <f>'ROO INPUT'!$F46</f>
        <v>-3003</v>
      </c>
      <c r="F45" s="485"/>
      <c r="G45" s="485"/>
      <c r="H45" s="485"/>
      <c r="I45" s="485"/>
      <c r="J45" s="485"/>
      <c r="K45" s="485"/>
      <c r="L45" s="485"/>
      <c r="M45" s="485"/>
      <c r="N45" s="485"/>
      <c r="O45" s="485"/>
      <c r="P45" s="485"/>
      <c r="Q45" s="485"/>
      <c r="R45" s="485"/>
      <c r="S45" s="485">
        <v>0</v>
      </c>
      <c r="T45" s="485">
        <v>1205</v>
      </c>
      <c r="U45" s="485">
        <v>0</v>
      </c>
      <c r="V45" s="485">
        <v>0</v>
      </c>
      <c r="W45" s="485">
        <v>0</v>
      </c>
      <c r="X45" s="485">
        <v>0</v>
      </c>
      <c r="Y45" s="304">
        <f>SUM(E45:X45)</f>
        <v>-1798</v>
      </c>
      <c r="Z45" s="309"/>
      <c r="AA45" s="485">
        <v>0</v>
      </c>
      <c r="AB45" s="485">
        <v>-230</v>
      </c>
      <c r="AC45" s="485"/>
      <c r="AD45" s="485"/>
      <c r="AE45" s="485"/>
      <c r="AF45" s="485"/>
      <c r="AG45" s="485">
        <v>0</v>
      </c>
      <c r="AH45" s="485"/>
      <c r="AI45" s="485"/>
      <c r="AJ45" s="485">
        <v>805</v>
      </c>
      <c r="AK45" s="487"/>
      <c r="AL45" s="487"/>
      <c r="AM45" s="487">
        <f>-69-0</f>
        <v>-69</v>
      </c>
      <c r="AN45" s="487"/>
      <c r="AO45" s="487"/>
      <c r="AP45" s="485">
        <v>3491</v>
      </c>
      <c r="AQ45" s="485">
        <v>1550</v>
      </c>
      <c r="AR45" s="485"/>
      <c r="AS45" s="485"/>
      <c r="AT45" s="485">
        <v>0</v>
      </c>
      <c r="AU45" s="665">
        <f>SUM(Y45:AT45)</f>
        <v>3749</v>
      </c>
      <c r="AV45" s="649">
        <f>BA46</f>
        <v>-6294.1716360994451</v>
      </c>
      <c r="AW45" s="673">
        <f>SUM(AU45:AV45)</f>
        <v>-2545.1716360994451</v>
      </c>
      <c r="BA45" s="699">
        <f>-BA44*CF!E21</f>
        <v>287.74790407304107</v>
      </c>
      <c r="BB45" s="695" t="s">
        <v>584</v>
      </c>
    </row>
    <row r="46" spans="1:54">
      <c r="A46" s="89">
        <v>23</v>
      </c>
      <c r="C46" s="4" t="s">
        <v>21</v>
      </c>
      <c r="D46" s="4"/>
      <c r="E46" s="222">
        <f>'ROO INPUT'!$F47</f>
        <v>0</v>
      </c>
      <c r="F46" s="222">
        <f>'ROO INPUT'!$F47</f>
        <v>0</v>
      </c>
      <c r="G46" s="222">
        <f>'ROO INPUT'!$F47</f>
        <v>0</v>
      </c>
      <c r="H46" s="222">
        <f>'ROO INPUT'!$F47</f>
        <v>0</v>
      </c>
      <c r="I46" s="222">
        <f>'ROO INPUT'!$F47</f>
        <v>0</v>
      </c>
      <c r="J46" s="222">
        <f>'ROO INPUT'!$F47</f>
        <v>0</v>
      </c>
      <c r="K46" s="222">
        <f>'ROO INPUT'!$F47</f>
        <v>0</v>
      </c>
      <c r="L46" s="222">
        <f>'ROO INPUT'!$F47</f>
        <v>0</v>
      </c>
      <c r="M46" s="222">
        <f>'ROO INPUT'!$F47</f>
        <v>0</v>
      </c>
      <c r="N46" s="222">
        <f>'ROO INPUT'!$F47</f>
        <v>0</v>
      </c>
      <c r="O46" s="222">
        <f>'ROO INPUT'!$F47</f>
        <v>0</v>
      </c>
      <c r="P46" s="222">
        <f>'ROO INPUT'!$F47</f>
        <v>0</v>
      </c>
      <c r="Q46" s="222">
        <f>'ROO INPUT'!$F47</f>
        <v>0</v>
      </c>
      <c r="R46" s="222">
        <f>'ROO INPUT'!$F47</f>
        <v>0</v>
      </c>
      <c r="S46" s="222">
        <f>'ROO INPUT'!$F47</f>
        <v>0</v>
      </c>
      <c r="T46" s="222">
        <f>'ROO INPUT'!$F47</f>
        <v>0</v>
      </c>
      <c r="U46" s="222">
        <f>'ROO INPUT'!$F47</f>
        <v>0</v>
      </c>
      <c r="V46" s="222">
        <f>'ROO INPUT'!$F47</f>
        <v>0</v>
      </c>
      <c r="W46" s="222">
        <f>'ROO INPUT'!$F47</f>
        <v>0</v>
      </c>
      <c r="X46" s="222">
        <f>'ROO INPUT'!$F47</f>
        <v>0</v>
      </c>
      <c r="Y46" s="222">
        <f>'ROO INPUT'!$F47</f>
        <v>0</v>
      </c>
      <c r="Z46" s="222">
        <f>'ROO INPUT'!$F47</f>
        <v>0</v>
      </c>
      <c r="AA46" s="222">
        <f>'ROO INPUT'!$F47</f>
        <v>0</v>
      </c>
      <c r="AB46" s="222">
        <f>'ROO INPUT'!$F47</f>
        <v>0</v>
      </c>
      <c r="AC46" s="222">
        <f>'ROO INPUT'!$F47</f>
        <v>0</v>
      </c>
      <c r="AD46" s="222">
        <f>'ROO INPUT'!$F47</f>
        <v>0</v>
      </c>
      <c r="AE46" s="222">
        <f>'ROO INPUT'!$F47</f>
        <v>0</v>
      </c>
      <c r="AF46" s="222">
        <f>'ROO INPUT'!$F47</f>
        <v>0</v>
      </c>
      <c r="AG46" s="222">
        <f>'ROO INPUT'!$F47</f>
        <v>0</v>
      </c>
      <c r="AH46" s="222">
        <f>'ROO INPUT'!$F47</f>
        <v>0</v>
      </c>
      <c r="AI46" s="222">
        <f>'ROO INPUT'!$F47</f>
        <v>0</v>
      </c>
      <c r="AJ46" s="222">
        <f>'ROO INPUT'!$F47</f>
        <v>0</v>
      </c>
      <c r="AK46" s="222">
        <f>'ROO INPUT'!$F47</f>
        <v>0</v>
      </c>
      <c r="AL46" s="486">
        <v>0</v>
      </c>
      <c r="AM46" s="486">
        <v>0</v>
      </c>
      <c r="AN46" s="486">
        <v>0</v>
      </c>
      <c r="AO46" s="486">
        <v>0</v>
      </c>
      <c r="AP46" s="486">
        <v>0</v>
      </c>
      <c r="AQ46" s="486">
        <v>0</v>
      </c>
      <c r="AR46" s="486">
        <v>0</v>
      </c>
      <c r="AS46" s="486">
        <v>0</v>
      </c>
      <c r="AT46" s="486">
        <v>0</v>
      </c>
      <c r="AU46" s="666">
        <f>SUM(Y46:AT46)</f>
        <v>0</v>
      </c>
      <c r="AV46" s="650">
        <v>0</v>
      </c>
      <c r="AW46" s="674">
        <f>SUM(AU46:AV46)</f>
        <v>0</v>
      </c>
      <c r="BA46" s="696">
        <f>SUM(BA44:BA45)</f>
        <v>-6294.1716360994451</v>
      </c>
      <c r="BB46" s="695"/>
    </row>
    <row r="47" spans="1:54">
      <c r="A47" s="89">
        <v>24</v>
      </c>
      <c r="B47" s="4" t="s">
        <v>52</v>
      </c>
      <c r="C47" s="4"/>
      <c r="E47" s="222">
        <f>SUM(E43:E46)</f>
        <v>23371</v>
      </c>
      <c r="F47" s="222">
        <f t="shared" ref="F47:O47" si="63">SUM(F43:F46)</f>
        <v>0</v>
      </c>
      <c r="G47" s="222">
        <f t="shared" si="63"/>
        <v>0</v>
      </c>
      <c r="H47" s="223">
        <f t="shared" si="63"/>
        <v>0</v>
      </c>
      <c r="I47" s="223">
        <f t="shared" ref="I47" si="64">SUM(I43:I46)</f>
        <v>0</v>
      </c>
      <c r="J47" s="223">
        <f t="shared" si="63"/>
        <v>0</v>
      </c>
      <c r="K47" s="223">
        <f>SUM(K43:K46)</f>
        <v>0</v>
      </c>
      <c r="L47" s="223">
        <f t="shared" si="63"/>
        <v>0</v>
      </c>
      <c r="M47" s="223">
        <f t="shared" si="63"/>
        <v>-58</v>
      </c>
      <c r="N47" s="223">
        <f t="shared" si="63"/>
        <v>-9</v>
      </c>
      <c r="O47" s="223">
        <f t="shared" si="63"/>
        <v>0</v>
      </c>
      <c r="P47" s="223">
        <f t="shared" ref="P47:Q47" si="65">SUM(P43:P46)</f>
        <v>-16</v>
      </c>
      <c r="Q47" s="223">
        <f t="shared" si="65"/>
        <v>0</v>
      </c>
      <c r="R47" s="223">
        <f t="shared" ref="R47:U47" si="66">SUM(R43:R46)</f>
        <v>0</v>
      </c>
      <c r="S47" s="223">
        <f t="shared" si="66"/>
        <v>-8</v>
      </c>
      <c r="T47" s="223">
        <f t="shared" si="66"/>
        <v>1221</v>
      </c>
      <c r="U47" s="223">
        <f t="shared" si="66"/>
        <v>-399</v>
      </c>
      <c r="V47" s="223">
        <f>SUM(V43:V46)</f>
        <v>219</v>
      </c>
      <c r="W47" s="223">
        <f>SUM(W43:W46)</f>
        <v>0</v>
      </c>
      <c r="X47" s="223">
        <f>SUM(X43:X46)</f>
        <v>14</v>
      </c>
      <c r="Y47" s="305">
        <f t="shared" ref="Y47" si="67">SUM(Y43:Y46)</f>
        <v>24335</v>
      </c>
      <c r="Z47" s="309"/>
      <c r="AA47" s="223">
        <f>SUM(AA43:AA46)</f>
        <v>-83</v>
      </c>
      <c r="AB47" s="223">
        <f>SUM(AB43:AB46)</f>
        <v>-230</v>
      </c>
      <c r="AC47" s="223">
        <f>SUM(AC43:AC46)</f>
        <v>0</v>
      </c>
      <c r="AD47" s="223">
        <f t="shared" ref="AD47" si="68">SUM(AD43:AD46)</f>
        <v>291</v>
      </c>
      <c r="AE47" s="223">
        <f>SUM(AE43:AE46)</f>
        <v>-97</v>
      </c>
      <c r="AF47" s="223">
        <f t="shared" ref="AF47:AG47" si="69">SUM(AF43:AF46)</f>
        <v>108</v>
      </c>
      <c r="AG47" s="223">
        <f t="shared" si="69"/>
        <v>0</v>
      </c>
      <c r="AH47" s="223">
        <f>SUM(AH43:AH46)</f>
        <v>0</v>
      </c>
      <c r="AI47" s="223">
        <f t="shared" ref="AI47:AJ47" si="70">SUM(AI43:AI46)</f>
        <v>0</v>
      </c>
      <c r="AJ47" s="223">
        <f t="shared" si="70"/>
        <v>805</v>
      </c>
      <c r="AK47" s="223">
        <f>SUM(AK43:AK46)</f>
        <v>438</v>
      </c>
      <c r="AL47" s="223">
        <f>SUM(AL43:AL46)</f>
        <v>-45</v>
      </c>
      <c r="AM47" s="223">
        <f>SUM(AM43:AM46)</f>
        <v>-69</v>
      </c>
      <c r="AN47" s="223">
        <f t="shared" ref="AN47:AO47" si="71">SUM(AN43:AN46)</f>
        <v>-14</v>
      </c>
      <c r="AO47" s="223">
        <f t="shared" si="71"/>
        <v>451</v>
      </c>
      <c r="AP47" s="223">
        <f t="shared" ref="AP47" si="72">SUM(AP43:AP46)</f>
        <v>3566</v>
      </c>
      <c r="AQ47" s="223">
        <f>SUM(AQ43:AQ46)</f>
        <v>1550</v>
      </c>
      <c r="AR47" s="223">
        <f>SUM(AR43:AR46)</f>
        <v>0</v>
      </c>
      <c r="AS47" s="223">
        <f t="shared" ref="AS47" si="73">SUM(AS43:AS46)</f>
        <v>0</v>
      </c>
      <c r="AT47" s="223">
        <f t="shared" ref="AT47" si="74">SUM(AT43:AT46)</f>
        <v>0</v>
      </c>
      <c r="AU47" s="666">
        <f t="shared" ref="AU47:AW47" si="75">SUM(AU43:AU46)</f>
        <v>31006</v>
      </c>
      <c r="AV47" s="652">
        <f>SUM(AV43:AV46)</f>
        <v>-6294.1716360994451</v>
      </c>
      <c r="AW47" s="674">
        <f t="shared" si="75"/>
        <v>24711.828363900553</v>
      </c>
    </row>
    <row r="48" spans="1:54" ht="19.5" customHeight="1">
      <c r="A48" s="89">
        <v>25</v>
      </c>
      <c r="B48" s="1" t="s">
        <v>53</v>
      </c>
      <c r="C48" s="4"/>
      <c r="D48" s="4"/>
      <c r="E48" s="222">
        <f t="shared" ref="E48:AG48" si="76">E20+E24+E30+E36+E38+E39+E40+E47</f>
        <v>181582</v>
      </c>
      <c r="F48" s="222">
        <f t="shared" si="76"/>
        <v>0</v>
      </c>
      <c r="G48" s="222">
        <f t="shared" si="76"/>
        <v>15</v>
      </c>
      <c r="H48" s="223">
        <f t="shared" si="76"/>
        <v>0</v>
      </c>
      <c r="I48" s="223">
        <f t="shared" ref="I48" si="77">I20+I24+I30+I36+I38+I39+I40+I47</f>
        <v>0</v>
      </c>
      <c r="J48" s="223">
        <f t="shared" si="76"/>
        <v>-5235</v>
      </c>
      <c r="K48" s="223">
        <f>K20+K24+K30+K36+K38+K39+K40+K47</f>
        <v>239</v>
      </c>
      <c r="L48" s="223">
        <f t="shared" si="76"/>
        <v>166</v>
      </c>
      <c r="M48" s="223">
        <f t="shared" si="76"/>
        <v>-58</v>
      </c>
      <c r="N48" s="223">
        <f t="shared" si="76"/>
        <v>-9</v>
      </c>
      <c r="O48" s="223">
        <f t="shared" si="76"/>
        <v>0</v>
      </c>
      <c r="P48" s="223">
        <f t="shared" si="76"/>
        <v>-16</v>
      </c>
      <c r="Q48" s="223">
        <f t="shared" si="76"/>
        <v>1</v>
      </c>
      <c r="R48" s="223">
        <f t="shared" ref="R48:U48" si="78">R20+R24+R30+R36+R38+R39+R40+R47</f>
        <v>-11</v>
      </c>
      <c r="S48" s="223">
        <f t="shared" si="78"/>
        <v>-1830</v>
      </c>
      <c r="T48" s="223">
        <f t="shared" si="78"/>
        <v>-52738</v>
      </c>
      <c r="U48" s="223">
        <f t="shared" si="78"/>
        <v>-400</v>
      </c>
      <c r="V48" s="223">
        <f>V20+V24+V30+V36+V38+V39+V40+V47</f>
        <v>219</v>
      </c>
      <c r="W48" s="223">
        <f>W20+W24+W30+W36+W38+W39+W40+W47</f>
        <v>0</v>
      </c>
      <c r="X48" s="223">
        <f>X20+X24+X30+X36+X38+X39+X40+X47</f>
        <v>-262</v>
      </c>
      <c r="Y48" s="305">
        <f t="shared" si="76"/>
        <v>121663</v>
      </c>
      <c r="Z48" s="309"/>
      <c r="AA48" s="223">
        <f>AA20+AA24+AA30+AA36+AA38+AA39+AA40+AA47</f>
        <v>-52960</v>
      </c>
      <c r="AB48" s="223">
        <f>AB20+AB24+AB30+AB36+AB38+AB39+AB40+AB47</f>
        <v>-230</v>
      </c>
      <c r="AC48" s="223">
        <f>AC20+AC24+AC30+AC36+AC38+AC39+AC40+AC47</f>
        <v>0</v>
      </c>
      <c r="AD48" s="223">
        <f t="shared" ref="AD48" si="79">AD20+AD24+AD30+AD36+AD38+AD39+AD40+AD47</f>
        <v>792</v>
      </c>
      <c r="AE48" s="223">
        <f t="shared" si="76"/>
        <v>-97</v>
      </c>
      <c r="AF48" s="223">
        <f t="shared" si="76"/>
        <v>372</v>
      </c>
      <c r="AG48" s="223">
        <f t="shared" si="76"/>
        <v>0</v>
      </c>
      <c r="AH48" s="223">
        <f>AH20+AH24+AH30+AH36+AH38+AH39+AH40+AH47</f>
        <v>0</v>
      </c>
      <c r="AI48" s="223">
        <f>AI20+AI24+AI30+AI36+AI38+AI39+AI40+AI47</f>
        <v>257</v>
      </c>
      <c r="AJ48" s="223">
        <f t="shared" ref="AJ48:AS48" si="80">AJ20+AJ24+AJ30+AJ36+AJ38+AJ39+AJ40+AJ47</f>
        <v>872</v>
      </c>
      <c r="AK48" s="223">
        <f t="shared" si="80"/>
        <v>438</v>
      </c>
      <c r="AL48" s="223">
        <f t="shared" si="80"/>
        <v>72</v>
      </c>
      <c r="AM48" s="223">
        <f t="shared" si="80"/>
        <v>-66</v>
      </c>
      <c r="AN48" s="223">
        <f t="shared" ref="AN48:AO48" si="81">AN20+AN24+AN30+AN36+AN38+AN39+AN40+AN47</f>
        <v>160</v>
      </c>
      <c r="AO48" s="223">
        <f t="shared" si="81"/>
        <v>451</v>
      </c>
      <c r="AP48" s="223">
        <f t="shared" si="80"/>
        <v>3398</v>
      </c>
      <c r="AQ48" s="223">
        <f>AQ20+AQ24+AQ30+AQ36+AQ38+AQ39+AQ40+AQ47</f>
        <v>1550</v>
      </c>
      <c r="AR48" s="223">
        <f>AR20+AR24+AR30+AR36+AR38+AR39+AR40+AR47</f>
        <v>0</v>
      </c>
      <c r="AS48" s="223">
        <f t="shared" si="80"/>
        <v>0</v>
      </c>
      <c r="AT48" s="223">
        <f t="shared" ref="AT48" si="82">AT20+AT24+AT30+AT36+AT38+AT39+AT40+AT47</f>
        <v>0</v>
      </c>
      <c r="AU48" s="666">
        <f t="shared" ref="AU48:AW48" si="83">AU20+AU24+AU30+AU36+AU38+AU39+AU40+AU47</f>
        <v>76672</v>
      </c>
      <c r="AV48" s="652">
        <f>AV20+AV24+AV30+AV36+AV38+AV39+AV40+AV47</f>
        <v>-6294.1716360994451</v>
      </c>
      <c r="AW48" s="674">
        <f t="shared" si="83"/>
        <v>70377.828363900553</v>
      </c>
    </row>
    <row r="49" spans="1:56" ht="9" customHeight="1">
      <c r="C49" s="4"/>
      <c r="D49" s="4"/>
      <c r="E49" s="220"/>
      <c r="F49" s="220"/>
      <c r="G49" s="220"/>
      <c r="H49" s="268"/>
      <c r="I49" s="268"/>
      <c r="J49" s="268"/>
      <c r="K49" s="268"/>
      <c r="L49" s="268"/>
      <c r="M49" s="268"/>
      <c r="N49" s="268"/>
      <c r="O49" s="268"/>
      <c r="P49" s="268"/>
      <c r="Q49" s="268"/>
      <c r="R49" s="268"/>
      <c r="S49" s="268"/>
      <c r="T49" s="268"/>
      <c r="U49" s="268"/>
      <c r="V49" s="268"/>
      <c r="W49" s="268"/>
      <c r="X49" s="268"/>
      <c r="Y49" s="304"/>
      <c r="Z49" s="309"/>
      <c r="AA49" s="268"/>
      <c r="AB49" s="268"/>
      <c r="AC49" s="268"/>
      <c r="AD49" s="268"/>
      <c r="AE49" s="268"/>
      <c r="AF49" s="268"/>
      <c r="AG49" s="268"/>
      <c r="AH49" s="268"/>
      <c r="AI49" s="268"/>
      <c r="AJ49" s="268"/>
      <c r="AK49" s="503"/>
      <c r="AL49" s="503"/>
      <c r="AM49" s="503"/>
      <c r="AN49" s="503"/>
      <c r="AO49" s="503"/>
      <c r="AP49" s="268"/>
      <c r="AQ49" s="268"/>
      <c r="AR49" s="268"/>
      <c r="AS49" s="268"/>
      <c r="AT49" s="268"/>
      <c r="AU49" s="665"/>
      <c r="AV49" s="651"/>
      <c r="AW49" s="673"/>
    </row>
    <row r="50" spans="1:56" ht="13" customHeight="1">
      <c r="A50" s="89">
        <v>26</v>
      </c>
      <c r="B50" s="1" t="s">
        <v>54</v>
      </c>
      <c r="C50" s="4"/>
      <c r="D50" s="4"/>
      <c r="E50" s="220">
        <f t="shared" ref="E50:Q50" si="84">E17-E48</f>
        <v>26243</v>
      </c>
      <c r="F50" s="220">
        <f t="shared" si="84"/>
        <v>0</v>
      </c>
      <c r="G50" s="220">
        <f t="shared" si="84"/>
        <v>-15</v>
      </c>
      <c r="H50" s="268">
        <f t="shared" si="84"/>
        <v>0</v>
      </c>
      <c r="I50" s="268">
        <f t="shared" ref="I50" si="85">I17-I48</f>
        <v>0</v>
      </c>
      <c r="J50" s="268">
        <f t="shared" si="84"/>
        <v>-12</v>
      </c>
      <c r="K50" s="268">
        <f>K17-K48</f>
        <v>-239</v>
      </c>
      <c r="L50" s="268">
        <f t="shared" si="84"/>
        <v>-166</v>
      </c>
      <c r="M50" s="268">
        <f t="shared" si="84"/>
        <v>58</v>
      </c>
      <c r="N50" s="268">
        <f t="shared" si="84"/>
        <v>9</v>
      </c>
      <c r="O50" s="268">
        <f t="shared" si="84"/>
        <v>0</v>
      </c>
      <c r="P50" s="268">
        <f t="shared" si="84"/>
        <v>16</v>
      </c>
      <c r="Q50" s="268">
        <f t="shared" si="84"/>
        <v>-1</v>
      </c>
      <c r="R50" s="268">
        <f t="shared" ref="R50:U50" si="86">R17-R48</f>
        <v>11</v>
      </c>
      <c r="S50" s="268">
        <f t="shared" si="86"/>
        <v>-6</v>
      </c>
      <c r="T50" s="268">
        <f t="shared" si="86"/>
        <v>824</v>
      </c>
      <c r="U50" s="268">
        <f t="shared" si="86"/>
        <v>-44</v>
      </c>
      <c r="V50" s="268">
        <f>V17-V48</f>
        <v>-219</v>
      </c>
      <c r="W50" s="268">
        <f>W17-W48</f>
        <v>0</v>
      </c>
      <c r="X50" s="268">
        <f>X17-X48</f>
        <v>262</v>
      </c>
      <c r="Y50" s="304">
        <f>SUM(E50:X50)</f>
        <v>26721</v>
      </c>
      <c r="Z50" s="309"/>
      <c r="AA50" s="268">
        <f>AA17-AA48</f>
        <v>10363</v>
      </c>
      <c r="AB50" s="268">
        <f>AB17-AB48</f>
        <v>230</v>
      </c>
      <c r="AC50" s="268">
        <f>AC17-AC48</f>
        <v>0</v>
      </c>
      <c r="AD50" s="268">
        <f t="shared" ref="AD50" si="87">AD17-AD48</f>
        <v>-792</v>
      </c>
      <c r="AE50" s="268">
        <f t="shared" ref="AE50:AG50" si="88">AE17-AE48</f>
        <v>97</v>
      </c>
      <c r="AF50" s="268">
        <f t="shared" si="88"/>
        <v>-372</v>
      </c>
      <c r="AG50" s="268">
        <f t="shared" si="88"/>
        <v>0</v>
      </c>
      <c r="AH50" s="268">
        <f>AH17-AH48</f>
        <v>0</v>
      </c>
      <c r="AI50" s="268">
        <f t="shared" ref="AI50:AJ50" si="89">AI17-AI48</f>
        <v>-257</v>
      </c>
      <c r="AJ50" s="268">
        <f t="shared" si="89"/>
        <v>-872</v>
      </c>
      <c r="AK50" s="503">
        <f>AK17-AK48</f>
        <v>-438</v>
      </c>
      <c r="AL50" s="503">
        <f>AL17-AL48</f>
        <v>-72</v>
      </c>
      <c r="AM50" s="503">
        <f>AM17-AM48</f>
        <v>66</v>
      </c>
      <c r="AN50" s="503">
        <f t="shared" ref="AN50:AO50" si="90">AN17-AN48</f>
        <v>-160</v>
      </c>
      <c r="AO50" s="503">
        <f t="shared" si="90"/>
        <v>-451</v>
      </c>
      <c r="AP50" s="268">
        <f t="shared" ref="AP50" si="91">AP17-AP48</f>
        <v>-3398</v>
      </c>
      <c r="AQ50" s="268">
        <f>AQ17-AQ48</f>
        <v>-1550</v>
      </c>
      <c r="AR50" s="268">
        <f>AR17-AR48</f>
        <v>0</v>
      </c>
      <c r="AS50" s="268">
        <f t="shared" ref="AS50" si="92">AS17-AS48</f>
        <v>0</v>
      </c>
      <c r="AT50" s="268">
        <f t="shared" ref="AT50" si="93">AT17-AT48</f>
        <v>0</v>
      </c>
      <c r="AU50" s="665">
        <f t="shared" ref="AU50:AW50" si="94">AU17-AU48</f>
        <v>29115</v>
      </c>
      <c r="AV50" s="651">
        <f>AV17-AV48</f>
        <v>6294.1716360994451</v>
      </c>
      <c r="AW50" s="673">
        <f t="shared" si="94"/>
        <v>35409.171636099447</v>
      </c>
    </row>
    <row r="51" spans="1:56" ht="6" customHeight="1">
      <c r="C51" s="4"/>
      <c r="D51" s="4"/>
      <c r="E51" s="220"/>
      <c r="F51" s="220"/>
      <c r="G51" s="220"/>
      <c r="H51" s="268"/>
      <c r="I51" s="268"/>
      <c r="J51" s="268"/>
      <c r="K51" s="268"/>
      <c r="L51" s="268"/>
      <c r="M51" s="268"/>
      <c r="N51" s="268"/>
      <c r="O51" s="268"/>
      <c r="P51" s="268"/>
      <c r="Q51" s="268"/>
      <c r="R51" s="268"/>
      <c r="S51" s="268"/>
      <c r="T51" s="268"/>
      <c r="U51" s="220"/>
      <c r="V51" s="268"/>
      <c r="W51" s="268"/>
      <c r="X51" s="268"/>
      <c r="Y51" s="304"/>
      <c r="Z51" s="309"/>
      <c r="AA51" s="268"/>
      <c r="AB51" s="268"/>
      <c r="AC51" s="268"/>
      <c r="AD51" s="268"/>
      <c r="AE51" s="268"/>
      <c r="AF51" s="268"/>
      <c r="AG51" s="268"/>
      <c r="AH51" s="268"/>
      <c r="AI51" s="268"/>
      <c r="AJ51" s="268"/>
      <c r="AK51" s="503"/>
      <c r="AL51" s="503"/>
      <c r="AM51" s="503"/>
      <c r="AN51" s="503"/>
      <c r="AO51" s="503"/>
      <c r="AP51" s="268"/>
      <c r="AQ51" s="268"/>
      <c r="AR51" s="268"/>
      <c r="AS51" s="268"/>
      <c r="AT51" s="268"/>
      <c r="AU51" s="665"/>
      <c r="AV51" s="651"/>
      <c r="AW51" s="673"/>
    </row>
    <row r="52" spans="1:56" ht="13" customHeight="1">
      <c r="B52" s="1" t="s">
        <v>55</v>
      </c>
      <c r="C52" s="4"/>
      <c r="D52" s="4"/>
      <c r="E52" s="220"/>
      <c r="F52" s="485"/>
      <c r="G52" s="485"/>
      <c r="H52" s="485"/>
      <c r="I52" s="485"/>
      <c r="J52" s="485"/>
      <c r="K52" s="485"/>
      <c r="L52" s="485"/>
      <c r="M52" s="485"/>
      <c r="N52" s="485"/>
      <c r="O52" s="485"/>
      <c r="P52" s="485"/>
      <c r="Q52" s="485"/>
      <c r="R52" s="485"/>
      <c r="S52" s="485"/>
      <c r="T52" s="485"/>
      <c r="U52" s="485"/>
      <c r="V52" s="485"/>
      <c r="W52" s="485"/>
      <c r="X52" s="485"/>
      <c r="Y52" s="304"/>
      <c r="Z52" s="309"/>
      <c r="AA52" s="485"/>
      <c r="AB52" s="485"/>
      <c r="AC52" s="485"/>
      <c r="AD52" s="485"/>
      <c r="AE52" s="485"/>
      <c r="AF52" s="485"/>
      <c r="AG52" s="485"/>
      <c r="AH52" s="485"/>
      <c r="AI52" s="485"/>
      <c r="AJ52" s="485"/>
      <c r="AK52" s="487"/>
      <c r="AL52" s="487"/>
      <c r="AM52" s="487"/>
      <c r="AN52" s="487"/>
      <c r="AO52" s="487"/>
      <c r="AP52" s="485"/>
      <c r="AQ52" s="485"/>
      <c r="AR52" s="485"/>
      <c r="AS52" s="485"/>
      <c r="AT52" s="485"/>
      <c r="AU52" s="665"/>
      <c r="AV52" s="649"/>
      <c r="AW52" s="673"/>
    </row>
    <row r="53" spans="1:56">
      <c r="A53" s="89">
        <v>27</v>
      </c>
      <c r="B53" s="4" t="s">
        <v>56</v>
      </c>
      <c r="D53" s="4"/>
      <c r="E53" s="220">
        <f>'ROO INPUT'!$F54</f>
        <v>-4720</v>
      </c>
      <c r="F53" s="485">
        <f t="shared" ref="F53:N53" si="95">F50*0.21</f>
        <v>0</v>
      </c>
      <c r="G53" s="485">
        <f t="shared" si="95"/>
        <v>-3.15</v>
      </c>
      <c r="H53" s="485">
        <f t="shared" si="95"/>
        <v>0</v>
      </c>
      <c r="I53" s="485">
        <f t="shared" si="95"/>
        <v>0</v>
      </c>
      <c r="J53" s="485">
        <f t="shared" si="95"/>
        <v>-2.52</v>
      </c>
      <c r="K53" s="485">
        <f t="shared" si="95"/>
        <v>-50.19</v>
      </c>
      <c r="L53" s="485">
        <f t="shared" si="95"/>
        <v>-34.86</v>
      </c>
      <c r="M53" s="485">
        <f t="shared" si="95"/>
        <v>12.18</v>
      </c>
      <c r="N53" s="485">
        <f t="shared" si="95"/>
        <v>1.89</v>
      </c>
      <c r="O53" s="485">
        <v>0</v>
      </c>
      <c r="P53" s="485">
        <f t="shared" ref="P53:V53" si="96">P50*0.21</f>
        <v>3.36</v>
      </c>
      <c r="Q53" s="485">
        <f t="shared" si="96"/>
        <v>-0.21</v>
      </c>
      <c r="R53" s="485">
        <f t="shared" si="96"/>
        <v>2.31</v>
      </c>
      <c r="S53" s="485">
        <f t="shared" si="96"/>
        <v>-1.26</v>
      </c>
      <c r="T53" s="485">
        <f t="shared" si="96"/>
        <v>173.04</v>
      </c>
      <c r="U53" s="485">
        <f t="shared" si="96"/>
        <v>-9.24</v>
      </c>
      <c r="V53" s="485">
        <f t="shared" si="96"/>
        <v>-45.989999999999995</v>
      </c>
      <c r="W53" s="485">
        <f>'DEBT CALC'!E64</f>
        <v>154</v>
      </c>
      <c r="X53" s="485">
        <f>X50*0.21</f>
        <v>55.019999999999996</v>
      </c>
      <c r="Y53" s="304">
        <f>SUM(E53:X53)</f>
        <v>-4465.6199999999981</v>
      </c>
      <c r="Z53" s="309"/>
      <c r="AA53" s="485">
        <f t="shared" ref="AA53:AT53" si="97">AA50*0.21</f>
        <v>2176.23</v>
      </c>
      <c r="AB53" s="485">
        <f t="shared" ref="AB53:AC53" si="98">AB50*0.21</f>
        <v>48.3</v>
      </c>
      <c r="AC53" s="485">
        <f t="shared" si="98"/>
        <v>0</v>
      </c>
      <c r="AD53" s="485">
        <f t="shared" si="97"/>
        <v>-166.32</v>
      </c>
      <c r="AE53" s="485">
        <f t="shared" si="97"/>
        <v>20.37</v>
      </c>
      <c r="AF53" s="485">
        <f t="shared" si="97"/>
        <v>-78.11999999999999</v>
      </c>
      <c r="AG53" s="485">
        <f t="shared" ref="AG53" si="99">AG50*0.21</f>
        <v>0</v>
      </c>
      <c r="AH53" s="485">
        <f t="shared" si="97"/>
        <v>0</v>
      </c>
      <c r="AI53" s="485">
        <f t="shared" si="97"/>
        <v>-53.97</v>
      </c>
      <c r="AJ53" s="485">
        <f t="shared" ref="AJ53" si="100">AJ50*0.21</f>
        <v>-183.12</v>
      </c>
      <c r="AK53" s="485">
        <f t="shared" si="97"/>
        <v>-91.97999999999999</v>
      </c>
      <c r="AL53" s="485">
        <f t="shared" ref="AL53:AM53" si="101">AL50*0.21</f>
        <v>-15.12</v>
      </c>
      <c r="AM53" s="485">
        <f t="shared" si="101"/>
        <v>13.86</v>
      </c>
      <c r="AN53" s="485">
        <f t="shared" ref="AN53:AO53" si="102">AN50*0.21</f>
        <v>-33.6</v>
      </c>
      <c r="AO53" s="485">
        <f t="shared" si="102"/>
        <v>-94.71</v>
      </c>
      <c r="AP53" s="485">
        <f t="shared" ref="AP53" si="103">AP50*0.21</f>
        <v>-713.57999999999993</v>
      </c>
      <c r="AQ53" s="485">
        <f>AQ50*0.21</f>
        <v>-325.5</v>
      </c>
      <c r="AR53" s="485">
        <f>AR50*0.21</f>
        <v>0</v>
      </c>
      <c r="AS53" s="485">
        <f t="shared" ref="AS53" si="104">AS50*0.21</f>
        <v>0</v>
      </c>
      <c r="AT53" s="485">
        <f t="shared" si="97"/>
        <v>0</v>
      </c>
      <c r="AU53" s="665">
        <f>SUM(Y53:AT53)</f>
        <v>-3962.8799999999974</v>
      </c>
      <c r="AV53" s="649">
        <f>AV50*0.21</f>
        <v>1321.7760435808834</v>
      </c>
      <c r="AW53" s="673">
        <f>SUM(AU53:AV53)</f>
        <v>-2641.1039564191142</v>
      </c>
    </row>
    <row r="54" spans="1:56">
      <c r="A54" s="89">
        <v>28</v>
      </c>
      <c r="B54" s="4" t="s">
        <v>170</v>
      </c>
      <c r="D54" s="4"/>
      <c r="E54" s="220">
        <f>'ROO INPUT'!$F55</f>
        <v>0</v>
      </c>
      <c r="F54" s="485">
        <f>(F81*'RR SUMMARY'!$P$12)*-0.21</f>
        <v>5.3437439999999992</v>
      </c>
      <c r="G54" s="485">
        <f>(G81*'RR SUMMARY'!$P$12)*-0.21</f>
        <v>5.3759999999999997E-3</v>
      </c>
      <c r="H54" s="485">
        <f>(H81*'RR SUMMARY'!$P$12)*-0.21</f>
        <v>6.1501439999999992</v>
      </c>
      <c r="I54" s="485">
        <f>(I81*'RR SUMMARY'!$P$12)*-0.21</f>
        <v>98.934527999999986</v>
      </c>
      <c r="J54" s="485">
        <f>(J81*'RR SUMMARY'!$P$12)*-0.21</f>
        <v>0</v>
      </c>
      <c r="K54" s="485">
        <f>(K81*'RR SUMMARY'!$P$12)*-0.21</f>
        <v>0</v>
      </c>
      <c r="L54" s="485">
        <f>(L81*'RR SUMMARY'!$P$12)*-0.21</f>
        <v>0</v>
      </c>
      <c r="M54" s="485">
        <f>(M81*'RR SUMMARY'!$P$12)*-0.21</f>
        <v>0</v>
      </c>
      <c r="N54" s="485">
        <f>(N81*'RR SUMMARY'!$P$12)*-0.21</f>
        <v>0</v>
      </c>
      <c r="O54" s="485"/>
      <c r="P54" s="485">
        <f>(P81*'RR SUMMARY'!$P$12)*-0.21</f>
        <v>0</v>
      </c>
      <c r="Q54" s="485">
        <f>(Q81*'RR SUMMARY'!$P$12)*-0.21</f>
        <v>0</v>
      </c>
      <c r="R54" s="485">
        <f>(R81*'RR SUMMARY'!$P$12)*-0.21</f>
        <v>0</v>
      </c>
      <c r="S54" s="485">
        <f>(S81*'RR SUMMARY'!$P$12)*-0.21</f>
        <v>0</v>
      </c>
      <c r="T54" s="485">
        <f>(T81*'RR SUMMARY'!$P$12)*-0.21</f>
        <v>0</v>
      </c>
      <c r="U54" s="485">
        <f>(U81*'RR SUMMARY'!$P$12)*-0.21</f>
        <v>0</v>
      </c>
      <c r="V54" s="485">
        <f>(V81*'RR SUMMARY'!$P$12)*-0.21</f>
        <v>0</v>
      </c>
      <c r="W54" s="485"/>
      <c r="X54" s="485">
        <f>(X81*'RR SUMMARY'!$P$12)*-0.21</f>
        <v>-68.439293098519258</v>
      </c>
      <c r="Y54" s="304">
        <f>SUM(E54:X54)</f>
        <v>41.994498901480725</v>
      </c>
      <c r="Z54" s="309"/>
      <c r="AA54" s="485">
        <f>(AA81*'RR SUMMARY'!$P$12)*-0.21</f>
        <v>0</v>
      </c>
      <c r="AB54" s="485">
        <f>(AB81*'RR SUMMARY'!$P$12)*-0.21</f>
        <v>0</v>
      </c>
      <c r="AC54" s="485">
        <f>(AC81*'RR SUMMARY'!$P$12)*-0.21</f>
        <v>0</v>
      </c>
      <c r="AD54" s="485">
        <f>(AD81*'RR SUMMARY'!$P$12)*-0.21</f>
        <v>0</v>
      </c>
      <c r="AE54" s="485">
        <f>(AE81*'RR SUMMARY'!$P$12)*-0.21</f>
        <v>0</v>
      </c>
      <c r="AF54" s="485">
        <f>(AF81*'RR SUMMARY'!$P$12)*-0.21</f>
        <v>0</v>
      </c>
      <c r="AG54" s="485">
        <f>(AG81*'RR SUMMARY'!$P$12)*-0.21</f>
        <v>0</v>
      </c>
      <c r="AH54" s="485">
        <f>(AH81*'RR SUMMARY'!$P$12)*-0.21</f>
        <v>0</v>
      </c>
      <c r="AI54" s="485">
        <f>(AI81*'RR SUMMARY'!$P$12)*-0.21</f>
        <v>0</v>
      </c>
      <c r="AJ54" s="485">
        <f>(AJ81*'RR SUMMARY'!$P$12)*-0.21</f>
        <v>0</v>
      </c>
      <c r="AK54" s="485">
        <f>(AK81*'RR SUMMARY'!$P$12)*-0.21</f>
        <v>-12.219647999999998</v>
      </c>
      <c r="AL54" s="485">
        <f>(AL81*'RR SUMMARY'!$P$12)*-0.21</f>
        <v>-33.32582399999999</v>
      </c>
      <c r="AM54" s="485">
        <v>0</v>
      </c>
      <c r="AN54" s="485">
        <f>(AN81*'RR SUMMARY'!$P$12)*-0.21</f>
        <v>-48.254975999999999</v>
      </c>
      <c r="AO54" s="485">
        <f>(AO81*'RR SUMMARY'!$P$12)*-0.21</f>
        <v>-13.348607999999997</v>
      </c>
      <c r="AP54" s="485">
        <f>(AP81*'RR SUMMARY'!$P$12)*-0.21</f>
        <v>-177.85958399999998</v>
      </c>
      <c r="AQ54" s="485">
        <f>(AQ81*'RR SUMMARY'!$P$12)*-0.21</f>
        <v>21.283583999999998</v>
      </c>
      <c r="AR54" s="485">
        <f>(AR81*'RR SUMMARY'!$P$12)*-0.21</f>
        <v>81.86572799999999</v>
      </c>
      <c r="AS54" s="485">
        <f>(AS81*'RR SUMMARY'!$P$12)*-0.21</f>
        <v>0</v>
      </c>
      <c r="AT54" s="485">
        <f>(AT81*'RR SUMMARY'!$P$12)*-0.21</f>
        <v>0</v>
      </c>
      <c r="AU54" s="665">
        <f>SUM(Y54:AT54)</f>
        <v>-139.86482909851927</v>
      </c>
      <c r="AV54" s="649">
        <f>(AV81*'RR SUMMARY'!$P$12)*-0.21</f>
        <v>-32.745215999999999</v>
      </c>
      <c r="AW54" s="673">
        <f>SUM(AU54:AV54)</f>
        <v>-172.61004509851927</v>
      </c>
    </row>
    <row r="55" spans="1:56">
      <c r="A55" s="89">
        <v>29</v>
      </c>
      <c r="B55" s="4" t="s">
        <v>57</v>
      </c>
      <c r="D55" s="4"/>
      <c r="E55" s="220">
        <f>'ROO INPUT'!$F56</f>
        <v>6501</v>
      </c>
      <c r="F55" s="485">
        <v>0</v>
      </c>
      <c r="G55" s="485">
        <v>0</v>
      </c>
      <c r="H55" s="485">
        <v>0</v>
      </c>
      <c r="I55" s="485">
        <v>0</v>
      </c>
      <c r="J55" s="485">
        <v>0</v>
      </c>
      <c r="K55" s="485">
        <v>0</v>
      </c>
      <c r="L55" s="485">
        <v>0</v>
      </c>
      <c r="M55" s="485">
        <v>0</v>
      </c>
      <c r="N55" s="485">
        <v>0</v>
      </c>
      <c r="O55" s="485">
        <v>53</v>
      </c>
      <c r="P55" s="485">
        <v>0</v>
      </c>
      <c r="Q55" s="485">
        <v>0</v>
      </c>
      <c r="R55" s="485">
        <v>0</v>
      </c>
      <c r="S55" s="485">
        <v>0</v>
      </c>
      <c r="T55" s="485">
        <v>651</v>
      </c>
      <c r="U55" s="485">
        <v>0</v>
      </c>
      <c r="V55" s="485">
        <v>0</v>
      </c>
      <c r="W55" s="485">
        <v>0</v>
      </c>
      <c r="X55" s="485">
        <v>0</v>
      </c>
      <c r="Y55" s="304">
        <f>SUM(E55:X55)</f>
        <v>7205</v>
      </c>
      <c r="Z55" s="309"/>
      <c r="AA55" s="485">
        <v>0</v>
      </c>
      <c r="AB55" s="485">
        <v>0</v>
      </c>
      <c r="AC55" s="485">
        <v>-5</v>
      </c>
      <c r="AD55" s="485">
        <v>0</v>
      </c>
      <c r="AE55" s="485">
        <v>0</v>
      </c>
      <c r="AF55" s="485">
        <v>0</v>
      </c>
      <c r="AG55" s="485">
        <v>0</v>
      </c>
      <c r="AH55" s="485">
        <v>0</v>
      </c>
      <c r="AI55" s="485">
        <v>0</v>
      </c>
      <c r="AJ55" s="485">
        <v>0</v>
      </c>
      <c r="AK55" s="487">
        <v>0</v>
      </c>
      <c r="AL55" s="487">
        <v>0</v>
      </c>
      <c r="AM55" s="487">
        <v>0</v>
      </c>
      <c r="AN55" s="487">
        <v>0</v>
      </c>
      <c r="AO55" s="487">
        <v>0</v>
      </c>
      <c r="AP55" s="485">
        <v>0</v>
      </c>
      <c r="AQ55" s="485">
        <v>0</v>
      </c>
      <c r="AR55" s="485">
        <v>0</v>
      </c>
      <c r="AS55" s="485">
        <v>0</v>
      </c>
      <c r="AT55" s="485">
        <v>0</v>
      </c>
      <c r="AU55" s="665">
        <f>SUM(Y55:AT55)</f>
        <v>7200</v>
      </c>
      <c r="AV55" s="649"/>
      <c r="AW55" s="673">
        <f>SUM(AU55:AV55)</f>
        <v>7200</v>
      </c>
    </row>
    <row r="56" spans="1:56">
      <c r="A56" s="89">
        <v>30</v>
      </c>
      <c r="B56" s="4" t="s">
        <v>58</v>
      </c>
      <c r="D56" s="4"/>
      <c r="E56" s="222">
        <f>'ROO INPUT'!$F57</f>
        <v>-12</v>
      </c>
      <c r="F56" s="486"/>
      <c r="G56" s="486"/>
      <c r="H56" s="486"/>
      <c r="I56" s="486"/>
      <c r="J56" s="486">
        <v>0</v>
      </c>
      <c r="K56" s="486">
        <v>0</v>
      </c>
      <c r="L56" s="486">
        <v>0</v>
      </c>
      <c r="M56" s="486">
        <v>0</v>
      </c>
      <c r="N56" s="486">
        <v>0</v>
      </c>
      <c r="O56" s="486">
        <v>0</v>
      </c>
      <c r="P56" s="486">
        <v>0</v>
      </c>
      <c r="Q56" s="486">
        <v>0</v>
      </c>
      <c r="R56" s="486">
        <v>0</v>
      </c>
      <c r="S56" s="486">
        <v>0</v>
      </c>
      <c r="T56" s="486">
        <v>0</v>
      </c>
      <c r="U56" s="486">
        <v>0</v>
      </c>
      <c r="V56" s="486">
        <v>0</v>
      </c>
      <c r="W56" s="486">
        <v>0</v>
      </c>
      <c r="X56" s="486">
        <v>0</v>
      </c>
      <c r="Y56" s="305">
        <f>SUM(E56:X56)</f>
        <v>-12</v>
      </c>
      <c r="Z56" s="309"/>
      <c r="AA56" s="486">
        <v>0</v>
      </c>
      <c r="AB56" s="486">
        <v>0</v>
      </c>
      <c r="AC56" s="486">
        <v>0</v>
      </c>
      <c r="AD56" s="486">
        <v>0</v>
      </c>
      <c r="AE56" s="486">
        <v>0</v>
      </c>
      <c r="AF56" s="486">
        <v>0</v>
      </c>
      <c r="AG56" s="486">
        <v>0</v>
      </c>
      <c r="AH56" s="486">
        <v>0</v>
      </c>
      <c r="AI56" s="486">
        <v>0</v>
      </c>
      <c r="AJ56" s="486">
        <v>0</v>
      </c>
      <c r="AK56" s="486">
        <v>0</v>
      </c>
      <c r="AL56" s="486">
        <v>0</v>
      </c>
      <c r="AM56" s="486">
        <v>0</v>
      </c>
      <c r="AN56" s="486">
        <v>0</v>
      </c>
      <c r="AO56" s="486">
        <v>0</v>
      </c>
      <c r="AP56" s="486">
        <v>0</v>
      </c>
      <c r="AQ56" s="486">
        <v>0</v>
      </c>
      <c r="AR56" s="486">
        <v>0</v>
      </c>
      <c r="AS56" s="486">
        <v>0</v>
      </c>
      <c r="AT56" s="486">
        <v>0</v>
      </c>
      <c r="AU56" s="666">
        <f>SUM(Y56:AT56)</f>
        <v>-12</v>
      </c>
      <c r="AV56" s="650">
        <v>0</v>
      </c>
      <c r="AW56" s="674">
        <f>SUM(AU56:AV56)</f>
        <v>-12</v>
      </c>
    </row>
    <row r="57" spans="1:56" ht="9.75" customHeight="1">
      <c r="E57" s="220"/>
      <c r="F57" s="220"/>
      <c r="G57" s="220"/>
      <c r="H57" s="268"/>
      <c r="I57" s="268"/>
      <c r="J57" s="268"/>
      <c r="K57" s="268"/>
      <c r="L57" s="268"/>
      <c r="M57" s="268"/>
      <c r="N57" s="268"/>
      <c r="O57" s="268"/>
      <c r="P57" s="268"/>
      <c r="Q57" s="268"/>
      <c r="R57" s="268"/>
      <c r="S57" s="268"/>
      <c r="T57" s="268"/>
      <c r="U57" s="220"/>
      <c r="V57" s="268"/>
      <c r="W57" s="268"/>
      <c r="X57" s="268"/>
      <c r="Y57" s="304"/>
      <c r="Z57" s="309"/>
      <c r="AA57" s="268"/>
      <c r="AB57" s="268"/>
      <c r="AC57" s="268"/>
      <c r="AD57" s="268"/>
      <c r="AE57" s="268"/>
      <c r="AF57" s="268"/>
      <c r="AG57" s="268"/>
      <c r="AH57" s="268"/>
      <c r="AI57" s="268"/>
      <c r="AJ57" s="268"/>
      <c r="AK57" s="503"/>
      <c r="AL57" s="503"/>
      <c r="AM57" s="503"/>
      <c r="AN57" s="503"/>
      <c r="AO57" s="503"/>
      <c r="AP57" s="268"/>
      <c r="AQ57" s="268"/>
      <c r="AR57" s="268"/>
      <c r="AS57" s="268"/>
      <c r="AT57" s="268"/>
      <c r="AU57" s="665"/>
      <c r="AV57" s="651"/>
      <c r="AW57" s="673"/>
    </row>
    <row r="58" spans="1:56" s="3" customFormat="1" ht="12" thickBot="1">
      <c r="A58" s="89">
        <v>31</v>
      </c>
      <c r="B58" s="3" t="s">
        <v>59</v>
      </c>
      <c r="E58" s="342">
        <f>E50-SUM(E53:E56)</f>
        <v>24474</v>
      </c>
      <c r="F58" s="342">
        <f t="shared" ref="F58:P58" si="105">F50-SUM(F53:F56)</f>
        <v>-5.3437439999999992</v>
      </c>
      <c r="G58" s="342">
        <f>G50-SUM(G53:G56)</f>
        <v>-11.855376</v>
      </c>
      <c r="H58" s="501">
        <f t="shared" si="105"/>
        <v>-6.1501439999999992</v>
      </c>
      <c r="I58" s="501">
        <f t="shared" ref="I58" si="106">I50-SUM(I53:I56)</f>
        <v>-98.934527999999986</v>
      </c>
      <c r="J58" s="501">
        <f t="shared" si="105"/>
        <v>-9.48</v>
      </c>
      <c r="K58" s="501">
        <f>K50-SUM(K53:K56)</f>
        <v>-188.81</v>
      </c>
      <c r="L58" s="501">
        <f t="shared" si="105"/>
        <v>-131.13999999999999</v>
      </c>
      <c r="M58" s="501">
        <f t="shared" si="105"/>
        <v>45.82</v>
      </c>
      <c r="N58" s="501">
        <f t="shared" si="105"/>
        <v>7.11</v>
      </c>
      <c r="O58" s="501">
        <f t="shared" si="105"/>
        <v>-53</v>
      </c>
      <c r="P58" s="501">
        <f t="shared" si="105"/>
        <v>12.64</v>
      </c>
      <c r="Q58" s="501">
        <f t="shared" ref="Q58:S58" si="107">Q50-SUM(Q53:Q56)</f>
        <v>-0.79</v>
      </c>
      <c r="R58" s="501">
        <f t="shared" si="107"/>
        <v>8.69</v>
      </c>
      <c r="S58" s="501">
        <f t="shared" si="107"/>
        <v>-4.74</v>
      </c>
      <c r="T58" s="501">
        <f t="shared" ref="T58" si="108">T50-SUM(T53:T56)</f>
        <v>-3.999999999996362E-2</v>
      </c>
      <c r="U58" s="342">
        <f>U50-SUM(U53:U56)</f>
        <v>-34.76</v>
      </c>
      <c r="V58" s="501">
        <f>V50-SUM(V53:V56)</f>
        <v>-173.01</v>
      </c>
      <c r="W58" s="501">
        <f t="shared" ref="W58" si="109">W50-SUM(W53:W56)</f>
        <v>-154</v>
      </c>
      <c r="X58" s="501">
        <f>X50-SUM(X53:X56)</f>
        <v>275.41929309851923</v>
      </c>
      <c r="Y58" s="307">
        <f>Y50-SUM(Y53:Y56)+Y57</f>
        <v>23951.625501098519</v>
      </c>
      <c r="Z58" s="510"/>
      <c r="AA58" s="501">
        <f t="shared" ref="AA58" si="110">AA50-SUM(AA53:AA56)</f>
        <v>8186.77</v>
      </c>
      <c r="AB58" s="501">
        <f t="shared" ref="AB58:AC58" si="111">AB50-SUM(AB53:AB56)</f>
        <v>181.7</v>
      </c>
      <c r="AC58" s="501">
        <f t="shared" si="111"/>
        <v>5</v>
      </c>
      <c r="AD58" s="501">
        <f t="shared" ref="AD58" si="112">AD50-SUM(AD53:AD56)</f>
        <v>-625.68000000000006</v>
      </c>
      <c r="AE58" s="501">
        <f t="shared" ref="AE58:AG58" si="113">AE50-SUM(AE53:AE56)</f>
        <v>76.63</v>
      </c>
      <c r="AF58" s="501">
        <f t="shared" si="113"/>
        <v>-293.88</v>
      </c>
      <c r="AG58" s="501">
        <f t="shared" si="113"/>
        <v>0</v>
      </c>
      <c r="AH58" s="501">
        <f t="shared" ref="AH58:AK58" si="114">AH50-SUM(AH53:AH56)</f>
        <v>0</v>
      </c>
      <c r="AI58" s="501">
        <f t="shared" si="114"/>
        <v>-203.03</v>
      </c>
      <c r="AJ58" s="501">
        <f t="shared" ref="AJ58" si="115">AJ50-SUM(AJ53:AJ56)</f>
        <v>-688.88</v>
      </c>
      <c r="AK58" s="501">
        <f t="shared" si="114"/>
        <v>-333.80035200000003</v>
      </c>
      <c r="AL58" s="501">
        <f t="shared" ref="AL58:AM58" si="116">AL50-SUM(AL53:AL56)</f>
        <v>-23.554176000000012</v>
      </c>
      <c r="AM58" s="501">
        <f t="shared" si="116"/>
        <v>52.14</v>
      </c>
      <c r="AN58" s="501">
        <f t="shared" ref="AN58:AO58" si="117">AN50-SUM(AN53:AN56)</f>
        <v>-78.145024000000006</v>
      </c>
      <c r="AO58" s="501">
        <f t="shared" si="117"/>
        <v>-342.94139200000001</v>
      </c>
      <c r="AP58" s="501">
        <f t="shared" ref="AP58" si="118">AP50-SUM(AP53:AP56)</f>
        <v>-2506.5604160000003</v>
      </c>
      <c r="AQ58" s="501">
        <f>AQ50-SUM(AQ53:AQ56)</f>
        <v>-1245.783584</v>
      </c>
      <c r="AR58" s="501">
        <f>AR50-SUM(AR53:AR56)</f>
        <v>-81.86572799999999</v>
      </c>
      <c r="AS58" s="501">
        <f t="shared" ref="AS58" si="119">AS50-SUM(AS53:AS56)</f>
        <v>0</v>
      </c>
      <c r="AT58" s="501">
        <f t="shared" ref="AT58" si="120">AT50-SUM(AT53:AT56)</f>
        <v>0</v>
      </c>
      <c r="AU58" s="667">
        <f>AU50-SUM(AU53:AU56)+AU57</f>
        <v>26029.744829098516</v>
      </c>
      <c r="AV58" s="653">
        <f>AV50-SUM(AV53:AV56)</f>
        <v>5005.1408085185612</v>
      </c>
      <c r="AW58" s="675">
        <f>AW50-SUM(AW53:AW56)+AW57</f>
        <v>31034.885637617081</v>
      </c>
    </row>
    <row r="59" spans="1:56" ht="6" customHeight="1" thickTop="1">
      <c r="E59" s="220"/>
      <c r="F59" s="220"/>
      <c r="G59" s="220"/>
      <c r="H59" s="268"/>
      <c r="I59" s="268"/>
      <c r="J59" s="268"/>
      <c r="K59" s="268"/>
      <c r="L59" s="268"/>
      <c r="M59" s="268"/>
      <c r="N59" s="268"/>
      <c r="O59" s="268"/>
      <c r="P59" s="268"/>
      <c r="Q59" s="268"/>
      <c r="R59" s="268"/>
      <c r="S59" s="268"/>
      <c r="T59" s="268"/>
      <c r="U59" s="220"/>
      <c r="V59" s="315"/>
      <c r="W59" s="268"/>
      <c r="X59" s="268"/>
      <c r="Y59" s="304"/>
      <c r="Z59" s="309"/>
      <c r="AA59" s="268"/>
      <c r="AB59" s="268"/>
      <c r="AC59" s="268"/>
      <c r="AD59" s="315"/>
      <c r="AE59" s="315"/>
      <c r="AF59" s="315"/>
      <c r="AG59" s="268"/>
      <c r="AH59" s="268"/>
      <c r="AI59" s="268"/>
      <c r="AJ59" s="268"/>
      <c r="AK59" s="503"/>
      <c r="AL59" s="503"/>
      <c r="AM59" s="503"/>
      <c r="AN59" s="503"/>
      <c r="AO59" s="503"/>
      <c r="AP59" s="268"/>
      <c r="AQ59" s="268"/>
      <c r="AR59" s="268"/>
      <c r="AS59" s="268"/>
      <c r="AT59" s="268"/>
      <c r="AU59" s="665"/>
      <c r="AV59" s="651"/>
      <c r="AW59" s="673"/>
    </row>
    <row r="60" spans="1:56">
      <c r="B60" s="1" t="s">
        <v>104</v>
      </c>
      <c r="E60" s="220"/>
      <c r="F60" s="220"/>
      <c r="G60" s="220"/>
      <c r="H60" s="268"/>
      <c r="I60" s="268"/>
      <c r="J60" s="268"/>
      <c r="K60" s="268"/>
      <c r="L60" s="268"/>
      <c r="M60" s="268"/>
      <c r="N60" s="268"/>
      <c r="O60" s="268"/>
      <c r="P60" s="268"/>
      <c r="Q60" s="268"/>
      <c r="R60" s="268"/>
      <c r="S60" s="268"/>
      <c r="T60" s="268"/>
      <c r="U60" s="220"/>
      <c r="V60" s="315"/>
      <c r="W60" s="268"/>
      <c r="X60" s="268"/>
      <c r="Y60" s="304"/>
      <c r="Z60" s="309"/>
      <c r="AA60" s="268"/>
      <c r="AB60" s="268"/>
      <c r="AC60" s="268"/>
      <c r="AD60" s="315"/>
      <c r="AE60" s="315"/>
      <c r="AF60" s="315"/>
      <c r="AG60" s="268"/>
      <c r="AH60" s="268"/>
      <c r="AI60" s="268"/>
      <c r="AJ60" s="268"/>
      <c r="AK60" s="503"/>
      <c r="AL60" s="503"/>
      <c r="AM60" s="503"/>
      <c r="AN60" s="503"/>
      <c r="AO60" s="503"/>
      <c r="AP60" s="268"/>
      <c r="AQ60" s="268"/>
      <c r="AR60" s="268"/>
      <c r="AS60" s="268"/>
      <c r="AT60" s="268"/>
      <c r="AU60" s="665"/>
      <c r="AV60" s="651"/>
      <c r="AW60" s="673"/>
      <c r="AZ60" s="689"/>
      <c r="BA60" s="690"/>
      <c r="BB60" s="689"/>
      <c r="BC60" s="689"/>
      <c r="BD60" s="689"/>
    </row>
    <row r="61" spans="1:56">
      <c r="B61" s="1" t="s">
        <v>105</v>
      </c>
      <c r="E61" s="220"/>
      <c r="F61" s="485"/>
      <c r="G61" s="485"/>
      <c r="H61" s="485"/>
      <c r="I61" s="485"/>
      <c r="J61" s="485"/>
      <c r="K61" s="485"/>
      <c r="L61" s="485"/>
      <c r="M61" s="485"/>
      <c r="N61" s="485"/>
      <c r="O61" s="485"/>
      <c r="P61" s="485"/>
      <c r="Q61" s="485"/>
      <c r="R61" s="485"/>
      <c r="S61" s="485"/>
      <c r="T61" s="485"/>
      <c r="U61" s="485"/>
      <c r="V61" s="517"/>
      <c r="W61" s="485"/>
      <c r="X61" s="485"/>
      <c r="Y61" s="304"/>
      <c r="Z61" s="309"/>
      <c r="AA61" s="485"/>
      <c r="AB61" s="485"/>
      <c r="AC61" s="485"/>
      <c r="AD61" s="517"/>
      <c r="AE61" s="517"/>
      <c r="AF61" s="517"/>
      <c r="AG61" s="485"/>
      <c r="AH61" s="485"/>
      <c r="AI61" s="485"/>
      <c r="AJ61" s="485"/>
      <c r="AK61" s="487"/>
      <c r="AL61" s="487"/>
      <c r="AM61" s="487"/>
      <c r="AN61" s="487"/>
      <c r="AO61" s="487"/>
      <c r="AP61" s="485"/>
      <c r="AQ61" s="485"/>
      <c r="AR61" s="485"/>
      <c r="AS61" s="485"/>
      <c r="AT61" s="485"/>
      <c r="AU61" s="665"/>
      <c r="AV61" s="649"/>
      <c r="AW61" s="673"/>
      <c r="BC61" s="689"/>
      <c r="BD61" s="689"/>
    </row>
    <row r="62" spans="1:56">
      <c r="A62" s="89">
        <v>32</v>
      </c>
      <c r="B62" s="4"/>
      <c r="C62" s="4" t="s">
        <v>42</v>
      </c>
      <c r="D62" s="4"/>
      <c r="E62" s="364">
        <f>'ROO INPUT'!$F63</f>
        <v>29714</v>
      </c>
      <c r="F62" s="484">
        <v>0</v>
      </c>
      <c r="G62" s="484">
        <v>0</v>
      </c>
      <c r="H62" s="484">
        <v>0</v>
      </c>
      <c r="I62" s="484">
        <v>0</v>
      </c>
      <c r="J62" s="484">
        <v>0</v>
      </c>
      <c r="K62" s="484">
        <v>0</v>
      </c>
      <c r="L62" s="484">
        <v>0</v>
      </c>
      <c r="M62" s="484">
        <v>0</v>
      </c>
      <c r="N62" s="484">
        <v>0</v>
      </c>
      <c r="O62" s="484">
        <v>0</v>
      </c>
      <c r="P62" s="484">
        <v>0</v>
      </c>
      <c r="Q62" s="484">
        <v>0</v>
      </c>
      <c r="R62" s="484">
        <v>0</v>
      </c>
      <c r="S62" s="484">
        <v>0</v>
      </c>
      <c r="T62" s="484">
        <v>0</v>
      </c>
      <c r="U62" s="484">
        <v>0</v>
      </c>
      <c r="V62" s="518">
        <v>0</v>
      </c>
      <c r="W62" s="484">
        <v>0</v>
      </c>
      <c r="X62" s="484">
        <v>700.36999999999898</v>
      </c>
      <c r="Y62" s="303">
        <f>SUM(E62:X62)</f>
        <v>30414.37</v>
      </c>
      <c r="Z62" s="510"/>
      <c r="AA62" s="484">
        <v>0</v>
      </c>
      <c r="AB62" s="484">
        <v>0</v>
      </c>
      <c r="AC62" s="484">
        <v>0</v>
      </c>
      <c r="AD62" s="518">
        <v>0</v>
      </c>
      <c r="AE62" s="518">
        <v>0</v>
      </c>
      <c r="AF62" s="518">
        <v>0</v>
      </c>
      <c r="AG62" s="484">
        <v>0</v>
      </c>
      <c r="AH62" s="484">
        <v>0</v>
      </c>
      <c r="AI62" s="484">
        <v>0</v>
      </c>
      <c r="AJ62" s="484">
        <v>0</v>
      </c>
      <c r="AK62" s="619">
        <v>0</v>
      </c>
      <c r="AL62" s="619">
        <v>1464</v>
      </c>
      <c r="AM62" s="619">
        <v>0</v>
      </c>
      <c r="AN62" s="619">
        <v>0</v>
      </c>
      <c r="AO62" s="619">
        <v>0</v>
      </c>
      <c r="AP62" s="484">
        <v>0</v>
      </c>
      <c r="AQ62" s="484">
        <v>0</v>
      </c>
      <c r="AR62" s="484">
        <v>0</v>
      </c>
      <c r="AS62" s="484">
        <v>0</v>
      </c>
      <c r="AT62" s="484">
        <v>0</v>
      </c>
      <c r="AU62" s="664">
        <f>SUM(Y62:AT62)</f>
        <v>31878.37</v>
      </c>
      <c r="AV62" s="648">
        <v>0</v>
      </c>
      <c r="AW62" s="672">
        <f>SUM(AU62:AV62)</f>
        <v>31878.37</v>
      </c>
      <c r="BC62" s="693"/>
      <c r="BD62" s="693"/>
    </row>
    <row r="63" spans="1:56">
      <c r="A63" s="89">
        <v>33</v>
      </c>
      <c r="B63" s="4"/>
      <c r="C63" s="4" t="s">
        <v>61</v>
      </c>
      <c r="D63" s="4"/>
      <c r="E63" s="220">
        <f>'ROO INPUT'!$F64</f>
        <v>505864</v>
      </c>
      <c r="F63" s="485">
        <v>0</v>
      </c>
      <c r="G63" s="485">
        <v>0</v>
      </c>
      <c r="H63" s="485">
        <v>0</v>
      </c>
      <c r="I63" s="485">
        <v>-10036</v>
      </c>
      <c r="J63" s="485">
        <v>0</v>
      </c>
      <c r="K63" s="485">
        <v>0</v>
      </c>
      <c r="L63" s="485">
        <v>0</v>
      </c>
      <c r="M63" s="485">
        <v>0</v>
      </c>
      <c r="N63" s="485">
        <v>0</v>
      </c>
      <c r="O63" s="485">
        <v>0</v>
      </c>
      <c r="P63" s="485">
        <v>0</v>
      </c>
      <c r="Q63" s="485">
        <v>0</v>
      </c>
      <c r="R63" s="485">
        <v>0</v>
      </c>
      <c r="S63" s="485">
        <v>0</v>
      </c>
      <c r="T63" s="485">
        <v>0</v>
      </c>
      <c r="U63" s="485">
        <v>0</v>
      </c>
      <c r="V63" s="517">
        <v>0</v>
      </c>
      <c r="W63" s="485">
        <v>0</v>
      </c>
      <c r="X63" s="485">
        <v>4408.7749406308112</v>
      </c>
      <c r="Y63" s="304">
        <f>SUM(E63:X63)</f>
        <v>500236.77494063083</v>
      </c>
      <c r="Z63" s="309"/>
      <c r="AA63" s="485">
        <v>0</v>
      </c>
      <c r="AB63" s="485">
        <v>0</v>
      </c>
      <c r="AC63" s="485"/>
      <c r="AD63" s="517">
        <v>0</v>
      </c>
      <c r="AE63" s="517">
        <v>0</v>
      </c>
      <c r="AF63" s="517">
        <v>0</v>
      </c>
      <c r="AG63" s="485">
        <v>0</v>
      </c>
      <c r="AH63" s="485"/>
      <c r="AI63" s="485">
        <v>0</v>
      </c>
      <c r="AJ63" s="485"/>
      <c r="AK63" s="487">
        <v>0</v>
      </c>
      <c r="AL63" s="487">
        <v>3918</v>
      </c>
      <c r="AM63" s="487">
        <v>-7</v>
      </c>
      <c r="AN63" s="487">
        <v>7068</v>
      </c>
      <c r="AO63" s="487">
        <v>0</v>
      </c>
      <c r="AP63" s="485">
        <v>18713</v>
      </c>
      <c r="AQ63" s="485">
        <v>0</v>
      </c>
      <c r="AR63" s="485">
        <v>0</v>
      </c>
      <c r="AS63" s="485"/>
      <c r="AT63" s="485">
        <v>0</v>
      </c>
      <c r="AU63" s="665">
        <f>SUM(Y63:AT63)</f>
        <v>529928.77494063089</v>
      </c>
      <c r="AV63" s="649">
        <v>0</v>
      </c>
      <c r="AW63" s="673">
        <f>SUM(AU63:AV63)</f>
        <v>529928.77494063089</v>
      </c>
      <c r="BC63" s="695"/>
      <c r="BD63" s="695"/>
    </row>
    <row r="64" spans="1:56">
      <c r="A64" s="89">
        <v>34</v>
      </c>
      <c r="B64" s="4"/>
      <c r="C64" s="4" t="s">
        <v>62</v>
      </c>
      <c r="D64" s="4"/>
      <c r="E64" s="222">
        <f>'ROO INPUT'!$F65</f>
        <v>141661</v>
      </c>
      <c r="F64" s="486">
        <v>0</v>
      </c>
      <c r="G64" s="486">
        <v>0</v>
      </c>
      <c r="H64" s="486">
        <v>0</v>
      </c>
      <c r="I64" s="486">
        <v>-11292</v>
      </c>
      <c r="J64" s="486">
        <v>0</v>
      </c>
      <c r="K64" s="486">
        <v>0</v>
      </c>
      <c r="L64" s="486">
        <v>0</v>
      </c>
      <c r="M64" s="486">
        <v>0</v>
      </c>
      <c r="N64" s="486">
        <v>0</v>
      </c>
      <c r="O64" s="486">
        <v>0</v>
      </c>
      <c r="P64" s="486">
        <v>0</v>
      </c>
      <c r="Q64" s="486">
        <v>0</v>
      </c>
      <c r="R64" s="486">
        <v>0</v>
      </c>
      <c r="S64" s="486">
        <v>0</v>
      </c>
      <c r="T64" s="486">
        <v>0</v>
      </c>
      <c r="U64" s="486">
        <v>0</v>
      </c>
      <c r="V64" s="519">
        <v>0</v>
      </c>
      <c r="W64" s="486">
        <v>0</v>
      </c>
      <c r="X64" s="486">
        <f>1277+7215</f>
        <v>8492</v>
      </c>
      <c r="Y64" s="305">
        <f>SUM(E64:X64)</f>
        <v>138861</v>
      </c>
      <c r="Z64" s="309"/>
      <c r="AA64" s="486">
        <v>0</v>
      </c>
      <c r="AB64" s="486">
        <v>0</v>
      </c>
      <c r="AC64" s="486"/>
      <c r="AD64" s="519">
        <v>0</v>
      </c>
      <c r="AE64" s="519">
        <v>0</v>
      </c>
      <c r="AF64" s="519">
        <v>0</v>
      </c>
      <c r="AG64" s="486">
        <v>0</v>
      </c>
      <c r="AH64" s="486"/>
      <c r="AI64" s="486">
        <v>0</v>
      </c>
      <c r="AJ64" s="486"/>
      <c r="AK64" s="486">
        <f>1610+6</f>
        <v>1616</v>
      </c>
      <c r="AL64" s="486">
        <v>-790</v>
      </c>
      <c r="AM64" s="486">
        <f>-1255-2</f>
        <v>-1257</v>
      </c>
      <c r="AN64" s="486">
        <v>-246</v>
      </c>
      <c r="AO64" s="486">
        <f>1261+82</f>
        <v>1343</v>
      </c>
      <c r="AP64" s="486">
        <v>12190</v>
      </c>
      <c r="AQ64" s="486">
        <v>0</v>
      </c>
      <c r="AR64" s="486">
        <v>0</v>
      </c>
      <c r="AS64" s="486"/>
      <c r="AT64" s="486">
        <v>0</v>
      </c>
      <c r="AU64" s="666">
        <f>SUM(Y64:AT64)</f>
        <v>151717</v>
      </c>
      <c r="AV64" s="650">
        <v>0</v>
      </c>
      <c r="AW64" s="674">
        <f>SUM(AU64:AV64)</f>
        <v>151717</v>
      </c>
      <c r="AZ64" s="695"/>
      <c r="BA64" s="701"/>
      <c r="BB64" s="695"/>
      <c r="BC64" s="695"/>
      <c r="BD64" s="695"/>
    </row>
    <row r="65" spans="1:56" ht="15.75" customHeight="1">
      <c r="A65" s="89">
        <v>35</v>
      </c>
      <c r="B65" s="4" t="s">
        <v>63</v>
      </c>
      <c r="C65" s="4"/>
      <c r="E65" s="220">
        <f>SUM(E62:E64)</f>
        <v>677239</v>
      </c>
      <c r="F65" s="220">
        <f t="shared" ref="F65:O65" si="121">SUM(F62:F64)</f>
        <v>0</v>
      </c>
      <c r="G65" s="220">
        <f t="shared" si="121"/>
        <v>0</v>
      </c>
      <c r="H65" s="268">
        <f t="shared" si="121"/>
        <v>0</v>
      </c>
      <c r="I65" s="268">
        <f t="shared" ref="I65" si="122">SUM(I62:I64)</f>
        <v>-21328</v>
      </c>
      <c r="J65" s="268">
        <f t="shared" si="121"/>
        <v>0</v>
      </c>
      <c r="K65" s="268">
        <f>SUM(K62:K64)</f>
        <v>0</v>
      </c>
      <c r="L65" s="268">
        <f t="shared" si="121"/>
        <v>0</v>
      </c>
      <c r="M65" s="268">
        <f t="shared" si="121"/>
        <v>0</v>
      </c>
      <c r="N65" s="268">
        <f t="shared" si="121"/>
        <v>0</v>
      </c>
      <c r="O65" s="268">
        <f t="shared" si="121"/>
        <v>0</v>
      </c>
      <c r="P65" s="268">
        <f t="shared" ref="P65:Y65" si="123">SUM(P62:P64)</f>
        <v>0</v>
      </c>
      <c r="Q65" s="268">
        <f t="shared" si="123"/>
        <v>0</v>
      </c>
      <c r="R65" s="268">
        <f t="shared" ref="R65:V65" si="124">SUM(R62:R64)</f>
        <v>0</v>
      </c>
      <c r="S65" s="268">
        <f t="shared" si="124"/>
        <v>0</v>
      </c>
      <c r="T65" s="268">
        <f t="shared" si="124"/>
        <v>0</v>
      </c>
      <c r="U65" s="220">
        <f t="shared" si="124"/>
        <v>0</v>
      </c>
      <c r="V65" s="268">
        <f t="shared" si="124"/>
        <v>0</v>
      </c>
      <c r="W65" s="268">
        <f t="shared" ref="W65" si="125">SUM(W62:W64)</f>
        <v>0</v>
      </c>
      <c r="X65" s="268">
        <f t="shared" ref="X65" si="126">SUM(X62:X64)</f>
        <v>13601.144940630809</v>
      </c>
      <c r="Y65" s="304">
        <f t="shared" si="123"/>
        <v>669512.14494063088</v>
      </c>
      <c r="Z65" s="309"/>
      <c r="AA65" s="268">
        <f>SUM(AA62:AA64)</f>
        <v>0</v>
      </c>
      <c r="AB65" s="268">
        <f>SUM(AB62:AB64)</f>
        <v>0</v>
      </c>
      <c r="AC65" s="268">
        <f>SUM(AC62:AC64)</f>
        <v>0</v>
      </c>
      <c r="AD65" s="268">
        <f t="shared" ref="AD65" si="127">SUM(AD62:AD64)</f>
        <v>0</v>
      </c>
      <c r="AE65" s="268">
        <f t="shared" ref="AE65:AG65" si="128">SUM(AE62:AE64)</f>
        <v>0</v>
      </c>
      <c r="AF65" s="268">
        <f t="shared" si="128"/>
        <v>0</v>
      </c>
      <c r="AG65" s="268">
        <f t="shared" si="128"/>
        <v>0</v>
      </c>
      <c r="AH65" s="268">
        <f>SUM(AH62:AH64)</f>
        <v>0</v>
      </c>
      <c r="AI65" s="268">
        <f t="shared" ref="AI65:AJ65" si="129">SUM(AI62:AI64)</f>
        <v>0</v>
      </c>
      <c r="AJ65" s="268">
        <f t="shared" si="129"/>
        <v>0</v>
      </c>
      <c r="AK65" s="503">
        <f>SUM(AK62:AK64)</f>
        <v>1616</v>
      </c>
      <c r="AL65" s="503">
        <f>SUM(AL62:AL64)</f>
        <v>4592</v>
      </c>
      <c r="AM65" s="503">
        <f>SUM(AM62:AM64)</f>
        <v>-1264</v>
      </c>
      <c r="AN65" s="503">
        <f>SUM(AN62:AN64)</f>
        <v>6822</v>
      </c>
      <c r="AO65" s="503">
        <f t="shared" ref="AO65" si="130">SUM(AO62:AO64)</f>
        <v>1343</v>
      </c>
      <c r="AP65" s="268">
        <f t="shared" ref="AP65" si="131">SUM(AP62:AP64)</f>
        <v>30903</v>
      </c>
      <c r="AQ65" s="268">
        <f>SUM(AQ62:AQ64)</f>
        <v>0</v>
      </c>
      <c r="AR65" s="268">
        <f>SUM(AR62:AR64)</f>
        <v>0</v>
      </c>
      <c r="AS65" s="268">
        <f t="shared" ref="AS65" si="132">SUM(AS62:AS64)</f>
        <v>0</v>
      </c>
      <c r="AT65" s="268">
        <f t="shared" ref="AT65" si="133">SUM(AT62:AT64)</f>
        <v>0</v>
      </c>
      <c r="AU65" s="665">
        <f t="shared" ref="AU65:AW65" si="134">SUM(AU62:AU64)</f>
        <v>713524.14494063088</v>
      </c>
      <c r="AV65" s="651">
        <f>SUM(AV62:AV64)</f>
        <v>0</v>
      </c>
      <c r="AW65" s="673">
        <f t="shared" si="134"/>
        <v>713524.14494063088</v>
      </c>
      <c r="AZ65" s="695"/>
      <c r="BA65" s="695"/>
      <c r="BB65" s="695"/>
      <c r="BC65" s="695"/>
      <c r="BD65" s="695"/>
    </row>
    <row r="66" spans="1:56" ht="3.75" customHeight="1">
      <c r="B66" s="4"/>
      <c r="C66" s="4"/>
      <c r="E66" s="220"/>
      <c r="F66" s="220"/>
      <c r="G66" s="220"/>
      <c r="H66" s="268"/>
      <c r="I66" s="268"/>
      <c r="J66" s="268"/>
      <c r="K66" s="268"/>
      <c r="L66" s="268"/>
      <c r="M66" s="268"/>
      <c r="N66" s="268"/>
      <c r="O66" s="268"/>
      <c r="P66" s="268"/>
      <c r="Q66" s="268"/>
      <c r="R66" s="268"/>
      <c r="S66" s="268"/>
      <c r="T66" s="268"/>
      <c r="U66" s="220"/>
      <c r="V66" s="268"/>
      <c r="W66" s="268"/>
      <c r="X66" s="268"/>
      <c r="Y66" s="304"/>
      <c r="Z66" s="309"/>
      <c r="AA66" s="268"/>
      <c r="AB66" s="268"/>
      <c r="AC66" s="268"/>
      <c r="AD66" s="268"/>
      <c r="AE66" s="268"/>
      <c r="AF66" s="268"/>
      <c r="AG66" s="268"/>
      <c r="AH66" s="268"/>
      <c r="AI66" s="268"/>
      <c r="AJ66" s="268"/>
      <c r="AK66" s="503"/>
      <c r="AL66" s="503"/>
      <c r="AM66" s="503"/>
      <c r="AN66" s="503"/>
      <c r="AO66" s="503"/>
      <c r="AP66" s="268"/>
      <c r="AQ66" s="268"/>
      <c r="AR66" s="268"/>
      <c r="AS66" s="268"/>
      <c r="AT66" s="268"/>
      <c r="AU66" s="665"/>
      <c r="AV66" s="651"/>
      <c r="AW66" s="673"/>
      <c r="AZ66" s="695"/>
      <c r="BB66" s="697"/>
      <c r="BC66" s="697"/>
      <c r="BD66" s="697"/>
    </row>
    <row r="67" spans="1:56">
      <c r="B67" s="4" t="s">
        <v>191</v>
      </c>
      <c r="C67" s="4"/>
      <c r="D67" s="4"/>
      <c r="E67" s="220"/>
      <c r="F67" s="485"/>
      <c r="G67" s="485"/>
      <c r="H67" s="485"/>
      <c r="I67" s="485"/>
      <c r="J67" s="485"/>
      <c r="K67" s="485"/>
      <c r="L67" s="485"/>
      <c r="M67" s="485"/>
      <c r="N67" s="485"/>
      <c r="O67" s="485"/>
      <c r="P67" s="485"/>
      <c r="Q67" s="485"/>
      <c r="R67" s="485"/>
      <c r="S67" s="485"/>
      <c r="T67" s="485"/>
      <c r="U67" s="485"/>
      <c r="V67" s="485"/>
      <c r="W67" s="485"/>
      <c r="X67" s="485"/>
      <c r="Y67" s="304"/>
      <c r="Z67" s="309"/>
      <c r="AA67" s="485"/>
      <c r="AB67" s="485"/>
      <c r="AC67" s="485"/>
      <c r="AD67" s="485"/>
      <c r="AE67" s="485"/>
      <c r="AF67" s="485"/>
      <c r="AG67" s="485"/>
      <c r="AH67" s="485"/>
      <c r="AI67" s="485"/>
      <c r="AJ67" s="485"/>
      <c r="AK67" s="487"/>
      <c r="AL67" s="487"/>
      <c r="AM67" s="487"/>
      <c r="AN67" s="487"/>
      <c r="AO67" s="487"/>
      <c r="AP67" s="485"/>
      <c r="AQ67" s="485"/>
      <c r="AR67" s="485"/>
      <c r="AS67" s="485"/>
      <c r="AT67" s="485"/>
      <c r="AU67" s="665"/>
      <c r="AV67" s="649"/>
      <c r="AW67" s="673"/>
      <c r="AZ67" s="695"/>
      <c r="BA67" s="701"/>
      <c r="BB67" s="697"/>
      <c r="BC67" s="697"/>
      <c r="BD67" s="697"/>
    </row>
    <row r="68" spans="1:56">
      <c r="A68" s="89">
        <v>36</v>
      </c>
      <c r="B68" s="4"/>
      <c r="C68" s="4" t="s">
        <v>42</v>
      </c>
      <c r="D68" s="4"/>
      <c r="E68" s="220">
        <f>'ROO INPUT'!$F69</f>
        <v>-11566</v>
      </c>
      <c r="F68" s="485">
        <v>0</v>
      </c>
      <c r="G68" s="485">
        <v>0</v>
      </c>
      <c r="H68" s="485">
        <v>0</v>
      </c>
      <c r="I68" s="485">
        <v>0</v>
      </c>
      <c r="J68" s="485">
        <v>0</v>
      </c>
      <c r="K68" s="485">
        <v>0</v>
      </c>
      <c r="L68" s="485">
        <v>0</v>
      </c>
      <c r="M68" s="485">
        <v>0</v>
      </c>
      <c r="N68" s="485">
        <v>0</v>
      </c>
      <c r="O68" s="485">
        <v>0</v>
      </c>
      <c r="P68" s="485">
        <v>0</v>
      </c>
      <c r="Q68" s="485">
        <v>0</v>
      </c>
      <c r="R68" s="485">
        <v>0</v>
      </c>
      <c r="S68" s="485">
        <v>0</v>
      </c>
      <c r="T68" s="485">
        <v>0</v>
      </c>
      <c r="U68" s="485">
        <v>0</v>
      </c>
      <c r="V68" s="485">
        <v>0</v>
      </c>
      <c r="W68" s="485">
        <v>0</v>
      </c>
      <c r="X68" s="485">
        <v>-223.28800000000047</v>
      </c>
      <c r="Y68" s="304">
        <f>SUM(E68:X68)</f>
        <v>-11789.288</v>
      </c>
      <c r="Z68" s="309"/>
      <c r="AA68" s="485">
        <v>0</v>
      </c>
      <c r="AB68" s="485">
        <v>0</v>
      </c>
      <c r="AC68" s="485">
        <v>0</v>
      </c>
      <c r="AD68" s="485">
        <v>0</v>
      </c>
      <c r="AE68" s="485">
        <v>0</v>
      </c>
      <c r="AF68" s="485">
        <v>0</v>
      </c>
      <c r="AG68" s="485">
        <v>0</v>
      </c>
      <c r="AH68" s="485">
        <v>0</v>
      </c>
      <c r="AI68" s="485">
        <v>0</v>
      </c>
      <c r="AJ68" s="485">
        <v>0</v>
      </c>
      <c r="AK68" s="620">
        <v>0</v>
      </c>
      <c r="AL68" s="620">
        <v>-9</v>
      </c>
      <c r="AM68" s="620">
        <v>0</v>
      </c>
      <c r="AN68" s="620">
        <v>0</v>
      </c>
      <c r="AO68" s="620">
        <v>0</v>
      </c>
      <c r="AP68" s="485">
        <v>0</v>
      </c>
      <c r="AQ68" s="485">
        <v>0</v>
      </c>
      <c r="AR68" s="485">
        <v>0</v>
      </c>
      <c r="AS68" s="485">
        <v>0</v>
      </c>
      <c r="AT68" s="485">
        <v>0</v>
      </c>
      <c r="AU68" s="665">
        <f>SUM(Y68:AT68)</f>
        <v>-11798.288</v>
      </c>
      <c r="AV68" s="649">
        <v>0</v>
      </c>
      <c r="AW68" s="673">
        <f>SUM(AU68:AV68)</f>
        <v>-11798.288</v>
      </c>
      <c r="AZ68" s="695"/>
      <c r="BA68" s="695"/>
      <c r="BB68" s="697"/>
      <c r="BC68" s="697"/>
      <c r="BD68" s="697"/>
    </row>
    <row r="69" spans="1:56">
      <c r="A69" s="89">
        <v>37</v>
      </c>
      <c r="B69" s="4"/>
      <c r="C69" s="4" t="s">
        <v>61</v>
      </c>
      <c r="D69" s="4"/>
      <c r="E69" s="220">
        <f>'ROO INPUT'!$F70</f>
        <v>-151240</v>
      </c>
      <c r="F69" s="485">
        <v>0</v>
      </c>
      <c r="G69" s="485">
        <v>0</v>
      </c>
      <c r="H69" s="485">
        <v>0</v>
      </c>
      <c r="I69" s="485">
        <v>301</v>
      </c>
      <c r="J69" s="485">
        <v>0</v>
      </c>
      <c r="K69" s="485">
        <v>0</v>
      </c>
      <c r="L69" s="485">
        <v>0</v>
      </c>
      <c r="M69" s="485">
        <v>0</v>
      </c>
      <c r="N69" s="485">
        <v>0</v>
      </c>
      <c r="O69" s="485">
        <v>0</v>
      </c>
      <c r="P69" s="485">
        <v>0</v>
      </c>
      <c r="Q69" s="485">
        <v>0</v>
      </c>
      <c r="R69" s="485">
        <v>0</v>
      </c>
      <c r="S69" s="485">
        <v>0</v>
      </c>
      <c r="T69" s="485">
        <v>0</v>
      </c>
      <c r="U69" s="485">
        <v>0</v>
      </c>
      <c r="V69" s="485">
        <v>0</v>
      </c>
      <c r="W69" s="485">
        <v>0</v>
      </c>
      <c r="X69" s="485">
        <v>2028.6663291830437</v>
      </c>
      <c r="Y69" s="304">
        <f>SUM(E69:X69)</f>
        <v>-148910.33367081697</v>
      </c>
      <c r="Z69" s="309"/>
      <c r="AA69" s="485">
        <v>0</v>
      </c>
      <c r="AB69" s="485">
        <v>0</v>
      </c>
      <c r="AC69" s="485"/>
      <c r="AD69" s="485">
        <v>0</v>
      </c>
      <c r="AE69" s="485">
        <v>0</v>
      </c>
      <c r="AF69" s="485">
        <v>0</v>
      </c>
      <c r="AG69" s="485">
        <v>0</v>
      </c>
      <c r="AH69" s="485"/>
      <c r="AI69" s="485">
        <v>0</v>
      </c>
      <c r="AJ69" s="485"/>
      <c r="AK69" s="487">
        <v>0</v>
      </c>
      <c r="AL69" s="487">
        <v>963</v>
      </c>
      <c r="AM69" s="487">
        <v>952</v>
      </c>
      <c r="AN69" s="487">
        <v>2149</v>
      </c>
      <c r="AO69" s="487">
        <v>0</v>
      </c>
      <c r="AP69" s="485">
        <v>-3231</v>
      </c>
      <c r="AQ69" s="485">
        <v>0</v>
      </c>
      <c r="AR69" s="485">
        <v>0</v>
      </c>
      <c r="AS69" s="485"/>
      <c r="AT69" s="485">
        <v>0</v>
      </c>
      <c r="AU69" s="665">
        <f>SUM(Y69:AT69)</f>
        <v>-148077.33367081697</v>
      </c>
      <c r="AV69" s="649">
        <v>0</v>
      </c>
      <c r="AW69" s="673">
        <f>SUM(AU69:AV69)</f>
        <v>-148077.33367081697</v>
      </c>
      <c r="AZ69" s="695"/>
      <c r="BC69" s="695"/>
      <c r="BD69" s="695"/>
    </row>
    <row r="70" spans="1:56">
      <c r="A70" s="89">
        <v>38</v>
      </c>
      <c r="B70" s="4"/>
      <c r="C70" s="4" t="s">
        <v>62</v>
      </c>
      <c r="D70" s="4"/>
      <c r="E70" s="220">
        <f>'ROO INPUT'!$F71</f>
        <v>-38750</v>
      </c>
      <c r="F70" s="485">
        <v>0</v>
      </c>
      <c r="G70" s="485">
        <v>0</v>
      </c>
      <c r="H70" s="485">
        <v>0</v>
      </c>
      <c r="I70" s="485">
        <v>1658</v>
      </c>
      <c r="J70" s="485">
        <v>0</v>
      </c>
      <c r="K70" s="485">
        <v>0</v>
      </c>
      <c r="L70" s="485">
        <v>0</v>
      </c>
      <c r="M70" s="485">
        <v>0</v>
      </c>
      <c r="N70" s="485">
        <v>0</v>
      </c>
      <c r="O70" s="485">
        <v>0</v>
      </c>
      <c r="P70" s="485">
        <v>0</v>
      </c>
      <c r="Q70" s="485">
        <v>0</v>
      </c>
      <c r="R70" s="485">
        <v>0</v>
      </c>
      <c r="S70" s="485">
        <v>0</v>
      </c>
      <c r="T70" s="485">
        <v>0</v>
      </c>
      <c r="U70" s="485">
        <v>0</v>
      </c>
      <c r="V70" s="485">
        <v>0</v>
      </c>
      <c r="W70" s="485">
        <v>0</v>
      </c>
      <c r="X70" s="485">
        <f>-1784-1015</f>
        <v>-2799</v>
      </c>
      <c r="Y70" s="304">
        <f>SUM(E70:X70)</f>
        <v>-39891</v>
      </c>
      <c r="Z70" s="309"/>
      <c r="AA70" s="485">
        <v>0</v>
      </c>
      <c r="AB70" s="485">
        <v>0</v>
      </c>
      <c r="AC70" s="485"/>
      <c r="AD70" s="485">
        <v>0</v>
      </c>
      <c r="AE70" s="485">
        <v>0</v>
      </c>
      <c r="AF70" s="485">
        <v>0</v>
      </c>
      <c r="AG70" s="485">
        <v>0</v>
      </c>
      <c r="AH70" s="485"/>
      <c r="AI70" s="485">
        <v>0</v>
      </c>
      <c r="AJ70" s="485"/>
      <c r="AK70" s="486">
        <f>660+38</f>
        <v>698</v>
      </c>
      <c r="AL70" s="486">
        <f>790</f>
        <v>790</v>
      </c>
      <c r="AM70" s="486">
        <f>1255+2</f>
        <v>1257</v>
      </c>
      <c r="AN70" s="486">
        <v>246</v>
      </c>
      <c r="AO70" s="486">
        <f>504+686</f>
        <v>1190</v>
      </c>
      <c r="AP70" s="485">
        <v>-5942</v>
      </c>
      <c r="AQ70" s="485">
        <v>0</v>
      </c>
      <c r="AR70" s="485">
        <v>0</v>
      </c>
      <c r="AS70" s="485"/>
      <c r="AT70" s="485">
        <v>0</v>
      </c>
      <c r="AU70" s="665">
        <f>SUM(Y70:AT70)</f>
        <v>-41652</v>
      </c>
      <c r="AV70" s="649">
        <v>0</v>
      </c>
      <c r="AW70" s="673">
        <f>SUM(AU70:AV70)</f>
        <v>-41652</v>
      </c>
      <c r="AZ70" s="695"/>
      <c r="BC70" s="695"/>
      <c r="BD70" s="695"/>
    </row>
    <row r="71" spans="1:56">
      <c r="A71" s="89">
        <v>39</v>
      </c>
      <c r="B71" s="4" t="s">
        <v>404</v>
      </c>
      <c r="C71" s="4"/>
      <c r="E71" s="225">
        <f>SUM(E68:E70)</f>
        <v>-201556</v>
      </c>
      <c r="F71" s="225">
        <f t="shared" ref="F71:O71" si="135">SUM(F68:F70)</f>
        <v>0</v>
      </c>
      <c r="G71" s="225">
        <f t="shared" si="135"/>
        <v>0</v>
      </c>
      <c r="H71" s="502">
        <f t="shared" si="135"/>
        <v>0</v>
      </c>
      <c r="I71" s="502">
        <f t="shared" ref="I71" si="136">SUM(I68:I70)</f>
        <v>1959</v>
      </c>
      <c r="J71" s="502">
        <f t="shared" si="135"/>
        <v>0</v>
      </c>
      <c r="K71" s="502">
        <f>SUM(K68:K70)</f>
        <v>0</v>
      </c>
      <c r="L71" s="502">
        <f t="shared" si="135"/>
        <v>0</v>
      </c>
      <c r="M71" s="502">
        <f t="shared" si="135"/>
        <v>0</v>
      </c>
      <c r="N71" s="502">
        <f t="shared" si="135"/>
        <v>0</v>
      </c>
      <c r="O71" s="502">
        <f t="shared" si="135"/>
        <v>0</v>
      </c>
      <c r="P71" s="502">
        <f t="shared" ref="P71:Q71" si="137">SUM(P68:P70)</f>
        <v>0</v>
      </c>
      <c r="Q71" s="502">
        <f t="shared" si="137"/>
        <v>0</v>
      </c>
      <c r="R71" s="502">
        <f t="shared" ref="R71:U71" si="138">SUM(R68:R70)</f>
        <v>0</v>
      </c>
      <c r="S71" s="502">
        <f t="shared" si="138"/>
        <v>0</v>
      </c>
      <c r="T71" s="502">
        <f t="shared" si="138"/>
        <v>0</v>
      </c>
      <c r="U71" s="225">
        <f t="shared" si="138"/>
        <v>0</v>
      </c>
      <c r="V71" s="502">
        <f t="shared" ref="V71" si="139">SUM(V68:V70)</f>
        <v>0</v>
      </c>
      <c r="W71" s="502">
        <f>SUM(W68:W70)</f>
        <v>0</v>
      </c>
      <c r="X71" s="502">
        <f t="shared" ref="X71" si="140">SUM(X68:X70)</f>
        <v>-993.62167081695679</v>
      </c>
      <c r="Y71" s="308">
        <f t="shared" ref="Y71:AG71" si="141">SUM(Y68:Y70)</f>
        <v>-200590.62167081697</v>
      </c>
      <c r="Z71" s="309"/>
      <c r="AA71" s="502">
        <f>SUM(AA68:AA70)</f>
        <v>0</v>
      </c>
      <c r="AB71" s="502">
        <f>SUM(AB68:AB70)</f>
        <v>0</v>
      </c>
      <c r="AC71" s="502">
        <f>SUM(AC68:AC70)</f>
        <v>0</v>
      </c>
      <c r="AD71" s="502">
        <f t="shared" ref="AD71" si="142">SUM(AD68:AD70)</f>
        <v>0</v>
      </c>
      <c r="AE71" s="502">
        <f t="shared" si="141"/>
        <v>0</v>
      </c>
      <c r="AF71" s="502">
        <f t="shared" si="141"/>
        <v>0</v>
      </c>
      <c r="AG71" s="502">
        <f t="shared" si="141"/>
        <v>0</v>
      </c>
      <c r="AH71" s="502">
        <f>SUM(AH68:AH70)</f>
        <v>0</v>
      </c>
      <c r="AI71" s="502">
        <f t="shared" ref="AI71:AJ71" si="143">SUM(AI68:AI70)</f>
        <v>0</v>
      </c>
      <c r="AJ71" s="502">
        <f t="shared" si="143"/>
        <v>0</v>
      </c>
      <c r="AK71" s="502">
        <f>SUM(AK68:AK70)</f>
        <v>698</v>
      </c>
      <c r="AL71" s="502">
        <f>SUM(AL68:AL70)-1</f>
        <v>1743</v>
      </c>
      <c r="AM71" s="502">
        <f>SUM(AM68:AM70)</f>
        <v>2209</v>
      </c>
      <c r="AN71" s="502">
        <f t="shared" ref="AN71:AO71" si="144">SUM(AN68:AN70)</f>
        <v>2395</v>
      </c>
      <c r="AO71" s="502">
        <f t="shared" si="144"/>
        <v>1190</v>
      </c>
      <c r="AP71" s="502">
        <f t="shared" ref="AP71" si="145">SUM(AP68:AP70)</f>
        <v>-9173</v>
      </c>
      <c r="AQ71" s="502">
        <f>SUM(AQ68:AQ70)</f>
        <v>0</v>
      </c>
      <c r="AR71" s="502">
        <f>SUM(AR68:AR70)</f>
        <v>0</v>
      </c>
      <c r="AS71" s="502">
        <f t="shared" ref="AS71" si="146">SUM(AS68:AS70)</f>
        <v>0</v>
      </c>
      <c r="AT71" s="502">
        <f t="shared" ref="AT71" si="147">SUM(AT68:AT70)</f>
        <v>0</v>
      </c>
      <c r="AU71" s="668">
        <f t="shared" ref="AU71:AW71" si="148">SUM(AU68:AU70)</f>
        <v>-201527.62167081697</v>
      </c>
      <c r="AV71" s="654">
        <f>SUM(AV68:AV70)</f>
        <v>0</v>
      </c>
      <c r="AW71" s="676">
        <f t="shared" si="148"/>
        <v>-201527.62167081697</v>
      </c>
      <c r="AZ71" s="695"/>
      <c r="BC71" s="695"/>
      <c r="BD71" s="695"/>
    </row>
    <row r="72" spans="1:56">
      <c r="A72" s="89">
        <v>40</v>
      </c>
      <c r="B72" s="4" t="s">
        <v>165</v>
      </c>
      <c r="C72" s="4"/>
      <c r="D72" s="4"/>
      <c r="E72" s="228">
        <f>E65+E71</f>
        <v>475683</v>
      </c>
      <c r="F72" s="228">
        <f t="shared" ref="F72:AU72" si="149">F65+F71</f>
        <v>0</v>
      </c>
      <c r="G72" s="228">
        <f t="shared" si="149"/>
        <v>0</v>
      </c>
      <c r="H72" s="503">
        <f t="shared" si="149"/>
        <v>0</v>
      </c>
      <c r="I72" s="503">
        <f t="shared" ref="I72" si="150">I65+I71</f>
        <v>-19369</v>
      </c>
      <c r="J72" s="503">
        <f t="shared" si="149"/>
        <v>0</v>
      </c>
      <c r="K72" s="503">
        <f t="shared" si="149"/>
        <v>0</v>
      </c>
      <c r="L72" s="503">
        <f t="shared" si="149"/>
        <v>0</v>
      </c>
      <c r="M72" s="503">
        <f t="shared" si="149"/>
        <v>0</v>
      </c>
      <c r="N72" s="503">
        <f t="shared" si="149"/>
        <v>0</v>
      </c>
      <c r="O72" s="503">
        <f t="shared" si="149"/>
        <v>0</v>
      </c>
      <c r="P72" s="503">
        <f t="shared" si="149"/>
        <v>0</v>
      </c>
      <c r="Q72" s="503">
        <f t="shared" si="149"/>
        <v>0</v>
      </c>
      <c r="R72" s="503">
        <f t="shared" si="149"/>
        <v>0</v>
      </c>
      <c r="S72" s="503">
        <f t="shared" si="149"/>
        <v>0</v>
      </c>
      <c r="T72" s="503">
        <f t="shared" ref="T72" si="151">T65+T71</f>
        <v>0</v>
      </c>
      <c r="U72" s="228">
        <f>U65+U71</f>
        <v>0</v>
      </c>
      <c r="V72" s="503">
        <f>V65+V71</f>
        <v>0</v>
      </c>
      <c r="W72" s="503">
        <f>W65+W71</f>
        <v>0</v>
      </c>
      <c r="X72" s="503">
        <f>X65+X71</f>
        <v>12607.523269813853</v>
      </c>
      <c r="Y72" s="309">
        <f t="shared" si="149"/>
        <v>468921.52326981392</v>
      </c>
      <c r="Z72" s="309"/>
      <c r="AA72" s="503">
        <f t="shared" ref="AA72" si="152">AA65+AA71</f>
        <v>0</v>
      </c>
      <c r="AB72" s="503">
        <f>AB65+AB71</f>
        <v>0</v>
      </c>
      <c r="AC72" s="503">
        <f>AC65+AC71</f>
        <v>0</v>
      </c>
      <c r="AD72" s="503">
        <f t="shared" ref="AD72" si="153">AD65+AD71</f>
        <v>0</v>
      </c>
      <c r="AE72" s="503">
        <f t="shared" si="149"/>
        <v>0</v>
      </c>
      <c r="AF72" s="503">
        <f t="shared" si="149"/>
        <v>0</v>
      </c>
      <c r="AG72" s="503">
        <f t="shared" si="149"/>
        <v>0</v>
      </c>
      <c r="AH72" s="503">
        <f>AH65+AH71</f>
        <v>0</v>
      </c>
      <c r="AI72" s="503">
        <f t="shared" ref="AI72:AJ72" si="154">AI65+AI71</f>
        <v>0</v>
      </c>
      <c r="AJ72" s="503">
        <f t="shared" si="154"/>
        <v>0</v>
      </c>
      <c r="AK72" s="503">
        <f t="shared" ref="AK72:AT72" si="155">AK65+AK71</f>
        <v>2314</v>
      </c>
      <c r="AL72" s="503">
        <f t="shared" ref="AL72:AM72" si="156">AL65+AL71</f>
        <v>6335</v>
      </c>
      <c r="AM72" s="503">
        <f t="shared" si="156"/>
        <v>945</v>
      </c>
      <c r="AN72" s="503">
        <f>AN65+AN71+1</f>
        <v>9218</v>
      </c>
      <c r="AO72" s="503">
        <f t="shared" ref="AO72" si="157">AO65+AO71</f>
        <v>2533</v>
      </c>
      <c r="AP72" s="503">
        <f t="shared" ref="AP72" si="158">AP65+AP71</f>
        <v>21730</v>
      </c>
      <c r="AQ72" s="503">
        <f>AQ65+AQ71</f>
        <v>0</v>
      </c>
      <c r="AR72" s="503">
        <f>AR65+AR71</f>
        <v>0</v>
      </c>
      <c r="AS72" s="503">
        <f t="shared" ref="AS72" si="159">AS65+AS71</f>
        <v>0</v>
      </c>
      <c r="AT72" s="503">
        <f t="shared" si="155"/>
        <v>0</v>
      </c>
      <c r="AU72" s="665">
        <f t="shared" si="149"/>
        <v>511996.52326981392</v>
      </c>
      <c r="AV72" s="655">
        <f>AV65+AV71</f>
        <v>0</v>
      </c>
      <c r="AW72" s="673">
        <f t="shared" ref="AW72" si="160">AW65+AW71</f>
        <v>511996.52326981392</v>
      </c>
      <c r="AZ72" s="695"/>
      <c r="BC72" s="695"/>
      <c r="BD72" s="695"/>
    </row>
    <row r="73" spans="1:56" s="306" customFormat="1" ht="13.5" customHeight="1">
      <c r="A73" s="5">
        <v>41</v>
      </c>
      <c r="B73" s="6" t="s">
        <v>110</v>
      </c>
      <c r="C73" s="6"/>
      <c r="D73" s="6"/>
      <c r="E73" s="222">
        <f>'ROO INPUT'!$F74</f>
        <v>-91014</v>
      </c>
      <c r="F73" s="486">
        <v>-994</v>
      </c>
      <c r="G73" s="486">
        <v>0</v>
      </c>
      <c r="H73" s="486">
        <v>0</v>
      </c>
      <c r="I73" s="486">
        <v>1019</v>
      </c>
      <c r="J73" s="486">
        <v>0</v>
      </c>
      <c r="K73" s="486">
        <v>0</v>
      </c>
      <c r="L73" s="486">
        <v>0</v>
      </c>
      <c r="M73" s="486">
        <v>0</v>
      </c>
      <c r="N73" s="486">
        <v>0</v>
      </c>
      <c r="O73" s="486">
        <v>0</v>
      </c>
      <c r="P73" s="486">
        <v>0</v>
      </c>
      <c r="Q73" s="486">
        <v>0</v>
      </c>
      <c r="R73" s="486">
        <v>0</v>
      </c>
      <c r="S73" s="486">
        <v>0</v>
      </c>
      <c r="T73" s="486">
        <v>0</v>
      </c>
      <c r="U73" s="486">
        <v>0</v>
      </c>
      <c r="V73" s="486">
        <v>0</v>
      </c>
      <c r="W73" s="486">
        <v>0</v>
      </c>
      <c r="X73" s="486">
        <v>123</v>
      </c>
      <c r="Y73" s="305">
        <f>SUM(E73:X73)</f>
        <v>-90866</v>
      </c>
      <c r="Z73" s="309"/>
      <c r="AA73" s="486">
        <v>0</v>
      </c>
      <c r="AB73" s="486"/>
      <c r="AC73" s="486"/>
      <c r="AD73" s="486"/>
      <c r="AE73" s="486"/>
      <c r="AF73" s="486"/>
      <c r="AG73" s="486"/>
      <c r="AH73" s="486"/>
      <c r="AI73" s="486">
        <v>0</v>
      </c>
      <c r="AJ73" s="486"/>
      <c r="AK73" s="486">
        <v>-41</v>
      </c>
      <c r="AL73" s="486">
        <v>-136</v>
      </c>
      <c r="AM73" s="486">
        <v>-25</v>
      </c>
      <c r="AN73" s="486">
        <v>-242</v>
      </c>
      <c r="AO73" s="486">
        <v>-50</v>
      </c>
      <c r="AP73" s="486">
        <v>-4222</v>
      </c>
      <c r="AQ73" s="486"/>
      <c r="AR73" s="486">
        <v>-15228</v>
      </c>
      <c r="AS73" s="486"/>
      <c r="AT73" s="486"/>
      <c r="AU73" s="666">
        <f>SUM(Y73:AT73)</f>
        <v>-110810</v>
      </c>
      <c r="AV73" s="650">
        <v>6091</v>
      </c>
      <c r="AW73" s="674">
        <f>SUM(AU73:AV73)</f>
        <v>-104719</v>
      </c>
      <c r="AZ73" s="695"/>
      <c r="BC73" s="695"/>
      <c r="BD73" s="695"/>
    </row>
    <row r="74" spans="1:56" s="306" customFormat="1" ht="19" customHeight="1">
      <c r="A74" s="5">
        <v>42</v>
      </c>
      <c r="B74" s="6" t="s">
        <v>192</v>
      </c>
      <c r="C74" s="6"/>
      <c r="D74" s="6"/>
      <c r="E74" s="228">
        <f>E72+E73</f>
        <v>384669</v>
      </c>
      <c r="F74" s="228">
        <f>F72+F73</f>
        <v>-994</v>
      </c>
      <c r="G74" s="228">
        <f t="shared" ref="G74:AG74" si="161">G72+G73</f>
        <v>0</v>
      </c>
      <c r="H74" s="503">
        <f t="shared" si="161"/>
        <v>0</v>
      </c>
      <c r="I74" s="503">
        <f t="shared" ref="I74" si="162">I72+I73</f>
        <v>-18350</v>
      </c>
      <c r="J74" s="503">
        <f t="shared" si="161"/>
        <v>0</v>
      </c>
      <c r="K74" s="503">
        <f>K72+K73</f>
        <v>0</v>
      </c>
      <c r="L74" s="503">
        <f t="shared" si="161"/>
        <v>0</v>
      </c>
      <c r="M74" s="503">
        <f t="shared" si="161"/>
        <v>0</v>
      </c>
      <c r="N74" s="503">
        <f t="shared" si="161"/>
        <v>0</v>
      </c>
      <c r="O74" s="503">
        <f t="shared" si="161"/>
        <v>0</v>
      </c>
      <c r="P74" s="503">
        <f t="shared" si="161"/>
        <v>0</v>
      </c>
      <c r="Q74" s="503">
        <f t="shared" si="161"/>
        <v>0</v>
      </c>
      <c r="R74" s="503">
        <f t="shared" ref="R74:Y74" si="163">R72+R73</f>
        <v>0</v>
      </c>
      <c r="S74" s="503">
        <f t="shared" si="163"/>
        <v>0</v>
      </c>
      <c r="T74" s="503">
        <f t="shared" si="163"/>
        <v>0</v>
      </c>
      <c r="U74" s="228">
        <f t="shared" si="163"/>
        <v>0</v>
      </c>
      <c r="V74" s="503">
        <f>V72+V73</f>
        <v>0</v>
      </c>
      <c r="W74" s="503">
        <f>W72+W73</f>
        <v>0</v>
      </c>
      <c r="X74" s="503">
        <f>X72+X73</f>
        <v>12730.523269813853</v>
      </c>
      <c r="Y74" s="309">
        <f t="shared" si="163"/>
        <v>378055.52326981392</v>
      </c>
      <c r="Z74" s="309"/>
      <c r="AA74" s="503">
        <f>AA72+AA73</f>
        <v>0</v>
      </c>
      <c r="AB74" s="503">
        <f>AB72+AB73</f>
        <v>0</v>
      </c>
      <c r="AC74" s="503">
        <f>AC72+AC73</f>
        <v>0</v>
      </c>
      <c r="AD74" s="503">
        <f t="shared" ref="AD74" si="164">AD72+AD73</f>
        <v>0</v>
      </c>
      <c r="AE74" s="503">
        <f t="shared" si="161"/>
        <v>0</v>
      </c>
      <c r="AF74" s="503">
        <f t="shared" si="161"/>
        <v>0</v>
      </c>
      <c r="AG74" s="503">
        <f t="shared" si="161"/>
        <v>0</v>
      </c>
      <c r="AH74" s="503">
        <f>AH72+AH73</f>
        <v>0</v>
      </c>
      <c r="AI74" s="503">
        <f t="shared" ref="AI74:AJ74" si="165">AI72+AI73</f>
        <v>0</v>
      </c>
      <c r="AJ74" s="503">
        <f t="shared" si="165"/>
        <v>0</v>
      </c>
      <c r="AK74" s="503">
        <f>AK72+AK73</f>
        <v>2273</v>
      </c>
      <c r="AL74" s="503">
        <f>AL72+AL73</f>
        <v>6199</v>
      </c>
      <c r="AM74" s="503">
        <f>AM72+AM73</f>
        <v>920</v>
      </c>
      <c r="AN74" s="503">
        <f t="shared" ref="AN74" si="166">AN72+AN73</f>
        <v>8976</v>
      </c>
      <c r="AO74" s="503">
        <f>AO72+AO73</f>
        <v>2483</v>
      </c>
      <c r="AP74" s="503">
        <f t="shared" ref="AP74" si="167">AP72+AP73</f>
        <v>17508</v>
      </c>
      <c r="AQ74" s="503">
        <f>AQ72+AQ73</f>
        <v>0</v>
      </c>
      <c r="AR74" s="503">
        <f>AR72+AR73</f>
        <v>-15228</v>
      </c>
      <c r="AS74" s="503">
        <f t="shared" ref="AS74" si="168">AS72+AS73</f>
        <v>0</v>
      </c>
      <c r="AT74" s="503">
        <f t="shared" ref="AT74" si="169">AT72+AT73</f>
        <v>0</v>
      </c>
      <c r="AU74" s="665">
        <f t="shared" ref="AU74:AW74" si="170">AU72+AU73</f>
        <v>401186.52326981392</v>
      </c>
      <c r="AV74" s="655">
        <f>AV72+AV73</f>
        <v>6091</v>
      </c>
      <c r="AW74" s="673">
        <f t="shared" si="170"/>
        <v>407277.52326981392</v>
      </c>
    </row>
    <row r="75" spans="1:56">
      <c r="A75" s="89">
        <v>43</v>
      </c>
      <c r="B75" s="4" t="s">
        <v>66</v>
      </c>
      <c r="C75" s="4"/>
      <c r="D75" s="4"/>
      <c r="E75" s="220">
        <f>'ROO INPUT'!$F76</f>
        <v>10411</v>
      </c>
      <c r="F75" s="485">
        <v>0</v>
      </c>
      <c r="G75" s="485">
        <v>0</v>
      </c>
      <c r="H75" s="485">
        <v>0</v>
      </c>
      <c r="I75" s="485">
        <v>0</v>
      </c>
      <c r="J75" s="485">
        <v>0</v>
      </c>
      <c r="K75" s="485">
        <v>0</v>
      </c>
      <c r="L75" s="485">
        <v>0</v>
      </c>
      <c r="M75" s="485">
        <v>0</v>
      </c>
      <c r="N75" s="485">
        <v>0</v>
      </c>
      <c r="O75" s="485">
        <v>0</v>
      </c>
      <c r="P75" s="485">
        <v>0</v>
      </c>
      <c r="Q75" s="485">
        <v>0</v>
      </c>
      <c r="R75" s="485">
        <v>0</v>
      </c>
      <c r="S75" s="485">
        <v>0</v>
      </c>
      <c r="T75" s="485">
        <v>0</v>
      </c>
      <c r="U75" s="485">
        <v>0</v>
      </c>
      <c r="V75" s="485">
        <v>0</v>
      </c>
      <c r="W75" s="485">
        <v>0</v>
      </c>
      <c r="X75" s="485">
        <v>0</v>
      </c>
      <c r="Y75" s="304">
        <f>SUM(E75:X75)</f>
        <v>10411</v>
      </c>
      <c r="Z75" s="309"/>
      <c r="AA75" s="485">
        <v>0</v>
      </c>
      <c r="AB75" s="485"/>
      <c r="AC75" s="485">
        <v>0</v>
      </c>
      <c r="AD75" s="485"/>
      <c r="AE75" s="485"/>
      <c r="AF75" s="485"/>
      <c r="AG75" s="485"/>
      <c r="AH75" s="485">
        <v>0</v>
      </c>
      <c r="AI75" s="485">
        <v>0</v>
      </c>
      <c r="AJ75" s="485">
        <v>0</v>
      </c>
      <c r="AK75" s="487">
        <v>0</v>
      </c>
      <c r="AL75" s="487">
        <v>0</v>
      </c>
      <c r="AM75" s="487">
        <v>0</v>
      </c>
      <c r="AN75" s="487">
        <v>0</v>
      </c>
      <c r="AO75" s="487">
        <v>0</v>
      </c>
      <c r="AP75" s="485">
        <v>0</v>
      </c>
      <c r="AQ75" s="485"/>
      <c r="AR75" s="485"/>
      <c r="AS75" s="485">
        <v>0</v>
      </c>
      <c r="AT75" s="485"/>
      <c r="AU75" s="665">
        <f>SUM(Y75:AT75)</f>
        <v>10411</v>
      </c>
      <c r="AV75" s="649"/>
      <c r="AW75" s="673">
        <f>SUM(AU75:AV75)</f>
        <v>10411</v>
      </c>
    </row>
    <row r="76" spans="1:56" s="306" customFormat="1">
      <c r="A76" s="5">
        <v>44</v>
      </c>
      <c r="B76" s="6" t="s">
        <v>67</v>
      </c>
      <c r="C76" s="6"/>
      <c r="D76" s="6"/>
      <c r="E76" s="220">
        <f>'ROO INPUT'!$F77</f>
        <v>0</v>
      </c>
      <c r="F76" s="487">
        <v>0</v>
      </c>
      <c r="G76" s="487">
        <v>0</v>
      </c>
      <c r="H76" s="487">
        <v>0</v>
      </c>
      <c r="I76" s="487">
        <v>0</v>
      </c>
      <c r="J76" s="487">
        <v>0</v>
      </c>
      <c r="K76" s="487">
        <v>0</v>
      </c>
      <c r="L76" s="487">
        <v>0</v>
      </c>
      <c r="M76" s="487">
        <v>0</v>
      </c>
      <c r="N76" s="487">
        <v>0</v>
      </c>
      <c r="O76" s="487">
        <v>0</v>
      </c>
      <c r="P76" s="487">
        <v>0</v>
      </c>
      <c r="Q76" s="487">
        <v>0</v>
      </c>
      <c r="R76" s="487">
        <v>0</v>
      </c>
      <c r="S76" s="487">
        <v>0</v>
      </c>
      <c r="T76" s="487">
        <v>0</v>
      </c>
      <c r="U76" s="487">
        <v>0</v>
      </c>
      <c r="V76" s="487">
        <v>0</v>
      </c>
      <c r="W76" s="487">
        <v>0</v>
      </c>
      <c r="X76" s="487">
        <v>0</v>
      </c>
      <c r="Y76" s="309">
        <f>SUM(E76:X76)</f>
        <v>0</v>
      </c>
      <c r="Z76" s="309"/>
      <c r="AA76" s="487">
        <v>0</v>
      </c>
      <c r="AB76" s="487"/>
      <c r="AC76" s="487">
        <v>0</v>
      </c>
      <c r="AD76" s="487"/>
      <c r="AE76" s="487"/>
      <c r="AF76" s="487"/>
      <c r="AG76" s="487"/>
      <c r="AH76" s="487">
        <v>0</v>
      </c>
      <c r="AI76" s="487">
        <v>0</v>
      </c>
      <c r="AJ76" s="487">
        <v>0</v>
      </c>
      <c r="AK76" s="487"/>
      <c r="AL76" s="487"/>
      <c r="AM76" s="487"/>
      <c r="AN76" s="487"/>
      <c r="AO76" s="487"/>
      <c r="AP76" s="487">
        <v>0</v>
      </c>
      <c r="AQ76" s="487"/>
      <c r="AR76" s="487"/>
      <c r="AS76" s="487">
        <v>0</v>
      </c>
      <c r="AT76" s="487"/>
      <c r="AU76" s="665">
        <f>SUM(Y76:AT76)</f>
        <v>0</v>
      </c>
      <c r="AV76" s="656"/>
      <c r="AW76" s="673">
        <f>SUM(AU76:AV76)</f>
        <v>0</v>
      </c>
    </row>
    <row r="77" spans="1:56" s="306" customFormat="1">
      <c r="A77" s="5">
        <v>45</v>
      </c>
      <c r="B77" s="6" t="s">
        <v>407</v>
      </c>
      <c r="C77" s="6"/>
      <c r="D77" s="6"/>
      <c r="E77" s="220">
        <f>'ROO INPUT'!$F78</f>
        <v>7359</v>
      </c>
      <c r="F77" s="487"/>
      <c r="G77" s="487">
        <v>-1</v>
      </c>
      <c r="H77" s="487"/>
      <c r="I77" s="487">
        <v>-53</v>
      </c>
      <c r="J77" s="487"/>
      <c r="K77" s="487"/>
      <c r="L77" s="487"/>
      <c r="M77" s="487"/>
      <c r="N77" s="487"/>
      <c r="O77" s="487"/>
      <c r="P77" s="487"/>
      <c r="Q77" s="487"/>
      <c r="R77" s="487"/>
      <c r="S77" s="487"/>
      <c r="T77" s="487"/>
      <c r="U77" s="487"/>
      <c r="V77" s="487"/>
      <c r="W77" s="487"/>
      <c r="X77" s="487"/>
      <c r="Y77" s="309">
        <f>SUM(E77:X77)</f>
        <v>7305</v>
      </c>
      <c r="Z77" s="309"/>
      <c r="AA77" s="487"/>
      <c r="AB77" s="487">
        <v>0</v>
      </c>
      <c r="AC77" s="487"/>
      <c r="AD77" s="487"/>
      <c r="AE77" s="487"/>
      <c r="AF77" s="487"/>
      <c r="AG77" s="487"/>
      <c r="AH77" s="487"/>
      <c r="AI77" s="487"/>
      <c r="AJ77" s="487"/>
      <c r="AK77" s="487"/>
      <c r="AL77" s="487"/>
      <c r="AM77" s="487"/>
      <c r="AN77" s="487"/>
      <c r="AO77" s="487"/>
      <c r="AP77" s="487">
        <v>15576</v>
      </c>
      <c r="AQ77" s="487">
        <v>-3959</v>
      </c>
      <c r="AR77" s="487"/>
      <c r="AS77" s="487"/>
      <c r="AT77" s="487"/>
      <c r="AU77" s="665">
        <f>SUM(Y77:AT77)</f>
        <v>18922</v>
      </c>
      <c r="AV77" s="656"/>
      <c r="AW77" s="673">
        <f>SUM(AU77:AV77)</f>
        <v>18922</v>
      </c>
    </row>
    <row r="78" spans="1:56">
      <c r="A78" s="89">
        <v>46</v>
      </c>
      <c r="B78" s="4" t="s">
        <v>166</v>
      </c>
      <c r="C78" s="4"/>
      <c r="D78" s="4"/>
      <c r="E78" s="222">
        <f>'ROO INPUT'!$F79</f>
        <v>3494</v>
      </c>
      <c r="F78" s="486">
        <v>0</v>
      </c>
      <c r="G78" s="486">
        <v>0</v>
      </c>
      <c r="H78" s="486">
        <v>-1144</v>
      </c>
      <c r="I78" s="486">
        <v>0</v>
      </c>
      <c r="J78" s="486">
        <v>0</v>
      </c>
      <c r="K78" s="486">
        <v>0</v>
      </c>
      <c r="L78" s="486">
        <v>0</v>
      </c>
      <c r="M78" s="486">
        <v>0</v>
      </c>
      <c r="N78" s="486">
        <v>0</v>
      </c>
      <c r="O78" s="486">
        <v>0</v>
      </c>
      <c r="P78" s="486">
        <v>0</v>
      </c>
      <c r="Q78" s="486">
        <v>0</v>
      </c>
      <c r="R78" s="486">
        <v>0</v>
      </c>
      <c r="S78" s="486">
        <v>0</v>
      </c>
      <c r="T78" s="486">
        <v>0</v>
      </c>
      <c r="U78" s="486">
        <v>0</v>
      </c>
      <c r="V78" s="486">
        <v>0</v>
      </c>
      <c r="W78" s="486">
        <v>0</v>
      </c>
      <c r="X78" s="486">
        <v>0</v>
      </c>
      <c r="Y78" s="305">
        <f>SUM(E78:X78)</f>
        <v>2350</v>
      </c>
      <c r="Z78" s="309"/>
      <c r="AA78" s="486">
        <v>0</v>
      </c>
      <c r="AB78" s="486"/>
      <c r="AC78" s="486">
        <v>0</v>
      </c>
      <c r="AD78" s="486"/>
      <c r="AE78" s="486"/>
      <c r="AF78" s="486"/>
      <c r="AG78" s="486"/>
      <c r="AH78" s="486">
        <v>0</v>
      </c>
      <c r="AI78" s="486">
        <v>0</v>
      </c>
      <c r="AJ78" s="486">
        <v>0</v>
      </c>
      <c r="AK78" s="486"/>
      <c r="AL78" s="486"/>
      <c r="AM78" s="486"/>
      <c r="AN78" s="486"/>
      <c r="AO78" s="486"/>
      <c r="AP78" s="486">
        <v>0</v>
      </c>
      <c r="AQ78" s="486"/>
      <c r="AR78" s="486"/>
      <c r="AS78" s="486">
        <v>0</v>
      </c>
      <c r="AT78" s="486"/>
      <c r="AU78" s="666">
        <f>SUM(Y78:AT78)</f>
        <v>2350</v>
      </c>
      <c r="AV78" s="650"/>
      <c r="AW78" s="674">
        <f>SUM(AU78:AV78)</f>
        <v>2350</v>
      </c>
    </row>
    <row r="79" spans="1:56" ht="6" customHeight="1">
      <c r="H79" s="488"/>
      <c r="I79" s="488"/>
      <c r="J79" s="488"/>
      <c r="K79" s="488"/>
      <c r="L79" s="488"/>
      <c r="M79" s="488"/>
      <c r="N79" s="488"/>
      <c r="O79" s="488"/>
      <c r="P79" s="488"/>
      <c r="Q79" s="488"/>
      <c r="R79" s="488"/>
      <c r="S79" s="488"/>
      <c r="T79" s="488"/>
      <c r="Z79" s="369"/>
      <c r="AC79" s="488"/>
      <c r="AD79" s="317"/>
      <c r="AE79" s="317"/>
      <c r="AI79" s="488"/>
      <c r="AK79" s="302"/>
      <c r="AL79" s="302"/>
      <c r="AM79" s="302"/>
      <c r="AN79" s="302"/>
      <c r="AO79" s="302"/>
      <c r="AS79" s="488"/>
      <c r="AT79" s="488"/>
      <c r="AU79" s="663"/>
      <c r="AV79" s="647"/>
      <c r="AW79" s="671"/>
    </row>
    <row r="80" spans="1:56" ht="2.25" customHeight="1">
      <c r="E80" s="220"/>
      <c r="F80" s="220"/>
      <c r="G80" s="220"/>
      <c r="H80" s="268"/>
      <c r="I80" s="268"/>
      <c r="J80" s="268"/>
      <c r="K80" s="268"/>
      <c r="L80" s="268"/>
      <c r="M80" s="268"/>
      <c r="N80" s="268"/>
      <c r="O80" s="268"/>
      <c r="P80" s="268"/>
      <c r="Q80" s="268"/>
      <c r="R80" s="268"/>
      <c r="S80" s="268"/>
      <c r="T80" s="268"/>
      <c r="U80" s="220"/>
      <c r="V80" s="268"/>
      <c r="W80" s="268"/>
      <c r="X80" s="268"/>
      <c r="Y80" s="304"/>
      <c r="Z80" s="309"/>
      <c r="AA80" s="268"/>
      <c r="AB80" s="268"/>
      <c r="AC80" s="268"/>
      <c r="AD80" s="268"/>
      <c r="AE80" s="268"/>
      <c r="AF80" s="268"/>
      <c r="AG80" s="268"/>
      <c r="AH80" s="268"/>
      <c r="AI80" s="268"/>
      <c r="AJ80" s="268"/>
      <c r="AK80" s="503"/>
      <c r="AL80" s="503"/>
      <c r="AM80" s="503"/>
      <c r="AN80" s="503"/>
      <c r="AO80" s="503"/>
      <c r="AP80" s="268"/>
      <c r="AQ80" s="268"/>
      <c r="AR80" s="268"/>
      <c r="AS80" s="268"/>
      <c r="AT80" s="268"/>
      <c r="AU80" s="665"/>
      <c r="AV80" s="651"/>
      <c r="AW80" s="673"/>
    </row>
    <row r="81" spans="1:49" s="310" customFormat="1" ht="12" thickBot="1">
      <c r="A81" s="285">
        <v>47</v>
      </c>
      <c r="B81" s="310" t="s">
        <v>68</v>
      </c>
      <c r="E81" s="307">
        <f>E74+E75+E76+E78+E77</f>
        <v>405933</v>
      </c>
      <c r="F81" s="307">
        <f t="shared" ref="F81:AG81" si="171">F74+F75+F76+F78+F77</f>
        <v>-994</v>
      </c>
      <c r="G81" s="307">
        <f>G74+G75+G76+G78+G77</f>
        <v>-1</v>
      </c>
      <c r="H81" s="504">
        <f t="shared" si="171"/>
        <v>-1144</v>
      </c>
      <c r="I81" s="504">
        <f t="shared" ref="I81" si="172">I74+I75+I76+I78+I77</f>
        <v>-18403</v>
      </c>
      <c r="J81" s="504">
        <f t="shared" si="171"/>
        <v>0</v>
      </c>
      <c r="K81" s="504">
        <f>K74+K75+K76+K78+K77</f>
        <v>0</v>
      </c>
      <c r="L81" s="504">
        <f t="shared" si="171"/>
        <v>0</v>
      </c>
      <c r="M81" s="504">
        <f t="shared" si="171"/>
        <v>0</v>
      </c>
      <c r="N81" s="504">
        <f t="shared" si="171"/>
        <v>0</v>
      </c>
      <c r="O81" s="504">
        <f t="shared" si="171"/>
        <v>0</v>
      </c>
      <c r="P81" s="504">
        <f t="shared" si="171"/>
        <v>0</v>
      </c>
      <c r="Q81" s="504">
        <f t="shared" si="171"/>
        <v>0</v>
      </c>
      <c r="R81" s="504">
        <f t="shared" ref="R81:U81" si="173">R74+R75+R76+R78+R77</f>
        <v>0</v>
      </c>
      <c r="S81" s="504">
        <f t="shared" si="173"/>
        <v>0</v>
      </c>
      <c r="T81" s="504">
        <f t="shared" si="173"/>
        <v>0</v>
      </c>
      <c r="U81" s="307">
        <f t="shared" si="173"/>
        <v>0</v>
      </c>
      <c r="V81" s="504">
        <f>V74+V75+V76+V78+V77</f>
        <v>0</v>
      </c>
      <c r="W81" s="504">
        <f>W74+W75+W76+W78+W77</f>
        <v>0</v>
      </c>
      <c r="X81" s="501">
        <f>X74+X75+X76+X78+X77</f>
        <v>12730.523269813853</v>
      </c>
      <c r="Y81" s="307">
        <f t="shared" si="171"/>
        <v>398121.52326981392</v>
      </c>
      <c r="Z81" s="510"/>
      <c r="AA81" s="504">
        <f>AA74+AA75+AA76+AA78+AA77</f>
        <v>0</v>
      </c>
      <c r="AB81" s="504">
        <f>AB74+AB75+AB76+AB78+AB77</f>
        <v>0</v>
      </c>
      <c r="AC81" s="504">
        <f>AC74+AC75+AC76+AC78+AC77</f>
        <v>0</v>
      </c>
      <c r="AD81" s="504">
        <f>AD74+AD75+AD76+AD78+AD77</f>
        <v>0</v>
      </c>
      <c r="AE81" s="504">
        <f t="shared" si="171"/>
        <v>0</v>
      </c>
      <c r="AF81" s="504">
        <f t="shared" si="171"/>
        <v>0</v>
      </c>
      <c r="AG81" s="504">
        <f t="shared" si="171"/>
        <v>0</v>
      </c>
      <c r="AH81" s="504">
        <f>AH74+AH75+AH76+AH78+AH77</f>
        <v>0</v>
      </c>
      <c r="AI81" s="504">
        <f t="shared" ref="AI81:AJ81" si="174">AI74+AI75+AI76+AI78+AI77</f>
        <v>0</v>
      </c>
      <c r="AJ81" s="504">
        <f t="shared" si="174"/>
        <v>0</v>
      </c>
      <c r="AK81" s="504">
        <f>AK74+AK75+AK76+AK78+AK77</f>
        <v>2273</v>
      </c>
      <c r="AL81" s="504">
        <f>AL74+AL75+AL76+AL78+AL77</f>
        <v>6199</v>
      </c>
      <c r="AM81" s="504">
        <f>AM74+AM75+AM76+AM78+AM77</f>
        <v>920</v>
      </c>
      <c r="AN81" s="504">
        <f t="shared" ref="AN81:AO81" si="175">AN74+AN75+AN76+AN78+AN77</f>
        <v>8976</v>
      </c>
      <c r="AO81" s="504">
        <f t="shared" si="175"/>
        <v>2483</v>
      </c>
      <c r="AP81" s="504">
        <f t="shared" ref="AP81" si="176">AP74+AP75+AP76+AP78+AP77</f>
        <v>33084</v>
      </c>
      <c r="AQ81" s="504">
        <f>AQ74+AQ75+AQ76+AQ78+AQ77</f>
        <v>-3959</v>
      </c>
      <c r="AR81" s="504">
        <f>AR74+AR75+AR76+AR78+AR77</f>
        <v>-15228</v>
      </c>
      <c r="AS81" s="504">
        <f t="shared" ref="AS81" si="177">AS74+AS75+AS76+AS78+AS77</f>
        <v>0</v>
      </c>
      <c r="AT81" s="504">
        <f t="shared" ref="AT81" si="178">AT74+AT75+AT76+AT78+AT77</f>
        <v>0</v>
      </c>
      <c r="AU81" s="667">
        <f t="shared" ref="AU81:AW81" si="179">AU74+AU75+AU76+AU78+AU77</f>
        <v>432869.52326981392</v>
      </c>
      <c r="AV81" s="653">
        <f>AV74+AV75+AV76+AV78+AV77</f>
        <v>6091</v>
      </c>
      <c r="AW81" s="675">
        <f t="shared" si="179"/>
        <v>438960.52326981392</v>
      </c>
    </row>
    <row r="82" spans="1:49" ht="12" thickTop="1">
      <c r="A82" s="89">
        <v>48</v>
      </c>
      <c r="B82" s="1" t="s">
        <v>440</v>
      </c>
      <c r="E82" s="7">
        <f>ROUND(E58/E81,4)</f>
        <v>6.0299999999999999E-2</v>
      </c>
      <c r="F82" s="220"/>
      <c r="G82" s="220"/>
      <c r="H82" s="268"/>
      <c r="I82" s="268"/>
      <c r="J82" s="268"/>
      <c r="K82" s="268"/>
      <c r="L82" s="268"/>
      <c r="M82" s="268"/>
      <c r="N82" s="268"/>
      <c r="O82" s="268"/>
      <c r="P82" s="268"/>
      <c r="Q82" s="268"/>
      <c r="R82" s="268"/>
      <c r="S82" s="268"/>
      <c r="T82" s="268"/>
      <c r="U82" s="220"/>
      <c r="V82" s="315"/>
      <c r="W82" s="268"/>
      <c r="X82" s="268"/>
      <c r="Y82" s="322" t="s">
        <v>427</v>
      </c>
      <c r="Z82" s="511"/>
      <c r="AA82" s="268"/>
      <c r="AB82" s="268"/>
      <c r="AC82" s="268"/>
      <c r="AD82" s="315"/>
      <c r="AE82" s="315"/>
      <c r="AF82" s="315"/>
      <c r="AG82" s="268"/>
      <c r="AH82" s="268"/>
      <c r="AI82" s="268"/>
      <c r="AJ82" s="268"/>
      <c r="AK82" s="621"/>
      <c r="AL82" s="621"/>
      <c r="AM82" s="621"/>
      <c r="AN82" s="621"/>
      <c r="AO82" s="621"/>
      <c r="AP82" s="268"/>
      <c r="AQ82" s="268"/>
      <c r="AR82" s="268"/>
      <c r="AS82" s="268"/>
      <c r="AT82" s="268"/>
      <c r="AU82" s="324"/>
      <c r="AV82" s="651"/>
      <c r="AW82" s="677"/>
    </row>
    <row r="83" spans="1:49">
      <c r="A83" s="89">
        <v>50</v>
      </c>
      <c r="B83" s="1" t="s">
        <v>163</v>
      </c>
      <c r="E83" s="29">
        <f>E89</f>
        <v>5593.2098593842466</v>
      </c>
      <c r="F83" s="29">
        <f t="shared" ref="F83:AG83" si="180">F89</f>
        <v>-85.950014759160936</v>
      </c>
      <c r="G83" s="29">
        <f t="shared" si="180"/>
        <v>15.599276205452814</v>
      </c>
      <c r="H83" s="488">
        <f t="shared" si="180"/>
        <v>-98.920338917988033</v>
      </c>
      <c r="I83" s="488">
        <f t="shared" ref="I83" si="181">I89</f>
        <v>-1591.2858366326348</v>
      </c>
      <c r="J83" s="488">
        <f t="shared" si="180"/>
        <v>12.548596026542663</v>
      </c>
      <c r="K83" s="488">
        <f t="shared" ref="K83" si="182">K89</f>
        <v>249.92620419530806</v>
      </c>
      <c r="L83" s="488">
        <f t="shared" si="180"/>
        <v>173.58891170050683</v>
      </c>
      <c r="M83" s="488">
        <f t="shared" si="180"/>
        <v>-60.651547461622876</v>
      </c>
      <c r="N83" s="488">
        <f t="shared" si="180"/>
        <v>-9.4114470199069977</v>
      </c>
      <c r="O83" s="488">
        <f t="shared" si="180"/>
        <v>70.155652891008558</v>
      </c>
      <c r="P83" s="488">
        <f t="shared" si="180"/>
        <v>-16.731461368723551</v>
      </c>
      <c r="Q83" s="488">
        <f t="shared" si="180"/>
        <v>1.0457163355452219</v>
      </c>
      <c r="R83" s="488">
        <f t="shared" ref="R83:U83" si="183">R89</f>
        <v>-11.502879690997441</v>
      </c>
      <c r="S83" s="488">
        <f t="shared" si="183"/>
        <v>6.2742980132713315</v>
      </c>
      <c r="T83" s="488">
        <f t="shared" si="183"/>
        <v>5.2947662559203586E-2</v>
      </c>
      <c r="U83" s="29">
        <f t="shared" si="183"/>
        <v>46.011518763989763</v>
      </c>
      <c r="V83" s="488">
        <f>V89</f>
        <v>229.01187748440358</v>
      </c>
      <c r="W83" s="488">
        <f>W89</f>
        <v>203.84850085311922</v>
      </c>
      <c r="X83" s="488">
        <f>X89</f>
        <v>826.81574356033343</v>
      </c>
      <c r="Y83" s="29">
        <f t="shared" si="180"/>
        <v>5553.6355772252573</v>
      </c>
      <c r="Z83" s="29"/>
      <c r="AA83" s="488">
        <f>AA89</f>
        <v>-10836.758385255136</v>
      </c>
      <c r="AB83" s="488">
        <f>AB89</f>
        <v>-240.51475717540103</v>
      </c>
      <c r="AC83" s="488">
        <f>AC89</f>
        <v>-6.6184578199064683</v>
      </c>
      <c r="AD83" s="488">
        <f t="shared" ref="AD83" si="184">AD89</f>
        <v>828.20733775181588</v>
      </c>
      <c r="AE83" s="488">
        <f t="shared" si="180"/>
        <v>-101.43448454788653</v>
      </c>
      <c r="AF83" s="488">
        <f t="shared" si="180"/>
        <v>389.00647682282255</v>
      </c>
      <c r="AG83" s="488">
        <f t="shared" si="180"/>
        <v>0</v>
      </c>
      <c r="AH83" s="488">
        <f>AH89</f>
        <v>0</v>
      </c>
      <c r="AI83" s="488">
        <f t="shared" ref="AI83:AJ83" si="185">AI89</f>
        <v>268.74909823512206</v>
      </c>
      <c r="AJ83" s="488">
        <f t="shared" si="185"/>
        <v>911.86464459543356</v>
      </c>
      <c r="AK83" s="488">
        <f>AK89</f>
        <v>654.56740038890064</v>
      </c>
      <c r="AL83" s="488">
        <f>AL89</f>
        <v>611.31183922971741</v>
      </c>
      <c r="AM83" s="488">
        <f>AM89</f>
        <v>17.080915941614609</v>
      </c>
      <c r="AN83" s="488">
        <f t="shared" ref="AN83:AO83" si="186">AN89</f>
        <v>943.45881135144941</v>
      </c>
      <c r="AO83" s="488">
        <f t="shared" si="186"/>
        <v>686.32016657334646</v>
      </c>
      <c r="AP83" s="488">
        <f t="shared" ref="AP83" si="187">AP89</f>
        <v>6414.0788046535708</v>
      </c>
      <c r="AQ83" s="488">
        <f>AQ89</f>
        <v>1278.5302311297839</v>
      </c>
      <c r="AR83" s="488">
        <f>AR89</f>
        <v>-1316.7473086041275</v>
      </c>
      <c r="AS83" s="488">
        <f t="shared" ref="AS83" si="188">AS89</f>
        <v>0</v>
      </c>
      <c r="AT83" s="488">
        <f t="shared" ref="AT83" si="189">AT89</f>
        <v>0</v>
      </c>
      <c r="AU83" s="669">
        <f>AU89+0.5</f>
        <v>6055.2379104963811</v>
      </c>
      <c r="AV83" s="670">
        <f>AV89</f>
        <v>-6055.2364689184787</v>
      </c>
      <c r="AW83" s="670">
        <f t="shared" ref="AW83" si="190">AW89</f>
        <v>-0.49855842210512036</v>
      </c>
    </row>
    <row r="84" spans="1:49" s="313" customFormat="1" ht="58.5" customHeight="1">
      <c r="A84" s="257"/>
      <c r="E84" s="268"/>
      <c r="F84" s="268"/>
      <c r="G84" s="268"/>
      <c r="H84" s="268"/>
      <c r="I84" s="268"/>
      <c r="J84" s="268"/>
      <c r="K84" s="268"/>
      <c r="L84" s="268"/>
      <c r="M84" s="268"/>
      <c r="N84" s="268"/>
      <c r="O84" s="268"/>
      <c r="P84" s="268"/>
      <c r="Q84" s="268"/>
      <c r="R84" s="268"/>
      <c r="S84" s="268"/>
      <c r="T84" s="268"/>
      <c r="U84" s="268"/>
      <c r="V84" s="801"/>
      <c r="W84" s="801"/>
      <c r="X84" s="801"/>
      <c r="Y84" s="801"/>
      <c r="Z84" s="801"/>
      <c r="AA84" s="268"/>
      <c r="AB84" s="268"/>
      <c r="AC84" s="268"/>
      <c r="AD84" s="315"/>
      <c r="AE84" s="315"/>
      <c r="AF84" s="315"/>
      <c r="AG84" s="268"/>
      <c r="AH84" s="268"/>
      <c r="AI84" s="268"/>
      <c r="AJ84" s="268"/>
      <c r="AK84" s="268"/>
      <c r="AL84" s="268"/>
      <c r="AM84" s="268"/>
      <c r="AN84" s="268"/>
      <c r="AO84" s="268"/>
      <c r="AP84" s="268"/>
      <c r="AQ84" s="268"/>
      <c r="AR84" s="268"/>
      <c r="AS84" s="268"/>
      <c r="AT84" s="268"/>
      <c r="AU84" s="315"/>
      <c r="AV84" s="268"/>
      <c r="AW84" s="268"/>
    </row>
    <row r="85" spans="1:49" s="313" customFormat="1" ht="21.75" customHeight="1">
      <c r="A85" s="257"/>
      <c r="E85" s="464"/>
      <c r="F85" s="268"/>
      <c r="G85" s="268"/>
      <c r="H85" s="268"/>
      <c r="I85" s="268"/>
      <c r="J85" s="268"/>
      <c r="K85" s="268"/>
      <c r="L85" s="268"/>
      <c r="M85" s="268"/>
      <c r="N85" s="268"/>
      <c r="O85" s="268"/>
      <c r="P85" s="268"/>
      <c r="Q85" s="268"/>
      <c r="R85" s="268"/>
      <c r="S85" s="268"/>
      <c r="T85" s="268"/>
      <c r="U85" s="268"/>
      <c r="V85" s="315"/>
      <c r="W85" s="268"/>
      <c r="X85" s="268"/>
      <c r="Y85" s="315"/>
      <c r="Z85" s="315"/>
      <c r="AA85" s="268"/>
      <c r="AB85" s="503"/>
      <c r="AC85" s="572"/>
      <c r="AD85" s="706"/>
      <c r="AE85" s="706"/>
      <c r="AF85" s="315"/>
      <c r="AG85" s="268"/>
      <c r="AH85" s="268"/>
      <c r="AI85" s="572"/>
      <c r="AJ85" s="503"/>
      <c r="AK85" s="622"/>
      <c r="AL85" s="268"/>
      <c r="AM85" s="268"/>
      <c r="AN85" s="268"/>
      <c r="AO85" s="268"/>
      <c r="AP85" s="503"/>
      <c r="AQ85" s="503"/>
      <c r="AR85" s="268"/>
      <c r="AS85" s="573"/>
      <c r="AT85" s="471"/>
      <c r="AU85" s="326"/>
      <c r="AV85" s="268"/>
      <c r="AW85" s="503"/>
    </row>
    <row r="86" spans="1:49" s="313" customFormat="1" ht="16.5" customHeight="1">
      <c r="A86" s="312"/>
      <c r="D86" s="314" t="s">
        <v>412</v>
      </c>
      <c r="E86" s="343">
        <f>'RR SUMMARY'!N15</f>
        <v>7.0699999999999999E-2</v>
      </c>
      <c r="F86" s="268"/>
      <c r="G86" s="268"/>
      <c r="H86" s="268"/>
      <c r="I86" s="268"/>
      <c r="J86" s="268"/>
      <c r="K86" s="268"/>
      <c r="L86" s="268"/>
      <c r="M86" s="268"/>
      <c r="N86" s="268"/>
      <c r="O86" s="268"/>
      <c r="P86" s="268"/>
      <c r="Q86" s="268"/>
      <c r="R86" s="268"/>
      <c r="S86" s="268"/>
      <c r="T86" s="268"/>
      <c r="U86" s="268"/>
      <c r="V86" s="315"/>
      <c r="W86" s="268"/>
      <c r="X86" s="268"/>
      <c r="Y86" s="315"/>
      <c r="Z86" s="315"/>
      <c r="AA86" s="268"/>
      <c r="AB86" s="503"/>
      <c r="AC86" s="572"/>
      <c r="AD86" s="706"/>
      <c r="AE86" s="706"/>
      <c r="AF86" s="315"/>
      <c r="AG86" s="268"/>
      <c r="AH86" s="268"/>
      <c r="AI86" s="572"/>
      <c r="AJ86" s="503"/>
      <c r="AK86" s="268"/>
      <c r="AL86" s="268"/>
      <c r="AM86" s="268"/>
      <c r="AN86" s="268"/>
      <c r="AO86" s="268"/>
      <c r="AP86" s="503"/>
      <c r="AQ86" s="503"/>
      <c r="AR86" s="268"/>
      <c r="AS86" s="573"/>
      <c r="AT86" s="471"/>
      <c r="AU86" s="326"/>
      <c r="AV86" s="268"/>
      <c r="AW86" s="503"/>
    </row>
    <row r="87" spans="1:49" s="313" customFormat="1" ht="17.25" customHeight="1">
      <c r="A87" s="257"/>
      <c r="D87" s="314" t="s">
        <v>477</v>
      </c>
      <c r="E87" s="373">
        <f>CF!E27</f>
        <v>0.755463</v>
      </c>
      <c r="F87" s="268"/>
      <c r="G87" s="268"/>
      <c r="H87" s="268"/>
      <c r="I87" s="268"/>
      <c r="J87" s="268"/>
      <c r="K87" s="268"/>
      <c r="L87" s="268"/>
      <c r="M87" s="268"/>
      <c r="N87" s="268"/>
      <c r="O87" s="268"/>
      <c r="P87" s="268"/>
      <c r="Q87" s="268"/>
      <c r="R87" s="268"/>
      <c r="S87" s="268"/>
      <c r="T87" s="268"/>
      <c r="U87" s="268"/>
      <c r="V87" s="315"/>
      <c r="W87" s="268"/>
      <c r="X87" s="268"/>
      <c r="Y87" s="315"/>
      <c r="Z87" s="315"/>
      <c r="AA87" s="268"/>
      <c r="AB87" s="268"/>
      <c r="AC87" s="572"/>
      <c r="AD87" s="706"/>
      <c r="AE87" s="706"/>
      <c r="AF87" s="315"/>
      <c r="AG87" s="268"/>
      <c r="AH87" s="268"/>
      <c r="AI87" s="572"/>
      <c r="AJ87" s="268"/>
      <c r="AK87" s="268"/>
      <c r="AL87" s="268"/>
      <c r="AM87" s="268"/>
      <c r="AN87" s="268"/>
      <c r="AO87" s="268"/>
      <c r="AP87" s="268"/>
      <c r="AQ87" s="268"/>
      <c r="AR87" s="268"/>
      <c r="AS87" s="572"/>
      <c r="AT87" s="471"/>
      <c r="AU87" s="315"/>
      <c r="AV87" s="268"/>
      <c r="AW87" s="268"/>
    </row>
    <row r="88" spans="1:49" s="313" customFormat="1" ht="29.25" customHeight="1">
      <c r="A88" s="257"/>
      <c r="D88" s="314" t="s">
        <v>159</v>
      </c>
      <c r="E88" s="147">
        <f t="shared" ref="E88:AU88" si="191">E81*$E$86-E58</f>
        <v>4225.4631000000008</v>
      </c>
      <c r="F88" s="147">
        <f t="shared" si="191"/>
        <v>-64.932056000000003</v>
      </c>
      <c r="G88" s="147">
        <f t="shared" si="191"/>
        <v>11.784675999999999</v>
      </c>
      <c r="H88" s="147">
        <f t="shared" si="191"/>
        <v>-74.730655999999996</v>
      </c>
      <c r="I88" s="147">
        <f t="shared" si="191"/>
        <v>-1202.1575720000001</v>
      </c>
      <c r="J88" s="147">
        <f t="shared" si="191"/>
        <v>9.48</v>
      </c>
      <c r="K88" s="147">
        <f t="shared" si="191"/>
        <v>188.81</v>
      </c>
      <c r="L88" s="147">
        <f t="shared" si="191"/>
        <v>131.13999999999999</v>
      </c>
      <c r="M88" s="147">
        <f t="shared" si="191"/>
        <v>-45.82</v>
      </c>
      <c r="N88" s="147">
        <f t="shared" si="191"/>
        <v>-7.11</v>
      </c>
      <c r="O88" s="147">
        <f t="shared" si="191"/>
        <v>53</v>
      </c>
      <c r="P88" s="147">
        <f t="shared" si="191"/>
        <v>-12.64</v>
      </c>
      <c r="Q88" s="147">
        <f t="shared" si="191"/>
        <v>0.79</v>
      </c>
      <c r="R88" s="147">
        <f t="shared" si="191"/>
        <v>-8.69</v>
      </c>
      <c r="S88" s="147">
        <f t="shared" si="191"/>
        <v>4.74</v>
      </c>
      <c r="T88" s="147">
        <f t="shared" si="191"/>
        <v>3.999999999996362E-2</v>
      </c>
      <c r="U88" s="147">
        <f t="shared" si="191"/>
        <v>34.76</v>
      </c>
      <c r="V88" s="147">
        <f t="shared" si="191"/>
        <v>173.01</v>
      </c>
      <c r="W88" s="147">
        <f t="shared" si="191"/>
        <v>154</v>
      </c>
      <c r="X88" s="147">
        <f t="shared" si="191"/>
        <v>624.62870207732021</v>
      </c>
      <c r="Y88" s="147">
        <f t="shared" si="191"/>
        <v>4195.5661940773243</v>
      </c>
      <c r="Z88" s="147"/>
      <c r="AA88" s="147">
        <f t="shared" si="191"/>
        <v>-8186.77</v>
      </c>
      <c r="AB88" s="147">
        <f t="shared" ref="AB88:AC88" si="192">AB81*$E$86-AB58</f>
        <v>-181.7</v>
      </c>
      <c r="AC88" s="574">
        <f t="shared" si="192"/>
        <v>-5</v>
      </c>
      <c r="AD88" s="574">
        <f t="shared" si="191"/>
        <v>625.68000000000006</v>
      </c>
      <c r="AE88" s="574">
        <f t="shared" si="191"/>
        <v>-76.63</v>
      </c>
      <c r="AF88" s="147">
        <f t="shared" si="191"/>
        <v>293.88</v>
      </c>
      <c r="AG88" s="147">
        <f t="shared" ref="AG88" si="193">AG81*$E$86-AG58</f>
        <v>0</v>
      </c>
      <c r="AH88" s="147">
        <f t="shared" si="191"/>
        <v>0</v>
      </c>
      <c r="AI88" s="574">
        <f t="shared" si="191"/>
        <v>203.03</v>
      </c>
      <c r="AJ88" s="147">
        <f t="shared" ref="AJ88" si="194">AJ81*$E$86-AJ58</f>
        <v>688.88</v>
      </c>
      <c r="AK88" s="147">
        <f t="shared" si="191"/>
        <v>494.50145200000003</v>
      </c>
      <c r="AL88" s="147">
        <f t="shared" ref="AL88:AM88" si="195">AL81*$E$86-AL58</f>
        <v>461.82347600000003</v>
      </c>
      <c r="AM88" s="147">
        <f t="shared" si="195"/>
        <v>12.903999999999996</v>
      </c>
      <c r="AN88" s="147">
        <f t="shared" ref="AN88:AO88" si="196">AN81*$E$86-AN58</f>
        <v>712.74822400000005</v>
      </c>
      <c r="AO88" s="147">
        <f t="shared" si="196"/>
        <v>518.48949200000004</v>
      </c>
      <c r="AP88" s="147">
        <f t="shared" ref="AP88" si="197">AP81*$E$86-AP58</f>
        <v>4845.5992160000005</v>
      </c>
      <c r="AQ88" s="147">
        <f>AQ81*$E$86-AQ58</f>
        <v>965.88228400000003</v>
      </c>
      <c r="AR88" s="147">
        <f>AR81*$E$86-AR58</f>
        <v>-994.753872</v>
      </c>
      <c r="AS88" s="574">
        <f t="shared" ref="AS88" si="198">AS81*$E$86-AS58</f>
        <v>0</v>
      </c>
      <c r="AT88" s="469">
        <f t="shared" si="191"/>
        <v>0</v>
      </c>
      <c r="AU88" s="316">
        <f t="shared" si="191"/>
        <v>4574.1304660773276</v>
      </c>
      <c r="AV88" s="147">
        <f>AV81*$E$86-AV58</f>
        <v>-4574.5071085185609</v>
      </c>
      <c r="AW88" s="147">
        <f t="shared" ref="AW88" si="199">AW81*$E$86-AW58</f>
        <v>-0.37664244123880053</v>
      </c>
    </row>
    <row r="89" spans="1:49" s="313" customFormat="1">
      <c r="A89" s="257"/>
      <c r="D89" s="314" t="s">
        <v>478</v>
      </c>
      <c r="E89" s="147">
        <f>E88/$E$87</f>
        <v>5593.2098593842466</v>
      </c>
      <c r="F89" s="147">
        <f>F88/$E$87</f>
        <v>-85.950014759160936</v>
      </c>
      <c r="G89" s="147">
        <f>G88/$E$87</f>
        <v>15.599276205452814</v>
      </c>
      <c r="H89" s="147">
        <f>H88/$E$87</f>
        <v>-98.920338917988033</v>
      </c>
      <c r="I89" s="147">
        <f>I88/$E$87</f>
        <v>-1591.2858366326348</v>
      </c>
      <c r="J89" s="147">
        <f t="shared" ref="J89:Q89" si="200">J88/$E$87</f>
        <v>12.548596026542663</v>
      </c>
      <c r="K89" s="147">
        <f>K88/$E$87</f>
        <v>249.92620419530806</v>
      </c>
      <c r="L89" s="147">
        <f t="shared" si="200"/>
        <v>173.58891170050683</v>
      </c>
      <c r="M89" s="147">
        <f t="shared" si="200"/>
        <v>-60.651547461622876</v>
      </c>
      <c r="N89" s="147">
        <f t="shared" si="200"/>
        <v>-9.4114470199069977</v>
      </c>
      <c r="O89" s="147">
        <f t="shared" si="200"/>
        <v>70.155652891008558</v>
      </c>
      <c r="P89" s="147">
        <f t="shared" si="200"/>
        <v>-16.731461368723551</v>
      </c>
      <c r="Q89" s="147">
        <f t="shared" si="200"/>
        <v>1.0457163355452219</v>
      </c>
      <c r="R89" s="147">
        <f t="shared" ref="R89:S89" si="201">R88/$E$87</f>
        <v>-11.502879690997441</v>
      </c>
      <c r="S89" s="147">
        <f t="shared" si="201"/>
        <v>6.2742980132713315</v>
      </c>
      <c r="T89" s="147">
        <f t="shared" ref="T89" si="202">T88/$E$87</f>
        <v>5.2947662559203586E-2</v>
      </c>
      <c r="U89" s="147">
        <f>U88/$E$87</f>
        <v>46.011518763989763</v>
      </c>
      <c r="V89" s="147">
        <f>V88/$E$87</f>
        <v>229.01187748440358</v>
      </c>
      <c r="W89" s="147">
        <f>W88/$E$87</f>
        <v>203.84850085311922</v>
      </c>
      <c r="X89" s="147">
        <f>X88/$E$87</f>
        <v>826.81574356033343</v>
      </c>
      <c r="Y89" s="147">
        <f t="shared" ref="Y89" si="203">Y88/$E$87</f>
        <v>5553.6355772252573</v>
      </c>
      <c r="Z89" s="147"/>
      <c r="AA89" s="147">
        <f>AA88/$E$87</f>
        <v>-10836.758385255136</v>
      </c>
      <c r="AB89" s="147">
        <f>AB88/$E$87</f>
        <v>-240.51475717540103</v>
      </c>
      <c r="AC89" s="574">
        <f>AC88/$E$87</f>
        <v>-6.6184578199064683</v>
      </c>
      <c r="AD89" s="574">
        <f t="shared" ref="AD89" si="204">AD88/$E$87</f>
        <v>828.20733775181588</v>
      </c>
      <c r="AE89" s="574">
        <f t="shared" ref="AE89:AG89" si="205">AE88/$E$87</f>
        <v>-101.43448454788653</v>
      </c>
      <c r="AF89" s="147">
        <f t="shared" si="205"/>
        <v>389.00647682282255</v>
      </c>
      <c r="AG89" s="147">
        <f t="shared" si="205"/>
        <v>0</v>
      </c>
      <c r="AH89" s="147">
        <f>AH88/$E$87</f>
        <v>0</v>
      </c>
      <c r="AI89" s="574">
        <f t="shared" ref="AI89:AJ89" si="206">AI88/$E$87</f>
        <v>268.74909823512206</v>
      </c>
      <c r="AJ89" s="147">
        <f t="shared" si="206"/>
        <v>911.86464459543356</v>
      </c>
      <c r="AK89" s="147">
        <f>AK88/$E$87</f>
        <v>654.56740038890064</v>
      </c>
      <c r="AL89" s="147">
        <f>AL88/$E$87</f>
        <v>611.31183922971741</v>
      </c>
      <c r="AM89" s="147">
        <f>AM88/$E$87</f>
        <v>17.080915941614609</v>
      </c>
      <c r="AN89" s="147">
        <f t="shared" ref="AN89:AO89" si="207">AN88/$E$87</f>
        <v>943.45881135144941</v>
      </c>
      <c r="AO89" s="147">
        <f t="shared" si="207"/>
        <v>686.32016657334646</v>
      </c>
      <c r="AP89" s="147">
        <f t="shared" ref="AP89" si="208">AP88/$E$87</f>
        <v>6414.0788046535708</v>
      </c>
      <c r="AQ89" s="147">
        <f>AQ88/$E$87</f>
        <v>1278.5302311297839</v>
      </c>
      <c r="AR89" s="147">
        <f>AR88/$E$87</f>
        <v>-1316.7473086041275</v>
      </c>
      <c r="AS89" s="574">
        <f t="shared" ref="AS89" si="209">AS88/$E$87</f>
        <v>0</v>
      </c>
      <c r="AT89" s="469">
        <f t="shared" ref="AT89" si="210">AT88/$E$87</f>
        <v>0</v>
      </c>
      <c r="AU89" s="316">
        <f t="shared" ref="AU89:AW89" si="211">AU88/$E$87</f>
        <v>6054.7379104963811</v>
      </c>
      <c r="AV89" s="147">
        <f>AV88/$E$87</f>
        <v>-6055.2364689184787</v>
      </c>
      <c r="AW89" s="147">
        <f t="shared" si="211"/>
        <v>-0.49855842210512036</v>
      </c>
    </row>
    <row r="90" spans="1:49" s="313" customFormat="1">
      <c r="A90" s="257"/>
      <c r="E90" s="340"/>
      <c r="F90" s="340"/>
      <c r="G90" s="340"/>
      <c r="H90" s="340"/>
      <c r="I90" s="340"/>
      <c r="J90" s="340"/>
      <c r="K90" s="340"/>
      <c r="L90" s="340"/>
      <c r="M90" s="340"/>
      <c r="N90" s="340"/>
      <c r="O90" s="340"/>
      <c r="P90" s="340"/>
      <c r="Q90" s="340"/>
      <c r="R90" s="340"/>
      <c r="S90" s="340"/>
      <c r="T90" s="340"/>
      <c r="U90" s="340"/>
      <c r="V90" s="340"/>
      <c r="W90" s="340"/>
      <c r="X90" s="340"/>
      <c r="Y90" s="317"/>
      <c r="Z90" s="317"/>
      <c r="AA90" s="340"/>
      <c r="AB90" s="340"/>
      <c r="AC90" s="575"/>
      <c r="AD90" s="575"/>
      <c r="AE90" s="575"/>
      <c r="AF90" s="340"/>
      <c r="AG90" s="340"/>
      <c r="AH90" s="340"/>
      <c r="AI90" s="575"/>
      <c r="AJ90" s="340"/>
      <c r="AK90" s="340"/>
      <c r="AL90" s="340"/>
      <c r="AM90" s="340"/>
      <c r="AN90" s="340"/>
      <c r="AO90" s="340"/>
      <c r="AP90" s="340"/>
      <c r="AQ90" s="340"/>
      <c r="AR90" s="340"/>
      <c r="AS90" s="575"/>
      <c r="AT90" s="472"/>
      <c r="AU90" s="318"/>
      <c r="AV90" s="340"/>
      <c r="AW90" s="340"/>
    </row>
    <row r="91" spans="1:49" s="313" customFormat="1">
      <c r="A91" s="257"/>
      <c r="D91" s="314"/>
      <c r="E91" s="340"/>
      <c r="F91" s="340"/>
      <c r="G91" s="340"/>
      <c r="H91" s="340"/>
      <c r="I91" s="340"/>
      <c r="J91" s="340"/>
      <c r="K91" s="340"/>
      <c r="L91" s="340"/>
      <c r="M91" s="340"/>
      <c r="N91" s="340"/>
      <c r="O91" s="340"/>
      <c r="P91" s="340"/>
      <c r="Q91" s="340"/>
      <c r="R91" s="340"/>
      <c r="S91" s="340"/>
      <c r="T91" s="340"/>
      <c r="U91" s="340"/>
      <c r="V91" s="340"/>
      <c r="W91" s="340"/>
      <c r="X91" s="340"/>
      <c r="Y91" s="317"/>
      <c r="Z91" s="317"/>
      <c r="AA91" s="340"/>
      <c r="AB91" s="340"/>
      <c r="AC91" s="575"/>
      <c r="AD91" s="575"/>
      <c r="AE91" s="575"/>
      <c r="AF91" s="340"/>
      <c r="AG91" s="340"/>
      <c r="AH91" s="340"/>
      <c r="AI91" s="575"/>
      <c r="AJ91" s="340"/>
      <c r="AK91" s="340"/>
      <c r="AL91" s="340"/>
      <c r="AM91" s="340"/>
      <c r="AN91" s="340"/>
      <c r="AO91" s="340"/>
      <c r="AP91" s="340"/>
      <c r="AQ91" s="340"/>
      <c r="AR91" s="340"/>
      <c r="AS91" s="575"/>
      <c r="AT91" s="472"/>
      <c r="AU91" s="318"/>
      <c r="AV91" s="340"/>
      <c r="AW91" s="340"/>
    </row>
    <row r="92" spans="1:49" s="371" customFormat="1" ht="12">
      <c r="A92" s="368"/>
      <c r="D92" s="367"/>
      <c r="E92" s="366"/>
      <c r="F92" s="366"/>
      <c r="G92" s="366"/>
      <c r="H92" s="366"/>
      <c r="I92" s="366"/>
      <c r="J92" s="366"/>
      <c r="K92" s="366"/>
      <c r="L92" s="366"/>
      <c r="M92" s="366"/>
      <c r="N92" s="366"/>
      <c r="O92" s="366"/>
      <c r="P92" s="366"/>
      <c r="Q92" s="366"/>
      <c r="R92" s="366"/>
      <c r="S92" s="366"/>
      <c r="T92" s="366"/>
      <c r="U92" s="366"/>
      <c r="V92" s="366"/>
      <c r="W92" s="366"/>
      <c r="X92" s="366"/>
      <c r="Y92" s="328"/>
      <c r="Z92" s="328"/>
      <c r="AA92" s="366"/>
      <c r="AB92" s="366"/>
      <c r="AC92" s="576"/>
      <c r="AD92" s="576"/>
      <c r="AE92" s="576"/>
      <c r="AF92" s="366"/>
      <c r="AG92" s="366"/>
      <c r="AH92" s="366"/>
      <c r="AI92" s="576"/>
      <c r="AJ92" s="366"/>
      <c r="AK92" s="623"/>
      <c r="AL92" s="623"/>
      <c r="AM92" s="623"/>
      <c r="AN92" s="623"/>
      <c r="AO92" s="623"/>
      <c r="AP92" s="366"/>
      <c r="AQ92" s="366"/>
      <c r="AR92" s="366"/>
      <c r="AS92" s="576"/>
      <c r="AT92" s="473"/>
      <c r="AU92" s="327"/>
      <c r="AV92" s="366"/>
      <c r="AW92" s="366"/>
    </row>
    <row r="93" spans="1:49" s="371" customFormat="1">
      <c r="A93" s="368"/>
      <c r="D93" s="372"/>
      <c r="E93" s="366"/>
      <c r="F93" s="366"/>
      <c r="G93" s="366"/>
      <c r="H93" s="366"/>
      <c r="I93" s="366"/>
      <c r="J93" s="366"/>
      <c r="K93" s="366"/>
      <c r="L93" s="366"/>
      <c r="M93" s="366"/>
      <c r="N93" s="366"/>
      <c r="O93" s="366"/>
      <c r="P93" s="366"/>
      <c r="Q93" s="366"/>
      <c r="R93" s="366"/>
      <c r="S93" s="366"/>
      <c r="T93" s="366"/>
      <c r="U93" s="366"/>
      <c r="V93" s="366"/>
      <c r="W93" s="366"/>
      <c r="X93" s="366"/>
      <c r="Y93" s="328"/>
      <c r="Z93" s="328"/>
      <c r="AA93" s="366"/>
      <c r="AB93" s="366"/>
      <c r="AC93" s="576"/>
      <c r="AD93" s="576"/>
      <c r="AE93" s="576"/>
      <c r="AF93" s="366"/>
      <c r="AG93" s="366"/>
      <c r="AH93" s="366"/>
      <c r="AI93" s="576"/>
      <c r="AJ93" s="366"/>
      <c r="AK93" s="366"/>
      <c r="AL93" s="366"/>
      <c r="AM93" s="366"/>
      <c r="AN93" s="366"/>
      <c r="AO93" s="366"/>
      <c r="AP93" s="366"/>
      <c r="AQ93" s="366"/>
      <c r="AR93" s="366"/>
      <c r="AS93" s="576"/>
      <c r="AT93" s="473"/>
      <c r="AU93" s="327"/>
      <c r="AV93" s="366"/>
      <c r="AW93" s="366"/>
    </row>
    <row r="94" spans="1:49" s="371" customFormat="1">
      <c r="A94" s="368"/>
      <c r="E94" s="302"/>
      <c r="F94" s="302"/>
      <c r="G94" s="702" t="s">
        <v>587</v>
      </c>
      <c r="H94" s="703">
        <f>E81+F81+G81+H81+I81</f>
        <v>385391</v>
      </c>
      <c r="I94" s="302"/>
      <c r="J94" s="302"/>
      <c r="K94" s="302"/>
      <c r="L94" s="302"/>
      <c r="M94" s="302"/>
      <c r="N94" s="302"/>
      <c r="O94" s="302"/>
      <c r="P94" s="302"/>
      <c r="Q94" s="302"/>
      <c r="R94" s="302"/>
      <c r="S94" s="302"/>
      <c r="T94" s="302"/>
      <c r="U94" s="302"/>
      <c r="V94" s="328"/>
      <c r="W94" s="302"/>
      <c r="X94" s="302"/>
      <c r="Y94" s="328"/>
      <c r="Z94" s="328"/>
      <c r="AA94" s="302"/>
      <c r="AB94" s="302"/>
      <c r="AC94" s="577"/>
      <c r="AD94" s="707"/>
      <c r="AE94" s="707"/>
      <c r="AF94" s="328"/>
      <c r="AG94" s="302"/>
      <c r="AH94" s="302"/>
      <c r="AI94" s="577"/>
      <c r="AJ94" s="302"/>
      <c r="AK94" s="302"/>
      <c r="AL94" s="302"/>
      <c r="AM94" s="302"/>
      <c r="AN94" s="302"/>
      <c r="AO94" s="302"/>
      <c r="AP94" s="302"/>
      <c r="AQ94" s="302"/>
      <c r="AR94" s="302"/>
      <c r="AS94" s="577"/>
      <c r="AT94" s="474"/>
      <c r="AU94" s="370">
        <f>SUM(AK81:AP81)</f>
        <v>53935</v>
      </c>
      <c r="AV94" s="302"/>
      <c r="AW94" s="678"/>
    </row>
    <row r="95" spans="1:49" s="371" customFormat="1">
      <c r="A95" s="368"/>
      <c r="E95" s="302"/>
      <c r="F95" s="302"/>
      <c r="G95" s="302"/>
      <c r="H95" s="302"/>
      <c r="I95" s="302"/>
      <c r="J95" s="302"/>
      <c r="K95" s="302"/>
      <c r="L95" s="302"/>
      <c r="M95" s="302"/>
      <c r="N95" s="302"/>
      <c r="O95" s="302"/>
      <c r="P95" s="302"/>
      <c r="Q95" s="302"/>
      <c r="R95" s="302"/>
      <c r="S95" s="302"/>
      <c r="T95" s="302"/>
      <c r="U95" s="302"/>
      <c r="V95" s="328"/>
      <c r="W95" s="302"/>
      <c r="X95" s="302"/>
      <c r="Y95" s="328"/>
      <c r="Z95" s="328"/>
      <c r="AA95" s="302"/>
      <c r="AB95" s="302"/>
      <c r="AC95" s="577"/>
      <c r="AD95" s="707"/>
      <c r="AE95" s="707"/>
      <c r="AF95" s="328"/>
      <c r="AG95" s="302"/>
      <c r="AH95" s="302"/>
      <c r="AI95" s="577"/>
      <c r="AJ95" s="302"/>
      <c r="AK95" s="302"/>
      <c r="AL95" s="302"/>
      <c r="AM95" s="302"/>
      <c r="AN95" s="302"/>
      <c r="AO95" s="302"/>
      <c r="AP95" s="302"/>
      <c r="AQ95" s="302"/>
      <c r="AR95" s="302"/>
      <c r="AS95" s="577"/>
      <c r="AT95" s="474"/>
      <c r="AU95" s="284"/>
      <c r="AV95" s="302"/>
      <c r="AW95" s="679"/>
    </row>
    <row r="96" spans="1:49" s="306" customFormat="1">
      <c r="A96" s="5"/>
      <c r="E96" s="365"/>
      <c r="F96" s="365"/>
      <c r="G96" s="365"/>
      <c r="H96" s="365"/>
      <c r="I96" s="365"/>
      <c r="J96" s="365"/>
      <c r="K96" s="365"/>
      <c r="L96" s="365"/>
      <c r="M96" s="365"/>
      <c r="N96" s="365"/>
      <c r="O96" s="365"/>
      <c r="P96" s="365"/>
      <c r="Q96" s="365"/>
      <c r="R96" s="365"/>
      <c r="S96" s="365"/>
      <c r="T96" s="365"/>
      <c r="U96" s="365"/>
      <c r="V96" s="328"/>
      <c r="W96" s="302"/>
      <c r="X96" s="302"/>
      <c r="Y96" s="369"/>
      <c r="Z96" s="369"/>
      <c r="AA96" s="302"/>
      <c r="AB96" s="302"/>
      <c r="AC96" s="577"/>
      <c r="AD96" s="707"/>
      <c r="AE96" s="707"/>
      <c r="AF96" s="328"/>
      <c r="AG96" s="302"/>
      <c r="AH96" s="302"/>
      <c r="AI96" s="577"/>
      <c r="AJ96" s="302"/>
      <c r="AK96" s="302"/>
      <c r="AL96" s="302"/>
      <c r="AM96" s="302"/>
      <c r="AN96" s="302"/>
      <c r="AO96" s="302"/>
      <c r="AP96" s="302"/>
      <c r="AQ96" s="302"/>
      <c r="AR96" s="302"/>
      <c r="AS96" s="577"/>
      <c r="AT96" s="474"/>
      <c r="AU96" s="284"/>
      <c r="AV96" s="302"/>
      <c r="AW96" s="679"/>
    </row>
    <row r="97" spans="1:49" s="306" customFormat="1">
      <c r="A97" s="5"/>
      <c r="E97" s="365"/>
      <c r="F97" s="365"/>
      <c r="G97" s="365"/>
      <c r="H97" s="365"/>
      <c r="I97" s="365"/>
      <c r="J97" s="365"/>
      <c r="K97" s="365"/>
      <c r="L97" s="365"/>
      <c r="M97" s="365"/>
      <c r="N97" s="365"/>
      <c r="O97" s="365"/>
      <c r="P97" s="365"/>
      <c r="Q97" s="365"/>
      <c r="R97" s="365"/>
      <c r="S97" s="365"/>
      <c r="T97" s="365"/>
      <c r="U97" s="365"/>
      <c r="V97" s="328"/>
      <c r="W97" s="302"/>
      <c r="X97" s="302"/>
      <c r="Y97" s="369"/>
      <c r="Z97" s="369"/>
      <c r="AA97" s="302"/>
      <c r="AB97" s="302"/>
      <c r="AC97" s="577"/>
      <c r="AD97" s="707"/>
      <c r="AE97" s="707"/>
      <c r="AF97" s="328"/>
      <c r="AG97" s="302"/>
      <c r="AH97" s="302"/>
      <c r="AI97" s="577"/>
      <c r="AJ97" s="302"/>
      <c r="AK97" s="302"/>
      <c r="AL97" s="302"/>
      <c r="AM97" s="302"/>
      <c r="AN97" s="302"/>
      <c r="AO97" s="302"/>
      <c r="AP97" s="302"/>
      <c r="AQ97" s="302"/>
      <c r="AR97" s="302"/>
      <c r="AS97" s="577"/>
      <c r="AT97" s="474"/>
      <c r="AU97" s="301"/>
      <c r="AV97" s="302"/>
      <c r="AW97" s="680"/>
    </row>
    <row r="98" spans="1:49" s="306" customFormat="1">
      <c r="A98" s="5"/>
      <c r="E98" s="365"/>
      <c r="F98" s="365"/>
      <c r="G98" s="365"/>
      <c r="H98" s="365"/>
      <c r="I98" s="365"/>
      <c r="J98" s="365"/>
      <c r="K98" s="365"/>
      <c r="L98" s="365"/>
      <c r="M98" s="365"/>
      <c r="N98" s="365"/>
      <c r="O98" s="365"/>
      <c r="P98" s="365"/>
      <c r="Q98" s="365"/>
      <c r="R98" s="365"/>
      <c r="S98" s="365"/>
      <c r="T98" s="365"/>
      <c r="U98" s="365"/>
      <c r="V98" s="328"/>
      <c r="W98" s="302"/>
      <c r="X98" s="302"/>
      <c r="Y98" s="369"/>
      <c r="Z98" s="369"/>
      <c r="AA98" s="302"/>
      <c r="AB98" s="302"/>
      <c r="AC98" s="577"/>
      <c r="AD98" s="707"/>
      <c r="AE98" s="707"/>
      <c r="AF98" s="328"/>
      <c r="AG98" s="302"/>
      <c r="AH98" s="302"/>
      <c r="AI98" s="577"/>
      <c r="AJ98" s="302"/>
      <c r="AK98" s="302"/>
      <c r="AL98" s="302"/>
      <c r="AM98" s="302"/>
      <c r="AN98" s="302"/>
      <c r="AO98" s="302"/>
      <c r="AP98" s="302"/>
      <c r="AQ98" s="302"/>
      <c r="AR98" s="302"/>
      <c r="AS98" s="577"/>
      <c r="AT98" s="474"/>
      <c r="AU98" s="284"/>
      <c r="AV98" s="302"/>
      <c r="AW98" s="679"/>
    </row>
  </sheetData>
  <customSheetViews>
    <customSheetView guid="{A15D1964-B049-11D2-8670-0000832CEEE8}" scale="75" showPageBreaks="1" showGridLines="0" printArea="1" hiddenColumns="1" showRuler="0" topLeftCell="T45">
      <selection activeCell="AH53" sqref="AH53"/>
      <pageMargins left="0.75" right="0.75" top="0.75" bottom="0.5" header="0.5" footer="0.5"/>
      <pageSetup scale="75" orientation="portrait" horizontalDpi="300" verticalDpi="300" r:id="rId1"/>
      <headerFooter alignWithMargins="0">
        <oddHeader>&amp;L&amp;"Times,Regular"&amp;9KM  File: &amp;F&amp;R&amp;"Times,Regular"&amp;9Page &amp;P of &amp;N  &amp;D</oddHeader>
      </headerFooter>
    </customSheetView>
    <customSheetView guid="{5BE913A1-B14F-11D2-B0DC-0000832CDFF0}" scale="75" showPageBreaks="1" showGridLines="0" printArea="1" hiddenColumns="1" showRuler="0" topLeftCell="R46">
      <selection activeCell="T46" sqref="T1:T65536"/>
      <pageMargins left="0.75" right="0.75" top="0.75" bottom="0.5" header="0.5" footer="0.5"/>
      <pageSetup scale="75" orientation="portrait" horizontalDpi="300" verticalDpi="300" r:id="rId2"/>
      <headerFooter alignWithMargins="0">
        <oddHeader>&amp;L&amp;"Times,Regular"&amp;9KM  File: &amp;F&amp;R&amp;"Times,Regular"&amp;9Page &amp;P of &amp;N  &amp;D</oddHeader>
      </headerFooter>
    </customSheetView>
  </customSheetViews>
  <mergeCells count="2">
    <mergeCell ref="V84:Z84"/>
    <mergeCell ref="AZ38:AZ39"/>
  </mergeCells>
  <phoneticPr fontId="0" type="noConversion"/>
  <pageMargins left="0.5" right="0.5" top="1" bottom="0.34" header="0.5" footer="0.5"/>
  <pageSetup scale="68" firstPageNumber="4" fitToWidth="0" orientation="portrait" r:id="rId3"/>
  <headerFooter scaleWithDoc="0" alignWithMargins="0">
    <oddHeader xml:space="preserve">&amp;R Exh. JH-3r
Dockets UE-200900-01-894
Page &amp;P of &amp;N
</oddHeader>
  </headerFooter>
  <colBreaks count="6" manualBreakCount="6">
    <brk id="13" min="1" max="82" man="1"/>
    <brk id="21" min="1" max="82" man="1"/>
    <brk id="26" max="1048575" man="1"/>
    <brk id="32" min="1" max="82" man="1"/>
    <brk id="39" min="1" max="82" man="1"/>
    <brk id="46" min="1" max="82" man="1"/>
  </colBreaks>
  <ignoredErrors>
    <ignoredError sqref="AR8" numberStoredAsText="1"/>
  </ignoredErrors>
  <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ColWidth="9.1796875" defaultRowHeight="12.5"/>
  <cols>
    <col min="1" max="16384" width="9.1796875" style="386"/>
  </cols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FF00"/>
    <pageSetUpPr fitToPage="1"/>
  </sheetPr>
  <dimension ref="A1:AC67"/>
  <sheetViews>
    <sheetView tabSelected="1" topLeftCell="A43" zoomScaleNormal="100" workbookViewId="0">
      <selection activeCell="J56" sqref="J56"/>
    </sheetView>
  </sheetViews>
  <sheetFormatPr defaultColWidth="11.453125" defaultRowHeight="13"/>
  <cols>
    <col min="1" max="1" width="8.54296875" style="710" customWidth="1"/>
    <col min="2" max="2" width="33" style="710" customWidth="1"/>
    <col min="3" max="3" width="4.453125" style="710" customWidth="1"/>
    <col min="4" max="4" width="3.1796875" style="710" customWidth="1"/>
    <col min="5" max="5" width="12.453125" style="710" customWidth="1"/>
    <col min="6" max="6" width="11.453125" style="710" customWidth="1"/>
    <col min="7" max="7" width="13.453125" style="710" customWidth="1"/>
    <col min="8" max="9" width="11.453125" style="710" customWidth="1"/>
    <col min="10" max="10" width="16.54296875" style="710" customWidth="1"/>
    <col min="11" max="11" width="21" style="710" hidden="1" customWidth="1"/>
    <col min="12" max="12" width="18.08984375" style="710" customWidth="1"/>
    <col min="13" max="13" width="21" style="709" customWidth="1"/>
    <col min="14" max="15" width="11.453125" style="710"/>
    <col min="16" max="16" width="4.453125" style="710" customWidth="1"/>
    <col min="17" max="18" width="11.453125" style="710"/>
    <col min="19" max="19" width="11.453125" style="708"/>
    <col min="20" max="20" width="5.81640625" style="708" bestFit="1" customWidth="1"/>
    <col min="21" max="21" width="5.453125" style="708" customWidth="1"/>
    <col min="22" max="22" width="12.54296875" style="709" customWidth="1"/>
    <col min="23" max="24" width="11.453125" style="709"/>
    <col min="25" max="16384" width="11.453125" style="710"/>
  </cols>
  <sheetData>
    <row r="1" spans="1:29" ht="15.5" customHeight="1">
      <c r="A1" s="804" t="s">
        <v>476</v>
      </c>
      <c r="B1" s="804"/>
      <c r="C1" s="804"/>
      <c r="D1" s="804"/>
      <c r="E1" s="804"/>
      <c r="F1" s="804"/>
      <c r="G1" s="804"/>
      <c r="H1" s="804"/>
      <c r="I1" s="804"/>
      <c r="J1" s="804"/>
      <c r="K1" s="804"/>
      <c r="L1" s="804"/>
      <c r="M1" s="712"/>
      <c r="N1" s="712"/>
      <c r="O1" s="712"/>
      <c r="P1" s="712"/>
      <c r="Q1" s="712"/>
      <c r="R1" s="712"/>
    </row>
    <row r="2" spans="1:29" ht="15.5" customHeight="1">
      <c r="A2" s="804" t="s">
        <v>112</v>
      </c>
      <c r="B2" s="804"/>
      <c r="C2" s="804"/>
      <c r="D2" s="804"/>
      <c r="E2" s="804"/>
      <c r="F2" s="804"/>
      <c r="G2" s="804"/>
      <c r="H2" s="804"/>
      <c r="I2" s="804"/>
      <c r="J2" s="804"/>
      <c r="K2" s="804"/>
      <c r="L2" s="804"/>
      <c r="M2" s="712"/>
      <c r="N2" s="712"/>
      <c r="O2" s="712"/>
      <c r="P2" s="712"/>
      <c r="Q2" s="712"/>
      <c r="R2" s="712"/>
    </row>
    <row r="3" spans="1:29" ht="15.5" customHeight="1">
      <c r="A3" s="804" t="s">
        <v>601</v>
      </c>
      <c r="B3" s="804"/>
      <c r="C3" s="804"/>
      <c r="D3" s="804"/>
      <c r="E3" s="804"/>
      <c r="F3" s="804"/>
      <c r="G3" s="804"/>
      <c r="H3" s="804"/>
      <c r="I3" s="804"/>
      <c r="J3" s="804"/>
      <c r="K3" s="804"/>
      <c r="L3" s="804"/>
      <c r="M3" s="712"/>
      <c r="N3" s="712"/>
      <c r="O3" s="712"/>
      <c r="P3" s="712"/>
      <c r="Q3" s="712"/>
      <c r="R3" s="712"/>
    </row>
    <row r="4" spans="1:29" s="709" customFormat="1" ht="15.5" customHeight="1">
      <c r="A4" s="805" t="s">
        <v>602</v>
      </c>
      <c r="B4" s="805"/>
      <c r="C4" s="805"/>
      <c r="D4" s="805"/>
      <c r="E4" s="805"/>
      <c r="F4" s="805"/>
      <c r="G4" s="805"/>
      <c r="H4" s="805"/>
      <c r="I4" s="805"/>
      <c r="J4" s="805"/>
      <c r="K4" s="805"/>
      <c r="L4" s="805"/>
      <c r="M4" s="762"/>
      <c r="N4" s="711"/>
      <c r="O4" s="711"/>
      <c r="P4" s="711"/>
      <c r="Q4" s="712"/>
      <c r="R4" s="712"/>
      <c r="S4" s="713"/>
      <c r="T4" s="713"/>
      <c r="U4" s="713"/>
      <c r="V4" s="713"/>
      <c r="W4" s="713"/>
      <c r="X4" s="713"/>
      <c r="Y4" s="713"/>
      <c r="Z4" s="713"/>
      <c r="AA4" s="713"/>
      <c r="AB4" s="713"/>
      <c r="AC4" s="713"/>
    </row>
    <row r="5" spans="1:29" ht="15.5" customHeight="1">
      <c r="V5" s="713"/>
      <c r="W5" s="713"/>
      <c r="X5" s="713"/>
      <c r="Y5" s="713"/>
      <c r="Z5" s="713"/>
      <c r="AA5" s="713"/>
      <c r="AB5" s="713"/>
      <c r="AC5" s="713"/>
    </row>
    <row r="6" spans="1:29" s="709" customFormat="1" ht="15.5" customHeight="1">
      <c r="A6" s="710"/>
      <c r="B6" s="710"/>
      <c r="C6" s="710"/>
      <c r="D6" s="710"/>
      <c r="E6" s="810" t="s">
        <v>594</v>
      </c>
      <c r="F6" s="810"/>
      <c r="G6" s="810"/>
      <c r="H6" s="808" t="s">
        <v>595</v>
      </c>
      <c r="I6" s="808"/>
      <c r="J6" s="808"/>
      <c r="K6" s="749"/>
      <c r="L6" s="749"/>
      <c r="M6" s="749"/>
      <c r="N6" s="714"/>
      <c r="O6" s="808"/>
      <c r="P6" s="808"/>
      <c r="Q6" s="808"/>
      <c r="S6" s="713"/>
      <c r="T6" s="713"/>
      <c r="U6" s="713"/>
      <c r="V6" s="713"/>
      <c r="W6" s="713"/>
      <c r="X6" s="713"/>
      <c r="Y6" s="713"/>
      <c r="Z6" s="713"/>
      <c r="AA6" s="713"/>
      <c r="AB6" s="713"/>
      <c r="AC6" s="713"/>
    </row>
    <row r="7" spans="1:29" s="709" customFormat="1" ht="15.5" customHeight="1">
      <c r="A7" s="710"/>
      <c r="B7" s="710"/>
      <c r="C7" s="710"/>
      <c r="D7" s="710"/>
      <c r="E7" s="809"/>
      <c r="F7" s="809"/>
      <c r="G7" s="746" t="s">
        <v>592</v>
      </c>
      <c r="H7" s="809"/>
      <c r="I7" s="809"/>
      <c r="J7" s="746" t="s">
        <v>592</v>
      </c>
      <c r="K7" s="746" t="s">
        <v>592</v>
      </c>
      <c r="L7" s="746"/>
      <c r="M7" s="763"/>
      <c r="Q7" s="808"/>
      <c r="R7" s="808"/>
      <c r="S7" s="713"/>
      <c r="T7" s="713"/>
      <c r="U7" s="713"/>
      <c r="V7" s="713"/>
      <c r="W7" s="713"/>
      <c r="X7" s="713"/>
      <c r="Y7" s="713"/>
      <c r="Z7" s="713"/>
      <c r="AA7" s="713"/>
      <c r="AB7" s="713"/>
      <c r="AC7" s="713"/>
    </row>
    <row r="8" spans="1:29" s="709" customFormat="1" ht="15.5" customHeight="1">
      <c r="A8" s="710"/>
      <c r="B8" s="710"/>
      <c r="C8" s="710"/>
      <c r="D8" s="710"/>
      <c r="E8" s="806"/>
      <c r="F8" s="806"/>
      <c r="G8" s="746" t="s">
        <v>593</v>
      </c>
      <c r="H8" s="806"/>
      <c r="I8" s="806"/>
      <c r="J8" s="746" t="s">
        <v>593</v>
      </c>
      <c r="K8" s="746" t="s">
        <v>596</v>
      </c>
      <c r="L8" s="746"/>
      <c r="M8" s="763"/>
      <c r="N8" s="807"/>
      <c r="O8" s="807"/>
      <c r="Q8" s="717"/>
      <c r="R8" s="717"/>
      <c r="S8" s="713"/>
      <c r="T8" s="713"/>
      <c r="U8" s="713"/>
      <c r="V8" s="713"/>
      <c r="W8" s="713"/>
      <c r="X8" s="713"/>
      <c r="Y8" s="713"/>
      <c r="Z8" s="713"/>
      <c r="AA8" s="713"/>
      <c r="AB8" s="713"/>
      <c r="AC8" s="713"/>
    </row>
    <row r="9" spans="1:29" ht="15.5" customHeight="1">
      <c r="A9" s="716" t="s">
        <v>164</v>
      </c>
      <c r="B9" s="716" t="s">
        <v>71</v>
      </c>
      <c r="C9" s="715"/>
      <c r="D9" s="715"/>
      <c r="E9" s="716" t="s">
        <v>72</v>
      </c>
      <c r="F9" s="716" t="s">
        <v>19</v>
      </c>
      <c r="G9" s="747">
        <v>7.4300000000000005E-2</v>
      </c>
      <c r="H9" s="716" t="s">
        <v>72</v>
      </c>
      <c r="I9" s="716" t="s">
        <v>19</v>
      </c>
      <c r="J9" s="747">
        <f>'RR SUMMARY'!N15</f>
        <v>7.0699999999999999E-2</v>
      </c>
      <c r="K9" s="747">
        <v>7.4300000000000005E-2</v>
      </c>
      <c r="L9" s="767" t="s">
        <v>162</v>
      </c>
      <c r="M9" s="749"/>
      <c r="N9" s="749"/>
      <c r="O9" s="717"/>
      <c r="P9" s="709"/>
      <c r="Q9" s="709"/>
      <c r="R9" s="757"/>
      <c r="S9" s="713"/>
      <c r="T9" s="713"/>
      <c r="U9" s="713"/>
      <c r="V9" s="713"/>
      <c r="W9" s="718"/>
      <c r="X9" s="718"/>
      <c r="Y9" s="718"/>
      <c r="Z9" s="719"/>
      <c r="AA9" s="719"/>
      <c r="AB9" s="713"/>
      <c r="AC9" s="713"/>
    </row>
    <row r="10" spans="1:29" ht="15.5" customHeight="1">
      <c r="A10" s="720">
        <f>'ADJ DETAIL INPUT'!E$10</f>
        <v>1</v>
      </c>
      <c r="B10" s="721" t="str">
        <f>TRIM(CONCATENATE('ADJ DETAIL INPUT'!E$7," ",'ADJ DETAIL INPUT'!E$8," ",'ADJ DETAIL INPUT'!E$9))</f>
        <v>Per Results Report</v>
      </c>
      <c r="E10" s="722">
        <v>24474</v>
      </c>
      <c r="F10" s="722">
        <v>405933</v>
      </c>
      <c r="G10" s="748">
        <f>ROUND(((-+E10+F10*7.43%))/0.755463,0)</f>
        <v>7528</v>
      </c>
      <c r="H10" s="722">
        <f>'ADJ DETAIL INPUT'!E$58</f>
        <v>24474</v>
      </c>
      <c r="I10" s="722">
        <f>'ADJ DETAIL INPUT'!E$81</f>
        <v>405933</v>
      </c>
      <c r="J10" s="748">
        <f>ROUND(((-+H10+I10*$J$9))/0.755463,0)</f>
        <v>5593</v>
      </c>
      <c r="K10" s="750">
        <f>ROUND(((-+H10+I10*7.43%))/0.755463,0)</f>
        <v>7528</v>
      </c>
      <c r="L10" s="750">
        <f>+K10-G10</f>
        <v>0</v>
      </c>
      <c r="M10" s="764"/>
      <c r="N10" s="736"/>
      <c r="O10" s="736"/>
      <c r="P10" s="709"/>
      <c r="Q10" s="736"/>
      <c r="R10" s="736"/>
      <c r="S10" s="724"/>
      <c r="T10" s="713"/>
      <c r="U10" s="713"/>
      <c r="V10" s="723"/>
      <c r="W10" s="724"/>
      <c r="X10" s="713"/>
      <c r="Y10" s="724"/>
      <c r="Z10" s="713"/>
      <c r="AA10" s="724"/>
      <c r="AB10" s="713"/>
      <c r="AC10" s="713"/>
    </row>
    <row r="11" spans="1:29" ht="15.5" customHeight="1">
      <c r="A11" s="720">
        <f>'ADJ DETAIL INPUT'!F$10</f>
        <v>1.01</v>
      </c>
      <c r="B11" s="721" t="str">
        <f>TRIM(CONCATENATE('ADJ DETAIL INPUT'!F$7," ",'ADJ DETAIL INPUT'!F$8," ",'ADJ DETAIL INPUT'!F$9))</f>
        <v>Deferred FIT Rate Base</v>
      </c>
      <c r="E11" s="722">
        <v>-5.1767519999999996</v>
      </c>
      <c r="F11" s="722">
        <v>-994</v>
      </c>
      <c r="G11" s="748">
        <f t="shared" ref="G11:G14" si="0">ROUND(((-+E11+F11*7.43%))/0.755463,0)</f>
        <v>-91</v>
      </c>
      <c r="H11" s="725">
        <f>'ADJ DETAIL INPUT'!F$58</f>
        <v>-5.3437439999999992</v>
      </c>
      <c r="I11" s="725">
        <f>'ADJ DETAIL INPUT'!F$81</f>
        <v>-994</v>
      </c>
      <c r="J11" s="748">
        <f t="shared" ref="J11:J14" si="1">ROUND(((-+H11+I11*$J$9))/0.755463,0)</f>
        <v>-86</v>
      </c>
      <c r="K11" s="750">
        <f t="shared" ref="K11:K14" si="2">ROUND(((-+H11+I11*7.43%))/0.755463,0)</f>
        <v>-91</v>
      </c>
      <c r="L11" s="750">
        <f t="shared" ref="L11:L14" si="3">+K11-G11</f>
        <v>0</v>
      </c>
      <c r="M11" s="764"/>
      <c r="N11" s="736"/>
      <c r="O11" s="736"/>
      <c r="P11" s="709"/>
      <c r="Q11" s="736"/>
      <c r="R11" s="736"/>
      <c r="S11" s="724"/>
      <c r="T11" s="713"/>
      <c r="U11" s="713"/>
      <c r="V11" s="723"/>
      <c r="W11" s="724"/>
      <c r="X11" s="713"/>
      <c r="Y11" s="724"/>
      <c r="Z11" s="713"/>
      <c r="AA11" s="724"/>
      <c r="AB11" s="713"/>
      <c r="AC11" s="713"/>
    </row>
    <row r="12" spans="1:29" ht="15.5" customHeight="1">
      <c r="A12" s="720">
        <f>'ADJ DETAIL INPUT'!G$10</f>
        <v>1.02</v>
      </c>
      <c r="B12" s="721" t="str">
        <f>TRIM(CONCATENATE('ADJ DETAIL INPUT'!G$7," ",'ADJ DETAIL INPUT'!G$8," ",'ADJ DETAIL INPUT'!G$9))</f>
        <v>Deferred Debits and Credits</v>
      </c>
      <c r="E12" s="722">
        <v>-11.855208000000001</v>
      </c>
      <c r="F12" s="722">
        <v>-1</v>
      </c>
      <c r="G12" s="748">
        <f t="shared" si="0"/>
        <v>16</v>
      </c>
      <c r="H12" s="725">
        <f>'ADJ DETAIL INPUT'!G$58</f>
        <v>-11.855376</v>
      </c>
      <c r="I12" s="725">
        <f>'ADJ DETAIL INPUT'!G$81</f>
        <v>-1</v>
      </c>
      <c r="J12" s="748">
        <f t="shared" si="1"/>
        <v>16</v>
      </c>
      <c r="K12" s="750">
        <f t="shared" si="2"/>
        <v>16</v>
      </c>
      <c r="L12" s="750">
        <f t="shared" si="3"/>
        <v>0</v>
      </c>
      <c r="M12" s="764"/>
      <c r="N12" s="736"/>
      <c r="O12" s="736"/>
      <c r="P12" s="709"/>
      <c r="Q12" s="736"/>
      <c r="R12" s="736"/>
      <c r="S12" s="724"/>
      <c r="T12" s="713"/>
      <c r="U12" s="713"/>
      <c r="V12" s="723"/>
      <c r="W12" s="724"/>
      <c r="X12" s="713"/>
      <c r="Y12" s="724"/>
      <c r="Z12" s="713"/>
      <c r="AA12" s="724"/>
      <c r="AB12" s="713"/>
      <c r="AC12" s="713"/>
    </row>
    <row r="13" spans="1:29" ht="15.5" customHeight="1">
      <c r="A13" s="720">
        <f>'ADJ DETAIL INPUT'!H$10</f>
        <v>1.03</v>
      </c>
      <c r="B13" s="721" t="str">
        <f>TRIM(CONCATENATE('ADJ DETAIL INPUT'!H$7," ",'ADJ DETAIL INPUT'!H$8," ",'ADJ DETAIL INPUT'!H$9))</f>
        <v>Working Capital</v>
      </c>
      <c r="E13" s="722">
        <v>-5.9579519999999997</v>
      </c>
      <c r="F13" s="722">
        <v>-1144</v>
      </c>
      <c r="G13" s="748">
        <f t="shared" si="0"/>
        <v>-105</v>
      </c>
      <c r="H13" s="725">
        <f>'ADJ DETAIL INPUT'!H$58</f>
        <v>-6.1501439999999992</v>
      </c>
      <c r="I13" s="725">
        <f>'ADJ DETAIL INPUT'!H$81</f>
        <v>-1144</v>
      </c>
      <c r="J13" s="748">
        <f t="shared" si="1"/>
        <v>-99</v>
      </c>
      <c r="K13" s="750">
        <f t="shared" si="2"/>
        <v>-104</v>
      </c>
      <c r="L13" s="750">
        <f t="shared" si="3"/>
        <v>1</v>
      </c>
      <c r="M13" s="764"/>
      <c r="N13" s="736"/>
      <c r="O13" s="736"/>
      <c r="P13" s="709"/>
      <c r="Q13" s="736"/>
      <c r="R13" s="736"/>
      <c r="S13" s="724"/>
      <c r="T13" s="713"/>
      <c r="U13" s="713"/>
      <c r="V13" s="713"/>
      <c r="W13" s="726"/>
      <c r="X13" s="713"/>
      <c r="Y13" s="726"/>
      <c r="Z13" s="713"/>
      <c r="AA13" s="726"/>
      <c r="AB13" s="713"/>
      <c r="AC13" s="713"/>
    </row>
    <row r="14" spans="1:29" ht="15.5" customHeight="1">
      <c r="A14" s="720">
        <f>'ADJ DETAIL INPUT'!I$10</f>
        <v>1.04</v>
      </c>
      <c r="B14" s="721" t="str">
        <f>TRIM(CONCATENATE('ADJ DETAIL INPUT'!I$7," ",'ADJ DETAIL INPUT'!I$8," ",'ADJ DETAIL INPUT'!I$9))</f>
        <v>Remove AMI Rate Base</v>
      </c>
      <c r="E14" s="722">
        <v>-95.842823999999993</v>
      </c>
      <c r="F14" s="722">
        <v>-18403</v>
      </c>
      <c r="G14" s="748">
        <f t="shared" si="0"/>
        <v>-1683</v>
      </c>
      <c r="H14" s="725">
        <f>'ADJ DETAIL INPUT'!I$58</f>
        <v>-98.934527999999986</v>
      </c>
      <c r="I14" s="725">
        <f>'ADJ DETAIL INPUT'!I$81</f>
        <v>-18403</v>
      </c>
      <c r="J14" s="748">
        <f t="shared" si="1"/>
        <v>-1591</v>
      </c>
      <c r="K14" s="750">
        <f t="shared" si="2"/>
        <v>-1679</v>
      </c>
      <c r="L14" s="750">
        <f t="shared" si="3"/>
        <v>4</v>
      </c>
      <c r="M14" s="764"/>
      <c r="N14" s="736"/>
      <c r="O14" s="736"/>
      <c r="P14" s="709"/>
      <c r="Q14" s="736"/>
      <c r="R14" s="736"/>
      <c r="S14" s="724"/>
      <c r="T14" s="713"/>
      <c r="U14" s="713"/>
      <c r="V14" s="713"/>
      <c r="W14" s="726"/>
      <c r="X14" s="713"/>
      <c r="Y14" s="726"/>
      <c r="Z14" s="713"/>
      <c r="AA14" s="726"/>
      <c r="AB14" s="713"/>
      <c r="AC14" s="713"/>
    </row>
    <row r="15" spans="1:29" ht="15.5" customHeight="1">
      <c r="A15" s="720"/>
      <c r="B15" s="721"/>
      <c r="E15" s="722"/>
      <c r="F15" s="722"/>
      <c r="G15" s="725"/>
      <c r="H15" s="725"/>
      <c r="I15" s="725"/>
      <c r="J15" s="725"/>
      <c r="K15" s="725"/>
      <c r="L15" s="725"/>
      <c r="M15" s="714"/>
      <c r="N15" s="736"/>
      <c r="O15" s="736"/>
      <c r="P15" s="709"/>
      <c r="Q15" s="736"/>
      <c r="R15" s="736"/>
      <c r="S15" s="713"/>
      <c r="T15" s="713"/>
      <c r="U15" s="713"/>
      <c r="V15" s="713"/>
      <c r="W15" s="713"/>
      <c r="X15" s="713"/>
      <c r="Y15" s="713"/>
      <c r="Z15" s="713"/>
      <c r="AA15" s="713"/>
      <c r="AB15" s="713"/>
      <c r="AC15" s="713"/>
    </row>
    <row r="16" spans="1:29" ht="15.5" customHeight="1">
      <c r="A16" s="720"/>
      <c r="B16" s="710" t="s">
        <v>74</v>
      </c>
      <c r="E16" s="727">
        <f t="shared" ref="E16:L16" si="4">SUM(E10:E15)</f>
        <v>24355.167264</v>
      </c>
      <c r="F16" s="727">
        <f t="shared" si="4"/>
        <v>385391</v>
      </c>
      <c r="G16" s="727">
        <f t="shared" si="4"/>
        <v>5665</v>
      </c>
      <c r="H16" s="727">
        <f t="shared" si="4"/>
        <v>24351.716207999998</v>
      </c>
      <c r="I16" s="727">
        <f t="shared" si="4"/>
        <v>385391</v>
      </c>
      <c r="J16" s="727">
        <f t="shared" si="4"/>
        <v>3833</v>
      </c>
      <c r="K16" s="727">
        <f t="shared" si="4"/>
        <v>5670</v>
      </c>
      <c r="L16" s="727">
        <f t="shared" si="4"/>
        <v>5</v>
      </c>
      <c r="M16" s="714"/>
      <c r="N16" s="714"/>
      <c r="O16" s="714"/>
      <c r="P16" s="709"/>
      <c r="Q16" s="714"/>
      <c r="R16" s="714"/>
      <c r="S16" s="713"/>
      <c r="T16" s="713"/>
      <c r="U16" s="713"/>
      <c r="V16" s="713"/>
      <c r="W16" s="713"/>
      <c r="X16" s="713"/>
      <c r="Y16" s="713"/>
      <c r="Z16" s="713"/>
      <c r="AA16" s="713"/>
      <c r="AB16" s="713"/>
      <c r="AC16" s="713"/>
    </row>
    <row r="17" spans="1:29" ht="15.5" customHeight="1">
      <c r="A17" s="720"/>
      <c r="B17" s="721"/>
      <c r="E17" s="722"/>
      <c r="F17" s="722"/>
      <c r="G17" s="722"/>
      <c r="H17" s="722"/>
      <c r="I17" s="722"/>
      <c r="J17" s="709"/>
      <c r="K17" s="709"/>
      <c r="L17" s="709"/>
      <c r="N17" s="709"/>
      <c r="O17" s="709"/>
      <c r="P17" s="709"/>
      <c r="Q17" s="709"/>
      <c r="R17" s="709"/>
      <c r="S17" s="713"/>
      <c r="T17" s="713"/>
      <c r="U17" s="713"/>
      <c r="V17" s="723"/>
      <c r="W17" s="726"/>
      <c r="X17" s="713"/>
      <c r="Y17" s="726"/>
      <c r="Z17" s="713"/>
      <c r="AA17" s="713"/>
      <c r="AB17" s="713"/>
      <c r="AC17" s="713"/>
    </row>
    <row r="18" spans="1:29" ht="15.5" customHeight="1">
      <c r="A18" s="728">
        <f>'ADJ DETAIL INPUT'!J$10</f>
        <v>2.0099999999999998</v>
      </c>
      <c r="B18" s="721" t="str">
        <f>TRIM(CONCATENATE('ADJ DETAIL INPUT'!J$7," ",'ADJ DETAIL INPUT'!J$8," ",'ADJ DETAIL INPUT'!J$9))</f>
        <v>Eliminate B &amp; O Taxes</v>
      </c>
      <c r="E18" s="725">
        <v>-9.48</v>
      </c>
      <c r="F18" s="725">
        <v>0</v>
      </c>
      <c r="G18" s="748">
        <f t="shared" ref="G18:G32" si="5">ROUND(((-+E18+F18*7.43%))/0.755463,0)</f>
        <v>13</v>
      </c>
      <c r="H18" s="725">
        <f>'ADJ DETAIL INPUT'!J$58</f>
        <v>-9.48</v>
      </c>
      <c r="I18" s="725">
        <f>'ADJ DETAIL INPUT'!J$81</f>
        <v>0</v>
      </c>
      <c r="J18" s="748">
        <f t="shared" ref="J18:J32" si="6">ROUND(((-+H18+I18*$J$9))/0.755463,0)</f>
        <v>13</v>
      </c>
      <c r="K18" s="750">
        <f t="shared" ref="K18:K32" si="7">ROUND(((-+H18+I18*7.43%))/0.755463,0)</f>
        <v>13</v>
      </c>
      <c r="L18" s="750">
        <f t="shared" ref="L18:L32" si="8">+K18-G18</f>
        <v>0</v>
      </c>
      <c r="M18" s="764"/>
      <c r="N18" s="736"/>
      <c r="O18" s="736"/>
      <c r="P18" s="709"/>
      <c r="Q18" s="736"/>
      <c r="R18" s="736"/>
      <c r="S18" s="724"/>
      <c r="T18" s="713"/>
      <c r="U18" s="713"/>
      <c r="V18" s="723"/>
      <c r="W18" s="726"/>
      <c r="X18" s="713"/>
      <c r="Y18" s="729"/>
      <c r="Z18" s="713"/>
      <c r="AA18" s="713"/>
      <c r="AB18" s="713"/>
      <c r="AC18" s="713"/>
    </row>
    <row r="19" spans="1:29" ht="15.5" customHeight="1">
      <c r="A19" s="728">
        <f>'ADJ DETAIL INPUT'!K$10</f>
        <v>2.0199999999999996</v>
      </c>
      <c r="B19" s="721" t="str">
        <f>TRIM(CONCATENATE('ADJ DETAIL INPUT'!K$7," ",'ADJ DETAIL INPUT'!K$8," ",'ADJ DETAIL INPUT'!K$9))</f>
        <v>Restate Property Tax</v>
      </c>
      <c r="E19" s="725">
        <v>-188.81</v>
      </c>
      <c r="F19" s="725">
        <v>0</v>
      </c>
      <c r="G19" s="748">
        <f t="shared" si="5"/>
        <v>250</v>
      </c>
      <c r="H19" s="725">
        <f>'ADJ DETAIL INPUT'!K$58</f>
        <v>-188.81</v>
      </c>
      <c r="I19" s="725">
        <f>'ADJ DETAIL INPUT'!K$81</f>
        <v>0</v>
      </c>
      <c r="J19" s="748">
        <f t="shared" si="6"/>
        <v>250</v>
      </c>
      <c r="K19" s="750">
        <f t="shared" si="7"/>
        <v>250</v>
      </c>
      <c r="L19" s="750">
        <f t="shared" si="8"/>
        <v>0</v>
      </c>
      <c r="M19" s="764"/>
      <c r="N19" s="736"/>
      <c r="O19" s="736"/>
      <c r="P19" s="709"/>
      <c r="Q19" s="736"/>
      <c r="R19" s="736"/>
      <c r="S19" s="724"/>
      <c r="T19" s="713"/>
      <c r="U19" s="713"/>
      <c r="V19" s="723"/>
      <c r="W19" s="726"/>
      <c r="X19" s="713"/>
      <c r="Y19" s="726"/>
      <c r="Z19" s="713"/>
      <c r="AA19" s="713"/>
      <c r="AB19" s="713"/>
      <c r="AC19" s="713"/>
    </row>
    <row r="20" spans="1:29" ht="15.5" customHeight="1">
      <c r="A20" s="728">
        <f>'ADJ DETAIL INPUT'!L$10</f>
        <v>2.0299999999999994</v>
      </c>
      <c r="B20" s="721" t="str">
        <f>TRIM(CONCATENATE('ADJ DETAIL INPUT'!L$7," ",'ADJ DETAIL INPUT'!L$8," ",'ADJ DETAIL INPUT'!L$9))</f>
        <v>Uncollectible Expense</v>
      </c>
      <c r="E20" s="725">
        <v>-131.13999999999999</v>
      </c>
      <c r="F20" s="725">
        <v>0</v>
      </c>
      <c r="G20" s="748">
        <f t="shared" si="5"/>
        <v>174</v>
      </c>
      <c r="H20" s="725">
        <f>'ADJ DETAIL INPUT'!L$58</f>
        <v>-131.13999999999999</v>
      </c>
      <c r="I20" s="725">
        <f>'ADJ DETAIL INPUT'!L$81</f>
        <v>0</v>
      </c>
      <c r="J20" s="748">
        <f t="shared" si="6"/>
        <v>174</v>
      </c>
      <c r="K20" s="750">
        <f t="shared" si="7"/>
        <v>174</v>
      </c>
      <c r="L20" s="750">
        <f t="shared" si="8"/>
        <v>0</v>
      </c>
      <c r="M20" s="764"/>
      <c r="N20" s="736"/>
      <c r="O20" s="736"/>
      <c r="P20" s="709"/>
      <c r="Q20" s="736"/>
      <c r="R20" s="736"/>
      <c r="S20" s="724"/>
      <c r="T20" s="713"/>
      <c r="U20" s="713"/>
      <c r="V20" s="726"/>
      <c r="W20" s="713"/>
      <c r="X20" s="713"/>
      <c r="Y20" s="713"/>
      <c r="Z20" s="713"/>
      <c r="AA20" s="713"/>
      <c r="AB20" s="713"/>
      <c r="AC20" s="713"/>
    </row>
    <row r="21" spans="1:29" ht="15.5" customHeight="1">
      <c r="A21" s="728">
        <f>'ADJ DETAIL INPUT'!M$10</f>
        <v>2.0399999999999991</v>
      </c>
      <c r="B21" s="721" t="str">
        <f>TRIM(CONCATENATE('ADJ DETAIL INPUT'!M$7," ",'ADJ DETAIL INPUT'!M$8," ",'ADJ DETAIL INPUT'!M$9))</f>
        <v>Regulatory Expense</v>
      </c>
      <c r="E21" s="725">
        <v>45.82</v>
      </c>
      <c r="F21" s="725">
        <v>0</v>
      </c>
      <c r="G21" s="748">
        <f t="shared" si="5"/>
        <v>-61</v>
      </c>
      <c r="H21" s="725">
        <f>'ADJ DETAIL INPUT'!M$58</f>
        <v>45.82</v>
      </c>
      <c r="I21" s="725">
        <f>'ADJ DETAIL INPUT'!M$81</f>
        <v>0</v>
      </c>
      <c r="J21" s="748">
        <f t="shared" si="6"/>
        <v>-61</v>
      </c>
      <c r="K21" s="750">
        <f t="shared" si="7"/>
        <v>-61</v>
      </c>
      <c r="L21" s="750">
        <f t="shared" si="8"/>
        <v>0</v>
      </c>
      <c r="M21" s="764"/>
      <c r="N21" s="736"/>
      <c r="O21" s="736"/>
      <c r="P21" s="709"/>
      <c r="Q21" s="736"/>
      <c r="R21" s="736"/>
      <c r="S21" s="724"/>
      <c r="T21" s="713"/>
      <c r="U21" s="713"/>
      <c r="V21" s="726"/>
      <c r="W21" s="713"/>
      <c r="X21" s="713"/>
      <c r="Y21" s="713"/>
      <c r="Z21" s="713"/>
      <c r="AA21" s="713"/>
      <c r="AB21" s="713"/>
      <c r="AC21" s="713"/>
    </row>
    <row r="22" spans="1:29" ht="15.5" customHeight="1">
      <c r="A22" s="728">
        <f>'ADJ DETAIL INPUT'!N$10</f>
        <v>2.0499999999999989</v>
      </c>
      <c r="B22" s="721" t="str">
        <f>TRIM(CONCATENATE('ADJ DETAIL INPUT'!N$7," ",'ADJ DETAIL INPUT'!N$8," ",'ADJ DETAIL INPUT'!N$9))</f>
        <v>Injuries &amp; Damages</v>
      </c>
      <c r="E22" s="725">
        <v>7.11</v>
      </c>
      <c r="F22" s="725">
        <v>0</v>
      </c>
      <c r="G22" s="748">
        <f t="shared" si="5"/>
        <v>-9</v>
      </c>
      <c r="H22" s="725">
        <f>'ADJ DETAIL INPUT'!N$58</f>
        <v>7.11</v>
      </c>
      <c r="I22" s="725">
        <f>'ADJ DETAIL INPUT'!N$81</f>
        <v>0</v>
      </c>
      <c r="J22" s="748">
        <f t="shared" si="6"/>
        <v>-9</v>
      </c>
      <c r="K22" s="750">
        <f t="shared" si="7"/>
        <v>-9</v>
      </c>
      <c r="L22" s="750">
        <f t="shared" si="8"/>
        <v>0</v>
      </c>
      <c r="M22" s="764"/>
      <c r="N22" s="736"/>
      <c r="O22" s="736"/>
      <c r="P22" s="709"/>
      <c r="Q22" s="736"/>
      <c r="R22" s="736"/>
      <c r="S22" s="724"/>
      <c r="T22" s="713"/>
      <c r="U22" s="713"/>
      <c r="V22" s="713"/>
      <c r="W22" s="713"/>
      <c r="X22" s="713"/>
      <c r="Y22" s="713"/>
      <c r="Z22" s="713"/>
      <c r="AA22" s="713"/>
      <c r="AB22" s="713"/>
      <c r="AC22" s="713"/>
    </row>
    <row r="23" spans="1:29" ht="15.5" customHeight="1">
      <c r="A23" s="728">
        <f>'ADJ DETAIL INPUT'!O$10</f>
        <v>2.0599999999999987</v>
      </c>
      <c r="B23" s="721" t="str">
        <f>TRIM(CONCATENATE('ADJ DETAIL INPUT'!O$7," ",'ADJ DETAIL INPUT'!O$8," ",'ADJ DETAIL INPUT'!O$9))</f>
        <v>FIT / DFIT Expense</v>
      </c>
      <c r="E23" s="725">
        <v>-53</v>
      </c>
      <c r="F23" s="725">
        <v>0</v>
      </c>
      <c r="G23" s="748">
        <f t="shared" si="5"/>
        <v>70</v>
      </c>
      <c r="H23" s="725">
        <f>'ADJ DETAIL INPUT'!O$58</f>
        <v>-53</v>
      </c>
      <c r="I23" s="725">
        <f>'ADJ DETAIL INPUT'!O$81</f>
        <v>0</v>
      </c>
      <c r="J23" s="748">
        <f t="shared" si="6"/>
        <v>70</v>
      </c>
      <c r="K23" s="750">
        <f t="shared" si="7"/>
        <v>70</v>
      </c>
      <c r="L23" s="750">
        <f t="shared" si="8"/>
        <v>0</v>
      </c>
      <c r="M23" s="764"/>
      <c r="N23" s="736"/>
      <c r="O23" s="736"/>
      <c r="P23" s="709"/>
      <c r="Q23" s="736"/>
      <c r="R23" s="736"/>
      <c r="S23" s="724"/>
      <c r="T23" s="713"/>
      <c r="U23" s="713"/>
      <c r="V23" s="726"/>
      <c r="W23" s="713"/>
      <c r="X23" s="713"/>
      <c r="Y23" s="713"/>
      <c r="Z23" s="713"/>
      <c r="AA23" s="713"/>
      <c r="AB23" s="713"/>
      <c r="AC23" s="713"/>
    </row>
    <row r="24" spans="1:29" ht="15.5" customHeight="1">
      <c r="A24" s="728">
        <f>'ADJ DETAIL INPUT'!P$10</f>
        <v>2.0699999999999985</v>
      </c>
      <c r="B24" s="721" t="str">
        <f>TRIM(CONCATENATE('ADJ DETAIL INPUT'!P$7," ",'ADJ DETAIL INPUT'!P$8," ",'ADJ DETAIL INPUT'!P$9))</f>
        <v>Office Space Charges to Non-Utility</v>
      </c>
      <c r="E24" s="725">
        <v>12.64</v>
      </c>
      <c r="F24" s="725">
        <v>0</v>
      </c>
      <c r="G24" s="748">
        <f t="shared" si="5"/>
        <v>-17</v>
      </c>
      <c r="H24" s="725">
        <f>'ADJ DETAIL INPUT'!P$58</f>
        <v>12.64</v>
      </c>
      <c r="I24" s="725">
        <f>'ADJ DETAIL INPUT'!P$81</f>
        <v>0</v>
      </c>
      <c r="J24" s="748">
        <f t="shared" si="6"/>
        <v>-17</v>
      </c>
      <c r="K24" s="750">
        <f t="shared" si="7"/>
        <v>-17</v>
      </c>
      <c r="L24" s="750">
        <f t="shared" si="8"/>
        <v>0</v>
      </c>
      <c r="M24" s="764"/>
      <c r="N24" s="736"/>
      <c r="O24" s="736"/>
      <c r="P24" s="709"/>
      <c r="Q24" s="736"/>
      <c r="R24" s="736"/>
      <c r="S24" s="724"/>
      <c r="T24" s="713"/>
      <c r="U24" s="713"/>
      <c r="V24" s="713"/>
      <c r="W24" s="713"/>
      <c r="X24" s="713"/>
      <c r="Y24" s="713"/>
      <c r="Z24" s="713"/>
      <c r="AA24" s="713"/>
      <c r="AB24" s="713"/>
      <c r="AC24" s="713"/>
    </row>
    <row r="25" spans="1:29" ht="15.5" customHeight="1">
      <c r="A25" s="728">
        <f>'ADJ DETAIL INPUT'!Q$10</f>
        <v>2.0799999999999983</v>
      </c>
      <c r="B25" s="721" t="str">
        <f>TRIM(CONCATENATE('ADJ DETAIL INPUT'!Q$7," ",'ADJ DETAIL INPUT'!Q$8," ",'ADJ DETAIL INPUT'!Q$9))</f>
        <v>Restate Excise Taxes</v>
      </c>
      <c r="E25" s="725">
        <v>-0.79</v>
      </c>
      <c r="F25" s="725">
        <v>0</v>
      </c>
      <c r="G25" s="748">
        <f t="shared" si="5"/>
        <v>1</v>
      </c>
      <c r="H25" s="725">
        <f>'ADJ DETAIL INPUT'!Q$58</f>
        <v>-0.79</v>
      </c>
      <c r="I25" s="725">
        <f>'ADJ DETAIL INPUT'!Q$81</f>
        <v>0</v>
      </c>
      <c r="J25" s="748">
        <f t="shared" si="6"/>
        <v>1</v>
      </c>
      <c r="K25" s="750">
        <f t="shared" si="7"/>
        <v>1</v>
      </c>
      <c r="L25" s="750">
        <f t="shared" si="8"/>
        <v>0</v>
      </c>
      <c r="M25" s="764"/>
      <c r="N25" s="736"/>
      <c r="O25" s="736"/>
      <c r="P25" s="709"/>
      <c r="Q25" s="736"/>
      <c r="R25" s="736"/>
      <c r="S25" s="724"/>
      <c r="T25" s="713"/>
      <c r="U25" s="713"/>
      <c r="V25" s="726"/>
      <c r="W25" s="713"/>
      <c r="X25" s="713"/>
      <c r="Y25" s="713"/>
      <c r="Z25" s="713"/>
      <c r="AA25" s="713"/>
      <c r="AB25" s="713"/>
      <c r="AC25" s="713"/>
    </row>
    <row r="26" spans="1:29" ht="15.5" customHeight="1">
      <c r="A26" s="728">
        <f>'ADJ DETAIL INPUT'!R$10</f>
        <v>2.0899999999999981</v>
      </c>
      <c r="B26" s="721" t="str">
        <f>TRIM(CONCATENATE('ADJ DETAIL INPUT'!R$7," ",'ADJ DETAIL INPUT'!R$8," ",'ADJ DETAIL INPUT'!R$9))</f>
        <v>Net Gains &amp; Losses</v>
      </c>
      <c r="E26" s="725">
        <v>8.69</v>
      </c>
      <c r="F26" s="725">
        <v>0</v>
      </c>
      <c r="G26" s="748">
        <f t="shared" si="5"/>
        <v>-12</v>
      </c>
      <c r="H26" s="725">
        <f>'ADJ DETAIL INPUT'!R$58</f>
        <v>8.69</v>
      </c>
      <c r="I26" s="725">
        <f>'ADJ DETAIL INPUT'!R$81</f>
        <v>0</v>
      </c>
      <c r="J26" s="748">
        <f t="shared" si="6"/>
        <v>-12</v>
      </c>
      <c r="K26" s="750">
        <f t="shared" si="7"/>
        <v>-12</v>
      </c>
      <c r="L26" s="750">
        <f t="shared" si="8"/>
        <v>0</v>
      </c>
      <c r="M26" s="764"/>
      <c r="N26" s="736"/>
      <c r="O26" s="736"/>
      <c r="P26" s="709"/>
      <c r="Q26" s="736"/>
      <c r="R26" s="736"/>
      <c r="S26" s="724"/>
      <c r="T26" s="713"/>
      <c r="U26" s="713"/>
      <c r="V26" s="713"/>
      <c r="W26" s="713"/>
      <c r="X26" s="713"/>
      <c r="Y26" s="713"/>
      <c r="Z26" s="713"/>
      <c r="AA26" s="713"/>
      <c r="AB26" s="713"/>
      <c r="AC26" s="713"/>
    </row>
    <row r="27" spans="1:29" ht="15.5" customHeight="1">
      <c r="A27" s="728">
        <f>'ADJ DETAIL INPUT'!S$10</f>
        <v>2.0999999999999979</v>
      </c>
      <c r="B27" s="721" t="str">
        <f>TRIM(CONCATENATE('ADJ DETAIL INPUT'!S$7," ",'ADJ DETAIL INPUT'!S$8," ",'ADJ DETAIL INPUT'!S$9))</f>
        <v>Weather Normalization / Gas Cost Adjust</v>
      </c>
      <c r="E27" s="725">
        <v>-4.74</v>
      </c>
      <c r="F27" s="725">
        <v>0</v>
      </c>
      <c r="G27" s="748">
        <f t="shared" si="5"/>
        <v>6</v>
      </c>
      <c r="H27" s="725">
        <f>'ADJ DETAIL INPUT'!S$58</f>
        <v>-4.74</v>
      </c>
      <c r="I27" s="725">
        <f>'ADJ DETAIL INPUT'!S$81</f>
        <v>0</v>
      </c>
      <c r="J27" s="748">
        <f t="shared" si="6"/>
        <v>6</v>
      </c>
      <c r="K27" s="750">
        <f t="shared" si="7"/>
        <v>6</v>
      </c>
      <c r="L27" s="750">
        <f t="shared" si="8"/>
        <v>0</v>
      </c>
      <c r="M27" s="764"/>
      <c r="N27" s="736"/>
      <c r="O27" s="736"/>
      <c r="P27" s="709"/>
      <c r="Q27" s="736"/>
      <c r="R27" s="736"/>
      <c r="S27" s="724"/>
      <c r="T27" s="713"/>
      <c r="U27" s="713"/>
      <c r="V27" s="724"/>
      <c r="W27" s="724"/>
      <c r="X27" s="713"/>
      <c r="Y27" s="713"/>
      <c r="Z27" s="713"/>
      <c r="AA27" s="713"/>
      <c r="AB27" s="713"/>
      <c r="AC27" s="713"/>
    </row>
    <row r="28" spans="1:29" ht="15.5" customHeight="1">
      <c r="A28" s="728">
        <f>'ADJ DETAIL INPUT'!T$10</f>
        <v>2.1099999999999977</v>
      </c>
      <c r="B28" s="721" t="str">
        <f>TRIM(CONCATENATE('ADJ DETAIL INPUT'!T$7," ",'ADJ DETAIL INPUT'!T$8," ",'ADJ DETAIL INPUT'!T$9))</f>
        <v>Eliminate Adder Schedules</v>
      </c>
      <c r="E28" s="725">
        <v>-3.999999999996362E-2</v>
      </c>
      <c r="F28" s="725">
        <v>0</v>
      </c>
      <c r="G28" s="748">
        <f t="shared" si="5"/>
        <v>0</v>
      </c>
      <c r="H28" s="725">
        <f>'ADJ DETAIL INPUT'!T$58</f>
        <v>-3.999999999996362E-2</v>
      </c>
      <c r="I28" s="725">
        <f>'ADJ DETAIL INPUT'!T$81</f>
        <v>0</v>
      </c>
      <c r="J28" s="748">
        <f t="shared" si="6"/>
        <v>0</v>
      </c>
      <c r="K28" s="750">
        <f t="shared" si="7"/>
        <v>0</v>
      </c>
      <c r="L28" s="750">
        <f t="shared" si="8"/>
        <v>0</v>
      </c>
      <c r="M28" s="764"/>
      <c r="N28" s="736"/>
      <c r="O28" s="736"/>
      <c r="P28" s="709"/>
      <c r="Q28" s="736"/>
      <c r="R28" s="736"/>
      <c r="S28" s="724"/>
      <c r="T28" s="713"/>
      <c r="U28" s="713"/>
      <c r="V28" s="724"/>
      <c r="W28" s="724"/>
      <c r="X28" s="713"/>
      <c r="Y28" s="713"/>
      <c r="Z28" s="713"/>
      <c r="AA28" s="713"/>
      <c r="AB28" s="713"/>
      <c r="AC28" s="713"/>
    </row>
    <row r="29" spans="1:29" s="708" customFormat="1" ht="15.5" customHeight="1">
      <c r="A29" s="728">
        <f>'ADJ DETAIL INPUT'!U$10</f>
        <v>2.1199999999999974</v>
      </c>
      <c r="B29" s="730" t="str">
        <f>TRIM(CONCATENATE('ADJ DETAIL INPUT'!U$7," ",'ADJ DETAIL INPUT'!U$8," ",'ADJ DETAIL INPUT'!U$9))</f>
        <v>Misc. Restating Non-Util / Non- Recurring Expense</v>
      </c>
      <c r="E29" s="731">
        <v>-34.76</v>
      </c>
      <c r="F29" s="731">
        <v>0</v>
      </c>
      <c r="G29" s="748">
        <f t="shared" si="5"/>
        <v>46</v>
      </c>
      <c r="H29" s="731">
        <f>'ADJ DETAIL INPUT'!U$58</f>
        <v>-34.76</v>
      </c>
      <c r="I29" s="731">
        <f>'ADJ DETAIL INPUT'!U$81</f>
        <v>0</v>
      </c>
      <c r="J29" s="748">
        <f t="shared" si="6"/>
        <v>46</v>
      </c>
      <c r="K29" s="750">
        <f t="shared" si="7"/>
        <v>46</v>
      </c>
      <c r="L29" s="750">
        <f t="shared" si="8"/>
        <v>0</v>
      </c>
      <c r="M29" s="764"/>
      <c r="N29" s="736"/>
      <c r="O29" s="736"/>
      <c r="P29" s="709"/>
      <c r="Q29" s="736"/>
      <c r="R29" s="736"/>
      <c r="S29" s="724"/>
      <c r="T29" s="713"/>
      <c r="U29" s="713"/>
      <c r="V29" s="724"/>
      <c r="W29" s="724"/>
      <c r="X29" s="713"/>
      <c r="Y29" s="713"/>
      <c r="Z29" s="713"/>
      <c r="AA29" s="713"/>
      <c r="AB29" s="713"/>
      <c r="AC29" s="713"/>
    </row>
    <row r="30" spans="1:29" s="708" customFormat="1" ht="15.5" customHeight="1">
      <c r="A30" s="728">
        <f>'ADJ DETAIL INPUT'!V$10</f>
        <v>2.1299999999999972</v>
      </c>
      <c r="B30" s="730" t="str">
        <f>TRIM(CONCATENATE('ADJ DETAIL INPUT'!V$7," ",'ADJ DETAIL INPUT'!V$8," ",'ADJ DETAIL INPUT'!V$9))</f>
        <v>Restating Incentives Expense</v>
      </c>
      <c r="E30" s="731">
        <v>-173.01</v>
      </c>
      <c r="F30" s="731">
        <v>0</v>
      </c>
      <c r="G30" s="748">
        <f t="shared" si="5"/>
        <v>229</v>
      </c>
      <c r="H30" s="731">
        <f>'ADJ DETAIL INPUT'!V$58</f>
        <v>-173.01</v>
      </c>
      <c r="I30" s="731">
        <f>'ADJ DETAIL INPUT'!V$81</f>
        <v>0</v>
      </c>
      <c r="J30" s="748">
        <f t="shared" si="6"/>
        <v>229</v>
      </c>
      <c r="K30" s="750">
        <f t="shared" si="7"/>
        <v>229</v>
      </c>
      <c r="L30" s="750">
        <f t="shared" si="8"/>
        <v>0</v>
      </c>
      <c r="M30" s="764"/>
      <c r="N30" s="736"/>
      <c r="O30" s="736"/>
      <c r="P30" s="709"/>
      <c r="Q30" s="736"/>
      <c r="R30" s="736"/>
      <c r="S30" s="724"/>
      <c r="T30" s="713"/>
      <c r="U30" s="713"/>
      <c r="V30" s="713"/>
      <c r="W30" s="713"/>
      <c r="X30" s="713"/>
    </row>
    <row r="31" spans="1:29" s="708" customFormat="1" ht="15.5" customHeight="1">
      <c r="A31" s="728">
        <f>'ADJ DETAIL INPUT'!W$10</f>
        <v>2.139999999999997</v>
      </c>
      <c r="B31" s="730" t="str">
        <f>TRIM(CONCATENATE('ADJ DETAIL INPUT'!W$7," ",'ADJ DETAIL INPUT'!W$8," ",'ADJ DETAIL INPUT'!W$9))</f>
        <v>Restate Debt Interest</v>
      </c>
      <c r="E31" s="731">
        <v>-222</v>
      </c>
      <c r="F31" s="731">
        <v>0</v>
      </c>
      <c r="G31" s="748">
        <f t="shared" si="5"/>
        <v>294</v>
      </c>
      <c r="H31" s="731">
        <f>'ADJ DETAIL INPUT'!W$58</f>
        <v>-154</v>
      </c>
      <c r="I31" s="731">
        <f>'ADJ DETAIL INPUT'!W$81</f>
        <v>0</v>
      </c>
      <c r="J31" s="748">
        <f t="shared" si="6"/>
        <v>204</v>
      </c>
      <c r="K31" s="750">
        <f t="shared" si="7"/>
        <v>204</v>
      </c>
      <c r="L31" s="750">
        <f t="shared" si="8"/>
        <v>-90</v>
      </c>
      <c r="M31" s="764"/>
      <c r="N31" s="736"/>
      <c r="O31" s="736"/>
      <c r="P31" s="709"/>
      <c r="Q31" s="736"/>
      <c r="R31" s="736"/>
      <c r="S31" s="724"/>
      <c r="T31" s="713"/>
      <c r="U31" s="713"/>
      <c r="V31" s="713"/>
      <c r="W31" s="713"/>
      <c r="X31" s="713"/>
    </row>
    <row r="32" spans="1:29" s="708" customFormat="1" ht="15.5" customHeight="1">
      <c r="A32" s="728">
        <f>'ADJ DETAIL INPUT'!X$10</f>
        <v>2.1499999999999968</v>
      </c>
      <c r="B32" s="730" t="str">
        <f>TRIM(CONCATENATE('ADJ DETAIL INPUT'!X$7," ",'ADJ DETAIL INPUT'!X$8," ",'ADJ DETAIL INPUT'!X$9))</f>
        <v>Restate 2019 AMA Rate Base to EOP</v>
      </c>
      <c r="E32" s="731">
        <v>273.28056518919055</v>
      </c>
      <c r="F32" s="731">
        <v>12730.523269813853</v>
      </c>
      <c r="G32" s="748">
        <f t="shared" si="5"/>
        <v>890</v>
      </c>
      <c r="H32" s="731">
        <f>'ADJ DETAIL INPUT'!X$58</f>
        <v>275.41929309851923</v>
      </c>
      <c r="I32" s="731">
        <f>'ADJ DETAIL INPUT'!X$81</f>
        <v>12730.523269813853</v>
      </c>
      <c r="J32" s="748">
        <f t="shared" si="6"/>
        <v>827</v>
      </c>
      <c r="K32" s="750">
        <f t="shared" si="7"/>
        <v>887</v>
      </c>
      <c r="L32" s="750">
        <f t="shared" si="8"/>
        <v>-3</v>
      </c>
      <c r="M32" s="764"/>
      <c r="N32" s="736"/>
      <c r="O32" s="736"/>
      <c r="P32" s="709"/>
      <c r="Q32" s="736"/>
      <c r="R32" s="736"/>
      <c r="S32" s="724"/>
      <c r="T32" s="713"/>
      <c r="U32" s="713"/>
      <c r="V32" s="713"/>
      <c r="W32" s="713"/>
      <c r="X32" s="713"/>
    </row>
    <row r="33" spans="1:24" ht="15.5" customHeight="1" thickBot="1">
      <c r="A33" s="728"/>
      <c r="B33" s="710" t="s">
        <v>75</v>
      </c>
      <c r="E33" s="732">
        <f t="shared" ref="E33:L33" si="9">SUM(E16:E32)</f>
        <v>23884.937829189188</v>
      </c>
      <c r="F33" s="732">
        <f t="shared" si="9"/>
        <v>398121.52326981386</v>
      </c>
      <c r="G33" s="732">
        <f t="shared" si="9"/>
        <v>7539</v>
      </c>
      <c r="H33" s="732">
        <f t="shared" si="9"/>
        <v>23951.625501098515</v>
      </c>
      <c r="I33" s="732">
        <f t="shared" si="9"/>
        <v>398121.52326981386</v>
      </c>
      <c r="J33" s="732">
        <f t="shared" si="9"/>
        <v>5554</v>
      </c>
      <c r="K33" s="732">
        <f t="shared" si="9"/>
        <v>7451</v>
      </c>
      <c r="L33" s="732">
        <f t="shared" si="9"/>
        <v>-88</v>
      </c>
      <c r="M33" s="736"/>
      <c r="N33" s="736"/>
      <c r="O33" s="736"/>
      <c r="P33" s="736"/>
      <c r="Q33" s="736"/>
      <c r="R33" s="736"/>
      <c r="S33" s="713"/>
      <c r="T33" s="713"/>
      <c r="U33" s="713"/>
      <c r="V33" s="713"/>
    </row>
    <row r="34" spans="1:24" ht="15.5" customHeight="1" thickTop="1">
      <c r="A34" s="728"/>
      <c r="D34" s="721"/>
      <c r="E34" s="721"/>
      <c r="H34" s="721"/>
      <c r="J34" s="709"/>
      <c r="K34" s="709"/>
      <c r="L34" s="709"/>
      <c r="N34" s="714"/>
      <c r="O34" s="714"/>
      <c r="P34" s="709"/>
      <c r="Q34" s="736"/>
      <c r="R34" s="736"/>
      <c r="S34" s="713"/>
      <c r="T34" s="713"/>
      <c r="U34" s="713"/>
      <c r="V34" s="713"/>
    </row>
    <row r="35" spans="1:24" s="708" customFormat="1" ht="15.5" customHeight="1">
      <c r="A35" s="728">
        <f>'ADJ DETAIL INPUT'!AA$10</f>
        <v>3.01</v>
      </c>
      <c r="B35" s="730" t="str">
        <f>TRIM(CONCATENATE('ADJ DETAIL INPUT'!AA$7," ",'ADJ DETAIL INPUT'!AA$8," ",'ADJ DETAIL INPUT'!AA$9))</f>
        <v>Pro Forma Revenue Normalization</v>
      </c>
      <c r="E35" s="731">
        <v>8186.77</v>
      </c>
      <c r="F35" s="731">
        <v>0</v>
      </c>
      <c r="G35" s="748">
        <f t="shared" ref="G35:G52" si="10">ROUND(((-+E35+F35*7.43%))/0.755463,0)</f>
        <v>-10837</v>
      </c>
      <c r="H35" s="731">
        <f>'ADJ DETAIL INPUT'!AA$58</f>
        <v>8186.77</v>
      </c>
      <c r="I35" s="731">
        <f>'ADJ DETAIL INPUT'!AA$81</f>
        <v>0</v>
      </c>
      <c r="J35" s="748">
        <f t="shared" ref="J35:J52" si="11">ROUND(((-+H35+I35*$J$9))/0.755463,0)</f>
        <v>-10837</v>
      </c>
      <c r="K35" s="750">
        <f t="shared" ref="K35:K52" si="12">ROUND(((-+H35+I35*7.43%))/0.755463,0)</f>
        <v>-10837</v>
      </c>
      <c r="L35" s="750">
        <f t="shared" ref="L35:L52" si="13">+K35-G35</f>
        <v>0</v>
      </c>
      <c r="M35" s="764"/>
      <c r="N35" s="736"/>
      <c r="O35" s="736"/>
      <c r="P35" s="709"/>
      <c r="Q35" s="736"/>
      <c r="R35" s="736"/>
      <c r="S35" s="724"/>
      <c r="T35" s="713"/>
      <c r="U35" s="713"/>
      <c r="V35" s="713"/>
      <c r="W35" s="713"/>
      <c r="X35" s="713"/>
    </row>
    <row r="36" spans="1:24" s="708" customFormat="1" ht="15.5" customHeight="1">
      <c r="A36" s="728">
        <f>'ADJ DETAIL INPUT'!AB$10</f>
        <v>3.0199999999999996</v>
      </c>
      <c r="B36" s="730" t="str">
        <f>TRIM(CONCATENATE('ADJ DETAIL INPUT'!AB$7," ",'ADJ DETAIL INPUT'!AB$8," ",'ADJ DETAIL INPUT'!AB$9))</f>
        <v>Pro Forma Def. Debits, Credits &amp; Regulatory Amorts</v>
      </c>
      <c r="E36" s="731">
        <v>181.7</v>
      </c>
      <c r="F36" s="731">
        <v>0</v>
      </c>
      <c r="G36" s="748">
        <f t="shared" si="10"/>
        <v>-241</v>
      </c>
      <c r="H36" s="731">
        <f>'ADJ DETAIL INPUT'!AB$58</f>
        <v>181.7</v>
      </c>
      <c r="I36" s="731">
        <f>'ADJ DETAIL INPUT'!AB$81</f>
        <v>0</v>
      </c>
      <c r="J36" s="748">
        <f t="shared" si="11"/>
        <v>-241</v>
      </c>
      <c r="K36" s="750">
        <f t="shared" si="12"/>
        <v>-241</v>
      </c>
      <c r="L36" s="750">
        <f t="shared" si="13"/>
        <v>0</v>
      </c>
      <c r="M36" s="764"/>
      <c r="N36" s="736"/>
      <c r="O36" s="736"/>
      <c r="P36" s="709"/>
      <c r="Q36" s="736"/>
      <c r="R36" s="736"/>
      <c r="S36" s="724"/>
      <c r="T36" s="713"/>
      <c r="U36" s="713"/>
      <c r="V36" s="713"/>
      <c r="W36" s="713"/>
      <c r="X36" s="713"/>
    </row>
    <row r="37" spans="1:24" s="708" customFormat="1" ht="15.5" customHeight="1">
      <c r="A37" s="728">
        <f>'ADJ DETAIL INPUT'!AC$10</f>
        <v>3.0299999999999994</v>
      </c>
      <c r="B37" s="730" t="str">
        <f>TRIM(CONCATENATE('ADJ DETAIL INPUT'!AC$7," ",'ADJ DETAIL INPUT'!AC$8," ",'ADJ DETAIL INPUT'!AC$9))</f>
        <v>Pro Forma ARAM DFIT</v>
      </c>
      <c r="E37" s="731">
        <v>-41</v>
      </c>
      <c r="F37" s="731">
        <v>0</v>
      </c>
      <c r="G37" s="748">
        <f t="shared" si="10"/>
        <v>54</v>
      </c>
      <c r="H37" s="731">
        <f>'ADJ DETAIL INPUT'!AC$58</f>
        <v>5</v>
      </c>
      <c r="I37" s="731">
        <f>'ADJ DETAIL INPUT'!AC$81</f>
        <v>0</v>
      </c>
      <c r="J37" s="748">
        <f t="shared" si="11"/>
        <v>-7</v>
      </c>
      <c r="K37" s="750">
        <f t="shared" si="12"/>
        <v>-7</v>
      </c>
      <c r="L37" s="750">
        <f t="shared" si="13"/>
        <v>-61</v>
      </c>
      <c r="M37" s="764"/>
      <c r="N37" s="736"/>
      <c r="O37" s="736"/>
      <c r="P37" s="709"/>
      <c r="Q37" s="736"/>
      <c r="R37" s="736"/>
      <c r="S37" s="724"/>
      <c r="T37" s="713"/>
      <c r="U37" s="713"/>
      <c r="V37" s="713"/>
      <c r="W37" s="713"/>
      <c r="X37" s="713"/>
    </row>
    <row r="38" spans="1:24" ht="15.5" customHeight="1">
      <c r="A38" s="728">
        <f>'ADJ DETAIL INPUT'!AD$10</f>
        <v>3.0399999999999991</v>
      </c>
      <c r="B38" s="721" t="str">
        <f>TRIM(CONCATENATE('ADJ DETAIL INPUT'!AD$7," ",'ADJ DETAIL INPUT'!AD$8," ",'ADJ DETAIL INPUT'!AD$9))</f>
        <v>Pro Forma Labor Non-Exec</v>
      </c>
      <c r="E38" s="725">
        <v>-771.83</v>
      </c>
      <c r="F38" s="725">
        <v>0</v>
      </c>
      <c r="G38" s="748">
        <f t="shared" si="10"/>
        <v>1022</v>
      </c>
      <c r="H38" s="725">
        <f>'ADJ DETAIL INPUT'!AD$58</f>
        <v>-625.68000000000006</v>
      </c>
      <c r="I38" s="725">
        <f>'ADJ DETAIL INPUT'!AD$81</f>
        <v>0</v>
      </c>
      <c r="J38" s="748">
        <f t="shared" si="11"/>
        <v>828</v>
      </c>
      <c r="K38" s="750">
        <f t="shared" si="12"/>
        <v>828</v>
      </c>
      <c r="L38" s="750">
        <f t="shared" si="13"/>
        <v>-194</v>
      </c>
      <c r="M38" s="764"/>
      <c r="N38" s="736"/>
      <c r="O38" s="736"/>
      <c r="P38" s="709"/>
      <c r="Q38" s="736"/>
      <c r="R38" s="736"/>
      <c r="S38" s="724"/>
      <c r="T38" s="713"/>
      <c r="U38" s="713"/>
      <c r="V38" s="726"/>
    </row>
    <row r="39" spans="1:24" ht="15.5" customHeight="1">
      <c r="A39" s="728">
        <f>'ADJ DETAIL INPUT'!AE$10</f>
        <v>3.0499999999999989</v>
      </c>
      <c r="B39" s="721" t="str">
        <f>TRIM(CONCATENATE('ADJ DETAIL INPUT'!AE$7," ",'ADJ DETAIL INPUT'!AE$8," ",'ADJ DETAIL INPUT'!AE$9))</f>
        <v>Pro Forma Labor Exec</v>
      </c>
      <c r="E39" s="725">
        <v>76.63</v>
      </c>
      <c r="F39" s="725">
        <v>0</v>
      </c>
      <c r="G39" s="748">
        <f t="shared" si="10"/>
        <v>-101</v>
      </c>
      <c r="H39" s="725">
        <f>'ADJ DETAIL INPUT'!AE$58</f>
        <v>76.63</v>
      </c>
      <c r="I39" s="725">
        <f>'ADJ DETAIL INPUT'!AE$81</f>
        <v>0</v>
      </c>
      <c r="J39" s="748">
        <f t="shared" si="11"/>
        <v>-101</v>
      </c>
      <c r="K39" s="750">
        <f t="shared" si="12"/>
        <v>-101</v>
      </c>
      <c r="L39" s="750">
        <f t="shared" si="13"/>
        <v>0</v>
      </c>
      <c r="M39" s="764"/>
      <c r="N39" s="736"/>
      <c r="O39" s="736"/>
      <c r="P39" s="709"/>
      <c r="Q39" s="736"/>
      <c r="R39" s="736"/>
      <c r="S39" s="724"/>
      <c r="T39" s="713"/>
      <c r="U39" s="713"/>
      <c r="V39" s="726"/>
    </row>
    <row r="40" spans="1:24" ht="15.5" customHeight="1">
      <c r="A40" s="728">
        <f>'ADJ DETAIL INPUT'!AF$10</f>
        <v>3.0599999999999987</v>
      </c>
      <c r="B40" s="721" t="str">
        <f>TRIM(CONCATENATE('ADJ DETAIL INPUT'!AF$7," ",'ADJ DETAIL INPUT'!AF$8," ",'ADJ DETAIL INPUT'!AF$9))</f>
        <v>Pro Forma Employee Benefits</v>
      </c>
      <c r="E40" s="725">
        <v>-269.39</v>
      </c>
      <c r="F40" s="725">
        <v>0</v>
      </c>
      <c r="G40" s="748">
        <f t="shared" si="10"/>
        <v>357</v>
      </c>
      <c r="H40" s="725">
        <f>'ADJ DETAIL INPUT'!AF$58</f>
        <v>-293.88</v>
      </c>
      <c r="I40" s="725">
        <f>'ADJ DETAIL INPUT'!AF$81</f>
        <v>0</v>
      </c>
      <c r="J40" s="748">
        <f t="shared" si="11"/>
        <v>389</v>
      </c>
      <c r="K40" s="750">
        <f t="shared" si="12"/>
        <v>389</v>
      </c>
      <c r="L40" s="750">
        <f t="shared" si="13"/>
        <v>32</v>
      </c>
      <c r="M40" s="764"/>
      <c r="N40" s="736"/>
      <c r="O40" s="736"/>
      <c r="P40" s="709"/>
      <c r="Q40" s="736"/>
      <c r="R40" s="736"/>
      <c r="S40" s="724"/>
      <c r="T40" s="713"/>
      <c r="U40" s="713"/>
      <c r="V40" s="726"/>
    </row>
    <row r="41" spans="1:24" s="708" customFormat="1" ht="15.5" customHeight="1">
      <c r="A41" s="728">
        <f>'ADJ DETAIL INPUT'!AG$10</f>
        <v>3.0699999999999985</v>
      </c>
      <c r="B41" s="730" t="str">
        <f>TRIM(CONCATENATE('ADJ DETAIL INPUT'!AG$7," ",'ADJ DETAIL INPUT'!AG$8," ",'ADJ DETAIL INPUT'!AG$9))</f>
        <v>Pro Forma Insurance Expense</v>
      </c>
      <c r="E41" s="731">
        <v>-852.41</v>
      </c>
      <c r="F41" s="731">
        <v>0</v>
      </c>
      <c r="G41" s="748">
        <f t="shared" si="10"/>
        <v>1128</v>
      </c>
      <c r="H41" s="731">
        <f>'ADJ DETAIL INPUT'!AG$58</f>
        <v>0</v>
      </c>
      <c r="I41" s="731">
        <f>'ADJ DETAIL INPUT'!AG$81</f>
        <v>0</v>
      </c>
      <c r="J41" s="748">
        <f t="shared" si="11"/>
        <v>0</v>
      </c>
      <c r="K41" s="750">
        <f t="shared" si="12"/>
        <v>0</v>
      </c>
      <c r="L41" s="750">
        <f t="shared" si="13"/>
        <v>-1128</v>
      </c>
      <c r="M41" s="764"/>
      <c r="N41" s="736"/>
      <c r="O41" s="736"/>
      <c r="P41" s="709"/>
      <c r="Q41" s="736"/>
      <c r="R41" s="736"/>
      <c r="S41" s="724"/>
      <c r="T41" s="713"/>
      <c r="U41" s="713"/>
      <c r="V41" s="726"/>
      <c r="W41" s="713"/>
      <c r="X41" s="713"/>
    </row>
    <row r="42" spans="1:24" s="708" customFormat="1" ht="15.5" customHeight="1">
      <c r="A42" s="733">
        <f>'ADJ DETAIL INPUT'!AH$10</f>
        <v>3.0799999999999983</v>
      </c>
      <c r="B42" s="734" t="str">
        <f>TRIM(CONCATENATE('ADJ DETAIL INPUT'!AH$7," ",'ADJ DETAIL INPUT'!AH$8," ",'ADJ DETAIL INPUT'!AH$9))</f>
        <v>Pro Forma IS/IT Expense</v>
      </c>
      <c r="C42" s="713"/>
      <c r="D42" s="713"/>
      <c r="E42" s="735">
        <v>-492.96000000000004</v>
      </c>
      <c r="F42" s="735">
        <v>0</v>
      </c>
      <c r="G42" s="748">
        <f t="shared" si="10"/>
        <v>653</v>
      </c>
      <c r="H42" s="735">
        <f>'ADJ DETAIL INPUT'!AH$58</f>
        <v>0</v>
      </c>
      <c r="I42" s="735">
        <f>'ADJ DETAIL INPUT'!AH$81</f>
        <v>0</v>
      </c>
      <c r="J42" s="748">
        <f t="shared" si="11"/>
        <v>0</v>
      </c>
      <c r="K42" s="750">
        <f t="shared" si="12"/>
        <v>0</v>
      </c>
      <c r="L42" s="750">
        <f t="shared" si="13"/>
        <v>-653</v>
      </c>
      <c r="M42" s="764"/>
      <c r="N42" s="736"/>
      <c r="O42" s="736"/>
      <c r="P42" s="709"/>
      <c r="Q42" s="736"/>
      <c r="R42" s="736"/>
      <c r="S42" s="724"/>
      <c r="T42" s="713"/>
      <c r="U42" s="713"/>
      <c r="V42" s="713"/>
      <c r="W42" s="713"/>
      <c r="X42" s="713"/>
    </row>
    <row r="43" spans="1:24" ht="15.5" customHeight="1">
      <c r="A43" s="728">
        <f>'ADJ DETAIL INPUT'!AI$10</f>
        <v>3.0899999999999981</v>
      </c>
      <c r="B43" s="721" t="str">
        <f>TRIM(CONCATENATE('ADJ DETAIL INPUT'!AI$7," ",'ADJ DETAIL INPUT'!AI$8," ",'ADJ DETAIL INPUT'!AI$9))</f>
        <v>Pro Forma Property Tax</v>
      </c>
      <c r="E43" s="725">
        <v>-365.77</v>
      </c>
      <c r="F43" s="725">
        <v>0</v>
      </c>
      <c r="G43" s="748">
        <f t="shared" si="10"/>
        <v>484</v>
      </c>
      <c r="H43" s="725">
        <f>'ADJ DETAIL INPUT'!AI$58</f>
        <v>-203.03</v>
      </c>
      <c r="I43" s="725">
        <f>'ADJ DETAIL INPUT'!AI$81</f>
        <v>0</v>
      </c>
      <c r="J43" s="748">
        <f t="shared" si="11"/>
        <v>269</v>
      </c>
      <c r="K43" s="750">
        <f t="shared" si="12"/>
        <v>269</v>
      </c>
      <c r="L43" s="750">
        <f t="shared" si="13"/>
        <v>-215</v>
      </c>
      <c r="M43" s="764"/>
      <c r="N43" s="736"/>
      <c r="O43" s="736"/>
      <c r="P43" s="709"/>
      <c r="Q43" s="736"/>
      <c r="R43" s="736"/>
      <c r="S43" s="724"/>
      <c r="T43" s="713"/>
      <c r="U43" s="713"/>
      <c r="V43" s="726"/>
    </row>
    <row r="44" spans="1:24" s="708" customFormat="1" ht="15.5" customHeight="1">
      <c r="A44" s="728">
        <f>'ADJ DETAIL INPUT'!AJ$10</f>
        <v>3.0999999999999979</v>
      </c>
      <c r="B44" s="730" t="str">
        <f>TRIM(CONCATENATE('ADJ DETAIL INPUT'!AJ$7," ",'ADJ DETAIL INPUT'!AJ$8," ",'ADJ DETAIL INPUT'!AJ$9))</f>
        <v>Pro Forma Fee Free Amortization</v>
      </c>
      <c r="E44" s="731">
        <v>-688.88</v>
      </c>
      <c r="F44" s="731">
        <v>0</v>
      </c>
      <c r="G44" s="748">
        <f t="shared" si="10"/>
        <v>912</v>
      </c>
      <c r="H44" s="731">
        <f>'ADJ DETAIL INPUT'!AJ$58</f>
        <v>-688.88</v>
      </c>
      <c r="I44" s="731">
        <f>'ADJ DETAIL INPUT'!AJ$81</f>
        <v>0</v>
      </c>
      <c r="J44" s="748">
        <f t="shared" si="11"/>
        <v>912</v>
      </c>
      <c r="K44" s="750">
        <f t="shared" si="12"/>
        <v>912</v>
      </c>
      <c r="L44" s="750">
        <f t="shared" si="13"/>
        <v>0</v>
      </c>
      <c r="M44" s="764"/>
      <c r="N44" s="736"/>
      <c r="O44" s="736"/>
      <c r="P44" s="709"/>
      <c r="Q44" s="736"/>
      <c r="R44" s="736"/>
      <c r="S44" s="724"/>
      <c r="T44" s="713"/>
      <c r="U44" s="713"/>
      <c r="V44" s="713"/>
      <c r="W44" s="713"/>
      <c r="X44" s="713"/>
    </row>
    <row r="45" spans="1:24" s="708" customFormat="1" ht="15.5" customHeight="1">
      <c r="A45" s="728">
        <f>'ADJ DETAIL INPUT'!AK$10</f>
        <v>3.1099999999999977</v>
      </c>
      <c r="B45" s="730" t="str">
        <f>TRIM(CONCATENATE('ADJ DETAIL INPUT'!AK$7," ",'ADJ DETAIL INPUT'!AK$8," ",'ADJ DETAIL INPUT'!AK$9))</f>
        <v>Pro Forma 2020 Customer At Center</v>
      </c>
      <c r="E45" s="731">
        <v>-440.60701599999999</v>
      </c>
      <c r="F45" s="731">
        <v>2923</v>
      </c>
      <c r="G45" s="748">
        <f t="shared" si="10"/>
        <v>871</v>
      </c>
      <c r="H45" s="731">
        <f>'ADJ DETAIL INPUT'!AK$58</f>
        <v>-333.80035200000003</v>
      </c>
      <c r="I45" s="731">
        <f>'ADJ DETAIL INPUT'!AK$81</f>
        <v>2273</v>
      </c>
      <c r="J45" s="748">
        <f t="shared" si="11"/>
        <v>655</v>
      </c>
      <c r="K45" s="750">
        <f t="shared" si="12"/>
        <v>665</v>
      </c>
      <c r="L45" s="750">
        <f t="shared" si="13"/>
        <v>-206</v>
      </c>
      <c r="M45" s="764"/>
      <c r="N45" s="736"/>
      <c r="O45" s="736"/>
      <c r="P45" s="709"/>
      <c r="Q45" s="736"/>
      <c r="R45" s="736"/>
      <c r="S45" s="724"/>
      <c r="T45" s="713"/>
      <c r="U45" s="713"/>
      <c r="V45" s="713"/>
      <c r="W45" s="713"/>
      <c r="X45" s="713"/>
    </row>
    <row r="46" spans="1:24" s="708" customFormat="1" ht="15.5" customHeight="1">
      <c r="A46" s="728">
        <f>'ADJ DETAIL INPUT'!AL$10</f>
        <v>3.1199999999999974</v>
      </c>
      <c r="B46" s="730" t="str">
        <f>TRIM(CONCATENATE('ADJ DETAIL INPUT'!AL$7," ",'ADJ DETAIL INPUT'!AL$8," ",'ADJ DETAIL INPUT'!AL$9))</f>
        <v>Pro Forma 2020 Large &amp; Distinct</v>
      </c>
      <c r="E46" s="731">
        <v>-109.84345845262962</v>
      </c>
      <c r="F46" s="731">
        <v>7190.9119529181771</v>
      </c>
      <c r="G46" s="748">
        <f t="shared" si="10"/>
        <v>853</v>
      </c>
      <c r="H46" s="731">
        <f>'ADJ DETAIL INPUT'!AL$58</f>
        <v>-23.554176000000012</v>
      </c>
      <c r="I46" s="731">
        <f>'ADJ DETAIL INPUT'!AL$81</f>
        <v>6199</v>
      </c>
      <c r="J46" s="748">
        <f t="shared" si="11"/>
        <v>611</v>
      </c>
      <c r="K46" s="750">
        <f t="shared" si="12"/>
        <v>641</v>
      </c>
      <c r="L46" s="750">
        <f t="shared" si="13"/>
        <v>-212</v>
      </c>
      <c r="M46" s="764"/>
      <c r="N46" s="736"/>
      <c r="O46" s="736"/>
      <c r="P46" s="709"/>
      <c r="Q46" s="736"/>
      <c r="R46" s="736"/>
      <c r="S46" s="724"/>
      <c r="T46" s="713"/>
      <c r="U46" s="713"/>
      <c r="V46" s="713"/>
      <c r="W46" s="713"/>
      <c r="X46" s="713"/>
    </row>
    <row r="47" spans="1:24" s="708" customFormat="1" ht="15.5" customHeight="1">
      <c r="A47" s="728">
        <f>'ADJ DETAIL INPUT'!AM$10</f>
        <v>3.1299999999999972</v>
      </c>
      <c r="B47" s="730" t="str">
        <f>TRIM(CONCATENATE('ADJ DETAIL INPUT'!AM$7," ",'ADJ DETAIL INPUT'!AM$8," ",'ADJ DETAIL INPUT'!AM$9))</f>
        <v>Pro Forma 2020 Programmatic</v>
      </c>
      <c r="E47" s="731">
        <v>-143.41002744296398</v>
      </c>
      <c r="F47" s="731">
        <v>7194.2062362378601</v>
      </c>
      <c r="G47" s="748">
        <f t="shared" si="10"/>
        <v>897</v>
      </c>
      <c r="H47" s="731">
        <f>'ADJ DETAIL INPUT'!AM$58</f>
        <v>52.14</v>
      </c>
      <c r="I47" s="731">
        <f>'ADJ DETAIL INPUT'!AM$81</f>
        <v>920</v>
      </c>
      <c r="J47" s="748">
        <f t="shared" si="11"/>
        <v>17</v>
      </c>
      <c r="K47" s="750">
        <f t="shared" si="12"/>
        <v>21</v>
      </c>
      <c r="L47" s="750">
        <f t="shared" si="13"/>
        <v>-876</v>
      </c>
      <c r="M47" s="764"/>
      <c r="N47" s="736"/>
      <c r="O47" s="736"/>
      <c r="P47" s="709"/>
      <c r="Q47" s="736"/>
      <c r="R47" s="736"/>
      <c r="S47" s="724"/>
      <c r="T47" s="713"/>
      <c r="U47" s="713"/>
      <c r="V47" s="713"/>
      <c r="W47" s="713"/>
      <c r="X47" s="713"/>
    </row>
    <row r="48" spans="1:24" s="708" customFormat="1" ht="15.5" customHeight="1">
      <c r="A48" s="728">
        <f>'ADJ DETAIL INPUT'!AN$10</f>
        <v>3.139999999999997</v>
      </c>
      <c r="B48" s="730" t="str">
        <f>TRIM(CONCATENATE('ADJ DETAIL INPUT'!AN$7," ",'ADJ DETAIL INPUT'!AN$8," ",'ADJ DETAIL INPUT'!AN$9))</f>
        <v>Pro Forma 2020 Mandatory &amp; Compliance</v>
      </c>
      <c r="E48" s="731">
        <v>-149.81764786103145</v>
      </c>
      <c r="F48" s="731">
        <v>13123.009516868151</v>
      </c>
      <c r="G48" s="748">
        <f t="shared" si="10"/>
        <v>1489</v>
      </c>
      <c r="H48" s="731">
        <f>'ADJ DETAIL INPUT'!AN$58</f>
        <v>-78.145024000000006</v>
      </c>
      <c r="I48" s="731">
        <f>'ADJ DETAIL INPUT'!AN$81</f>
        <v>8976</v>
      </c>
      <c r="J48" s="748">
        <f t="shared" si="11"/>
        <v>943</v>
      </c>
      <c r="K48" s="750">
        <f t="shared" si="12"/>
        <v>986</v>
      </c>
      <c r="L48" s="750">
        <f t="shared" si="13"/>
        <v>-503</v>
      </c>
      <c r="M48" s="764"/>
      <c r="N48" s="736"/>
      <c r="O48" s="736"/>
      <c r="P48" s="709"/>
      <c r="Q48" s="736"/>
      <c r="R48" s="736"/>
      <c r="S48" s="724"/>
      <c r="T48" s="713"/>
      <c r="U48" s="713"/>
      <c r="V48" s="713"/>
      <c r="W48" s="713"/>
      <c r="X48" s="713"/>
    </row>
    <row r="49" spans="1:25" s="708" customFormat="1" ht="15.5" customHeight="1">
      <c r="A49" s="728">
        <f>'ADJ DETAIL INPUT'!AO$10</f>
        <v>3.1499999999999968</v>
      </c>
      <c r="B49" s="730" t="str">
        <f>TRIM(CONCATENATE('ADJ DETAIL INPUT'!AO$7," ",'ADJ DETAIL INPUT'!AO$8," ",'ADJ DETAIL INPUT'!AO$9))</f>
        <v>Pro Forma 2020 Short Lived</v>
      </c>
      <c r="E49" s="731">
        <v>-489.43113600000004</v>
      </c>
      <c r="F49" s="731">
        <v>3408</v>
      </c>
      <c r="G49" s="748">
        <f t="shared" si="10"/>
        <v>983</v>
      </c>
      <c r="H49" s="731">
        <f>'ADJ DETAIL INPUT'!AO$58</f>
        <v>-342.94139200000001</v>
      </c>
      <c r="I49" s="731">
        <f>'ADJ DETAIL INPUT'!AO$81</f>
        <v>2483</v>
      </c>
      <c r="J49" s="748">
        <f t="shared" si="11"/>
        <v>686</v>
      </c>
      <c r="K49" s="750">
        <f t="shared" si="12"/>
        <v>698</v>
      </c>
      <c r="L49" s="750">
        <f t="shared" si="13"/>
        <v>-285</v>
      </c>
      <c r="M49" s="764"/>
      <c r="N49" s="736"/>
      <c r="O49" s="736"/>
      <c r="P49" s="709"/>
      <c r="Q49" s="736"/>
      <c r="R49" s="736"/>
      <c r="S49" s="724"/>
      <c r="T49" s="713"/>
      <c r="U49" s="713"/>
      <c r="V49" s="713"/>
      <c r="W49" s="713"/>
      <c r="X49" s="713"/>
    </row>
    <row r="50" spans="1:25" s="708" customFormat="1" ht="15.5" customHeight="1">
      <c r="A50" s="728">
        <f>'ADJ DETAIL INPUT'!AP$10</f>
        <v>3.1599999999999966</v>
      </c>
      <c r="B50" s="730" t="str">
        <f>TRIM(CONCATENATE('ADJ DETAIL INPUT'!AP$7," ",'ADJ DETAIL INPUT'!AP$8," ",'ADJ DETAIL INPUT'!AP$9))</f>
        <v>Pro Forma AMI Capital Adds</v>
      </c>
      <c r="E50" s="731">
        <v>-2550.4501439999999</v>
      </c>
      <c r="F50" s="731">
        <v>35432</v>
      </c>
      <c r="G50" s="748">
        <f t="shared" si="10"/>
        <v>6861</v>
      </c>
      <c r="H50" s="731">
        <f>'ADJ DETAIL INPUT'!AP$58</f>
        <v>-2506.5604160000003</v>
      </c>
      <c r="I50" s="731">
        <f>'ADJ DETAIL INPUT'!AP$81</f>
        <v>33084</v>
      </c>
      <c r="J50" s="748">
        <f t="shared" si="11"/>
        <v>6414</v>
      </c>
      <c r="K50" s="750">
        <f t="shared" si="12"/>
        <v>6572</v>
      </c>
      <c r="L50" s="750">
        <f t="shared" si="13"/>
        <v>-289</v>
      </c>
      <c r="M50" s="764"/>
      <c r="N50" s="736"/>
      <c r="O50" s="736"/>
      <c r="P50" s="709"/>
      <c r="Q50" s="736"/>
      <c r="R50" s="736"/>
      <c r="S50" s="724"/>
      <c r="T50" s="713"/>
      <c r="U50" s="713"/>
      <c r="V50" s="713"/>
      <c r="W50" s="713"/>
      <c r="X50" s="713"/>
    </row>
    <row r="51" spans="1:25" s="708" customFormat="1" ht="15.5" customHeight="1">
      <c r="A51" s="728">
        <f>'ADJ DETAIL INPUT'!AQ$10</f>
        <v>3.1699999999999964</v>
      </c>
      <c r="B51" s="730" t="str">
        <f>TRIM(CONCATENATE('ADJ DETAIL INPUT'!AQ$7," ",'ADJ DETAIL INPUT'!AQ$8," ",'ADJ DETAIL INPUT'!AQ$9))</f>
        <v>Pro Forma LEAP Deferral Amortization</v>
      </c>
      <c r="E51" s="731">
        <v>-1245.1184720000001</v>
      </c>
      <c r="F51" s="731">
        <v>-3959</v>
      </c>
      <c r="G51" s="748">
        <f t="shared" si="10"/>
        <v>1259</v>
      </c>
      <c r="H51" s="731">
        <f>'ADJ DETAIL INPUT'!AQ$58</f>
        <v>-1245.783584</v>
      </c>
      <c r="I51" s="731">
        <f>'ADJ DETAIL INPUT'!AQ$81</f>
        <v>-3959</v>
      </c>
      <c r="J51" s="748">
        <f t="shared" si="11"/>
        <v>1279</v>
      </c>
      <c r="K51" s="750">
        <f t="shared" si="12"/>
        <v>1260</v>
      </c>
      <c r="L51" s="750">
        <f t="shared" si="13"/>
        <v>1</v>
      </c>
      <c r="M51" s="764"/>
      <c r="N51" s="736"/>
      <c r="O51" s="736"/>
      <c r="P51" s="709"/>
      <c r="Q51" s="736"/>
      <c r="R51" s="736"/>
      <c r="S51" s="724"/>
      <c r="T51" s="713"/>
      <c r="U51" s="713"/>
      <c r="V51" s="713"/>
      <c r="W51" s="713"/>
      <c r="X51" s="713"/>
    </row>
    <row r="52" spans="1:25" s="708" customFormat="1" ht="15.5" customHeight="1">
      <c r="A52" s="728">
        <f>'ADJ DETAIL INPUT'!AR$10</f>
        <v>3.1799999999999962</v>
      </c>
      <c r="B52" s="730" t="str">
        <f>TRIM(CONCATENATE('ADJ DETAIL INPUT'!AR$7," ",'ADJ DETAIL INPUT'!AR$8," ",'ADJ DETAIL INPUT'!AR$9))</f>
        <v>Restate 2019 ADFIT</v>
      </c>
      <c r="E52" s="731">
        <v>-79.307423999999997</v>
      </c>
      <c r="F52" s="731">
        <v>-15228</v>
      </c>
      <c r="G52" s="748">
        <f t="shared" si="10"/>
        <v>-1393</v>
      </c>
      <c r="H52" s="731">
        <f>'ADJ DETAIL INPUT'!AR$58</f>
        <v>-81.86572799999999</v>
      </c>
      <c r="I52" s="731">
        <f>'ADJ DETAIL INPUT'!AR$81</f>
        <v>-15228</v>
      </c>
      <c r="J52" s="748">
        <f t="shared" si="11"/>
        <v>-1317</v>
      </c>
      <c r="K52" s="750">
        <f t="shared" si="12"/>
        <v>-1389</v>
      </c>
      <c r="L52" s="750">
        <f t="shared" si="13"/>
        <v>4</v>
      </c>
      <c r="M52" s="764"/>
      <c r="N52" s="736"/>
      <c r="O52" s="736"/>
      <c r="P52" s="709"/>
      <c r="Q52" s="736"/>
      <c r="R52" s="736"/>
      <c r="S52" s="724"/>
      <c r="T52" s="713"/>
      <c r="U52" s="713"/>
      <c r="V52" s="713"/>
      <c r="W52" s="713"/>
      <c r="X52" s="713"/>
    </row>
    <row r="53" spans="1:25" s="708" customFormat="1" ht="15.5" customHeight="1">
      <c r="A53" s="728">
        <f>'ADJ DETAIL INPUT'!AT$10</f>
        <v>0.01</v>
      </c>
      <c r="B53" s="730" t="str">
        <f>TRIM(CONCATENATE('ADJ DETAIL INPUT'!AT$7," ",'ADJ DETAIL INPUT'!AT$8," ",'ADJ DETAIL INPUT'!AT$9))</f>
        <v>Pro Forma Open</v>
      </c>
      <c r="E53" s="731"/>
      <c r="F53" s="731"/>
      <c r="G53" s="731"/>
      <c r="H53" s="731">
        <f>'ADJ DETAIL INPUT'!AT$58</f>
        <v>0</v>
      </c>
      <c r="I53" s="731">
        <f>'ADJ DETAIL INPUT'!AT$81</f>
        <v>0</v>
      </c>
      <c r="J53" s="713"/>
      <c r="K53" s="713"/>
      <c r="L53" s="713"/>
      <c r="M53" s="713"/>
      <c r="N53" s="736"/>
      <c r="O53" s="736"/>
      <c r="P53" s="709"/>
      <c r="Q53" s="736"/>
      <c r="R53" s="736"/>
      <c r="S53" s="724"/>
      <c r="T53" s="713"/>
      <c r="U53" s="713"/>
      <c r="V53" s="713"/>
      <c r="W53" s="713"/>
      <c r="X53" s="713"/>
    </row>
    <row r="54" spans="1:25" s="708" customFormat="1" ht="15.5" customHeight="1">
      <c r="A54" s="728"/>
      <c r="B54" s="730"/>
      <c r="E54" s="722"/>
      <c r="F54" s="722"/>
      <c r="G54" s="731"/>
      <c r="H54" s="731"/>
      <c r="I54" s="731"/>
      <c r="J54" s="713"/>
      <c r="K54" s="713"/>
      <c r="L54" s="713"/>
      <c r="M54" s="713"/>
      <c r="N54" s="736"/>
      <c r="O54" s="736"/>
      <c r="P54" s="709"/>
      <c r="Q54" s="736"/>
      <c r="R54" s="736"/>
      <c r="S54" s="724"/>
      <c r="T54" s="713"/>
      <c r="U54" s="713"/>
      <c r="V54" s="713"/>
      <c r="W54" s="713"/>
      <c r="X54" s="713"/>
    </row>
    <row r="55" spans="1:25" ht="15.5" customHeight="1" thickBot="1">
      <c r="A55" s="728"/>
      <c r="B55" s="710" t="s">
        <v>123</v>
      </c>
      <c r="E55" s="732">
        <f t="shared" ref="E55:L55" si="14">SUM(E33:E54)</f>
        <v>23639.812503432564</v>
      </c>
      <c r="F55" s="732">
        <f t="shared" si="14"/>
        <v>448205.65097583801</v>
      </c>
      <c r="G55" s="732">
        <f t="shared" si="14"/>
        <v>12790</v>
      </c>
      <c r="H55" s="732">
        <f t="shared" si="14"/>
        <v>26029.744829098512</v>
      </c>
      <c r="I55" s="732">
        <f t="shared" si="14"/>
        <v>432869.52326981386</v>
      </c>
      <c r="J55" s="732">
        <f>SUM(J33:J54)+1</f>
        <v>6055</v>
      </c>
      <c r="K55" s="732">
        <f t="shared" si="14"/>
        <v>8117</v>
      </c>
      <c r="L55" s="732">
        <f t="shared" si="14"/>
        <v>-4673</v>
      </c>
      <c r="M55" s="736"/>
      <c r="N55" s="736"/>
      <c r="O55" s="736"/>
      <c r="P55" s="736"/>
      <c r="Q55" s="736"/>
      <c r="R55" s="736"/>
      <c r="S55" s="713"/>
      <c r="T55" s="713"/>
      <c r="U55" s="713"/>
      <c r="V55" s="729"/>
      <c r="W55" s="737"/>
      <c r="Y55" s="709"/>
    </row>
    <row r="56" spans="1:25" ht="15.5" customHeight="1" thickTop="1">
      <c r="A56" s="738"/>
      <c r="D56" s="721"/>
      <c r="E56" s="721"/>
      <c r="H56" s="739"/>
      <c r="I56" s="739"/>
      <c r="J56" s="709"/>
      <c r="K56" s="709"/>
      <c r="L56" s="709"/>
      <c r="N56" s="736"/>
      <c r="O56" s="736"/>
      <c r="P56" s="709"/>
      <c r="Q56" s="709"/>
      <c r="R56" s="758"/>
      <c r="S56" s="713"/>
      <c r="T56" s="713"/>
      <c r="U56" s="713"/>
      <c r="V56" s="713"/>
      <c r="Y56" s="709"/>
    </row>
    <row r="57" spans="1:25" ht="15.5" customHeight="1">
      <c r="A57" s="738"/>
      <c r="D57" s="721"/>
      <c r="E57" s="721"/>
      <c r="H57" s="721"/>
      <c r="J57" s="771" t="s">
        <v>597</v>
      </c>
      <c r="L57" s="751">
        <f>+G55</f>
        <v>12790</v>
      </c>
      <c r="M57" s="765"/>
      <c r="N57" s="717"/>
      <c r="O57" s="709"/>
      <c r="P57" s="709"/>
      <c r="Q57" s="709"/>
      <c r="R57" s="758"/>
      <c r="S57" s="713"/>
      <c r="T57" s="713"/>
      <c r="U57" s="713"/>
      <c r="V57" s="713"/>
      <c r="Y57" s="709"/>
    </row>
    <row r="58" spans="1:25" ht="15.5" customHeight="1">
      <c r="A58" s="740"/>
      <c r="B58" s="730"/>
      <c r="D58" s="721"/>
      <c r="E58" s="721"/>
      <c r="F58" s="722"/>
      <c r="H58" s="721"/>
      <c r="I58" s="741"/>
      <c r="J58" s="772" t="s">
        <v>598</v>
      </c>
      <c r="L58" s="752">
        <f>+L55</f>
        <v>-4673</v>
      </c>
      <c r="M58" s="766"/>
      <c r="N58" s="759"/>
      <c r="O58" s="709"/>
      <c r="P58" s="709"/>
      <c r="Q58" s="760"/>
      <c r="R58" s="761"/>
      <c r="S58" s="713"/>
      <c r="T58" s="713"/>
      <c r="U58" s="713"/>
      <c r="V58" s="724"/>
      <c r="Y58" s="709"/>
    </row>
    <row r="59" spans="1:25" ht="15.5" customHeight="1">
      <c r="A59" s="742"/>
      <c r="B59" s="721"/>
      <c r="D59" s="721"/>
      <c r="E59" s="721"/>
      <c r="F59" s="722"/>
      <c r="H59" s="721"/>
      <c r="J59" s="772" t="s">
        <v>599</v>
      </c>
      <c r="L59" s="753">
        <f>-(K55-J55)</f>
        <v>-2062</v>
      </c>
      <c r="M59" s="756"/>
      <c r="N59" s="709"/>
      <c r="O59" s="709"/>
      <c r="P59" s="709"/>
      <c r="Q59" s="760"/>
      <c r="R59" s="758"/>
      <c r="S59" s="713"/>
      <c r="T59" s="713"/>
      <c r="U59" s="743"/>
      <c r="V59" s="713"/>
      <c r="Y59" s="709"/>
    </row>
    <row r="60" spans="1:25" ht="15.5" customHeight="1" thickBot="1">
      <c r="A60" s="744"/>
      <c r="B60" s="721"/>
      <c r="D60" s="721"/>
      <c r="E60" s="721"/>
      <c r="F60" s="722"/>
      <c r="H60" s="721"/>
      <c r="J60" s="754" t="s">
        <v>600</v>
      </c>
      <c r="K60" s="754"/>
      <c r="L60" s="755">
        <f>SUM(L57:L59)</f>
        <v>6055</v>
      </c>
      <c r="M60" s="756"/>
      <c r="N60" s="709"/>
      <c r="O60" s="709"/>
      <c r="P60" s="709"/>
      <c r="Q60" s="760"/>
      <c r="R60" s="761"/>
      <c r="S60" s="713"/>
      <c r="T60" s="713"/>
      <c r="U60" s="713"/>
      <c r="V60" s="713"/>
      <c r="Y60" s="709"/>
    </row>
    <row r="61" spans="1:25" ht="15.5" customHeight="1">
      <c r="A61" s="744"/>
      <c r="B61" s="721"/>
      <c r="D61" s="721"/>
      <c r="E61" s="721"/>
      <c r="F61" s="722"/>
      <c r="H61" s="721"/>
      <c r="J61" s="709"/>
      <c r="K61" s="709"/>
      <c r="L61" s="709"/>
      <c r="N61" s="709"/>
      <c r="O61" s="709"/>
      <c r="P61" s="709"/>
      <c r="Q61" s="760"/>
      <c r="R61" s="736"/>
      <c r="S61" s="713"/>
      <c r="T61" s="713"/>
      <c r="U61" s="713"/>
      <c r="V61" s="713"/>
      <c r="Y61" s="709"/>
    </row>
    <row r="62" spans="1:25">
      <c r="A62" s="744"/>
      <c r="B62" s="721"/>
      <c r="D62" s="721"/>
      <c r="H62" s="721"/>
      <c r="J62" s="709"/>
      <c r="K62" s="709"/>
      <c r="L62" s="709"/>
      <c r="N62" s="709"/>
      <c r="O62" s="709"/>
      <c r="P62" s="709"/>
      <c r="Q62" s="745"/>
      <c r="R62" s="724"/>
      <c r="S62" s="713"/>
      <c r="T62" s="713"/>
      <c r="U62" s="745"/>
      <c r="V62" s="713"/>
      <c r="Y62" s="709"/>
    </row>
    <row r="63" spans="1:25">
      <c r="A63" s="715"/>
      <c r="D63" s="721"/>
      <c r="E63" s="721"/>
      <c r="F63" s="725"/>
      <c r="H63" s="721"/>
      <c r="J63" s="709"/>
      <c r="K63" s="709"/>
      <c r="L63" s="709"/>
      <c r="N63" s="709"/>
      <c r="O63" s="709"/>
      <c r="P63" s="709"/>
      <c r="Q63" s="745"/>
      <c r="R63" s="724"/>
      <c r="S63" s="713"/>
      <c r="T63" s="713"/>
      <c r="U63" s="745"/>
      <c r="V63" s="713"/>
      <c r="Y63" s="709"/>
    </row>
    <row r="64" spans="1:25">
      <c r="A64" s="715"/>
      <c r="D64" s="721"/>
      <c r="E64" s="721"/>
      <c r="F64" s="722"/>
      <c r="H64" s="721"/>
      <c r="J64" s="709"/>
      <c r="K64" s="709"/>
      <c r="L64" s="709"/>
      <c r="N64" s="709"/>
      <c r="O64" s="709"/>
      <c r="P64" s="709"/>
      <c r="Q64" s="713"/>
      <c r="R64" s="724"/>
      <c r="S64" s="713"/>
      <c r="T64" s="713"/>
      <c r="U64" s="713"/>
      <c r="V64" s="713"/>
      <c r="Y64" s="709"/>
    </row>
    <row r="65" spans="1:22">
      <c r="A65" s="715"/>
      <c r="D65" s="721"/>
      <c r="E65" s="721"/>
      <c r="H65" s="721"/>
      <c r="J65" s="709"/>
      <c r="K65" s="709"/>
      <c r="L65" s="709"/>
      <c r="N65" s="709"/>
      <c r="O65" s="709"/>
      <c r="P65" s="709"/>
      <c r="Q65" s="713"/>
      <c r="R65" s="724"/>
      <c r="S65" s="724"/>
      <c r="T65" s="713"/>
      <c r="U65" s="713"/>
      <c r="V65" s="713"/>
    </row>
    <row r="66" spans="1:22">
      <c r="A66" s="715"/>
      <c r="J66" s="709"/>
      <c r="K66" s="709"/>
      <c r="L66" s="709"/>
      <c r="N66" s="709"/>
      <c r="O66" s="709"/>
      <c r="P66" s="709"/>
      <c r="Q66" s="713"/>
      <c r="R66" s="724"/>
      <c r="S66" s="713"/>
      <c r="T66" s="713"/>
      <c r="U66" s="713"/>
      <c r="V66" s="713"/>
    </row>
    <row r="67" spans="1:22">
      <c r="N67" s="709"/>
      <c r="O67" s="709"/>
      <c r="P67" s="709"/>
      <c r="Q67" s="709"/>
      <c r="R67" s="709"/>
      <c r="S67" s="713"/>
      <c r="T67" s="713"/>
      <c r="U67" s="713"/>
    </row>
  </sheetData>
  <mergeCells count="13">
    <mergeCell ref="N8:O8"/>
    <mergeCell ref="O6:Q6"/>
    <mergeCell ref="E7:F7"/>
    <mergeCell ref="H7:I7"/>
    <mergeCell ref="Q7:R7"/>
    <mergeCell ref="E6:G6"/>
    <mergeCell ref="H6:J6"/>
    <mergeCell ref="A1:L1"/>
    <mergeCell ref="A2:L2"/>
    <mergeCell ref="A3:L3"/>
    <mergeCell ref="A4:L4"/>
    <mergeCell ref="E8:F8"/>
    <mergeCell ref="H8:I8"/>
  </mergeCells>
  <phoneticPr fontId="21" type="noConversion"/>
  <pageMargins left="0.75" right="0.5" top="1" bottom="1" header="0.5" footer="0.5"/>
  <pageSetup scale="64" fitToHeight="0" orientation="portrait" horizontalDpi="1200" verticalDpi="1200" r:id="rId1"/>
  <headerFooter alignWithMargins="0">
    <oddHeader>&amp;RExh. JH-3r
Dockets UE-200900-01-894
Page &amp;P of &amp;N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3">
    <pageSetUpPr fitToPage="1"/>
  </sheetPr>
  <dimension ref="A1:N54"/>
  <sheetViews>
    <sheetView view="pageBreakPreview" zoomScaleNormal="100" zoomScaleSheetLayoutView="100" workbookViewId="0">
      <selection activeCell="E46" sqref="E46"/>
    </sheetView>
  </sheetViews>
  <sheetFormatPr defaultColWidth="11.453125" defaultRowHeight="13"/>
  <cols>
    <col min="1" max="1" width="10" style="12" customWidth="1"/>
    <col min="2" max="2" width="12.54296875" style="205" customWidth="1"/>
    <col min="3" max="3" width="41.81640625" style="12" customWidth="1"/>
    <col min="4" max="5" width="11.453125" style="12" customWidth="1"/>
    <col min="6" max="6" width="8.54296875" style="275" customWidth="1"/>
    <col min="7" max="7" width="8.453125" style="384" bestFit="1" customWidth="1"/>
    <col min="8" max="8" width="8.54296875" style="384" customWidth="1"/>
    <col min="9" max="9" width="8.54296875" style="610" customWidth="1"/>
    <col min="10" max="10" width="11.453125" style="594" customWidth="1"/>
    <col min="11" max="16384" width="11.453125" style="12"/>
  </cols>
  <sheetData>
    <row r="1" spans="1:13">
      <c r="A1" s="812" t="str">
        <f>'ADJ DETAIL INPUT'!A2</f>
        <v>AVISTA UTILITIES</v>
      </c>
      <c r="B1" s="812"/>
      <c r="C1" s="812"/>
      <c r="D1" s="812"/>
      <c r="E1" s="812"/>
      <c r="F1" s="812"/>
      <c r="G1" s="568"/>
      <c r="I1" s="606"/>
      <c r="J1" s="597"/>
    </row>
    <row r="2" spans="1:13">
      <c r="A2" s="813" t="s">
        <v>69</v>
      </c>
      <c r="B2" s="813"/>
      <c r="C2" s="813"/>
      <c r="D2" s="813"/>
      <c r="E2" s="813"/>
      <c r="F2" s="813"/>
      <c r="I2" s="606"/>
      <c r="J2" s="598"/>
    </row>
    <row r="3" spans="1:13" s="23" customFormat="1">
      <c r="A3" s="811" t="s">
        <v>147</v>
      </c>
      <c r="B3" s="811"/>
      <c r="C3" s="811"/>
      <c r="D3" s="811"/>
      <c r="E3" s="811"/>
      <c r="F3" s="811"/>
      <c r="G3" s="385"/>
      <c r="H3" s="385"/>
      <c r="I3" s="607"/>
      <c r="J3" s="599"/>
    </row>
    <row r="4" spans="1:13" s="23" customFormat="1">
      <c r="A4" s="811" t="str">
        <f>'PROP0SED RATES'!A3</f>
        <v>TWELVE MONTHS ENDED DECEMBER 31, 2019</v>
      </c>
      <c r="B4" s="811"/>
      <c r="C4" s="811"/>
      <c r="D4" s="811"/>
      <c r="E4" s="811"/>
      <c r="F4" s="811"/>
      <c r="G4" s="385"/>
      <c r="H4" s="385"/>
      <c r="I4" s="607"/>
      <c r="J4" s="599"/>
    </row>
    <row r="5" spans="1:13" s="23" customFormat="1">
      <c r="A5" s="12"/>
      <c r="B5" s="205"/>
      <c r="C5" s="12"/>
      <c r="D5" s="277"/>
      <c r="E5" s="277" t="s">
        <v>69</v>
      </c>
      <c r="F5" s="275"/>
      <c r="G5" s="385"/>
      <c r="H5" s="385"/>
      <c r="I5" s="607"/>
      <c r="J5" s="600"/>
    </row>
    <row r="6" spans="1:13">
      <c r="A6" s="277" t="s">
        <v>70</v>
      </c>
      <c r="B6" s="277" t="s">
        <v>224</v>
      </c>
      <c r="C6" s="277" t="s">
        <v>71</v>
      </c>
      <c r="D6" s="277" t="s">
        <v>72</v>
      </c>
      <c r="E6" s="277" t="s">
        <v>19</v>
      </c>
      <c r="F6" s="28" t="s">
        <v>73</v>
      </c>
      <c r="G6" s="569" t="s">
        <v>169</v>
      </c>
      <c r="H6" s="467" t="s">
        <v>168</v>
      </c>
      <c r="I6" s="608" t="s">
        <v>408</v>
      </c>
      <c r="J6" s="601" t="s">
        <v>547</v>
      </c>
    </row>
    <row r="7" spans="1:13">
      <c r="A7" s="358" t="s">
        <v>452</v>
      </c>
      <c r="B7" s="276"/>
      <c r="C7" s="276"/>
      <c r="D7" s="276"/>
      <c r="E7" s="276"/>
      <c r="F7" s="276"/>
      <c r="G7" s="385"/>
      <c r="H7" s="385"/>
      <c r="I7" s="609"/>
      <c r="J7" s="598"/>
    </row>
    <row r="8" spans="1:13">
      <c r="A8" s="319">
        <f>'ADJ DETAIL INPUT'!E$10</f>
        <v>1</v>
      </c>
      <c r="B8" s="207" t="str">
        <f>'ADJ DETAIL INPUT'!E$11</f>
        <v>G-ROO</v>
      </c>
      <c r="C8" s="24" t="str">
        <f>TRIM(CONCATENATE('ADJ DETAIL INPUT'!E$7," ",'ADJ DETAIL INPUT'!E$8," ",'ADJ DETAIL INPUT'!E$9))</f>
        <v>Per Results Report</v>
      </c>
      <c r="D8" s="25">
        <f>'ADJ DETAIL INPUT'!E$58</f>
        <v>24474</v>
      </c>
      <c r="E8" s="25">
        <f>'ADJ DETAIL INPUT'!E$81</f>
        <v>405933</v>
      </c>
      <c r="F8" s="381">
        <f>D8/E8</f>
        <v>6.0290737634043058E-2</v>
      </c>
      <c r="H8" s="468" t="s">
        <v>128</v>
      </c>
      <c r="I8" s="605" t="s">
        <v>517</v>
      </c>
      <c r="J8" s="596"/>
      <c r="K8" s="357"/>
      <c r="L8" s="357"/>
      <c r="M8" s="357"/>
    </row>
    <row r="9" spans="1:13">
      <c r="A9" s="319">
        <f>'ADJ DETAIL INPUT'!F$10</f>
        <v>1.01</v>
      </c>
      <c r="B9" s="207" t="str">
        <f>'ADJ DETAIL INPUT'!F$11</f>
        <v>G-DFIT</v>
      </c>
      <c r="C9" s="24" t="str">
        <f>TRIM(CONCATENATE('ADJ DETAIL INPUT'!F$7," ",'ADJ DETAIL INPUT'!F$8," ",'ADJ DETAIL INPUT'!F$9))</f>
        <v>Deferred FIT Rate Base</v>
      </c>
      <c r="D9" s="91">
        <f>'ADJ DETAIL INPUT'!F$58</f>
        <v>-5.3437439999999992</v>
      </c>
      <c r="E9" s="91">
        <f>'ADJ DETAIL INPUT'!F$81</f>
        <v>-994</v>
      </c>
      <c r="H9" s="468" t="s">
        <v>128</v>
      </c>
      <c r="I9" s="605" t="s">
        <v>517</v>
      </c>
      <c r="J9" s="596" t="s">
        <v>548</v>
      </c>
      <c r="K9" s="357"/>
      <c r="L9" s="357"/>
      <c r="M9" s="357"/>
    </row>
    <row r="10" spans="1:13">
      <c r="A10" s="319">
        <f>'ADJ DETAIL INPUT'!G$10</f>
        <v>1.02</v>
      </c>
      <c r="B10" s="207" t="str">
        <f>'ADJ DETAIL INPUT'!G$11</f>
        <v>G-DDC</v>
      </c>
      <c r="C10" s="24" t="str">
        <f>TRIM(CONCATENATE('ADJ DETAIL INPUT'!G$7," ",'ADJ DETAIL INPUT'!G$8," ",'ADJ DETAIL INPUT'!G$9))</f>
        <v>Deferred Debits and Credits</v>
      </c>
      <c r="D10" s="91">
        <f>'ADJ DETAIL INPUT'!G$58</f>
        <v>-11.855376</v>
      </c>
      <c r="E10" s="91">
        <f>'ADJ DETAIL INPUT'!G$81</f>
        <v>-1</v>
      </c>
      <c r="H10" s="468" t="s">
        <v>458</v>
      </c>
      <c r="I10" s="605" t="s">
        <v>517</v>
      </c>
      <c r="J10" s="596"/>
      <c r="K10" s="357"/>
      <c r="L10" s="357"/>
      <c r="M10" s="357"/>
    </row>
    <row r="11" spans="1:13">
      <c r="A11" s="319">
        <f>'ADJ DETAIL INPUT'!H$10</f>
        <v>1.03</v>
      </c>
      <c r="B11" s="207" t="str">
        <f>'ADJ DETAIL INPUT'!H$11</f>
        <v>G-WC</v>
      </c>
      <c r="C11" s="24" t="str">
        <f>TRIM(CONCATENATE('ADJ DETAIL INPUT'!H$7," ",'ADJ DETAIL INPUT'!H$8," ",'ADJ DETAIL INPUT'!H$9))</f>
        <v>Working Capital</v>
      </c>
      <c r="D11" s="91">
        <f>'ADJ DETAIL INPUT'!H$58</f>
        <v>-6.1501439999999992</v>
      </c>
      <c r="E11" s="91">
        <f>'ADJ DETAIL INPUT'!H$81</f>
        <v>-1144</v>
      </c>
      <c r="H11" s="468" t="s">
        <v>128</v>
      </c>
      <c r="I11" s="605" t="s">
        <v>517</v>
      </c>
      <c r="J11" s="599" t="s">
        <v>548</v>
      </c>
    </row>
    <row r="12" spans="1:13" s="354" customFormat="1">
      <c r="A12" s="360">
        <f>'ADJ DETAIL INPUT'!I$10</f>
        <v>1.04</v>
      </c>
      <c r="B12" s="361" t="str">
        <f>'ADJ DETAIL INPUT'!I$11</f>
        <v>G-AMI</v>
      </c>
      <c r="C12" s="332" t="str">
        <f>TRIM(CONCATENATE('ADJ DETAIL INPUT'!I$7," ",'ADJ DETAIL INPUT'!I$8," ",'ADJ DETAIL INPUT'!I$9))</f>
        <v>Remove AMI Rate Base</v>
      </c>
      <c r="D12" s="356">
        <f>'ADJ DETAIL INPUT'!I$58</f>
        <v>-98.934527999999986</v>
      </c>
      <c r="E12" s="356">
        <f>'ADJ DETAIL INPUT'!I$81</f>
        <v>-18403</v>
      </c>
      <c r="F12" s="391"/>
      <c r="G12" s="384"/>
      <c r="H12" s="468" t="s">
        <v>128</v>
      </c>
      <c r="I12" s="605" t="s">
        <v>517</v>
      </c>
      <c r="J12" s="599" t="s">
        <v>548</v>
      </c>
    </row>
    <row r="13" spans="1:13">
      <c r="A13" s="319">
        <f>'ADJ DETAIL INPUT'!J$10</f>
        <v>2.0099999999999998</v>
      </c>
      <c r="B13" s="207" t="str">
        <f>'ADJ DETAIL INPUT'!J$11</f>
        <v>G-EBO</v>
      </c>
      <c r="C13" s="24" t="str">
        <f>TRIM(CONCATENATE('ADJ DETAIL INPUT'!J$7," ",'ADJ DETAIL INPUT'!J$8," ",'ADJ DETAIL INPUT'!J$9))</f>
        <v>Eliminate B &amp; O Taxes</v>
      </c>
      <c r="D13" s="91">
        <f>'ADJ DETAIL INPUT'!J$58</f>
        <v>-9.48</v>
      </c>
      <c r="E13" s="91">
        <f>'ADJ DETAIL INPUT'!J$81</f>
        <v>0</v>
      </c>
      <c r="H13" s="468" t="s">
        <v>443</v>
      </c>
      <c r="I13" s="605" t="s">
        <v>517</v>
      </c>
      <c r="J13" s="599"/>
    </row>
    <row r="14" spans="1:13">
      <c r="A14" s="319">
        <f>'ADJ DETAIL INPUT'!K$10</f>
        <v>2.0199999999999996</v>
      </c>
      <c r="B14" s="207" t="str">
        <f>'ADJ DETAIL INPUT'!K$11</f>
        <v>G-RPT</v>
      </c>
      <c r="C14" s="24" t="str">
        <f>TRIM(CONCATENATE('ADJ DETAIL INPUT'!K$7," ",'ADJ DETAIL INPUT'!K$8," ",'ADJ DETAIL INPUT'!K$9))</f>
        <v>Restate Property Tax</v>
      </c>
      <c r="D14" s="91">
        <f>'ADJ DETAIL INPUT'!K$58</f>
        <v>-188.81</v>
      </c>
      <c r="E14" s="91">
        <f>'ADJ DETAIL INPUT'!K$81</f>
        <v>0</v>
      </c>
      <c r="H14" s="468" t="s">
        <v>128</v>
      </c>
      <c r="I14" s="605" t="s">
        <v>517</v>
      </c>
      <c r="J14" s="599"/>
    </row>
    <row r="15" spans="1:13">
      <c r="A15" s="319">
        <f>'ADJ DETAIL INPUT'!L$10</f>
        <v>2.0299999999999994</v>
      </c>
      <c r="B15" s="207" t="str">
        <f>'ADJ DETAIL INPUT'!L$11</f>
        <v>G-UE</v>
      </c>
      <c r="C15" s="24" t="str">
        <f>TRIM(CONCATENATE('ADJ DETAIL INPUT'!L$7," ",'ADJ DETAIL INPUT'!L$8," ",'ADJ DETAIL INPUT'!L$9))</f>
        <v>Uncollectible Expense</v>
      </c>
      <c r="D15" s="91">
        <f>'ADJ DETAIL INPUT'!L$58</f>
        <v>-131.13999999999999</v>
      </c>
      <c r="E15" s="91">
        <f>'ADJ DETAIL INPUT'!L$81</f>
        <v>0</v>
      </c>
      <c r="H15" s="632" t="s">
        <v>458</v>
      </c>
      <c r="I15" s="629" t="s">
        <v>517</v>
      </c>
      <c r="J15" s="599"/>
    </row>
    <row r="16" spans="1:13">
      <c r="A16" s="319">
        <f>'ADJ DETAIL INPUT'!M$10</f>
        <v>2.0399999999999991</v>
      </c>
      <c r="B16" s="207" t="str">
        <f>'ADJ DETAIL INPUT'!M$11</f>
        <v>G-RE</v>
      </c>
      <c r="C16" s="24" t="str">
        <f>TRIM(CONCATENATE('ADJ DETAIL INPUT'!M$7," ",'ADJ DETAIL INPUT'!M$8," ",'ADJ DETAIL INPUT'!M$9))</f>
        <v>Regulatory Expense</v>
      </c>
      <c r="D16" s="91">
        <f>'ADJ DETAIL INPUT'!M$58</f>
        <v>45.82</v>
      </c>
      <c r="E16" s="91">
        <f>'ADJ DETAIL INPUT'!M$81</f>
        <v>0</v>
      </c>
      <c r="H16" s="468" t="s">
        <v>458</v>
      </c>
      <c r="I16" s="605" t="s">
        <v>517</v>
      </c>
      <c r="J16" s="599"/>
    </row>
    <row r="17" spans="1:14">
      <c r="A17" s="319">
        <f>'ADJ DETAIL INPUT'!N$10</f>
        <v>2.0499999999999989</v>
      </c>
      <c r="B17" s="207" t="str">
        <f>'ADJ DETAIL INPUT'!N$11</f>
        <v>G-ID</v>
      </c>
      <c r="C17" s="24" t="str">
        <f>TRIM(CONCATENATE('ADJ DETAIL INPUT'!N$7," ",'ADJ DETAIL INPUT'!N$8," ",'ADJ DETAIL INPUT'!N$9))</f>
        <v>Injuries &amp; Damages</v>
      </c>
      <c r="D17" s="91">
        <f>'ADJ DETAIL INPUT'!N$58</f>
        <v>7.11</v>
      </c>
      <c r="E17" s="91">
        <f>'ADJ DETAIL INPUT'!N$81</f>
        <v>0</v>
      </c>
      <c r="H17" s="468" t="s">
        <v>458</v>
      </c>
      <c r="I17" s="605" t="s">
        <v>517</v>
      </c>
      <c r="J17" s="599"/>
    </row>
    <row r="18" spans="1:14">
      <c r="A18" s="319">
        <f>'ADJ DETAIL INPUT'!O$10</f>
        <v>2.0599999999999987</v>
      </c>
      <c r="B18" s="207" t="str">
        <f>'ADJ DETAIL INPUT'!O$11</f>
        <v>G-FIT</v>
      </c>
      <c r="C18" s="24" t="str">
        <f>TRIM(CONCATENATE('ADJ DETAIL INPUT'!O$7," ",'ADJ DETAIL INPUT'!O$8," ",'ADJ DETAIL INPUT'!O$9))</f>
        <v>FIT / DFIT Expense</v>
      </c>
      <c r="D18" s="320">
        <f>'ADJ DETAIL INPUT'!O$58</f>
        <v>-53</v>
      </c>
      <c r="E18" s="91">
        <f>'ADJ DETAIL INPUT'!O$81</f>
        <v>0</v>
      </c>
      <c r="H18" s="468" t="s">
        <v>443</v>
      </c>
      <c r="I18" s="605" t="s">
        <v>517</v>
      </c>
      <c r="J18" s="599"/>
    </row>
    <row r="19" spans="1:14">
      <c r="A19" s="319">
        <f>'ADJ DETAIL INPUT'!P$10</f>
        <v>2.0699999999999985</v>
      </c>
      <c r="B19" s="207" t="str">
        <f>'ADJ DETAIL INPUT'!P$11</f>
        <v>G-OSC</v>
      </c>
      <c r="C19" s="24" t="str">
        <f>TRIM(CONCATENATE('ADJ DETAIL INPUT'!P$7," ",'ADJ DETAIL INPUT'!P$8," ",'ADJ DETAIL INPUT'!P$9))</f>
        <v>Office Space Charges to Non-Utility</v>
      </c>
      <c r="D19" s="91">
        <f>'ADJ DETAIL INPUT'!P$58</f>
        <v>12.64</v>
      </c>
      <c r="E19" s="91">
        <f>'ADJ DETAIL INPUT'!P$81</f>
        <v>0</v>
      </c>
      <c r="H19" s="468" t="s">
        <v>458</v>
      </c>
      <c r="I19" s="605" t="s">
        <v>517</v>
      </c>
      <c r="J19" s="599"/>
    </row>
    <row r="20" spans="1:14">
      <c r="A20" s="319">
        <f>'ADJ DETAIL INPUT'!Q$10</f>
        <v>2.0799999999999983</v>
      </c>
      <c r="B20" s="207" t="str">
        <f>'ADJ DETAIL INPUT'!Q$11</f>
        <v>G-RET</v>
      </c>
      <c r="C20" s="24" t="str">
        <f>TRIM(CONCATENATE('ADJ DETAIL INPUT'!Q$7," ",'ADJ DETAIL INPUT'!Q$8," ",'ADJ DETAIL INPUT'!Q$9))</f>
        <v>Restate Excise Taxes</v>
      </c>
      <c r="D20" s="91">
        <f>'ADJ DETAIL INPUT'!Q$58</f>
        <v>-0.79</v>
      </c>
      <c r="E20" s="91">
        <f>'ADJ DETAIL INPUT'!Q$81</f>
        <v>0</v>
      </c>
      <c r="H20" s="468" t="s">
        <v>443</v>
      </c>
      <c r="I20" s="605" t="s">
        <v>517</v>
      </c>
      <c r="J20" s="599"/>
    </row>
    <row r="21" spans="1:14">
      <c r="A21" s="319">
        <f>'ADJ DETAIL INPUT'!R$10</f>
        <v>2.0899999999999981</v>
      </c>
      <c r="B21" s="207" t="str">
        <f>'ADJ DETAIL INPUT'!R$11</f>
        <v>G-NGL</v>
      </c>
      <c r="C21" s="24" t="str">
        <f>TRIM(CONCATENATE('ADJ DETAIL INPUT'!R$7," ",'ADJ DETAIL INPUT'!R$8," ",'ADJ DETAIL INPUT'!R$9))</f>
        <v>Net Gains &amp; Losses</v>
      </c>
      <c r="D21" s="91">
        <f>'ADJ DETAIL INPUT'!R$58</f>
        <v>8.69</v>
      </c>
      <c r="E21" s="91">
        <f>'ADJ DETAIL INPUT'!R$81</f>
        <v>0</v>
      </c>
      <c r="H21" s="468" t="s">
        <v>458</v>
      </c>
      <c r="I21" s="605" t="s">
        <v>517</v>
      </c>
      <c r="J21" s="599"/>
    </row>
    <row r="22" spans="1:14">
      <c r="A22" s="319">
        <f>'ADJ DETAIL INPUT'!S$10</f>
        <v>2.0999999999999979</v>
      </c>
      <c r="B22" s="207" t="str">
        <f>'ADJ DETAIL INPUT'!S$11</f>
        <v>G-WNGC</v>
      </c>
      <c r="C22" s="24" t="str">
        <f>TRIM(CONCATENATE('ADJ DETAIL INPUT'!S$7," ",'ADJ DETAIL INPUT'!S$8," ",'ADJ DETAIL INPUT'!S$9))</f>
        <v>Weather Normalization / Gas Cost Adjust</v>
      </c>
      <c r="D22" s="91">
        <f>'ADJ DETAIL INPUT'!S$58</f>
        <v>-4.74</v>
      </c>
      <c r="E22" s="91">
        <f>'ADJ DETAIL INPUT'!S$81</f>
        <v>0</v>
      </c>
      <c r="H22" s="468" t="s">
        <v>443</v>
      </c>
      <c r="I22" s="605" t="s">
        <v>517</v>
      </c>
      <c r="J22" s="634" t="s">
        <v>557</v>
      </c>
    </row>
    <row r="23" spans="1:14" s="330" customFormat="1">
      <c r="A23" s="337">
        <f>'ADJ DETAIL INPUT'!T$10</f>
        <v>2.1099999999999977</v>
      </c>
      <c r="B23" s="338" t="str">
        <f>'ADJ DETAIL INPUT'!T$11</f>
        <v>G-EAS</v>
      </c>
      <c r="C23" s="332" t="str">
        <f>TRIM(CONCATENATE('ADJ DETAIL INPUT'!T$7," ",'ADJ DETAIL INPUT'!T$8," ",'ADJ DETAIL INPUT'!T$9))</f>
        <v>Eliminate Adder Schedules</v>
      </c>
      <c r="D23" s="333">
        <f>'ADJ DETAIL INPUT'!T$58</f>
        <v>-3.999999999996362E-2</v>
      </c>
      <c r="E23" s="333">
        <f>'ADJ DETAIL INPUT'!T$81</f>
        <v>0</v>
      </c>
      <c r="F23" s="331"/>
      <c r="G23" s="384"/>
      <c r="H23" s="468" t="s">
        <v>443</v>
      </c>
      <c r="I23" s="605" t="s">
        <v>517</v>
      </c>
      <c r="J23" s="634" t="s">
        <v>556</v>
      </c>
    </row>
    <row r="24" spans="1:14" s="76" customFormat="1">
      <c r="A24" s="319">
        <f>'ADJ DETAIL INPUT'!U$10</f>
        <v>2.1199999999999974</v>
      </c>
      <c r="B24" s="207" t="str">
        <f>'ADJ DETAIL INPUT'!U$11</f>
        <v>G-MR</v>
      </c>
      <c r="C24" s="321" t="str">
        <f>TRIM(CONCATENATE('ADJ DETAIL INPUT'!U$7," ",'ADJ DETAIL INPUT'!U$8," ",'ADJ DETAIL INPUT'!U$9))</f>
        <v>Misc. Restating Non-Util / Non- Recurring Expense</v>
      </c>
      <c r="D24" s="320">
        <f>'ADJ DETAIL INPUT'!U$58</f>
        <v>-34.76</v>
      </c>
      <c r="E24" s="320">
        <f>'ADJ DETAIL INPUT'!U$81</f>
        <v>0</v>
      </c>
      <c r="F24" s="26"/>
      <c r="H24" s="468" t="s">
        <v>458</v>
      </c>
      <c r="I24" s="633" t="s">
        <v>517</v>
      </c>
      <c r="J24" s="596"/>
    </row>
    <row r="25" spans="1:14" s="354" customFormat="1" ht="13.5" customHeight="1">
      <c r="A25" s="360">
        <f>'ADJ DETAIL INPUT'!V$10</f>
        <v>2.1299999999999972</v>
      </c>
      <c r="B25" s="361" t="str">
        <f>'ADJ DETAIL INPUT'!V$11</f>
        <v>G-RI</v>
      </c>
      <c r="C25" s="332" t="str">
        <f>TRIM(CONCATENATE('ADJ DETAIL INPUT'!V$7," ",'ADJ DETAIL INPUT'!V$8," ",'ADJ DETAIL INPUT'!V$9))</f>
        <v>Restating Incentives Expense</v>
      </c>
      <c r="D25" s="356">
        <f>'ADJ DETAIL INPUT'!V$58</f>
        <v>-173.01</v>
      </c>
      <c r="E25" s="356">
        <f>'ADJ DETAIL INPUT'!V$81</f>
        <v>0</v>
      </c>
      <c r="F25" s="387"/>
      <c r="G25" s="384"/>
      <c r="H25" s="468" t="s">
        <v>227</v>
      </c>
      <c r="I25" s="605" t="s">
        <v>517</v>
      </c>
      <c r="J25" s="599"/>
    </row>
    <row r="26" spans="1:14" s="76" customFormat="1" ht="13.5" customHeight="1">
      <c r="A26" s="319">
        <f>'ADJ DETAIL INPUT'!W$10</f>
        <v>2.139999999999997</v>
      </c>
      <c r="B26" s="207" t="str">
        <f>'ADJ DETAIL INPUT'!W$11</f>
        <v>G-DI</v>
      </c>
      <c r="C26" s="321" t="str">
        <f>TRIM(CONCATENATE('ADJ DETAIL INPUT'!W$7," ",'ADJ DETAIL INPUT'!W$8," ",'ADJ DETAIL INPUT'!W$9))</f>
        <v>Restate Debt Interest</v>
      </c>
      <c r="D26" s="320">
        <f>'ADJ DETAIL INPUT'!W$58</f>
        <v>-154</v>
      </c>
      <c r="E26" s="320">
        <f>'ADJ DETAIL INPUT'!W$81</f>
        <v>0</v>
      </c>
      <c r="F26" s="26"/>
      <c r="H26" s="468" t="s">
        <v>517</v>
      </c>
      <c r="I26" s="604" t="s">
        <v>559</v>
      </c>
    </row>
    <row r="27" spans="1:14" s="357" customFormat="1" ht="13.5" customHeight="1">
      <c r="A27" s="360">
        <f>'ADJ DETAIL INPUT'!X$10</f>
        <v>2.1499999999999968</v>
      </c>
      <c r="B27" s="361" t="str">
        <f>'ADJ DETAIL INPUT'!X$11</f>
        <v>G-EOP19</v>
      </c>
      <c r="C27" s="359" t="str">
        <f>TRIM(CONCATENATE('ADJ DETAIL INPUT'!X$7," ",'ADJ DETAIL INPUT'!X$8," ",'ADJ DETAIL INPUT'!X$9))</f>
        <v>Restate 2019 AMA Rate Base to EOP</v>
      </c>
      <c r="D27" s="320">
        <f>'ADJ DETAIL INPUT'!X$58</f>
        <v>275.41929309851923</v>
      </c>
      <c r="E27" s="320">
        <f>'ADJ DETAIL INPUT'!X$81</f>
        <v>12730.523269813853</v>
      </c>
      <c r="F27" s="26"/>
      <c r="G27" s="593"/>
      <c r="H27" s="468" t="s">
        <v>549</v>
      </c>
      <c r="I27" s="605" t="s">
        <v>517</v>
      </c>
      <c r="J27" s="595"/>
      <c r="N27" s="357" t="s">
        <v>111</v>
      </c>
    </row>
    <row r="28" spans="1:14" ht="13.5" thickBot="1">
      <c r="A28" s="139"/>
      <c r="B28" s="206"/>
      <c r="C28" s="12" t="s">
        <v>75</v>
      </c>
      <c r="D28" s="27">
        <f>SUM(D8:D27)</f>
        <v>23951.625501098515</v>
      </c>
      <c r="E28" s="27">
        <f>SUM(E8:E27)</f>
        <v>398121.52326981386</v>
      </c>
      <c r="F28" s="381">
        <f>D28/E28</f>
        <v>6.0161594139350467E-2</v>
      </c>
      <c r="H28" s="385"/>
      <c r="I28" s="609"/>
      <c r="J28" s="381"/>
    </row>
    <row r="29" spans="1:14" ht="13.5" customHeight="1" thickTop="1">
      <c r="A29" s="90" t="s">
        <v>419</v>
      </c>
      <c r="B29" s="207"/>
      <c r="D29" s="24"/>
      <c r="H29" s="385"/>
      <c r="I29" s="609"/>
      <c r="J29" s="599"/>
    </row>
    <row r="30" spans="1:14" s="330" customFormat="1">
      <c r="A30" s="337">
        <f>'ADJ DETAIL INPUT'!AA$10</f>
        <v>3.01</v>
      </c>
      <c r="B30" s="338" t="str">
        <f>'ADJ DETAIL INPUT'!AA$11</f>
        <v>G-PREV</v>
      </c>
      <c r="C30" s="335" t="str">
        <f>TRIM(CONCATENATE('ADJ DETAIL INPUT'!AA$7," ",'ADJ DETAIL INPUT'!AA$8," ",'ADJ DETAIL INPUT'!AA$9))</f>
        <v>Pro Forma Revenue Normalization</v>
      </c>
      <c r="D30" s="333">
        <f>'ADJ DETAIL INPUT'!AA$58</f>
        <v>8186.77</v>
      </c>
      <c r="E30" s="333">
        <f>'ADJ DETAIL INPUT'!AA$81</f>
        <v>0</v>
      </c>
      <c r="F30" s="388"/>
      <c r="G30" s="384"/>
      <c r="H30" s="468" t="s">
        <v>555</v>
      </c>
      <c r="I30" s="605" t="s">
        <v>517</v>
      </c>
      <c r="J30" s="604" t="s">
        <v>558</v>
      </c>
      <c r="K30" s="334"/>
    </row>
    <row r="31" spans="1:14" s="354" customFormat="1">
      <c r="A31" s="360">
        <f>'ADJ DETAIL INPUT'!AB$10</f>
        <v>3.0199999999999996</v>
      </c>
      <c r="B31" s="206" t="str">
        <f>'ADJ DETAIL INPUT'!AB$11</f>
        <v>G-PRA</v>
      </c>
      <c r="C31" s="359" t="str">
        <f>TRIM(CONCATENATE('ADJ DETAIL INPUT'!AB$7," ",'ADJ DETAIL INPUT'!AB$8," ",'ADJ DETAIL INPUT'!AB$9))</f>
        <v>Pro Forma Def. Debits, Credits &amp; Regulatory Amorts</v>
      </c>
      <c r="D31" s="356">
        <f>'ADJ DETAIL INPUT'!AB$58</f>
        <v>181.7</v>
      </c>
      <c r="E31" s="356">
        <f>'ADJ DETAIL INPUT'!AB$81</f>
        <v>0</v>
      </c>
      <c r="F31" s="388"/>
      <c r="H31" s="468" t="s">
        <v>459</v>
      </c>
      <c r="I31" s="633" t="s">
        <v>517</v>
      </c>
      <c r="J31" s="594"/>
      <c r="K31" s="357"/>
    </row>
    <row r="32" spans="1:14" s="354" customFormat="1">
      <c r="A32" s="360">
        <f>'ADJ DETAIL INPUT'!AC$10</f>
        <v>3.0299999999999994</v>
      </c>
      <c r="B32" s="361" t="str">
        <f>'ADJ DETAIL INPUT'!AC$11</f>
        <v>G-ARAM</v>
      </c>
      <c r="C32" s="359" t="str">
        <f>TRIM(CONCATENATE('ADJ DETAIL INPUT'!AC$7," ",'ADJ DETAIL INPUT'!AC$8," ",'ADJ DETAIL INPUT'!AC$9))</f>
        <v>Pro Forma ARAM DFIT</v>
      </c>
      <c r="D32" s="356">
        <f>'ADJ DETAIL INPUT'!AC$58</f>
        <v>5</v>
      </c>
      <c r="E32" s="356">
        <f>'ADJ DETAIL INPUT'!AC$81</f>
        <v>0</v>
      </c>
      <c r="F32" s="388"/>
      <c r="G32" s="384"/>
      <c r="H32" s="468" t="s">
        <v>443</v>
      </c>
      <c r="I32" s="611" t="s">
        <v>517</v>
      </c>
      <c r="J32" s="604" t="s">
        <v>550</v>
      </c>
      <c r="K32" s="357"/>
    </row>
    <row r="33" spans="1:11">
      <c r="A33" s="319">
        <f>'ADJ DETAIL INPUT'!AD$10</f>
        <v>3.0399999999999991</v>
      </c>
      <c r="B33" s="207" t="str">
        <f>'ADJ DETAIL INPUT'!AD$11</f>
        <v>G-PLN</v>
      </c>
      <c r="C33" s="24" t="str">
        <f>TRIM(CONCATENATE('ADJ DETAIL INPUT'!AD$7," ",'ADJ DETAIL INPUT'!AD$8," ",'ADJ DETAIL INPUT'!AD$9))</f>
        <v>Pro Forma Labor Non-Exec</v>
      </c>
      <c r="D33" s="91">
        <f>'ADJ DETAIL INPUT'!AD$58</f>
        <v>-625.68000000000006</v>
      </c>
      <c r="E33" s="91">
        <f>'ADJ DETAIL INPUT'!AD$81</f>
        <v>0</v>
      </c>
      <c r="H33" s="468" t="s">
        <v>227</v>
      </c>
      <c r="I33" s="605" t="s">
        <v>517</v>
      </c>
      <c r="J33" s="599"/>
    </row>
    <row r="34" spans="1:11" ht="13.5" customHeight="1">
      <c r="A34" s="319">
        <f>'ADJ DETAIL INPUT'!AE$10</f>
        <v>3.0499999999999989</v>
      </c>
      <c r="B34" s="207" t="str">
        <f>'ADJ DETAIL INPUT'!AE$11</f>
        <v>G-PLE</v>
      </c>
      <c r="C34" s="24" t="str">
        <f>TRIM(CONCATENATE('ADJ DETAIL INPUT'!AE$7," ",'ADJ DETAIL INPUT'!AE$8," ",'ADJ DETAIL INPUT'!AE$9))</f>
        <v>Pro Forma Labor Exec</v>
      </c>
      <c r="D34" s="91">
        <f>'ADJ DETAIL INPUT'!AE$58</f>
        <v>76.63</v>
      </c>
      <c r="E34" s="91">
        <f>'ADJ DETAIL INPUT'!AE$81</f>
        <v>0</v>
      </c>
      <c r="H34" s="468" t="s">
        <v>227</v>
      </c>
      <c r="I34" s="605" t="s">
        <v>517</v>
      </c>
      <c r="J34" s="599"/>
    </row>
    <row r="35" spans="1:11">
      <c r="A35" s="319">
        <f>'ADJ DETAIL INPUT'!AF$10</f>
        <v>3.0599999999999987</v>
      </c>
      <c r="B35" s="207" t="str">
        <f>'ADJ DETAIL INPUT'!AF$11</f>
        <v>G-PEB</v>
      </c>
      <c r="C35" s="24" t="str">
        <f>TRIM(CONCATENATE('ADJ DETAIL INPUT'!AF$7," ",'ADJ DETAIL INPUT'!AF$8," ",'ADJ DETAIL INPUT'!AF$9))</f>
        <v>Pro Forma Employee Benefits</v>
      </c>
      <c r="D35" s="91">
        <f>'ADJ DETAIL INPUT'!AF$58</f>
        <v>-293.88</v>
      </c>
      <c r="E35" s="91">
        <f>'ADJ DETAIL INPUT'!AF$81</f>
        <v>0</v>
      </c>
      <c r="H35" s="468" t="s">
        <v>227</v>
      </c>
      <c r="I35" s="605" t="s">
        <v>517</v>
      </c>
      <c r="J35" s="599"/>
    </row>
    <row r="36" spans="1:11" s="76" customFormat="1" ht="14.25" customHeight="1">
      <c r="A36" s="319">
        <f>'ADJ DETAIL INPUT'!AG$10</f>
        <v>3.0699999999999985</v>
      </c>
      <c r="B36" s="207" t="str">
        <f>'ADJ DETAIL INPUT'!AG$11</f>
        <v>G-PINS</v>
      </c>
      <c r="C36" s="321" t="str">
        <f>TRIM(CONCATENATE('ADJ DETAIL INPUT'!AG$7," ",'ADJ DETAIL INPUT'!AG$8," ",'ADJ DETAIL INPUT'!AG$9))</f>
        <v>Pro Forma Insurance Expense</v>
      </c>
      <c r="D36" s="320">
        <f>'ADJ DETAIL INPUT'!AG$58</f>
        <v>0</v>
      </c>
      <c r="E36" s="320">
        <f>'ADJ DETAIL INPUT'!AG$81</f>
        <v>0</v>
      </c>
      <c r="F36" s="26"/>
      <c r="H36" s="468" t="s">
        <v>459</v>
      </c>
      <c r="I36" s="605" t="s">
        <v>517</v>
      </c>
      <c r="J36" s="596"/>
    </row>
    <row r="37" spans="1:11" s="354" customFormat="1">
      <c r="A37" s="360">
        <f>'ADJ DETAIL INPUT'!AH$10</f>
        <v>3.0799999999999983</v>
      </c>
      <c r="B37" s="361" t="str">
        <f>'ADJ DETAIL INPUT'!AH$11</f>
        <v>G-PIT</v>
      </c>
      <c r="C37" s="359" t="str">
        <f>TRIM(CONCATENATE('ADJ DETAIL INPUT'!AH$7," ",'ADJ DETAIL INPUT'!AH$8," ",'ADJ DETAIL INPUT'!AH$9))</f>
        <v>Pro Forma IS/IT Expense</v>
      </c>
      <c r="D37" s="356">
        <f>'ADJ DETAIL INPUT'!AH$58</f>
        <v>0</v>
      </c>
      <c r="E37" s="356">
        <f>'ADJ DETAIL INPUT'!AH$81</f>
        <v>0</v>
      </c>
      <c r="F37" s="355"/>
      <c r="H37" s="468" t="s">
        <v>459</v>
      </c>
      <c r="I37" s="605" t="s">
        <v>517</v>
      </c>
      <c r="J37" s="596"/>
      <c r="K37" s="357"/>
    </row>
    <row r="38" spans="1:11">
      <c r="A38" s="319">
        <f>'ADJ DETAIL INPUT'!AI$10</f>
        <v>3.0899999999999981</v>
      </c>
      <c r="B38" s="207" t="str">
        <f>'ADJ DETAIL INPUT'!AI$11</f>
        <v>G-PPT</v>
      </c>
      <c r="C38" s="24" t="str">
        <f>TRIM(CONCATENATE('ADJ DETAIL INPUT'!AI$7," ",'ADJ DETAIL INPUT'!AI$8," ",'ADJ DETAIL INPUT'!AI$9))</f>
        <v>Pro Forma Property Tax</v>
      </c>
      <c r="D38" s="91">
        <f>'ADJ DETAIL INPUT'!AI$58</f>
        <v>-203.03</v>
      </c>
      <c r="E38" s="91">
        <f>'ADJ DETAIL INPUT'!AI$81</f>
        <v>0</v>
      </c>
      <c r="H38" s="468" t="s">
        <v>128</v>
      </c>
      <c r="I38" s="605" t="s">
        <v>517</v>
      </c>
      <c r="J38" s="596"/>
      <c r="K38" s="76"/>
    </row>
    <row r="39" spans="1:11" s="354" customFormat="1">
      <c r="A39" s="360">
        <f>'ADJ DETAIL INPUT'!AJ$10</f>
        <v>3.0999999999999979</v>
      </c>
      <c r="B39" s="361" t="str">
        <f>'ADJ DETAIL INPUT'!AJ$11</f>
        <v>G-PFEE</v>
      </c>
      <c r="C39" s="359" t="str">
        <f>TRIM(CONCATENATE('ADJ DETAIL INPUT'!AJ$7," ",'ADJ DETAIL INPUT'!AJ$8," ",'ADJ DETAIL INPUT'!AJ$9))</f>
        <v>Pro Forma Fee Free Amortization</v>
      </c>
      <c r="D39" s="356">
        <f>'ADJ DETAIL INPUT'!AJ$58</f>
        <v>-688.88</v>
      </c>
      <c r="E39" s="356">
        <f>'ADJ DETAIL INPUT'!AJ$81</f>
        <v>0</v>
      </c>
      <c r="F39" s="355"/>
      <c r="G39" s="384"/>
      <c r="H39" s="468" t="s">
        <v>459</v>
      </c>
      <c r="I39" s="605" t="s">
        <v>517</v>
      </c>
      <c r="J39" s="596"/>
      <c r="K39" s="357"/>
    </row>
    <row r="40" spans="1:11" s="354" customFormat="1">
      <c r="A40" s="360">
        <f>'ADJ DETAIL INPUT'!AK$10</f>
        <v>3.1099999999999977</v>
      </c>
      <c r="B40" s="361" t="str">
        <f>'ADJ DETAIL INPUT'!AK$11</f>
        <v>G-PCAP1</v>
      </c>
      <c r="C40" s="359" t="str">
        <f>TRIM(CONCATENATE('ADJ DETAIL INPUT'!AK$7," ",'ADJ DETAIL INPUT'!AK$8," ",'ADJ DETAIL INPUT'!AK$9))</f>
        <v>Pro Forma 2020 Customer At Center</v>
      </c>
      <c r="D40" s="356">
        <f>'ADJ DETAIL INPUT'!AK$58</f>
        <v>-333.80035200000003</v>
      </c>
      <c r="E40" s="356">
        <f>'ADJ DETAIL INPUT'!AK$81</f>
        <v>2273</v>
      </c>
      <c r="F40" s="355"/>
      <c r="H40" s="468" t="s">
        <v>549</v>
      </c>
      <c r="I40" s="633" t="s">
        <v>517</v>
      </c>
      <c r="J40" s="596"/>
      <c r="K40" s="357"/>
    </row>
    <row r="41" spans="1:11" s="354" customFormat="1">
      <c r="A41" s="360">
        <f>'ADJ DETAIL INPUT'!AL$10</f>
        <v>3.1199999999999974</v>
      </c>
      <c r="B41" s="361" t="str">
        <f>'ADJ DETAIL INPUT'!AL$11</f>
        <v>G-PCAP2</v>
      </c>
      <c r="C41" s="359" t="str">
        <f>TRIM(CONCATENATE('ADJ DETAIL INPUT'!AL$7," ",'ADJ DETAIL INPUT'!AL$8," ",'ADJ DETAIL INPUT'!AL$9))</f>
        <v>Pro Forma 2020 Large &amp; Distinct</v>
      </c>
      <c r="D41" s="356">
        <f>'ADJ DETAIL INPUT'!AL$58</f>
        <v>-23.554176000000012</v>
      </c>
      <c r="E41" s="356">
        <f>'ADJ DETAIL INPUT'!AL$81</f>
        <v>6199</v>
      </c>
      <c r="F41" s="525"/>
      <c r="H41" s="468" t="s">
        <v>549</v>
      </c>
      <c r="I41" s="633" t="s">
        <v>517</v>
      </c>
      <c r="J41" s="596"/>
      <c r="K41" s="357"/>
    </row>
    <row r="42" spans="1:11" s="354" customFormat="1">
      <c r="A42" s="360">
        <f>'ADJ DETAIL INPUT'!AM$10</f>
        <v>3.1299999999999972</v>
      </c>
      <c r="B42" s="361" t="str">
        <f>'ADJ DETAIL INPUT'!AM$11</f>
        <v>G-PCAP3</v>
      </c>
      <c r="C42" s="359" t="str">
        <f>TRIM(CONCATENATE('ADJ DETAIL INPUT'!AM$7," ",'ADJ DETAIL INPUT'!AM$8," ",'ADJ DETAIL INPUT'!AM$9))</f>
        <v>Pro Forma 2020 Programmatic</v>
      </c>
      <c r="D42" s="356">
        <f>'ADJ DETAIL INPUT'!AM$58</f>
        <v>52.14</v>
      </c>
      <c r="E42" s="356">
        <f>'ADJ DETAIL INPUT'!AM$81</f>
        <v>920</v>
      </c>
      <c r="F42" s="525"/>
      <c r="H42" s="468" t="s">
        <v>549</v>
      </c>
      <c r="I42" s="635" t="s">
        <v>517</v>
      </c>
      <c r="J42" s="604"/>
      <c r="K42" s="357"/>
    </row>
    <row r="43" spans="1:11" s="354" customFormat="1">
      <c r="A43" s="360">
        <f>'ADJ DETAIL INPUT'!AN$10</f>
        <v>3.139999999999997</v>
      </c>
      <c r="B43" s="361" t="str">
        <f>'ADJ DETAIL INPUT'!AN$11</f>
        <v>G-PCAP4</v>
      </c>
      <c r="C43" s="359" t="str">
        <f>TRIM(CONCATENATE('ADJ DETAIL INPUT'!AN$7," ",'ADJ DETAIL INPUT'!AN$8," ",'ADJ DETAIL INPUT'!AN$9))</f>
        <v>Pro Forma 2020 Mandatory &amp; Compliance</v>
      </c>
      <c r="D43" s="356">
        <f>'ADJ DETAIL INPUT'!AN$58</f>
        <v>-78.145024000000006</v>
      </c>
      <c r="E43" s="356">
        <f>'ADJ DETAIL INPUT'!AN$81</f>
        <v>8976</v>
      </c>
      <c r="F43" s="592"/>
      <c r="H43" s="468" t="s">
        <v>549</v>
      </c>
      <c r="I43" s="633" t="s">
        <v>517</v>
      </c>
      <c r="J43" s="596"/>
      <c r="K43" s="357"/>
    </row>
    <row r="44" spans="1:11" s="354" customFormat="1">
      <c r="A44" s="360">
        <f>'ADJ DETAIL INPUT'!AO$10</f>
        <v>3.1499999999999968</v>
      </c>
      <c r="B44" s="361" t="str">
        <f>'ADJ DETAIL INPUT'!AO$11</f>
        <v>G-PCAP5</v>
      </c>
      <c r="C44" s="359" t="str">
        <f>TRIM(CONCATENATE('ADJ DETAIL INPUT'!AO$7," ",'ADJ DETAIL INPUT'!AO$8," ",'ADJ DETAIL INPUT'!AO$9))</f>
        <v>Pro Forma 2020 Short Lived</v>
      </c>
      <c r="D44" s="356">
        <f>'ADJ DETAIL INPUT'!AO$58</f>
        <v>-342.94139200000001</v>
      </c>
      <c r="E44" s="356">
        <f>'ADJ DETAIL INPUT'!AO$81</f>
        <v>2483</v>
      </c>
      <c r="F44" s="592"/>
      <c r="H44" s="468" t="s">
        <v>549</v>
      </c>
      <c r="I44" s="633" t="s">
        <v>517</v>
      </c>
      <c r="J44" s="596"/>
      <c r="K44" s="357"/>
    </row>
    <row r="45" spans="1:11" s="354" customFormat="1">
      <c r="A45" s="360">
        <f>'ADJ DETAIL INPUT'!AP$10</f>
        <v>3.1599999999999966</v>
      </c>
      <c r="B45" s="361" t="str">
        <f>'ADJ DETAIL INPUT'!AP$11</f>
        <v>G-PAMI</v>
      </c>
      <c r="C45" s="359" t="str">
        <f>TRIM(CONCATENATE('ADJ DETAIL INPUT'!AP$7," ",'ADJ DETAIL INPUT'!AP$8," ",'ADJ DETAIL INPUT'!AP$9))</f>
        <v>Pro Forma AMI Capital Adds</v>
      </c>
      <c r="D45" s="356">
        <f>'ADJ DETAIL INPUT'!AP$58</f>
        <v>-2506.5604160000003</v>
      </c>
      <c r="E45" s="356">
        <f>'ADJ DETAIL INPUT'!AP$81</f>
        <v>33084</v>
      </c>
      <c r="F45" s="525"/>
      <c r="G45" s="384"/>
      <c r="H45" s="468" t="s">
        <v>128</v>
      </c>
      <c r="I45" s="605" t="s">
        <v>517</v>
      </c>
      <c r="J45" s="596"/>
      <c r="K45" s="357"/>
    </row>
    <row r="46" spans="1:11" s="354" customFormat="1">
      <c r="A46" s="360">
        <f>'ADJ DETAIL INPUT'!AQ$10</f>
        <v>3.1699999999999964</v>
      </c>
      <c r="B46" s="206" t="str">
        <f>'ADJ DETAIL INPUT'!AQ$11</f>
        <v>G-PLEAP</v>
      </c>
      <c r="C46" s="359" t="str">
        <f>TRIM(CONCATENATE('ADJ DETAIL INPUT'!AQ$7," ",'ADJ DETAIL INPUT'!AQ$8," ",'ADJ DETAIL INPUT'!AQ$9))</f>
        <v>Pro Forma LEAP Deferral Amortization</v>
      </c>
      <c r="D46" s="356">
        <f>'ADJ DETAIL INPUT'!AQ$58</f>
        <v>-1245.783584</v>
      </c>
      <c r="E46" s="356">
        <f>'ADJ DETAIL INPUT'!AQ$81</f>
        <v>-3959</v>
      </c>
      <c r="F46" s="378"/>
      <c r="G46" s="384"/>
      <c r="H46" s="468" t="s">
        <v>459</v>
      </c>
      <c r="I46" s="605" t="s">
        <v>517</v>
      </c>
      <c r="J46" s="596"/>
      <c r="K46" s="357"/>
    </row>
    <row r="47" spans="1:11" s="354" customFormat="1" ht="12" customHeight="1">
      <c r="A47" s="360">
        <f>'ADJ DETAIL INPUT'!AR$10</f>
        <v>3.1799999999999962</v>
      </c>
      <c r="B47" s="361" t="str">
        <f>'ADJ DETAIL INPUT'!AR$11</f>
        <v>G-RDFIT</v>
      </c>
      <c r="C47" s="359" t="str">
        <f>TRIM(CONCATENATE('ADJ DETAIL INPUT'!AR$7," ",'ADJ DETAIL INPUT'!AR$8," ",'ADJ DETAIL INPUT'!AR$9))</f>
        <v>Restate 2019 ADFIT</v>
      </c>
      <c r="D47" s="356">
        <f>'ADJ DETAIL INPUT'!AR$58</f>
        <v>-81.86572799999999</v>
      </c>
      <c r="E47" s="356">
        <f>'ADJ DETAIL INPUT'!AR$81</f>
        <v>-15228</v>
      </c>
      <c r="F47" s="355"/>
      <c r="G47" s="384"/>
      <c r="H47" s="468" t="s">
        <v>128</v>
      </c>
      <c r="I47" s="605" t="s">
        <v>517</v>
      </c>
      <c r="J47" s="596"/>
      <c r="K47" s="357"/>
    </row>
    <row r="48" spans="1:11" s="354" customFormat="1" hidden="1">
      <c r="A48" s="360"/>
      <c r="B48" s="361"/>
      <c r="C48" s="359"/>
      <c r="D48" s="356"/>
      <c r="E48" s="356"/>
      <c r="F48" s="525"/>
      <c r="G48" s="384"/>
      <c r="H48" s="570"/>
      <c r="I48" s="605"/>
      <c r="J48" s="596"/>
      <c r="K48" s="357"/>
    </row>
    <row r="49" spans="1:11" s="354" customFormat="1" hidden="1">
      <c r="A49" s="360">
        <f>'ADJ DETAIL INPUT'!AT$10</f>
        <v>0.01</v>
      </c>
      <c r="B49" s="361">
        <f>'ADJ DETAIL INPUT'!AT$11</f>
        <v>0</v>
      </c>
      <c r="C49" s="359" t="str">
        <f>TRIM(CONCATENATE('ADJ DETAIL INPUT'!AT$7," ",'ADJ DETAIL INPUT'!AT$8," ",'ADJ DETAIL INPUT'!AT$9))</f>
        <v>Pro Forma Open</v>
      </c>
      <c r="D49" s="356">
        <f>'ADJ DETAIL INPUT'!AT$58</f>
        <v>0</v>
      </c>
      <c r="E49" s="356">
        <f>'ADJ DETAIL INPUT'!AT$81</f>
        <v>0</v>
      </c>
      <c r="F49" s="355"/>
      <c r="G49" s="384"/>
      <c r="H49" s="384"/>
      <c r="I49" s="605"/>
      <c r="J49" s="594"/>
      <c r="K49" s="357"/>
    </row>
    <row r="50" spans="1:11" s="354" customFormat="1" ht="13.5" thickBot="1">
      <c r="A50" s="360"/>
      <c r="B50" s="361"/>
      <c r="C50" s="354" t="s">
        <v>123</v>
      </c>
      <c r="D50" s="27">
        <f>SUM(D28:D47)</f>
        <v>26029.744829098512</v>
      </c>
      <c r="E50" s="27">
        <f>SUM(E28:E47)</f>
        <v>432869.52326981386</v>
      </c>
      <c r="F50" s="381">
        <f>D50/E50</f>
        <v>6.0133004126681829E-2</v>
      </c>
      <c r="G50" s="384"/>
      <c r="H50" s="384"/>
      <c r="I50" s="610"/>
      <c r="J50" s="596"/>
      <c r="K50" s="357"/>
    </row>
    <row r="51" spans="1:11" ht="17.25" customHeight="1" thickTop="1">
      <c r="A51" s="80" t="s">
        <v>575</v>
      </c>
      <c r="B51" s="80" t="s">
        <v>576</v>
      </c>
      <c r="C51" s="12" t="s">
        <v>141</v>
      </c>
      <c r="H51" s="632" t="s">
        <v>458</v>
      </c>
      <c r="I51" s="629" t="s">
        <v>517</v>
      </c>
    </row>
    <row r="52" spans="1:11" ht="24.75" customHeight="1">
      <c r="A52" s="681" t="s">
        <v>574</v>
      </c>
    </row>
    <row r="53" spans="1:11" s="354" customFormat="1">
      <c r="A53" s="360" t="str">
        <f>'ADJ DETAIL INPUT'!AV$10</f>
        <v>4.00T</v>
      </c>
      <c r="B53" s="361" t="str">
        <f>'ADJ DETAIL INPUT'!AV$11</f>
        <v>G-Tax</v>
      </c>
      <c r="C53" s="359" t="str">
        <f>TRIM(CONCATENATE('ADJ DETAIL INPUT'!AV$7," ",'ADJ DETAIL INPUT'!AV$8," ",'ADJ DETAIL INPUT'!AV$9))</f>
        <v>Tax Customer Credit Tariff 176</v>
      </c>
      <c r="D53" s="657">
        <f>'ADJ DETAIL INPUT'!AV$58</f>
        <v>5005.1408085185612</v>
      </c>
      <c r="E53" s="657">
        <f>'ADJ DETAIL INPUT'!AV$81</f>
        <v>6091</v>
      </c>
      <c r="F53" s="381"/>
      <c r="G53" s="384"/>
      <c r="H53" s="468" t="s">
        <v>128</v>
      </c>
      <c r="I53" s="636" t="s">
        <v>517</v>
      </c>
      <c r="J53" s="596"/>
      <c r="K53" s="357"/>
    </row>
    <row r="54" spans="1:11">
      <c r="C54" s="12" t="s">
        <v>591</v>
      </c>
      <c r="D54" s="25">
        <f>D50+D53</f>
        <v>31034.885637617073</v>
      </c>
      <c r="E54" s="25">
        <f>E50+E53</f>
        <v>438960.52326981386</v>
      </c>
      <c r="F54" s="381">
        <f>D54/E54</f>
        <v>7.070085803260491E-2</v>
      </c>
    </row>
  </sheetData>
  <customSheetViews>
    <customSheetView guid="{A15D1964-B049-11D2-8670-0000832CEEE8}" scale="75" showPageBreaks="1" printArea="1" hiddenRows="1" showRuler="0" topLeftCell="A47">
      <selection activeCell="L71" sqref="L71"/>
      <rowBreaks count="1" manualBreakCount="1">
        <brk id="44" max="65535" man="1"/>
      </rowBreaks>
      <pageMargins left="0.75" right="0.75" top="1" bottom="1" header="0.5" footer="0.5"/>
      <pageSetup orientation="portrait" horizontalDpi="4294967292" verticalDpi="0" r:id="rId1"/>
      <headerFooter alignWithMargins="0"/>
    </customSheetView>
    <customSheetView guid="{5BE913A1-B14F-11D2-B0DC-0000832CDFF0}" scale="75" showPageBreaks="1" printArea="1" hiddenRows="1" showRuler="0" topLeftCell="A47">
      <selection activeCell="L71" sqref="L71"/>
      <rowBreaks count="1" manualBreakCount="1">
        <brk id="44" max="65535" man="1"/>
      </rowBreaks>
      <pageMargins left="0.75" right="0.75" top="1" bottom="1" header="0.5" footer="0.5"/>
      <pageSetup orientation="portrait" horizontalDpi="4294967292" verticalDpi="0" r:id="rId2"/>
      <headerFooter alignWithMargins="0"/>
    </customSheetView>
  </customSheetViews>
  <mergeCells count="4">
    <mergeCell ref="A4:F4"/>
    <mergeCell ref="A1:F1"/>
    <mergeCell ref="A2:F2"/>
    <mergeCell ref="A3:F3"/>
  </mergeCells>
  <phoneticPr fontId="0" type="noConversion"/>
  <pageMargins left="0.75" right="0.5" top="1" bottom="1" header="0.5" footer="0.5"/>
  <pageSetup scale="93" orientation="portrait" r:id="rId3"/>
  <headerFooter alignWithMargins="0">
    <oddHeader>&amp;RExh. EMA-3</oddHeader>
    <oddFooter>&amp;RPage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163"/>
  <sheetViews>
    <sheetView topLeftCell="A7" workbookViewId="0">
      <selection activeCell="B53" sqref="B53"/>
    </sheetView>
  </sheetViews>
  <sheetFormatPr defaultColWidth="10.54296875" defaultRowHeight="13"/>
  <cols>
    <col min="1" max="1" width="8.453125" style="154" customWidth="1"/>
    <col min="2" max="2" width="18.54296875" style="155" customWidth="1"/>
    <col min="3" max="4" width="10.54296875" style="148" customWidth="1"/>
    <col min="5" max="5" width="10.1796875" style="148" customWidth="1"/>
    <col min="6" max="6" width="14.54296875" style="156" customWidth="1"/>
    <col min="7" max="7" width="11.1796875" style="148" bestFit="1" customWidth="1"/>
    <col min="8" max="8" width="2.1796875" style="148" customWidth="1"/>
    <col min="9" max="9" width="14.1796875" style="148" customWidth="1"/>
    <col min="10" max="10" width="19.1796875" style="148" customWidth="1"/>
    <col min="11" max="16384" width="10.54296875" style="148"/>
  </cols>
  <sheetData>
    <row r="1" spans="1:9">
      <c r="A1" s="817" t="s">
        <v>112</v>
      </c>
      <c r="B1" s="817"/>
      <c r="C1" s="817"/>
      <c r="D1" s="817"/>
      <c r="E1" s="817"/>
      <c r="F1" s="817"/>
      <c r="G1" s="817"/>
      <c r="H1" s="817"/>
    </row>
    <row r="2" spans="1:9">
      <c r="A2" s="818" t="s">
        <v>124</v>
      </c>
      <c r="B2" s="818"/>
      <c r="C2" s="818"/>
      <c r="D2" s="818"/>
      <c r="E2" s="818"/>
      <c r="F2" s="818"/>
      <c r="G2" s="818"/>
      <c r="H2" s="818"/>
    </row>
    <row r="3" spans="1:9">
      <c r="A3" s="818" t="s">
        <v>225</v>
      </c>
      <c r="B3" s="818"/>
      <c r="C3" s="818"/>
      <c r="D3" s="818"/>
      <c r="E3" s="818"/>
      <c r="F3" s="818"/>
      <c r="G3" s="818"/>
      <c r="H3" s="818"/>
    </row>
    <row r="4" spans="1:9">
      <c r="A4" s="819" t="str">
        <f>'ROO INPUT'!A5:C5</f>
        <v>TWELVE MONTHS ENDED DECEMBER 31, 2019</v>
      </c>
      <c r="B4" s="819"/>
      <c r="C4" s="819"/>
      <c r="D4" s="819"/>
      <c r="E4" s="819"/>
      <c r="F4" s="819"/>
      <c r="G4" s="819"/>
      <c r="H4" s="819"/>
    </row>
    <row r="5" spans="1:9">
      <c r="A5" s="820" t="s">
        <v>115</v>
      </c>
      <c r="B5" s="820"/>
      <c r="C5" s="820"/>
      <c r="D5" s="820"/>
      <c r="E5" s="820"/>
      <c r="F5" s="820"/>
      <c r="G5" s="820"/>
      <c r="H5" s="820"/>
    </row>
    <row r="6" spans="1:9" ht="13.5" thickBot="1">
      <c r="A6" s="149"/>
      <c r="B6" s="150"/>
      <c r="C6" s="151"/>
      <c r="D6" s="152"/>
      <c r="E6" s="152"/>
      <c r="F6" s="152"/>
      <c r="I6" s="153" t="s">
        <v>196</v>
      </c>
    </row>
    <row r="7" spans="1:9" ht="13.5" thickBot="1">
      <c r="C7" s="156"/>
      <c r="D7" s="156"/>
      <c r="E7" s="814" t="s">
        <v>124</v>
      </c>
      <c r="F7" s="815"/>
      <c r="G7" s="816"/>
      <c r="I7" s="153" t="s">
        <v>197</v>
      </c>
    </row>
    <row r="8" spans="1:9">
      <c r="C8" s="156"/>
      <c r="D8" s="156"/>
      <c r="E8" s="154">
        <f>'ADJ DETAIL INPUT'!W10</f>
        <v>2.139999999999997</v>
      </c>
      <c r="F8" s="263"/>
      <c r="G8" s="263"/>
      <c r="I8" s="153"/>
    </row>
    <row r="9" spans="1:9">
      <c r="C9" s="156"/>
      <c r="D9" s="156"/>
      <c r="E9" s="157" t="s">
        <v>20</v>
      </c>
      <c r="F9" s="153" t="s">
        <v>410</v>
      </c>
      <c r="G9" s="153" t="s">
        <v>411</v>
      </c>
      <c r="I9" s="153" t="s">
        <v>198</v>
      </c>
    </row>
    <row r="10" spans="1:9">
      <c r="B10" s="158" t="s">
        <v>116</v>
      </c>
      <c r="C10" s="156"/>
      <c r="D10" s="156"/>
      <c r="E10" s="159" t="s">
        <v>199</v>
      </c>
      <c r="F10" s="160" t="s">
        <v>117</v>
      </c>
      <c r="G10" s="160" t="s">
        <v>200</v>
      </c>
      <c r="I10" s="160" t="str">
        <f>F10</f>
        <v>Adjustments</v>
      </c>
    </row>
    <row r="11" spans="1:9">
      <c r="A11" s="154">
        <f>'ADJ SUMMARY'!A8</f>
        <v>1</v>
      </c>
      <c r="B11" s="155" t="str">
        <f>'ADJ SUMMARY'!C8</f>
        <v>Per Results Report</v>
      </c>
      <c r="C11" s="156"/>
      <c r="D11" s="156"/>
      <c r="E11" s="161">
        <f>'ADJ SUMMARY'!E8</f>
        <v>405933</v>
      </c>
      <c r="F11" s="161"/>
      <c r="G11" s="208">
        <f>SUM(E11:F11)</f>
        <v>405933</v>
      </c>
      <c r="H11" s="208"/>
      <c r="I11" s="208">
        <f>ROUND(E11*$E$55*-$E$62,0)-(E59*-E62)</f>
        <v>153.82999999999993</v>
      </c>
    </row>
    <row r="12" spans="1:9">
      <c r="A12" s="154">
        <f>'ADJ SUMMARY'!A9</f>
        <v>1.01</v>
      </c>
      <c r="B12" s="155" t="str">
        <f>'ADJ SUMMARY'!C9</f>
        <v>Deferred FIT Rate Base</v>
      </c>
      <c r="C12" s="156"/>
      <c r="D12" s="156"/>
      <c r="E12" s="208"/>
      <c r="F12" s="161">
        <f>'ADJ SUMMARY'!E9</f>
        <v>-994</v>
      </c>
      <c r="G12" s="208">
        <f>SUM(E12:F12)</f>
        <v>-994</v>
      </c>
      <c r="H12" s="208"/>
      <c r="I12" s="208">
        <f t="shared" ref="I12:I45" si="0">ROUND(F12*$E$55*-$E$62,0)</f>
        <v>5</v>
      </c>
    </row>
    <row r="13" spans="1:9">
      <c r="A13" s="154">
        <f>'ADJ SUMMARY'!A10</f>
        <v>1.02</v>
      </c>
      <c r="B13" s="155" t="str">
        <f>'ADJ SUMMARY'!C10</f>
        <v>Deferred Debits and Credits</v>
      </c>
      <c r="C13" s="156"/>
      <c r="D13" s="156"/>
      <c r="E13" s="208"/>
      <c r="F13" s="161">
        <f>'ADJ SUMMARY'!E10</f>
        <v>-1</v>
      </c>
      <c r="G13" s="208">
        <f t="shared" ref="G13:G16" si="1">SUM(E13:F13)</f>
        <v>-1</v>
      </c>
      <c r="H13" s="208"/>
      <c r="I13" s="208">
        <f t="shared" si="0"/>
        <v>0</v>
      </c>
    </row>
    <row r="14" spans="1:9">
      <c r="A14" s="154">
        <f>'ADJ SUMMARY'!A11</f>
        <v>1.03</v>
      </c>
      <c r="B14" s="155" t="str">
        <f>'ADJ SUMMARY'!C11</f>
        <v>Working Capital</v>
      </c>
      <c r="C14" s="156"/>
      <c r="D14" s="156"/>
      <c r="E14" s="208"/>
      <c r="F14" s="161">
        <f>'ADJ SUMMARY'!E11</f>
        <v>-1144</v>
      </c>
      <c r="G14" s="208">
        <f t="shared" si="1"/>
        <v>-1144</v>
      </c>
      <c r="H14" s="208"/>
      <c r="I14" s="208">
        <f t="shared" si="0"/>
        <v>6</v>
      </c>
    </row>
    <row r="15" spans="1:9">
      <c r="A15" s="154">
        <f>'ADJ SUMMARY'!A12</f>
        <v>1.04</v>
      </c>
      <c r="B15" s="155" t="str">
        <f>'ADJ SUMMARY'!C12</f>
        <v>Remove AMI Rate Base</v>
      </c>
      <c r="C15" s="156"/>
      <c r="D15" s="156"/>
      <c r="E15" s="208"/>
      <c r="F15" s="161">
        <f>'ADJ SUMMARY'!E12</f>
        <v>-18403</v>
      </c>
      <c r="G15" s="208">
        <f t="shared" ref="G15" si="2">SUM(E15:F15)</f>
        <v>-18403</v>
      </c>
      <c r="H15" s="208"/>
      <c r="I15" s="208">
        <f t="shared" si="0"/>
        <v>99</v>
      </c>
    </row>
    <row r="16" spans="1:9">
      <c r="A16" s="154">
        <f>'ADJ SUMMARY'!A13</f>
        <v>2.0099999999999998</v>
      </c>
      <c r="B16" s="155" t="str">
        <f>'ADJ SUMMARY'!C13</f>
        <v>Eliminate B &amp; O Taxes</v>
      </c>
      <c r="C16" s="156"/>
      <c r="D16" s="156"/>
      <c r="E16" s="208"/>
      <c r="F16" s="161">
        <f>'ADJ SUMMARY'!E13</f>
        <v>0</v>
      </c>
      <c r="G16" s="208">
        <f t="shared" si="1"/>
        <v>0</v>
      </c>
      <c r="H16" s="208"/>
      <c r="I16" s="208">
        <f t="shared" si="0"/>
        <v>0</v>
      </c>
    </row>
    <row r="17" spans="1:9">
      <c r="A17" s="154">
        <f>'ADJ SUMMARY'!A14</f>
        <v>2.0199999999999996</v>
      </c>
      <c r="B17" s="155" t="str">
        <f>'ADJ SUMMARY'!C14</f>
        <v>Restate Property Tax</v>
      </c>
      <c r="C17" s="156"/>
      <c r="D17" s="156"/>
      <c r="E17" s="208"/>
      <c r="F17" s="161">
        <f>'ADJ SUMMARY'!E14</f>
        <v>0</v>
      </c>
      <c r="G17" s="208">
        <f t="shared" ref="G17:G29" si="3">SUM(E17:F17)</f>
        <v>0</v>
      </c>
      <c r="H17" s="208"/>
      <c r="I17" s="208">
        <f t="shared" si="0"/>
        <v>0</v>
      </c>
    </row>
    <row r="18" spans="1:9">
      <c r="A18" s="154">
        <f>'ADJ SUMMARY'!A15</f>
        <v>2.0299999999999994</v>
      </c>
      <c r="B18" s="155" t="str">
        <f>'ADJ SUMMARY'!C15</f>
        <v>Uncollectible Expense</v>
      </c>
      <c r="C18" s="156"/>
      <c r="D18" s="156"/>
      <c r="E18" s="208"/>
      <c r="F18" s="161">
        <f>'ADJ SUMMARY'!E15</f>
        <v>0</v>
      </c>
      <c r="G18" s="208">
        <f t="shared" si="3"/>
        <v>0</v>
      </c>
      <c r="H18" s="208"/>
      <c r="I18" s="208">
        <f t="shared" si="0"/>
        <v>0</v>
      </c>
    </row>
    <row r="19" spans="1:9">
      <c r="A19" s="154">
        <f>'ADJ SUMMARY'!A16</f>
        <v>2.0399999999999991</v>
      </c>
      <c r="B19" s="155" t="str">
        <f>'ADJ SUMMARY'!C16</f>
        <v>Regulatory Expense</v>
      </c>
      <c r="C19" s="156"/>
      <c r="D19" s="156"/>
      <c r="E19" s="208"/>
      <c r="F19" s="161">
        <f>'ADJ SUMMARY'!E16</f>
        <v>0</v>
      </c>
      <c r="G19" s="208">
        <f t="shared" si="3"/>
        <v>0</v>
      </c>
      <c r="H19" s="208"/>
      <c r="I19" s="208">
        <f t="shared" si="0"/>
        <v>0</v>
      </c>
    </row>
    <row r="20" spans="1:9">
      <c r="A20" s="154">
        <f>'ADJ SUMMARY'!A17</f>
        <v>2.0499999999999989</v>
      </c>
      <c r="B20" s="155" t="str">
        <f>'ADJ SUMMARY'!C17</f>
        <v>Injuries &amp; Damages</v>
      </c>
      <c r="C20" s="156"/>
      <c r="D20" s="156"/>
      <c r="E20" s="208"/>
      <c r="F20" s="161">
        <f>'ADJ SUMMARY'!E17</f>
        <v>0</v>
      </c>
      <c r="G20" s="208">
        <f t="shared" si="3"/>
        <v>0</v>
      </c>
      <c r="H20" s="208"/>
      <c r="I20" s="208">
        <f t="shared" si="0"/>
        <v>0</v>
      </c>
    </row>
    <row r="21" spans="1:9">
      <c r="A21" s="154">
        <f>'ADJ SUMMARY'!A18</f>
        <v>2.0599999999999987</v>
      </c>
      <c r="B21" s="155" t="str">
        <f>'ADJ SUMMARY'!C18</f>
        <v>FIT / DFIT Expense</v>
      </c>
      <c r="C21" s="156"/>
      <c r="D21" s="156"/>
      <c r="E21" s="208"/>
      <c r="F21" s="161">
        <f>'ADJ SUMMARY'!E18</f>
        <v>0</v>
      </c>
      <c r="G21" s="208">
        <f t="shared" si="3"/>
        <v>0</v>
      </c>
      <c r="H21" s="208"/>
      <c r="I21" s="208">
        <f t="shared" si="0"/>
        <v>0</v>
      </c>
    </row>
    <row r="22" spans="1:9">
      <c r="A22" s="154">
        <f>'ADJ SUMMARY'!A19</f>
        <v>2.0699999999999985</v>
      </c>
      <c r="B22" s="155" t="str">
        <f>'ADJ SUMMARY'!C19</f>
        <v>Office Space Charges to Non-Utility</v>
      </c>
      <c r="C22" s="156"/>
      <c r="D22" s="156"/>
      <c r="E22" s="208"/>
      <c r="F22" s="161">
        <f>'ADJ SUMMARY'!E19</f>
        <v>0</v>
      </c>
      <c r="G22" s="208">
        <f t="shared" si="3"/>
        <v>0</v>
      </c>
      <c r="H22" s="208"/>
      <c r="I22" s="208">
        <f t="shared" si="0"/>
        <v>0</v>
      </c>
    </row>
    <row r="23" spans="1:9">
      <c r="A23" s="154">
        <f>'ADJ SUMMARY'!A20</f>
        <v>2.0799999999999983</v>
      </c>
      <c r="B23" s="155" t="str">
        <f>'ADJ SUMMARY'!C20</f>
        <v>Restate Excise Taxes</v>
      </c>
      <c r="C23" s="156"/>
      <c r="D23" s="156"/>
      <c r="E23" s="208"/>
      <c r="F23" s="161">
        <f>'ADJ SUMMARY'!E20</f>
        <v>0</v>
      </c>
      <c r="G23" s="208">
        <f t="shared" si="3"/>
        <v>0</v>
      </c>
      <c r="H23" s="208"/>
      <c r="I23" s="208">
        <f t="shared" si="0"/>
        <v>0</v>
      </c>
    </row>
    <row r="24" spans="1:9">
      <c r="A24" s="154">
        <f>'ADJ SUMMARY'!A21</f>
        <v>2.0899999999999981</v>
      </c>
      <c r="B24" s="155" t="str">
        <f>'ADJ SUMMARY'!C21</f>
        <v>Net Gains &amp; Losses</v>
      </c>
      <c r="C24" s="156"/>
      <c r="D24" s="156"/>
      <c r="E24" s="208"/>
      <c r="F24" s="161">
        <f>'ADJ SUMMARY'!E21</f>
        <v>0</v>
      </c>
      <c r="G24" s="208">
        <f t="shared" si="3"/>
        <v>0</v>
      </c>
      <c r="H24" s="208"/>
      <c r="I24" s="208">
        <f t="shared" si="0"/>
        <v>0</v>
      </c>
    </row>
    <row r="25" spans="1:9">
      <c r="A25" s="154">
        <f>'ADJ SUMMARY'!A22</f>
        <v>2.0999999999999979</v>
      </c>
      <c r="B25" s="155" t="str">
        <f>'ADJ SUMMARY'!C22</f>
        <v>Weather Normalization / Gas Cost Adjust</v>
      </c>
      <c r="C25" s="156"/>
      <c r="D25" s="156"/>
      <c r="E25" s="208"/>
      <c r="F25" s="161">
        <f>'ADJ SUMMARY'!E22</f>
        <v>0</v>
      </c>
      <c r="G25" s="208">
        <f t="shared" si="3"/>
        <v>0</v>
      </c>
      <c r="H25" s="208"/>
      <c r="I25" s="208">
        <f t="shared" si="0"/>
        <v>0</v>
      </c>
    </row>
    <row r="26" spans="1:9">
      <c r="A26" s="154">
        <f>'ADJ SUMMARY'!A23</f>
        <v>2.1099999999999977</v>
      </c>
      <c r="B26" s="155" t="str">
        <f>'ADJ SUMMARY'!C23</f>
        <v>Eliminate Adder Schedules</v>
      </c>
      <c r="C26" s="156"/>
      <c r="D26" s="156"/>
      <c r="E26" s="208"/>
      <c r="F26" s="161">
        <f>'ADJ SUMMARY'!E23</f>
        <v>0</v>
      </c>
      <c r="G26" s="208">
        <f t="shared" si="3"/>
        <v>0</v>
      </c>
      <c r="H26" s="208"/>
      <c r="I26" s="208">
        <f t="shared" si="0"/>
        <v>0</v>
      </c>
    </row>
    <row r="27" spans="1:9">
      <c r="A27" s="154">
        <f>'ADJ SUMMARY'!A24</f>
        <v>2.1199999999999974</v>
      </c>
      <c r="B27" s="155" t="str">
        <f>'ADJ SUMMARY'!C24</f>
        <v>Misc. Restating Non-Util / Non- Recurring Expense</v>
      </c>
      <c r="C27" s="156"/>
      <c r="D27" s="156"/>
      <c r="E27" s="208"/>
      <c r="F27" s="161">
        <f>'ADJ SUMMARY'!E24</f>
        <v>0</v>
      </c>
      <c r="G27" s="208">
        <f t="shared" si="3"/>
        <v>0</v>
      </c>
      <c r="H27" s="208"/>
      <c r="I27" s="208">
        <f t="shared" si="0"/>
        <v>0</v>
      </c>
    </row>
    <row r="28" spans="1:9">
      <c r="A28" s="154">
        <f>'ADJ SUMMARY'!A25</f>
        <v>2.1299999999999972</v>
      </c>
      <c r="B28" s="155" t="str">
        <f>'ADJ SUMMARY'!C25</f>
        <v>Restating Incentives Expense</v>
      </c>
      <c r="C28" s="156"/>
      <c r="D28" s="156"/>
      <c r="E28" s="208"/>
      <c r="F28" s="161">
        <f>'ADJ SUMMARY'!E25</f>
        <v>0</v>
      </c>
      <c r="G28" s="208">
        <f t="shared" si="3"/>
        <v>0</v>
      </c>
      <c r="H28" s="208"/>
      <c r="I28" s="208">
        <f t="shared" si="0"/>
        <v>0</v>
      </c>
    </row>
    <row r="29" spans="1:9">
      <c r="A29" s="154">
        <f>'ADJ SUMMARY'!A26</f>
        <v>2.139999999999997</v>
      </c>
      <c r="B29" s="155" t="str">
        <f>'ADJ SUMMARY'!C26</f>
        <v>Restate Debt Interest</v>
      </c>
      <c r="C29" s="156"/>
      <c r="D29" s="156"/>
      <c r="E29" s="208"/>
      <c r="F29" s="161">
        <f>'ADJ SUMMARY'!E26</f>
        <v>0</v>
      </c>
      <c r="G29" s="208">
        <f t="shared" si="3"/>
        <v>0</v>
      </c>
      <c r="H29" s="208"/>
      <c r="I29" s="208">
        <f t="shared" si="0"/>
        <v>0</v>
      </c>
    </row>
    <row r="30" spans="1:9">
      <c r="A30" s="154">
        <f>'ADJ SUMMARY'!A27</f>
        <v>2.1499999999999968</v>
      </c>
      <c r="B30" s="155" t="str">
        <f>'ADJ SUMMARY'!C27</f>
        <v>Restate 2019 AMA Rate Base to EOP</v>
      </c>
      <c r="C30" s="156"/>
      <c r="D30" s="156"/>
      <c r="E30" s="208"/>
      <c r="F30" s="161">
        <f>'ADJ SUMMARY'!E27</f>
        <v>12730.523269813853</v>
      </c>
      <c r="G30" s="208">
        <f t="shared" ref="G30" si="4">SUM(E30:F30)</f>
        <v>12730.523269813853</v>
      </c>
      <c r="H30" s="208"/>
      <c r="I30" s="208">
        <f t="shared" si="0"/>
        <v>-68</v>
      </c>
    </row>
    <row r="31" spans="1:9" ht="13.5" customHeight="1">
      <c r="A31" s="154">
        <f>'ADJ SUMMARY'!A30</f>
        <v>3.01</v>
      </c>
      <c r="B31" s="155" t="str">
        <f>'ADJ SUMMARY'!C30</f>
        <v>Pro Forma Revenue Normalization</v>
      </c>
      <c r="C31" s="156"/>
      <c r="D31" s="156"/>
      <c r="E31" s="208"/>
      <c r="F31" s="161">
        <f>'ADJ SUMMARY'!E30</f>
        <v>0</v>
      </c>
      <c r="G31" s="208">
        <f>SUM(E31:F31)</f>
        <v>0</v>
      </c>
      <c r="H31" s="208"/>
      <c r="I31" s="208">
        <f t="shared" si="0"/>
        <v>0</v>
      </c>
    </row>
    <row r="32" spans="1:9" ht="13.5" customHeight="1">
      <c r="A32" s="154">
        <f>'ADJ SUMMARY'!A31</f>
        <v>3.0199999999999996</v>
      </c>
      <c r="B32" s="155" t="str">
        <f>'ADJ SUMMARY'!C31</f>
        <v>Pro Forma Def. Debits, Credits &amp; Regulatory Amorts</v>
      </c>
      <c r="C32" s="156"/>
      <c r="D32" s="156"/>
      <c r="E32" s="208"/>
      <c r="F32" s="161">
        <f>'ADJ SUMMARY'!E31</f>
        <v>0</v>
      </c>
      <c r="G32" s="208">
        <f>SUM(E32:F32)</f>
        <v>0</v>
      </c>
      <c r="H32" s="208"/>
      <c r="I32" s="208">
        <f t="shared" si="0"/>
        <v>0</v>
      </c>
    </row>
    <row r="33" spans="1:9" ht="13.5" customHeight="1">
      <c r="A33" s="154">
        <f>'ADJ SUMMARY'!A32</f>
        <v>3.0299999999999994</v>
      </c>
      <c r="B33" s="155" t="str">
        <f>'ADJ SUMMARY'!C32</f>
        <v>Pro Forma ARAM DFIT</v>
      </c>
      <c r="C33" s="156"/>
      <c r="D33" s="156"/>
      <c r="E33" s="208"/>
      <c r="F33" s="161">
        <f>'ADJ SUMMARY'!E32</f>
        <v>0</v>
      </c>
      <c r="G33" s="208">
        <f>SUM(E33:F33)</f>
        <v>0</v>
      </c>
      <c r="H33" s="208"/>
      <c r="I33" s="208">
        <f t="shared" si="0"/>
        <v>0</v>
      </c>
    </row>
    <row r="34" spans="1:9" ht="13.5" customHeight="1">
      <c r="A34" s="154">
        <f>'ADJ SUMMARY'!A33</f>
        <v>3.0399999999999991</v>
      </c>
      <c r="B34" s="155" t="str">
        <f>'ADJ SUMMARY'!C33</f>
        <v>Pro Forma Labor Non-Exec</v>
      </c>
      <c r="C34" s="156"/>
      <c r="D34" s="156"/>
      <c r="E34" s="208"/>
      <c r="F34" s="161">
        <f>'ADJ SUMMARY'!E33</f>
        <v>0</v>
      </c>
      <c r="G34" s="208">
        <f t="shared" ref="G34:G43" si="5">SUM(E34:F34)</f>
        <v>0</v>
      </c>
      <c r="H34" s="208"/>
      <c r="I34" s="208">
        <f t="shared" si="0"/>
        <v>0</v>
      </c>
    </row>
    <row r="35" spans="1:9" ht="13.5" customHeight="1">
      <c r="A35" s="154">
        <f>'ADJ SUMMARY'!A34</f>
        <v>3.0499999999999989</v>
      </c>
      <c r="B35" s="155" t="str">
        <f>'ADJ SUMMARY'!C34</f>
        <v>Pro Forma Labor Exec</v>
      </c>
      <c r="C35" s="156"/>
      <c r="D35" s="156"/>
      <c r="E35" s="208"/>
      <c r="F35" s="161">
        <f>'ADJ SUMMARY'!E34</f>
        <v>0</v>
      </c>
      <c r="G35" s="208">
        <f t="shared" si="5"/>
        <v>0</v>
      </c>
      <c r="H35" s="208"/>
      <c r="I35" s="208">
        <f t="shared" si="0"/>
        <v>0</v>
      </c>
    </row>
    <row r="36" spans="1:9" ht="13.5" customHeight="1">
      <c r="A36" s="154">
        <f>'ADJ SUMMARY'!A35</f>
        <v>3.0599999999999987</v>
      </c>
      <c r="B36" s="155" t="str">
        <f>'ADJ SUMMARY'!C35</f>
        <v>Pro Forma Employee Benefits</v>
      </c>
      <c r="C36" s="156"/>
      <c r="D36" s="156"/>
      <c r="E36" s="208"/>
      <c r="F36" s="161">
        <f>'ADJ SUMMARY'!E35</f>
        <v>0</v>
      </c>
      <c r="G36" s="208">
        <f t="shared" si="5"/>
        <v>0</v>
      </c>
      <c r="H36" s="208"/>
      <c r="I36" s="208">
        <f t="shared" si="0"/>
        <v>0</v>
      </c>
    </row>
    <row r="37" spans="1:9" ht="13.5" customHeight="1">
      <c r="A37" s="154">
        <f>'ADJ SUMMARY'!A36</f>
        <v>3.0699999999999985</v>
      </c>
      <c r="B37" s="155" t="str">
        <f>'ADJ SUMMARY'!C36</f>
        <v>Pro Forma Insurance Expense</v>
      </c>
      <c r="C37" s="156"/>
      <c r="D37" s="156"/>
      <c r="E37" s="208"/>
      <c r="F37" s="161">
        <f>'ADJ SUMMARY'!E36</f>
        <v>0</v>
      </c>
      <c r="G37" s="208">
        <f t="shared" si="5"/>
        <v>0</v>
      </c>
      <c r="H37" s="208"/>
      <c r="I37" s="208">
        <f t="shared" si="0"/>
        <v>0</v>
      </c>
    </row>
    <row r="38" spans="1:9" ht="13.5" customHeight="1">
      <c r="A38" s="154">
        <f>'ADJ SUMMARY'!A37</f>
        <v>3.0799999999999983</v>
      </c>
      <c r="B38" s="155" t="str">
        <f>'ADJ SUMMARY'!C37</f>
        <v>Pro Forma IS/IT Expense</v>
      </c>
      <c r="C38" s="156"/>
      <c r="D38" s="156"/>
      <c r="E38" s="208"/>
      <c r="F38" s="161">
        <f>'ADJ SUMMARY'!E37</f>
        <v>0</v>
      </c>
      <c r="G38" s="208">
        <f t="shared" si="5"/>
        <v>0</v>
      </c>
      <c r="H38" s="208"/>
      <c r="I38" s="208">
        <f t="shared" si="0"/>
        <v>0</v>
      </c>
    </row>
    <row r="39" spans="1:9" ht="13.5" customHeight="1">
      <c r="A39" s="154">
        <f>'ADJ SUMMARY'!A38</f>
        <v>3.0899999999999981</v>
      </c>
      <c r="B39" s="155" t="str">
        <f>'ADJ SUMMARY'!C38</f>
        <v>Pro Forma Property Tax</v>
      </c>
      <c r="C39" s="156"/>
      <c r="D39" s="156"/>
      <c r="E39" s="208"/>
      <c r="F39" s="161">
        <f>'ADJ SUMMARY'!E38</f>
        <v>0</v>
      </c>
      <c r="G39" s="208">
        <f t="shared" si="5"/>
        <v>0</v>
      </c>
      <c r="H39" s="208"/>
      <c r="I39" s="208">
        <f t="shared" si="0"/>
        <v>0</v>
      </c>
    </row>
    <row r="40" spans="1:9" ht="13.5" customHeight="1">
      <c r="A40" s="154">
        <f>'ADJ SUMMARY'!A39</f>
        <v>3.0999999999999979</v>
      </c>
      <c r="B40" s="155" t="str">
        <f>'ADJ SUMMARY'!C39</f>
        <v>Pro Forma Fee Free Amortization</v>
      </c>
      <c r="C40" s="156"/>
      <c r="D40" s="156"/>
      <c r="E40" s="208"/>
      <c r="F40" s="161">
        <f>'ADJ SUMMARY'!E39</f>
        <v>0</v>
      </c>
      <c r="G40" s="208">
        <f t="shared" si="5"/>
        <v>0</v>
      </c>
      <c r="H40" s="208"/>
      <c r="I40" s="208">
        <f t="shared" si="0"/>
        <v>0</v>
      </c>
    </row>
    <row r="41" spans="1:9" ht="13.5" customHeight="1">
      <c r="A41" s="154">
        <f>'ADJ SUMMARY'!A40</f>
        <v>3.1099999999999977</v>
      </c>
      <c r="B41" s="155" t="str">
        <f>'ADJ SUMMARY'!C40</f>
        <v>Pro Forma 2020 Customer At Center</v>
      </c>
      <c r="C41" s="156"/>
      <c r="D41" s="156"/>
      <c r="E41" s="208"/>
      <c r="F41" s="161">
        <f>'ADJ SUMMARY'!E40</f>
        <v>2273</v>
      </c>
      <c r="G41" s="208">
        <f t="shared" si="5"/>
        <v>2273</v>
      </c>
      <c r="H41" s="208"/>
      <c r="I41" s="208">
        <f t="shared" si="0"/>
        <v>-12</v>
      </c>
    </row>
    <row r="42" spans="1:9" ht="13.5" customHeight="1">
      <c r="A42" s="154">
        <f>'ADJ SUMMARY'!A41</f>
        <v>3.1199999999999974</v>
      </c>
      <c r="B42" s="155" t="str">
        <f>'ADJ SUMMARY'!C41</f>
        <v>Pro Forma 2020 Large &amp; Distinct</v>
      </c>
      <c r="C42" s="156"/>
      <c r="D42" s="156"/>
      <c r="E42" s="208"/>
      <c r="F42" s="161">
        <f>'ADJ SUMMARY'!E41</f>
        <v>6199</v>
      </c>
      <c r="G42" s="208">
        <f t="shared" si="5"/>
        <v>6199</v>
      </c>
      <c r="H42" s="208"/>
      <c r="I42" s="208">
        <f t="shared" si="0"/>
        <v>-33</v>
      </c>
    </row>
    <row r="43" spans="1:9">
      <c r="A43" s="154">
        <f>'ADJ SUMMARY'!A42</f>
        <v>3.1299999999999972</v>
      </c>
      <c r="B43" s="155" t="str">
        <f>'ADJ SUMMARY'!C42</f>
        <v>Pro Forma 2020 Programmatic</v>
      </c>
      <c r="C43" s="156"/>
      <c r="D43" s="156"/>
      <c r="E43" s="208"/>
      <c r="F43" s="161">
        <f>'ADJ SUMMARY'!E42</f>
        <v>920</v>
      </c>
      <c r="G43" s="208">
        <f t="shared" si="5"/>
        <v>920</v>
      </c>
      <c r="H43" s="208"/>
      <c r="I43" s="208">
        <f t="shared" si="0"/>
        <v>-5</v>
      </c>
    </row>
    <row r="44" spans="1:9">
      <c r="A44" s="154">
        <f>'ADJ SUMMARY'!A43</f>
        <v>3.139999999999997</v>
      </c>
      <c r="B44" s="155" t="str">
        <f>'ADJ SUMMARY'!C43</f>
        <v>Pro Forma 2020 Mandatory &amp; Compliance</v>
      </c>
      <c r="C44" s="156"/>
      <c r="D44" s="156"/>
      <c r="E44" s="208"/>
      <c r="F44" s="161">
        <f>'ADJ SUMMARY'!E43</f>
        <v>8976</v>
      </c>
      <c r="G44" s="208">
        <f t="shared" ref="G44:G45" si="6">SUM(E44:F44)</f>
        <v>8976</v>
      </c>
      <c r="H44" s="208"/>
      <c r="I44" s="208">
        <f t="shared" si="0"/>
        <v>-48</v>
      </c>
    </row>
    <row r="45" spans="1:9">
      <c r="A45" s="154">
        <f>'ADJ SUMMARY'!A44</f>
        <v>3.1499999999999968</v>
      </c>
      <c r="B45" s="155" t="str">
        <f>'ADJ SUMMARY'!C44</f>
        <v>Pro Forma 2020 Short Lived</v>
      </c>
      <c r="C45" s="156"/>
      <c r="D45" s="156"/>
      <c r="E45" s="208"/>
      <c r="F45" s="161">
        <f>'ADJ SUMMARY'!E44</f>
        <v>2483</v>
      </c>
      <c r="G45" s="208">
        <f t="shared" si="6"/>
        <v>2483</v>
      </c>
      <c r="H45" s="208"/>
      <c r="I45" s="208">
        <f t="shared" si="0"/>
        <v>-13</v>
      </c>
    </row>
    <row r="46" spans="1:9">
      <c r="A46" s="154">
        <f>'ADJ SUMMARY'!A45</f>
        <v>3.1599999999999966</v>
      </c>
      <c r="B46" s="155" t="str">
        <f>'ADJ SUMMARY'!C45</f>
        <v>Pro Forma AMI Capital Adds</v>
      </c>
      <c r="C46" s="156"/>
      <c r="D46" s="156"/>
      <c r="E46" s="208"/>
      <c r="F46" s="161">
        <f>'ADJ SUMMARY'!E45</f>
        <v>33084</v>
      </c>
      <c r="G46" s="208">
        <f t="shared" ref="G46:G49" si="7">SUM(E46:F46)</f>
        <v>33084</v>
      </c>
      <c r="H46" s="208"/>
      <c r="I46" s="208">
        <f t="shared" ref="I46:I49" si="8">ROUND(F46*$E$55*-$E$62,0)</f>
        <v>-178</v>
      </c>
    </row>
    <row r="47" spans="1:9">
      <c r="A47" s="154">
        <f>'ADJ SUMMARY'!A46</f>
        <v>3.1699999999999964</v>
      </c>
      <c r="B47" s="155" t="str">
        <f>'ADJ SUMMARY'!C46</f>
        <v>Pro Forma LEAP Deferral Amortization</v>
      </c>
      <c r="C47" s="156"/>
      <c r="D47" s="156"/>
      <c r="E47" s="208"/>
      <c r="F47" s="161">
        <f>'ADJ SUMMARY'!E46</f>
        <v>-3959</v>
      </c>
      <c r="G47" s="208">
        <f t="shared" ref="G47" si="9">SUM(E47:F47)</f>
        <v>-3959</v>
      </c>
      <c r="H47" s="208"/>
      <c r="I47" s="208">
        <f t="shared" ref="I47" si="10">ROUND(F47*$E$55*-$E$62,0)</f>
        <v>21</v>
      </c>
    </row>
    <row r="48" spans="1:9" ht="11.25" customHeight="1">
      <c r="A48" s="154">
        <f>'ADJ SUMMARY'!A47</f>
        <v>3.1799999999999962</v>
      </c>
      <c r="B48" s="155" t="str">
        <f>'ADJ SUMMARY'!C47</f>
        <v>Restate 2019 ADFIT</v>
      </c>
      <c r="C48" s="156"/>
      <c r="D48" s="156"/>
      <c r="E48" s="208"/>
      <c r="F48" s="161">
        <f>'ADJ SUMMARY'!E47</f>
        <v>-15228</v>
      </c>
      <c r="G48" s="208">
        <f>SUM(E48:F48)</f>
        <v>-15228</v>
      </c>
      <c r="H48" s="208"/>
      <c r="I48" s="208">
        <f>ROUND(F48*$E$55*-$E$62,0)</f>
        <v>82</v>
      </c>
    </row>
    <row r="49" spans="1:10" hidden="1">
      <c r="A49" s="154">
        <f>'ADJ SUMMARY'!A48</f>
        <v>0</v>
      </c>
      <c r="B49" s="155">
        <f>'ADJ SUMMARY'!C48</f>
        <v>0</v>
      </c>
      <c r="C49" s="156"/>
      <c r="D49" s="156"/>
      <c r="E49" s="208"/>
      <c r="F49" s="161">
        <f>'ADJ SUMMARY'!E48</f>
        <v>0</v>
      </c>
      <c r="G49" s="208">
        <f t="shared" si="7"/>
        <v>0</v>
      </c>
      <c r="H49" s="208"/>
      <c r="I49" s="208">
        <f t="shared" si="8"/>
        <v>0</v>
      </c>
    </row>
    <row r="50" spans="1:10" hidden="1">
      <c r="A50" s="154">
        <f>'ADJ SUMMARY'!A49</f>
        <v>0.01</v>
      </c>
      <c r="B50" s="155" t="str">
        <f>'ADJ SUMMARY'!C49</f>
        <v>Pro Forma Open</v>
      </c>
      <c r="C50" s="156"/>
      <c r="D50" s="156"/>
      <c r="E50" s="475"/>
      <c r="F50" s="476">
        <f>'ADJ SUMMARY'!E49</f>
        <v>0</v>
      </c>
      <c r="G50" s="475">
        <f t="shared" ref="G50" si="11">SUM(E50:F50)</f>
        <v>0</v>
      </c>
      <c r="H50" s="475"/>
      <c r="I50" s="475">
        <f t="shared" ref="I50" si="12">ROUND(F50*$E$55*-$E$62,0)</f>
        <v>0</v>
      </c>
    </row>
    <row r="51" spans="1:10">
      <c r="B51" s="162"/>
      <c r="C51" s="156"/>
      <c r="D51" s="156"/>
      <c r="E51" s="520">
        <f>SUM(E11:E50)</f>
        <v>405933</v>
      </c>
      <c r="F51" s="520">
        <f>SUM(F11:F50)</f>
        <v>26936.523269813857</v>
      </c>
      <c r="G51" s="520">
        <f>SUM(G11:G50)</f>
        <v>432869.52326981386</v>
      </c>
      <c r="H51" s="209"/>
      <c r="I51" s="520">
        <f>SUM(I11:I50)</f>
        <v>9.8299999999999272</v>
      </c>
    </row>
    <row r="52" spans="1:10">
      <c r="B52" s="162"/>
      <c r="C52" s="156"/>
      <c r="D52" s="156"/>
      <c r="E52" s="209"/>
      <c r="F52" s="210"/>
      <c r="G52" s="211"/>
      <c r="H52" s="208"/>
      <c r="I52" s="208"/>
    </row>
    <row r="53" spans="1:10">
      <c r="B53" s="162"/>
      <c r="C53" s="156"/>
      <c r="D53" s="156"/>
      <c r="E53" s="209"/>
      <c r="F53" s="210"/>
      <c r="G53" s="211"/>
      <c r="H53" s="208"/>
      <c r="I53" s="208"/>
    </row>
    <row r="54" spans="1:10" ht="5.25" customHeight="1">
      <c r="C54" s="156"/>
      <c r="D54" s="156"/>
      <c r="E54" s="209"/>
      <c r="F54" s="209"/>
      <c r="G54" s="209"/>
      <c r="H54" s="208"/>
      <c r="I54" s="208"/>
    </row>
    <row r="55" spans="1:10">
      <c r="B55" s="155" t="s">
        <v>122</v>
      </c>
      <c r="C55" s="156"/>
      <c r="D55" s="156"/>
      <c r="E55" s="217">
        <f>'RR SUMMARY'!P12</f>
        <v>2.5599999999999998E-2</v>
      </c>
      <c r="F55" s="217">
        <f>E55-I55</f>
        <v>2.5599999999999998E-2</v>
      </c>
      <c r="G55" s="217"/>
      <c r="H55" s="216"/>
      <c r="I55" s="217"/>
    </row>
    <row r="56" spans="1:10" ht="6" customHeight="1">
      <c r="C56" s="156"/>
      <c r="D56" s="156"/>
      <c r="E56" s="209"/>
      <c r="F56" s="209"/>
      <c r="G56" s="209"/>
      <c r="H56" s="208"/>
      <c r="I56" s="208"/>
    </row>
    <row r="57" spans="1:10">
      <c r="B57" s="155" t="s">
        <v>118</v>
      </c>
      <c r="C57" s="156"/>
      <c r="D57" s="156"/>
      <c r="E57" s="209">
        <f>E51*E55</f>
        <v>10391.8848</v>
      </c>
      <c r="F57" s="209">
        <f>F51*F55</f>
        <v>689.57499570723473</v>
      </c>
      <c r="G57" s="209">
        <f>SUM(E57:F57)</f>
        <v>11081.459795707235</v>
      </c>
      <c r="H57" s="208"/>
      <c r="I57" s="209">
        <f>SUM(I11:I48)</f>
        <v>9.8299999999999272</v>
      </c>
    </row>
    <row r="58" spans="1:10">
      <c r="C58" s="156"/>
      <c r="D58" s="156"/>
      <c r="E58" s="209"/>
      <c r="F58" s="209"/>
      <c r="G58" s="209"/>
      <c r="H58" s="208"/>
      <c r="I58" s="209"/>
    </row>
    <row r="59" spans="1:10">
      <c r="B59" s="155" t="s">
        <v>226</v>
      </c>
      <c r="C59" s="156"/>
      <c r="D59" s="156"/>
      <c r="E59" s="213">
        <v>11123</v>
      </c>
      <c r="F59" s="213"/>
      <c r="G59" s="212">
        <f>SUM(E59:F59)</f>
        <v>11123</v>
      </c>
      <c r="H59" s="208"/>
      <c r="I59" s="261"/>
    </row>
    <row r="60" spans="1:10" ht="5.25" customHeight="1">
      <c r="C60" s="156"/>
      <c r="D60" s="156"/>
      <c r="E60" s="209"/>
      <c r="F60" s="209"/>
      <c r="G60" s="209"/>
      <c r="H60" s="208"/>
      <c r="I60" s="262"/>
    </row>
    <row r="61" spans="1:10">
      <c r="B61" s="155" t="s">
        <v>119</v>
      </c>
      <c r="C61" s="156"/>
      <c r="D61" s="156"/>
      <c r="E61" s="209">
        <f>E57-E59</f>
        <v>-731.11520000000019</v>
      </c>
      <c r="F61" s="209">
        <f>F57-F59</f>
        <v>689.57499570723473</v>
      </c>
      <c r="G61" s="209">
        <f>SUM(E61:F61)</f>
        <v>-41.540204292765452</v>
      </c>
      <c r="H61" s="208"/>
      <c r="I61" s="262"/>
    </row>
    <row r="62" spans="1:10" ht="18" customHeight="1">
      <c r="B62" s="155" t="s">
        <v>120</v>
      </c>
      <c r="D62" s="156"/>
      <c r="E62" s="215">
        <v>0.21</v>
      </c>
      <c r="F62" s="215">
        <v>0.21</v>
      </c>
      <c r="G62" s="215"/>
      <c r="H62" s="216"/>
      <c r="I62" s="215"/>
    </row>
    <row r="63" spans="1:10" ht="5.25" customHeight="1" thickBot="1">
      <c r="D63" s="156"/>
      <c r="E63" s="209"/>
      <c r="F63" s="209"/>
      <c r="G63" s="209"/>
      <c r="H63" s="208"/>
      <c r="I63" s="209"/>
    </row>
    <row r="64" spans="1:10" ht="13.5" thickBot="1">
      <c r="B64" s="155" t="s">
        <v>121</v>
      </c>
      <c r="D64" s="156"/>
      <c r="E64" s="266">
        <f>ROUND(E61*-E62,0)</f>
        <v>154</v>
      </c>
      <c r="F64" s="214">
        <f>ROUND(F61*-F62,0)</f>
        <v>-145</v>
      </c>
      <c r="G64" s="214">
        <f>SUM(E64:F64)</f>
        <v>9</v>
      </c>
      <c r="H64" s="208"/>
      <c r="I64" s="214">
        <f>I57</f>
        <v>9.8299999999999272</v>
      </c>
      <c r="J64" s="466" t="s">
        <v>409</v>
      </c>
    </row>
    <row r="65" spans="1:10">
      <c r="F65" s="164"/>
      <c r="J65" s="177">
        <f>I64-'ADJ DETAIL INPUT'!W53-'ADJ DETAIL INPUT'!AU54</f>
        <v>-4.3051709014808068</v>
      </c>
    </row>
    <row r="66" spans="1:10" hidden="1">
      <c r="A66" s="165" t="s">
        <v>201</v>
      </c>
      <c r="B66" s="166" t="s">
        <v>202</v>
      </c>
    </row>
    <row r="67" spans="1:10" hidden="1">
      <c r="B67" s="158" t="s">
        <v>203</v>
      </c>
    </row>
    <row r="68" spans="1:10" hidden="1">
      <c r="B68" s="155" t="s">
        <v>204</v>
      </c>
      <c r="C68" s="167">
        <v>2430</v>
      </c>
      <c r="H68" s="148" t="s">
        <v>205</v>
      </c>
    </row>
    <row r="69" spans="1:10" hidden="1">
      <c r="B69" s="155" t="s">
        <v>206</v>
      </c>
      <c r="C69" s="168">
        <v>2935</v>
      </c>
      <c r="H69" s="148" t="s">
        <v>205</v>
      </c>
    </row>
    <row r="70" spans="1:10" hidden="1">
      <c r="B70" s="155" t="s">
        <v>207</v>
      </c>
      <c r="C70" s="169">
        <f>C68+C69</f>
        <v>5365</v>
      </c>
    </row>
    <row r="71" spans="1:10" hidden="1">
      <c r="C71" s="163"/>
    </row>
    <row r="72" spans="1:10" hidden="1">
      <c r="C72" s="170"/>
      <c r="D72" s="153"/>
      <c r="E72" s="153" t="s">
        <v>208</v>
      </c>
    </row>
    <row r="73" spans="1:10" hidden="1">
      <c r="C73" s="160" t="s">
        <v>209</v>
      </c>
      <c r="D73" s="160" t="s">
        <v>210</v>
      </c>
      <c r="E73" s="160" t="s">
        <v>24</v>
      </c>
    </row>
    <row r="74" spans="1:10" hidden="1">
      <c r="B74" s="155" t="s">
        <v>211</v>
      </c>
      <c r="C74" s="171" t="e">
        <f>#REF!</f>
        <v>#REF!</v>
      </c>
      <c r="D74" s="172" t="e">
        <f>ROUND(C74/$C$77,4)</f>
        <v>#REF!</v>
      </c>
      <c r="E74" s="171" t="e">
        <f>D74*E77</f>
        <v>#REF!</v>
      </c>
      <c r="F74" s="173"/>
    </row>
    <row r="75" spans="1:10" hidden="1">
      <c r="B75" s="155" t="s">
        <v>212</v>
      </c>
      <c r="C75" s="174" t="e">
        <f>#REF!</f>
        <v>#REF!</v>
      </c>
      <c r="D75" s="172" t="e">
        <f>ROUND(C75/$C$77,4)</f>
        <v>#REF!</v>
      </c>
      <c r="E75" s="174" t="e">
        <f>D75*E77</f>
        <v>#REF!</v>
      </c>
    </row>
    <row r="76" spans="1:10" hidden="1">
      <c r="B76" s="155" t="s">
        <v>213</v>
      </c>
      <c r="C76" s="174" t="e">
        <f>#REF!</f>
        <v>#REF!</v>
      </c>
      <c r="D76" s="172" t="e">
        <f>ROUND(C76/$C$77,4)-0.0001</f>
        <v>#REF!</v>
      </c>
      <c r="E76" s="174" t="e">
        <f>E77*D76</f>
        <v>#REF!</v>
      </c>
    </row>
    <row r="77" spans="1:10" hidden="1">
      <c r="B77" s="155" t="s">
        <v>214</v>
      </c>
      <c r="C77" s="175" t="e">
        <f>C74+C75+C76</f>
        <v>#REF!</v>
      </c>
      <c r="D77" s="176" t="e">
        <f>D74+D75+D76</f>
        <v>#REF!</v>
      </c>
      <c r="E77" s="175">
        <f>C70</f>
        <v>5365</v>
      </c>
    </row>
    <row r="78" spans="1:10" hidden="1">
      <c r="C78" s="177"/>
      <c r="D78" s="177"/>
      <c r="E78" s="177"/>
    </row>
    <row r="79" spans="1:10" hidden="1">
      <c r="B79" s="155" t="s">
        <v>215</v>
      </c>
      <c r="C79" s="171" t="e">
        <f>#REF!</f>
        <v>#REF!</v>
      </c>
      <c r="D79" s="172" t="e">
        <f>C79/C81</f>
        <v>#REF!</v>
      </c>
      <c r="E79" s="171" t="e">
        <f>D79*E81</f>
        <v>#REF!</v>
      </c>
    </row>
    <row r="80" spans="1:10" hidden="1">
      <c r="B80" s="155" t="s">
        <v>216</v>
      </c>
      <c r="C80" s="177" t="e">
        <f>#REF!</f>
        <v>#REF!</v>
      </c>
      <c r="D80" s="172" t="e">
        <f>C80/C81</f>
        <v>#REF!</v>
      </c>
      <c r="E80" s="177" t="e">
        <f>D80*E81</f>
        <v>#REF!</v>
      </c>
    </row>
    <row r="81" spans="1:6" hidden="1">
      <c r="B81" s="155" t="s">
        <v>214</v>
      </c>
      <c r="C81" s="175" t="e">
        <f>C79+C80</f>
        <v>#REF!</v>
      </c>
      <c r="D81" s="176" t="e">
        <f>D79+D80</f>
        <v>#REF!</v>
      </c>
      <c r="E81" s="175" t="e">
        <f>E74</f>
        <v>#REF!</v>
      </c>
    </row>
    <row r="82" spans="1:6" hidden="1">
      <c r="C82" s="177"/>
      <c r="D82" s="177"/>
      <c r="E82" s="177"/>
    </row>
    <row r="83" spans="1:6" hidden="1">
      <c r="B83" s="155" t="s">
        <v>217</v>
      </c>
      <c r="C83" s="171" t="e">
        <f>#REF!</f>
        <v>#REF!</v>
      </c>
      <c r="D83" s="178" t="e">
        <f>C83/C85</f>
        <v>#REF!</v>
      </c>
      <c r="E83" s="171" t="e">
        <f>E85*D83</f>
        <v>#REF!</v>
      </c>
    </row>
    <row r="84" spans="1:6" hidden="1">
      <c r="B84" s="155" t="s">
        <v>218</v>
      </c>
      <c r="C84" s="177" t="e">
        <f>#REF!</f>
        <v>#REF!</v>
      </c>
      <c r="D84" s="179" t="e">
        <f>C84/C85</f>
        <v>#REF!</v>
      </c>
      <c r="E84" s="177" t="e">
        <f>E85*D84</f>
        <v>#REF!</v>
      </c>
    </row>
    <row r="85" spans="1:6" hidden="1">
      <c r="B85" s="155" t="s">
        <v>214</v>
      </c>
      <c r="C85" s="175" t="e">
        <f>SUM(C83:C84)</f>
        <v>#REF!</v>
      </c>
      <c r="D85" s="180" t="e">
        <f>SUM(D83:D84)</f>
        <v>#REF!</v>
      </c>
      <c r="E85" s="175" t="e">
        <f>E75</f>
        <v>#REF!</v>
      </c>
    </row>
    <row r="86" spans="1:6" hidden="1">
      <c r="A86" s="181" t="str">
        <f>A1</f>
        <v>AVISTA UTILITIES</v>
      </c>
      <c r="C86" s="182"/>
      <c r="D86" s="183"/>
      <c r="E86" s="182"/>
      <c r="F86" s="183"/>
    </row>
    <row r="87" spans="1:6" hidden="1">
      <c r="A87" s="181" t="str">
        <f>A2</f>
        <v>Restate Debt Interest</v>
      </c>
      <c r="C87" s="182"/>
      <c r="D87" s="183"/>
      <c r="E87" s="182"/>
      <c r="F87" s="183"/>
    </row>
    <row r="88" spans="1:6" hidden="1">
      <c r="A88" s="181" t="s">
        <v>219</v>
      </c>
      <c r="C88" s="182"/>
      <c r="D88" s="183"/>
      <c r="E88" s="182"/>
      <c r="F88" s="183"/>
    </row>
    <row r="89" spans="1:6" hidden="1">
      <c r="A89" s="184" t="str">
        <f>A4</f>
        <v>TWELVE MONTHS ENDED DECEMBER 31, 2019</v>
      </c>
      <c r="C89" s="151"/>
      <c r="D89" s="183"/>
      <c r="E89" s="151"/>
      <c r="F89" s="183"/>
    </row>
    <row r="90" spans="1:6" hidden="1">
      <c r="A90" s="185" t="s">
        <v>115</v>
      </c>
      <c r="C90" s="182"/>
      <c r="D90" s="183"/>
      <c r="E90" s="183"/>
      <c r="F90" s="183"/>
    </row>
    <row r="91" spans="1:6" hidden="1">
      <c r="C91" s="156"/>
      <c r="D91" s="156"/>
      <c r="E91" s="157"/>
      <c r="F91" s="153" t="s">
        <v>19</v>
      </c>
    </row>
    <row r="92" spans="1:6" hidden="1">
      <c r="B92" s="158" t="s">
        <v>116</v>
      </c>
      <c r="C92" s="156"/>
      <c r="D92" s="156"/>
      <c r="E92" s="157"/>
      <c r="F92" s="160" t="s">
        <v>117</v>
      </c>
    </row>
    <row r="93" spans="1:6" hidden="1">
      <c r="A93" s="154" t="e">
        <v>#REF!</v>
      </c>
      <c r="B93" s="155" t="e">
        <v>#REF!</v>
      </c>
      <c r="C93" s="156"/>
      <c r="D93" s="156"/>
      <c r="E93" s="163"/>
      <c r="F93" s="186" t="e">
        <v>#REF!</v>
      </c>
    </row>
    <row r="94" spans="1:6" hidden="1">
      <c r="A94" s="154" t="e">
        <v>#REF!</v>
      </c>
      <c r="B94" s="155" t="e">
        <v>#REF!</v>
      </c>
      <c r="C94" s="156"/>
      <c r="D94" s="156"/>
      <c r="E94" s="163"/>
      <c r="F94" s="186" t="e">
        <v>#REF!</v>
      </c>
    </row>
    <row r="95" spans="1:6" hidden="1">
      <c r="A95" s="154" t="e">
        <v>#REF!</v>
      </c>
      <c r="B95" s="155" t="e">
        <v>#REF!</v>
      </c>
      <c r="C95" s="156"/>
      <c r="D95" s="156"/>
      <c r="E95" s="163"/>
      <c r="F95" s="186" t="e">
        <v>#REF!</v>
      </c>
    </row>
    <row r="96" spans="1:6" hidden="1">
      <c r="A96" s="154" t="e">
        <v>#REF!</v>
      </c>
      <c r="B96" s="155" t="e">
        <v>#REF!</v>
      </c>
      <c r="C96" s="156"/>
      <c r="D96" s="156"/>
      <c r="E96" s="163"/>
      <c r="F96" s="186" t="e">
        <v>#REF!</v>
      </c>
    </row>
    <row r="97" spans="1:6" hidden="1">
      <c r="A97" s="154" t="e">
        <v>#REF!</v>
      </c>
      <c r="B97" s="155" t="e">
        <v>#REF!</v>
      </c>
      <c r="C97" s="156"/>
      <c r="D97" s="156"/>
      <c r="E97" s="163"/>
      <c r="F97" s="186" t="e">
        <v>#REF!</v>
      </c>
    </row>
    <row r="98" spans="1:6" hidden="1">
      <c r="A98" s="154" t="e">
        <v>#REF!</v>
      </c>
      <c r="B98" s="155" t="e">
        <v>#REF!</v>
      </c>
      <c r="C98" s="156"/>
      <c r="D98" s="156"/>
      <c r="E98" s="163"/>
      <c r="F98" s="186" t="e">
        <v>#REF!</v>
      </c>
    </row>
    <row r="99" spans="1:6" hidden="1">
      <c r="A99" s="154" t="e">
        <v>#REF!</v>
      </c>
      <c r="B99" s="155" t="e">
        <v>#REF!</v>
      </c>
      <c r="C99" s="156"/>
      <c r="D99" s="156"/>
      <c r="E99" s="163"/>
      <c r="F99" s="186" t="e">
        <v>#REF!</v>
      </c>
    </row>
    <row r="100" spans="1:6" hidden="1">
      <c r="A100" s="154" t="e">
        <v>#REF!</v>
      </c>
      <c r="B100" s="155" t="e">
        <v>#REF!</v>
      </c>
      <c r="C100" s="156"/>
      <c r="D100" s="156"/>
      <c r="E100" s="163"/>
      <c r="F100" s="186" t="e">
        <v>#REF!</v>
      </c>
    </row>
    <row r="101" spans="1:6" hidden="1">
      <c r="A101" s="154" t="e">
        <v>#REF!</v>
      </c>
      <c r="B101" s="155" t="e">
        <v>#REF!</v>
      </c>
      <c r="C101" s="156"/>
      <c r="D101" s="156"/>
      <c r="E101" s="163"/>
      <c r="F101" s="186" t="e">
        <v>#REF!</v>
      </c>
    </row>
    <row r="102" spans="1:6" hidden="1">
      <c r="A102" s="154" t="e">
        <v>#REF!</v>
      </c>
      <c r="B102" s="155" t="e">
        <v>#REF!</v>
      </c>
      <c r="C102" s="156"/>
      <c r="D102" s="156"/>
      <c r="E102" s="163"/>
      <c r="F102" s="186" t="e">
        <v>#REF!</v>
      </c>
    </row>
    <row r="103" spans="1:6" hidden="1">
      <c r="A103" s="154" t="e">
        <v>#REF!</v>
      </c>
      <c r="B103" s="155" t="e">
        <v>#REF!</v>
      </c>
      <c r="C103" s="156"/>
      <c r="D103" s="156"/>
      <c r="E103" s="163"/>
      <c r="F103" s="186" t="e">
        <v>#REF!</v>
      </c>
    </row>
    <row r="104" spans="1:6" hidden="1">
      <c r="A104" s="154" t="e">
        <v>#REF!</v>
      </c>
      <c r="B104" s="155" t="e">
        <v>#REF!</v>
      </c>
      <c r="C104" s="156"/>
      <c r="D104" s="156"/>
      <c r="E104" s="163"/>
      <c r="F104" s="186" t="e">
        <v>#REF!</v>
      </c>
    </row>
    <row r="105" spans="1:6" hidden="1">
      <c r="A105" s="154" t="e">
        <v>#REF!</v>
      </c>
      <c r="B105" s="155" t="e">
        <v>#REF!</v>
      </c>
      <c r="C105" s="156"/>
      <c r="D105" s="156"/>
      <c r="E105" s="163"/>
      <c r="F105" s="186" t="e">
        <v>#REF!</v>
      </c>
    </row>
    <row r="106" spans="1:6" hidden="1">
      <c r="A106" s="154" t="e">
        <v>#REF!</v>
      </c>
      <c r="B106" s="155" t="e">
        <v>#REF!</v>
      </c>
      <c r="C106" s="156"/>
      <c r="D106" s="156"/>
      <c r="E106" s="163"/>
      <c r="F106" s="186" t="e">
        <v>#REF!</v>
      </c>
    </row>
    <row r="107" spans="1:6" hidden="1">
      <c r="A107" s="154" t="e">
        <v>#REF!</v>
      </c>
      <c r="B107" s="155" t="e">
        <v>#REF!</v>
      </c>
      <c r="C107" s="156"/>
      <c r="D107" s="156"/>
      <c r="E107" s="163"/>
      <c r="F107" s="186" t="e">
        <v>#REF!</v>
      </c>
    </row>
    <row r="108" spans="1:6" hidden="1">
      <c r="A108" s="154" t="e">
        <v>#REF!</v>
      </c>
      <c r="B108" s="155" t="e">
        <v>#REF!</v>
      </c>
      <c r="C108" s="156"/>
      <c r="D108" s="156"/>
      <c r="E108" s="163"/>
      <c r="F108" s="186" t="e">
        <v>#REF!</v>
      </c>
    </row>
    <row r="109" spans="1:6" hidden="1">
      <c r="A109" s="154" t="e">
        <v>#REF!</v>
      </c>
      <c r="B109" s="155" t="e">
        <v>#REF!</v>
      </c>
      <c r="C109" s="156"/>
      <c r="D109" s="156"/>
      <c r="E109" s="163"/>
      <c r="F109" s="186" t="e">
        <v>#REF!</v>
      </c>
    </row>
    <row r="110" spans="1:6" hidden="1">
      <c r="A110" s="154" t="e">
        <v>#REF!</v>
      </c>
      <c r="B110" s="155" t="e">
        <v>#REF!</v>
      </c>
      <c r="C110" s="156"/>
      <c r="D110" s="156"/>
      <c r="E110" s="163"/>
      <c r="F110" s="186" t="e">
        <v>#REF!</v>
      </c>
    </row>
    <row r="111" spans="1:6" hidden="1">
      <c r="A111" s="154" t="e">
        <v>#REF!</v>
      </c>
      <c r="B111" s="155" t="e">
        <v>#REF!</v>
      </c>
      <c r="C111" s="156"/>
      <c r="D111" s="156"/>
      <c r="E111" s="163"/>
      <c r="F111" s="186" t="e">
        <v>#REF!</v>
      </c>
    </row>
    <row r="112" spans="1:6" hidden="1">
      <c r="A112" s="154" t="e">
        <v>#REF!</v>
      </c>
      <c r="B112" s="155" t="e">
        <v>#REF!</v>
      </c>
      <c r="C112" s="156"/>
      <c r="D112" s="156"/>
      <c r="E112" s="163"/>
      <c r="F112" s="186" t="e">
        <v>#REF!</v>
      </c>
    </row>
    <row r="113" spans="1:6" hidden="1">
      <c r="A113" s="154" t="e">
        <v>#REF!</v>
      </c>
      <c r="B113" s="155" t="e">
        <v>#REF!</v>
      </c>
      <c r="C113" s="156"/>
      <c r="D113" s="156"/>
      <c r="E113" s="163"/>
      <c r="F113" s="186" t="e">
        <v>#REF!</v>
      </c>
    </row>
    <row r="114" spans="1:6" ht="5.25" hidden="1" customHeight="1">
      <c r="C114" s="156"/>
      <c r="D114" s="156"/>
      <c r="E114" s="163"/>
      <c r="F114" s="186"/>
    </row>
    <row r="115" spans="1:6" ht="13.5" hidden="1" customHeight="1">
      <c r="A115" s="154" t="e">
        <v>#REF!</v>
      </c>
      <c r="B115" s="155" t="e">
        <v>#REF!</v>
      </c>
      <c r="C115" s="156"/>
      <c r="D115" s="156"/>
      <c r="E115" s="163"/>
      <c r="F115" s="186" t="e">
        <v>#REF!</v>
      </c>
    </row>
    <row r="116" spans="1:6" hidden="1">
      <c r="A116" s="154" t="e">
        <v>#REF!</v>
      </c>
      <c r="B116" s="155" t="e">
        <v>#REF!</v>
      </c>
      <c r="C116" s="156"/>
      <c r="D116" s="156"/>
      <c r="E116" s="163"/>
      <c r="F116" s="186" t="e">
        <v>#REF!</v>
      </c>
    </row>
    <row r="117" spans="1:6" hidden="1">
      <c r="A117" s="154" t="e">
        <v>#REF!</v>
      </c>
      <c r="B117" s="155" t="e">
        <v>#REF!</v>
      </c>
      <c r="C117" s="156"/>
      <c r="D117" s="156"/>
      <c r="E117" s="163"/>
      <c r="F117" s="186" t="e">
        <v>#REF!</v>
      </c>
    </row>
    <row r="118" spans="1:6" hidden="1">
      <c r="A118" s="154" t="e">
        <v>#REF!</v>
      </c>
      <c r="B118" s="155" t="e">
        <v>#REF!</v>
      </c>
      <c r="C118" s="156"/>
      <c r="D118" s="156"/>
      <c r="E118" s="163"/>
      <c r="F118" s="186" t="e">
        <v>#REF!</v>
      </c>
    </row>
    <row r="119" spans="1:6" hidden="1">
      <c r="A119" s="154" t="e">
        <v>#REF!</v>
      </c>
      <c r="B119" s="155" t="e">
        <v>#REF!</v>
      </c>
      <c r="C119" s="156"/>
      <c r="D119" s="156"/>
      <c r="E119" s="163"/>
      <c r="F119" s="186" t="e">
        <v>#REF!</v>
      </c>
    </row>
    <row r="120" spans="1:6" hidden="1">
      <c r="A120" s="154" t="e">
        <v>#REF!</v>
      </c>
      <c r="B120" s="155" t="e">
        <v>#REF!</v>
      </c>
      <c r="C120" s="156"/>
      <c r="D120" s="156"/>
      <c r="E120" s="163"/>
      <c r="F120" s="186" t="e">
        <v>#REF!</v>
      </c>
    </row>
    <row r="121" spans="1:6" hidden="1">
      <c r="A121" s="154" t="e">
        <v>#REF!</v>
      </c>
      <c r="B121" s="155" t="e">
        <v>#REF!</v>
      </c>
      <c r="C121" s="156"/>
      <c r="D121" s="156"/>
      <c r="E121" s="163"/>
      <c r="F121" s="186" t="e">
        <v>#REF!</v>
      </c>
    </row>
    <row r="122" spans="1:6" hidden="1">
      <c r="A122" s="154" t="e">
        <v>#REF!</v>
      </c>
      <c r="B122" s="155" t="e">
        <v>#REF!</v>
      </c>
      <c r="C122" s="156"/>
      <c r="D122" s="156"/>
      <c r="E122" s="163"/>
      <c r="F122" s="186" t="e">
        <v>#REF!</v>
      </c>
    </row>
    <row r="123" spans="1:6" hidden="1">
      <c r="A123" s="154" t="e">
        <v>#REF!</v>
      </c>
      <c r="B123" s="155" t="e">
        <v>#REF!</v>
      </c>
      <c r="C123" s="156"/>
      <c r="D123" s="156"/>
      <c r="E123" s="163"/>
      <c r="F123" s="186" t="e">
        <v>#REF!</v>
      </c>
    </row>
    <row r="124" spans="1:6" hidden="1">
      <c r="A124" s="154" t="e">
        <v>#REF!</v>
      </c>
      <c r="B124" s="155" t="e">
        <v>#REF!</v>
      </c>
      <c r="C124" s="156"/>
      <c r="D124" s="156"/>
      <c r="E124" s="163"/>
      <c r="F124" s="186" t="e">
        <v>#REF!</v>
      </c>
    </row>
    <row r="125" spans="1:6" hidden="1">
      <c r="A125" s="154" t="e">
        <v>#REF!</v>
      </c>
      <c r="B125" s="155" t="e">
        <v>#REF!</v>
      </c>
      <c r="C125" s="156"/>
      <c r="D125" s="156"/>
      <c r="E125" s="163"/>
      <c r="F125" s="186" t="e">
        <v>#REF!</v>
      </c>
    </row>
    <row r="126" spans="1:6" hidden="1">
      <c r="A126" s="154" t="e">
        <v>#REF!</v>
      </c>
      <c r="B126" s="155" t="e">
        <v>#REF!</v>
      </c>
      <c r="C126" s="156"/>
      <c r="D126" s="156"/>
      <c r="E126" s="163"/>
      <c r="F126" s="186" t="e">
        <v>#REF!</v>
      </c>
    </row>
    <row r="127" spans="1:6" hidden="1">
      <c r="A127" s="154" t="e">
        <v>#REF!</v>
      </c>
      <c r="B127" s="155" t="e">
        <v>#REF!</v>
      </c>
      <c r="C127" s="156"/>
      <c r="D127" s="156"/>
      <c r="E127" s="163"/>
      <c r="F127" s="186" t="e">
        <v>#REF!</v>
      </c>
    </row>
    <row r="128" spans="1:6" hidden="1">
      <c r="A128" s="154" t="e">
        <v>#REF!</v>
      </c>
      <c r="B128" s="155" t="e">
        <v>#REF!</v>
      </c>
      <c r="C128" s="156"/>
      <c r="D128" s="156"/>
      <c r="E128" s="163"/>
      <c r="F128" s="186" t="e">
        <v>#REF!</v>
      </c>
    </row>
    <row r="129" spans="1:9" ht="13.5" hidden="1" customHeight="1">
      <c r="A129" s="154" t="e">
        <v>#REF!</v>
      </c>
      <c r="B129" s="155" t="e">
        <v>#REF!</v>
      </c>
      <c r="C129" s="156"/>
      <c r="D129" s="156"/>
      <c r="E129" s="163"/>
      <c r="F129" s="186" t="e">
        <v>#REF!</v>
      </c>
    </row>
    <row r="130" spans="1:9" ht="0.75" hidden="1" customHeight="1">
      <c r="A130" s="154" t="e">
        <v>#REF!</v>
      </c>
      <c r="B130" s="155" t="e">
        <v>#REF!</v>
      </c>
      <c r="C130" s="156"/>
      <c r="D130" s="156"/>
      <c r="E130" s="163"/>
      <c r="F130" s="186" t="e">
        <v>#REF!</v>
      </c>
    </row>
    <row r="131" spans="1:9" ht="13.5" hidden="1" customHeight="1">
      <c r="B131" s="155" t="s">
        <v>220</v>
      </c>
      <c r="C131" s="156"/>
      <c r="D131" s="156"/>
      <c r="E131" s="163"/>
      <c r="F131" s="169" t="e">
        <f>SUM(F93:F130)</f>
        <v>#REF!</v>
      </c>
    </row>
    <row r="132" spans="1:9" hidden="1">
      <c r="C132" s="156"/>
      <c r="D132" s="156"/>
      <c r="E132" s="156"/>
      <c r="F132" s="148"/>
      <c r="G132" s="187"/>
    </row>
    <row r="133" spans="1:9" hidden="1">
      <c r="B133" s="155" t="str">
        <f>B55</f>
        <v>Weighted Average Cost of Debt</v>
      </c>
      <c r="C133" s="188"/>
      <c r="D133" s="188"/>
      <c r="E133" s="189"/>
      <c r="F133" s="190" t="e">
        <v>#REF!</v>
      </c>
      <c r="H133" s="191" t="s">
        <v>221</v>
      </c>
      <c r="I133" s="177"/>
    </row>
    <row r="134" spans="1:9" hidden="1">
      <c r="C134" s="156"/>
      <c r="D134" s="156"/>
      <c r="F134" s="148"/>
    </row>
    <row r="135" spans="1:9" hidden="1">
      <c r="B135" s="155" t="s">
        <v>118</v>
      </c>
      <c r="C135" s="156"/>
      <c r="D135" s="156"/>
      <c r="E135" s="163"/>
      <c r="F135" s="163" t="e">
        <f>F131*F133</f>
        <v>#REF!</v>
      </c>
    </row>
    <row r="136" spans="1:9" hidden="1">
      <c r="C136" s="156"/>
      <c r="D136" s="156"/>
      <c r="E136" s="156"/>
      <c r="F136" s="148"/>
    </row>
    <row r="137" spans="1:9" hidden="1">
      <c r="B137" s="155" t="s">
        <v>222</v>
      </c>
      <c r="C137" s="156"/>
      <c r="D137" s="156"/>
      <c r="F137" s="192">
        <v>21469</v>
      </c>
      <c r="H137" s="193" t="s">
        <v>223</v>
      </c>
    </row>
    <row r="138" spans="1:9" hidden="1">
      <c r="C138" s="156"/>
      <c r="D138" s="156"/>
      <c r="E138" s="156"/>
      <c r="F138" s="148"/>
    </row>
    <row r="139" spans="1:9" hidden="1">
      <c r="B139" s="155" t="s">
        <v>119</v>
      </c>
      <c r="C139" s="156"/>
      <c r="D139" s="156"/>
      <c r="E139" s="163"/>
      <c r="F139" s="163" t="e">
        <f>F135-F137</f>
        <v>#REF!</v>
      </c>
    </row>
    <row r="140" spans="1:9" hidden="1">
      <c r="B140" s="155" t="s">
        <v>120</v>
      </c>
      <c r="D140" s="156"/>
      <c r="E140" s="194"/>
      <c r="F140" s="195">
        <v>0.35</v>
      </c>
    </row>
    <row r="141" spans="1:9" hidden="1">
      <c r="D141" s="156"/>
      <c r="E141" s="156"/>
      <c r="F141" s="148"/>
    </row>
    <row r="142" spans="1:9" hidden="1">
      <c r="B142" s="155" t="s">
        <v>121</v>
      </c>
      <c r="D142" s="156"/>
      <c r="E142" s="163"/>
      <c r="F142" s="163" t="e">
        <f>F139*-F140</f>
        <v>#REF!</v>
      </c>
      <c r="G142" s="163"/>
    </row>
    <row r="143" spans="1:9" ht="13.5" hidden="1" thickTop="1">
      <c r="D143" s="156"/>
      <c r="E143" s="163"/>
      <c r="F143" s="196"/>
    </row>
    <row r="144" spans="1:9" hidden="1">
      <c r="A144" s="197"/>
      <c r="F144" s="148"/>
    </row>
    <row r="145" spans="1:6" hidden="1">
      <c r="A145" s="197"/>
      <c r="B145" s="158" t="s">
        <v>203</v>
      </c>
      <c r="F145" s="148"/>
    </row>
    <row r="146" spans="1:6" hidden="1">
      <c r="A146" s="197"/>
      <c r="B146" s="155" t="s">
        <v>204</v>
      </c>
      <c r="C146" s="163">
        <f>C68</f>
        <v>2430</v>
      </c>
      <c r="F146" s="148"/>
    </row>
    <row r="147" spans="1:6" hidden="1">
      <c r="A147" s="197"/>
      <c r="B147" s="155" t="s">
        <v>206</v>
      </c>
      <c r="C147" s="148">
        <f>C69</f>
        <v>2935</v>
      </c>
      <c r="F147" s="148"/>
    </row>
    <row r="148" spans="1:6" hidden="1">
      <c r="A148" s="197"/>
      <c r="B148" s="155" t="s">
        <v>207</v>
      </c>
      <c r="C148" s="169">
        <f>C146+C147</f>
        <v>5365</v>
      </c>
      <c r="F148" s="148"/>
    </row>
    <row r="149" spans="1:6" hidden="1">
      <c r="A149" s="197"/>
      <c r="C149" s="163"/>
      <c r="F149" s="148"/>
    </row>
    <row r="150" spans="1:6" hidden="1">
      <c r="A150" s="197"/>
      <c r="C150" s="170"/>
      <c r="D150" s="153"/>
      <c r="E150" s="153" t="s">
        <v>208</v>
      </c>
      <c r="F150" s="148"/>
    </row>
    <row r="151" spans="1:6" hidden="1">
      <c r="A151" s="197"/>
      <c r="C151" s="160" t="s">
        <v>209</v>
      </c>
      <c r="D151" s="160" t="s">
        <v>210</v>
      </c>
      <c r="E151" s="160" t="s">
        <v>24</v>
      </c>
      <c r="F151" s="148"/>
    </row>
    <row r="152" spans="1:6" hidden="1">
      <c r="A152" s="197"/>
      <c r="B152" s="155" t="s">
        <v>211</v>
      </c>
      <c r="C152" s="163" t="e">
        <f>$C$74</f>
        <v>#REF!</v>
      </c>
      <c r="D152" s="198" t="e">
        <f>C152/C155</f>
        <v>#REF!</v>
      </c>
      <c r="E152" s="163" t="e">
        <f>D152*E155</f>
        <v>#REF!</v>
      </c>
      <c r="F152" s="148"/>
    </row>
    <row r="153" spans="1:6" hidden="1">
      <c r="A153" s="197"/>
      <c r="B153" s="155" t="s">
        <v>212</v>
      </c>
      <c r="C153" s="148" t="e">
        <f>$C$75</f>
        <v>#REF!</v>
      </c>
      <c r="D153" s="199" t="e">
        <f>C153/C155</f>
        <v>#REF!</v>
      </c>
      <c r="E153" s="200" t="e">
        <f>D153*E155</f>
        <v>#REF!</v>
      </c>
      <c r="F153" s="148"/>
    </row>
    <row r="154" spans="1:6" hidden="1">
      <c r="A154" s="197"/>
      <c r="B154" s="155" t="s">
        <v>213</v>
      </c>
      <c r="C154" s="148" t="e">
        <f>$C$76</f>
        <v>#REF!</v>
      </c>
      <c r="D154" s="199" t="e">
        <f>C154/C155</f>
        <v>#REF!</v>
      </c>
      <c r="E154" s="200" t="e">
        <f>E155*D154</f>
        <v>#REF!</v>
      </c>
      <c r="F154" s="148"/>
    </row>
    <row r="155" spans="1:6" hidden="1">
      <c r="A155" s="197"/>
      <c r="B155" s="155" t="s">
        <v>214</v>
      </c>
      <c r="C155" s="169" t="e">
        <f>C152+C153+C154</f>
        <v>#REF!</v>
      </c>
      <c r="D155" s="201" t="e">
        <f>D152+D153+D154</f>
        <v>#REF!</v>
      </c>
      <c r="E155" s="169">
        <f>C148</f>
        <v>5365</v>
      </c>
      <c r="F155" s="148"/>
    </row>
    <row r="156" spans="1:6" hidden="1">
      <c r="A156" s="197"/>
      <c r="F156" s="148"/>
    </row>
    <row r="157" spans="1:6" hidden="1">
      <c r="A157" s="197"/>
      <c r="B157" s="155" t="s">
        <v>215</v>
      </c>
      <c r="C157" s="163" t="e">
        <f>$C$79</f>
        <v>#REF!</v>
      </c>
      <c r="D157" s="198" t="e">
        <f>C157/C159</f>
        <v>#REF!</v>
      </c>
      <c r="E157" s="163" t="e">
        <f>D157*E159</f>
        <v>#REF!</v>
      </c>
      <c r="F157" s="148"/>
    </row>
    <row r="158" spans="1:6" hidden="1">
      <c r="A158" s="197"/>
      <c r="B158" s="155" t="s">
        <v>216</v>
      </c>
      <c r="C158" s="148" t="e">
        <f>$C$80</f>
        <v>#REF!</v>
      </c>
      <c r="D158" s="198" t="e">
        <f>C158/C159</f>
        <v>#REF!</v>
      </c>
      <c r="E158" s="148" t="e">
        <f>D158*E159</f>
        <v>#REF!</v>
      </c>
      <c r="F158" s="148"/>
    </row>
    <row r="159" spans="1:6" hidden="1">
      <c r="A159" s="197"/>
      <c r="B159" s="155" t="s">
        <v>214</v>
      </c>
      <c r="C159" s="169" t="e">
        <f>C157+C158</f>
        <v>#REF!</v>
      </c>
      <c r="D159" s="201" t="e">
        <f>D157+D158</f>
        <v>#REF!</v>
      </c>
      <c r="E159" s="169" t="e">
        <f>E152</f>
        <v>#REF!</v>
      </c>
      <c r="F159" s="148"/>
    </row>
    <row r="160" spans="1:6" hidden="1">
      <c r="A160" s="197"/>
      <c r="F160" s="148"/>
    </row>
    <row r="161" spans="1:6" hidden="1">
      <c r="A161" s="197"/>
      <c r="B161" s="155" t="s">
        <v>217</v>
      </c>
      <c r="C161" s="163" t="e">
        <f>$C$83</f>
        <v>#REF!</v>
      </c>
      <c r="D161" s="202" t="e">
        <f>C161/C163</f>
        <v>#REF!</v>
      </c>
      <c r="E161" s="163" t="e">
        <f>E163*D161</f>
        <v>#REF!</v>
      </c>
      <c r="F161" s="148"/>
    </row>
    <row r="162" spans="1:6" hidden="1">
      <c r="A162" s="197"/>
      <c r="B162" s="155" t="s">
        <v>218</v>
      </c>
      <c r="C162" s="148" t="e">
        <f>C$84</f>
        <v>#REF!</v>
      </c>
      <c r="D162" s="203" t="e">
        <f>C162/C163</f>
        <v>#REF!</v>
      </c>
      <c r="E162" s="148" t="e">
        <f>E163*D162</f>
        <v>#REF!</v>
      </c>
      <c r="F162" s="148"/>
    </row>
    <row r="163" spans="1:6" hidden="1">
      <c r="A163" s="197"/>
      <c r="B163" s="155" t="s">
        <v>214</v>
      </c>
      <c r="C163" s="169" t="e">
        <f>SUM(C161:C162)</f>
        <v>#REF!</v>
      </c>
      <c r="D163" s="204" t="e">
        <f>SUM(D161:D162)</f>
        <v>#REF!</v>
      </c>
      <c r="E163" s="169" t="e">
        <f>E153</f>
        <v>#REF!</v>
      </c>
      <c r="F163" s="148"/>
    </row>
  </sheetData>
  <mergeCells count="6">
    <mergeCell ref="E7:G7"/>
    <mergeCell ref="A1:H1"/>
    <mergeCell ref="A2:H2"/>
    <mergeCell ref="A3:H3"/>
    <mergeCell ref="A4:H4"/>
    <mergeCell ref="A5:H5"/>
  </mergeCells>
  <printOptions horizontalCentered="1"/>
  <pageMargins left="0.75" right="0.75" top="0.5" bottom="0.5" header="0.5" footer="0.25"/>
  <pageSetup scale="90" orientation="portrait" r:id="rId1"/>
  <headerFooter alignWithMargins="0"/>
  <rowBreaks count="1" manualBreakCount="1">
    <brk id="85" max="16383" man="1"/>
  </rowBreaks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5">
    <pageSetUpPr fitToPage="1"/>
  </sheetPr>
  <dimension ref="A1:O314"/>
  <sheetViews>
    <sheetView topLeftCell="A64" workbookViewId="0">
      <selection activeCell="T85" sqref="T85"/>
    </sheetView>
  </sheetViews>
  <sheetFormatPr defaultColWidth="9.1796875" defaultRowHeight="11.25" customHeight="1"/>
  <cols>
    <col min="1" max="1" width="8.453125" style="329" customWidth="1"/>
    <col min="2" max="2" width="26.1796875" style="329" customWidth="1"/>
    <col min="3" max="3" width="12.453125" style="329" customWidth="1"/>
    <col min="4" max="4" width="6.54296875" style="329" customWidth="1"/>
    <col min="5" max="5" width="12.453125" style="528" customWidth="1"/>
    <col min="6" max="6" width="12.453125" style="529" customWidth="1"/>
    <col min="7" max="7" width="12.453125" style="528" customWidth="1"/>
    <col min="8" max="8" width="12.81640625" style="329" bestFit="1" customWidth="1"/>
    <col min="9" max="9" width="12.1796875" style="329" bestFit="1" customWidth="1"/>
    <col min="10" max="15" width="9.1796875" style="329"/>
    <col min="16" max="16384" width="9.1796875" style="8"/>
  </cols>
  <sheetData>
    <row r="1" spans="1:8" ht="16.5" customHeight="1">
      <c r="F1" s="273"/>
    </row>
    <row r="2" spans="1:8" ht="4.5" customHeight="1"/>
    <row r="3" spans="1:8" ht="11.5">
      <c r="A3" s="821" t="s">
        <v>112</v>
      </c>
      <c r="B3" s="821"/>
      <c r="C3" s="821"/>
      <c r="E3" s="530"/>
      <c r="F3" s="531"/>
      <c r="G3" s="530"/>
    </row>
    <row r="4" spans="1:8" ht="11.5">
      <c r="A4" s="532" t="s">
        <v>190</v>
      </c>
      <c r="B4" s="532"/>
      <c r="C4" s="532"/>
      <c r="E4" s="533" t="s">
        <v>76</v>
      </c>
      <c r="F4" s="533"/>
      <c r="G4" s="533"/>
    </row>
    <row r="5" spans="1:8" ht="11.5">
      <c r="A5" s="821" t="s">
        <v>518</v>
      </c>
      <c r="B5" s="821"/>
      <c r="C5" s="821"/>
      <c r="E5" s="533" t="s">
        <v>77</v>
      </c>
      <c r="F5" s="533"/>
      <c r="G5" s="533"/>
    </row>
    <row r="6" spans="1:8" ht="11.5">
      <c r="A6" s="532" t="s">
        <v>78</v>
      </c>
      <c r="B6" s="532"/>
      <c r="C6" s="532"/>
      <c r="E6" s="534"/>
      <c r="F6" s="535" t="s">
        <v>79</v>
      </c>
      <c r="G6" s="534"/>
    </row>
    <row r="7" spans="1:8" ht="11.5">
      <c r="A7" s="526" t="s">
        <v>7</v>
      </c>
      <c r="E7" s="530"/>
      <c r="F7" s="536"/>
      <c r="G7" s="530"/>
    </row>
    <row r="8" spans="1:8" ht="11.5">
      <c r="A8" s="537" t="s">
        <v>16</v>
      </c>
      <c r="B8" s="538" t="s">
        <v>71</v>
      </c>
      <c r="C8" s="538"/>
      <c r="E8" s="539" t="s">
        <v>80</v>
      </c>
      <c r="F8" s="540" t="s">
        <v>81</v>
      </c>
      <c r="G8" s="539" t="s">
        <v>82</v>
      </c>
      <c r="H8" s="9" t="s">
        <v>83</v>
      </c>
    </row>
    <row r="9" spans="1:8" ht="11.5">
      <c r="A9" s="526"/>
      <c r="B9" s="329" t="s">
        <v>32</v>
      </c>
      <c r="E9" s="541"/>
      <c r="F9" s="536"/>
      <c r="G9" s="541"/>
    </row>
    <row r="10" spans="1:8" ht="11.5">
      <c r="A10" s="526"/>
      <c r="B10" s="88"/>
      <c r="E10" s="60"/>
      <c r="F10" s="542"/>
      <c r="G10" s="542"/>
    </row>
    <row r="11" spans="1:8" ht="11.5">
      <c r="A11" s="526"/>
      <c r="B11" s="88"/>
      <c r="E11" s="60"/>
      <c r="F11" s="542"/>
      <c r="G11" s="542"/>
    </row>
    <row r="12" spans="1:8" ht="11.5">
      <c r="A12" s="526"/>
      <c r="E12" s="541"/>
      <c r="F12" s="536"/>
      <c r="G12" s="536"/>
    </row>
    <row r="13" spans="1:8" ht="5.25" customHeight="1">
      <c r="A13" s="526"/>
      <c r="E13" s="541"/>
      <c r="F13" s="536"/>
      <c r="G13" s="536"/>
    </row>
    <row r="14" spans="1:8" ht="11.5">
      <c r="A14" s="526"/>
      <c r="E14" s="541"/>
      <c r="F14" s="536"/>
      <c r="G14" s="536"/>
    </row>
    <row r="15" spans="1:8" ht="11.5">
      <c r="A15" s="526">
        <v>1</v>
      </c>
      <c r="B15" s="329" t="s">
        <v>84</v>
      </c>
      <c r="E15" s="22">
        <f>F15+G15</f>
        <v>142552</v>
      </c>
      <c r="F15" s="374">
        <f>F94</f>
        <v>142552</v>
      </c>
      <c r="G15" s="374">
        <f>G94</f>
        <v>0</v>
      </c>
      <c r="H15" s="543" t="str">
        <f>IF(E15=F15+G15," ","ERROR")</f>
        <v xml:space="preserve"> </v>
      </c>
    </row>
    <row r="16" spans="1:8" ht="11.5">
      <c r="A16" s="526">
        <v>2</v>
      </c>
      <c r="B16" s="329" t="s">
        <v>85</v>
      </c>
      <c r="E16" s="10">
        <f>F16+G16</f>
        <v>5183</v>
      </c>
      <c r="F16" s="544">
        <f>F99</f>
        <v>5183</v>
      </c>
      <c r="G16" s="544">
        <f>G99</f>
        <v>0</v>
      </c>
      <c r="H16" s="543" t="str">
        <f>IF(E16=F16+G16," ","ERROR")</f>
        <v xml:space="preserve"> </v>
      </c>
    </row>
    <row r="17" spans="1:8" ht="11.5">
      <c r="A17" s="526">
        <v>3</v>
      </c>
      <c r="B17" s="329" t="s">
        <v>35</v>
      </c>
      <c r="E17" s="545">
        <f>F17+G17</f>
        <v>60090</v>
      </c>
      <c r="F17" s="546">
        <f>F104-F99-1</f>
        <v>60090</v>
      </c>
      <c r="G17" s="546">
        <f>G104-G99</f>
        <v>0</v>
      </c>
      <c r="H17" s="543" t="str">
        <f>IF(E17=F17+G17," ","ERROR")</f>
        <v xml:space="preserve"> </v>
      </c>
    </row>
    <row r="18" spans="1:8" ht="11.5">
      <c r="A18" s="526">
        <v>4</v>
      </c>
      <c r="B18" s="329" t="s">
        <v>86</v>
      </c>
      <c r="E18" s="10">
        <f>SUM(E15:E17)</f>
        <v>207825</v>
      </c>
      <c r="F18" s="10">
        <f>SUM(F15:F17)</f>
        <v>207825</v>
      </c>
      <c r="G18" s="10">
        <f>SUM(G15:G17)</f>
        <v>0</v>
      </c>
      <c r="H18" s="543" t="str">
        <f>IF(E18=F18+G18," ","ERROR")</f>
        <v xml:space="preserve"> </v>
      </c>
    </row>
    <row r="19" spans="1:8" ht="11.5">
      <c r="A19" s="526"/>
      <c r="E19" s="10"/>
      <c r="F19" s="10"/>
      <c r="G19" s="10"/>
      <c r="H19" s="543"/>
    </row>
    <row r="20" spans="1:8" ht="11.5">
      <c r="A20" s="526"/>
      <c r="B20" s="329" t="s">
        <v>37</v>
      </c>
      <c r="E20" s="10"/>
      <c r="F20" s="10"/>
      <c r="G20" s="10"/>
      <c r="H20" s="543"/>
    </row>
    <row r="21" spans="1:8" ht="11.5">
      <c r="A21" s="526"/>
      <c r="B21" s="329" t="s">
        <v>193</v>
      </c>
      <c r="E21" s="10"/>
      <c r="F21" s="544"/>
      <c r="G21" s="544"/>
      <c r="H21" s="547" t="str">
        <f>IF(E21=F21+G21," ","ERROR")</f>
        <v xml:space="preserve"> </v>
      </c>
    </row>
    <row r="22" spans="1:8" ht="11.5">
      <c r="A22" s="526">
        <v>5</v>
      </c>
      <c r="B22" s="329" t="s">
        <v>87</v>
      </c>
      <c r="E22" s="10">
        <f>F22+G22</f>
        <v>100541</v>
      </c>
      <c r="F22" s="544">
        <f>F108</f>
        <v>100541</v>
      </c>
      <c r="G22" s="544">
        <f>G108</f>
        <v>0</v>
      </c>
      <c r="H22" s="543" t="str">
        <f>IF(E22=F22+G22," ","ERROR")</f>
        <v xml:space="preserve"> </v>
      </c>
    </row>
    <row r="23" spans="1:8" ht="11.5">
      <c r="A23" s="526">
        <v>6</v>
      </c>
      <c r="B23" s="329" t="s">
        <v>88</v>
      </c>
      <c r="E23" s="10">
        <f>F23+G23</f>
        <v>959</v>
      </c>
      <c r="F23" s="544">
        <f>F111+F112+1</f>
        <v>959</v>
      </c>
      <c r="G23" s="544">
        <f>G110+G111+G112</f>
        <v>0</v>
      </c>
      <c r="H23" s="543" t="str">
        <f>IF(E23=F23+G23," ","ERROR")</f>
        <v xml:space="preserve"> </v>
      </c>
    </row>
    <row r="24" spans="1:8" ht="11.5">
      <c r="A24" s="526">
        <v>7</v>
      </c>
      <c r="B24" s="329" t="s">
        <v>89</v>
      </c>
      <c r="E24" s="545">
        <f>F24+G24</f>
        <v>-1928</v>
      </c>
      <c r="F24" s="546">
        <f>F109+F110</f>
        <v>-1928</v>
      </c>
      <c r="G24" s="546">
        <f>G109</f>
        <v>0</v>
      </c>
      <c r="H24" s="543" t="str">
        <f>IF(E24=F24+G24," ","ERROR")</f>
        <v xml:space="preserve"> </v>
      </c>
    </row>
    <row r="25" spans="1:8" ht="11.5">
      <c r="A25" s="526">
        <v>8</v>
      </c>
      <c r="B25" s="329" t="s">
        <v>90</v>
      </c>
      <c r="E25" s="10">
        <f>SUM(E22:E24)</f>
        <v>99572</v>
      </c>
      <c r="F25" s="10">
        <f>SUM(F22:F24)</f>
        <v>99572</v>
      </c>
      <c r="G25" s="10">
        <f>SUM(G22:G24)</f>
        <v>0</v>
      </c>
      <c r="H25" s="543" t="str">
        <f>IF(E25=F25+G25," ","ERROR")</f>
        <v xml:space="preserve"> </v>
      </c>
    </row>
    <row r="26" spans="1:8" ht="11.5">
      <c r="A26" s="526"/>
      <c r="E26" s="10"/>
      <c r="F26" s="10"/>
      <c r="G26" s="10"/>
      <c r="H26" s="543"/>
    </row>
    <row r="27" spans="1:8" ht="11.5">
      <c r="A27" s="526"/>
      <c r="B27" s="329" t="s">
        <v>42</v>
      </c>
      <c r="E27" s="10"/>
      <c r="F27" s="10"/>
      <c r="G27" s="10"/>
      <c r="H27" s="543"/>
    </row>
    <row r="28" spans="1:8" ht="11.5">
      <c r="A28" s="526">
        <v>9</v>
      </c>
      <c r="B28" s="329" t="s">
        <v>91</v>
      </c>
      <c r="E28" s="10">
        <f>F28+G28</f>
        <v>1883</v>
      </c>
      <c r="F28" s="544">
        <f>F119</f>
        <v>1883</v>
      </c>
      <c r="G28" s="544">
        <f>G119</f>
        <v>0</v>
      </c>
      <c r="H28" s="543" t="str">
        <f>IF(E28=F28+G28," ","ERROR")</f>
        <v xml:space="preserve"> </v>
      </c>
    </row>
    <row r="29" spans="1:8" ht="11.5">
      <c r="A29" s="526">
        <v>10</v>
      </c>
      <c r="B29" s="329" t="s">
        <v>92</v>
      </c>
      <c r="E29" s="10">
        <f>F29+G29</f>
        <v>494</v>
      </c>
      <c r="F29" s="544">
        <f>F121+F122</f>
        <v>494</v>
      </c>
      <c r="G29" s="544">
        <f>G121+G122</f>
        <v>0</v>
      </c>
      <c r="H29" s="543" t="str">
        <f>IF(E29=F29+G29," ","ERROR")</f>
        <v xml:space="preserve"> </v>
      </c>
    </row>
    <row r="30" spans="1:8" ht="11.5">
      <c r="A30" s="526">
        <v>11</v>
      </c>
      <c r="B30" s="329" t="s">
        <v>93</v>
      </c>
      <c r="E30" s="545">
        <f>F30+G30</f>
        <v>323</v>
      </c>
      <c r="F30" s="546">
        <f>F123</f>
        <v>323</v>
      </c>
      <c r="G30" s="546">
        <f>G123</f>
        <v>0</v>
      </c>
      <c r="H30" s="543" t="str">
        <f>IF(E30=F30+G30," ","ERROR")</f>
        <v xml:space="preserve"> </v>
      </c>
    </row>
    <row r="31" spans="1:8" ht="11.5">
      <c r="A31" s="93">
        <v>12</v>
      </c>
      <c r="B31" s="329" t="s">
        <v>94</v>
      </c>
      <c r="E31" s="10">
        <f>SUM(E28:E30)</f>
        <v>2700</v>
      </c>
      <c r="F31" s="544">
        <f>SUM(F28:F30)</f>
        <v>2700</v>
      </c>
      <c r="G31" s="544">
        <f>SUM(G28:G30)</f>
        <v>0</v>
      </c>
      <c r="H31" s="543" t="str">
        <f>IF(E31=F31+G31," ","ERROR")</f>
        <v xml:space="preserve"> </v>
      </c>
    </row>
    <row r="32" spans="1:8" ht="11.5">
      <c r="A32" s="526"/>
      <c r="E32" s="10"/>
      <c r="F32" s="544"/>
      <c r="G32" s="544"/>
      <c r="H32" s="543"/>
    </row>
    <row r="33" spans="1:10" ht="11.5">
      <c r="A33" s="526"/>
      <c r="B33" s="329" t="s">
        <v>46</v>
      </c>
      <c r="E33" s="10"/>
      <c r="F33" s="544"/>
      <c r="G33" s="544"/>
      <c r="H33" s="543"/>
    </row>
    <row r="34" spans="1:10" ht="11.5">
      <c r="A34" s="526">
        <v>13</v>
      </c>
      <c r="B34" s="329" t="s">
        <v>91</v>
      </c>
      <c r="E34" s="10">
        <f>F34+G34</f>
        <v>13669</v>
      </c>
      <c r="F34" s="544">
        <f>F150</f>
        <v>13669</v>
      </c>
      <c r="G34" s="544">
        <f>G150</f>
        <v>0</v>
      </c>
      <c r="H34" s="543" t="str">
        <f t="shared" ref="H34:H41" si="0">IF(E34=F34+G34," ","ERROR")</f>
        <v xml:space="preserve"> </v>
      </c>
    </row>
    <row r="35" spans="1:10" ht="11.5">
      <c r="A35" s="526">
        <v>14</v>
      </c>
      <c r="B35" s="329" t="s">
        <v>92</v>
      </c>
      <c r="E35" s="10">
        <f>F35+G35</f>
        <v>12469</v>
      </c>
      <c r="F35" s="544">
        <f>F152+1</f>
        <v>12469</v>
      </c>
      <c r="G35" s="544">
        <f>G152</f>
        <v>0</v>
      </c>
      <c r="H35" s="543" t="str">
        <f t="shared" si="0"/>
        <v xml:space="preserve"> </v>
      </c>
    </row>
    <row r="36" spans="1:10" ht="11.5">
      <c r="A36" s="526">
        <v>15</v>
      </c>
      <c r="B36" s="329" t="s">
        <v>93</v>
      </c>
      <c r="E36" s="545">
        <f>F36+G36</f>
        <v>13739</v>
      </c>
      <c r="F36" s="546">
        <f>F153</f>
        <v>13739</v>
      </c>
      <c r="G36" s="546">
        <f>G153</f>
        <v>0</v>
      </c>
      <c r="H36" s="543" t="str">
        <f t="shared" si="0"/>
        <v xml:space="preserve"> </v>
      </c>
    </row>
    <row r="37" spans="1:10" ht="12" customHeight="1">
      <c r="A37" s="526">
        <v>16</v>
      </c>
      <c r="B37" s="329" t="s">
        <v>95</v>
      </c>
      <c r="E37" s="10">
        <f>SUM(E34:E36)</f>
        <v>39877</v>
      </c>
      <c r="F37" s="10">
        <f>SUM(F34:F36)</f>
        <v>39877</v>
      </c>
      <c r="G37" s="10">
        <f>SUM(G34:G36)</f>
        <v>0</v>
      </c>
      <c r="H37" s="543" t="str">
        <f t="shared" si="0"/>
        <v xml:space="preserve"> </v>
      </c>
    </row>
    <row r="38" spans="1:10" ht="12" customHeight="1">
      <c r="A38" s="526"/>
      <c r="E38" s="10"/>
      <c r="F38" s="10"/>
      <c r="G38" s="10"/>
      <c r="H38" s="543"/>
    </row>
    <row r="39" spans="1:10" ht="12" customHeight="1">
      <c r="A39" s="526">
        <v>17</v>
      </c>
      <c r="B39" s="329" t="s">
        <v>48</v>
      </c>
      <c r="E39" s="10">
        <f>F39+G39</f>
        <v>6398</v>
      </c>
      <c r="F39" s="544">
        <f>F164</f>
        <v>6398</v>
      </c>
      <c r="G39" s="544">
        <f>G164</f>
        <v>0</v>
      </c>
      <c r="H39" s="543" t="str">
        <f t="shared" si="0"/>
        <v xml:space="preserve"> </v>
      </c>
    </row>
    <row r="40" spans="1:10" ht="11.5">
      <c r="A40" s="526">
        <v>18</v>
      </c>
      <c r="B40" s="329" t="s">
        <v>49</v>
      </c>
      <c r="E40" s="10">
        <f>F40+G40</f>
        <v>9664</v>
      </c>
      <c r="F40" s="544">
        <f>F170</f>
        <v>9664</v>
      </c>
      <c r="G40" s="544">
        <f>G170</f>
        <v>0</v>
      </c>
      <c r="H40" s="543" t="str">
        <f t="shared" si="0"/>
        <v xml:space="preserve"> </v>
      </c>
    </row>
    <row r="41" spans="1:10" ht="11.5">
      <c r="A41" s="526">
        <v>19</v>
      </c>
      <c r="B41" s="329" t="s">
        <v>96</v>
      </c>
      <c r="E41" s="10">
        <f>F41+G41</f>
        <v>0</v>
      </c>
      <c r="F41" s="544">
        <f>F176</f>
        <v>0</v>
      </c>
      <c r="G41" s="544">
        <f>G176</f>
        <v>0</v>
      </c>
      <c r="H41" s="543" t="str">
        <f t="shared" si="0"/>
        <v xml:space="preserve"> </v>
      </c>
    </row>
    <row r="42" spans="1:10" ht="11.5">
      <c r="A42" s="526"/>
      <c r="E42" s="10"/>
      <c r="F42" s="544"/>
      <c r="G42" s="544"/>
      <c r="H42" s="543"/>
    </row>
    <row r="43" spans="1:10" ht="11.5">
      <c r="A43" s="526"/>
      <c r="B43" s="329" t="s">
        <v>97</v>
      </c>
      <c r="E43" s="10"/>
      <c r="F43" s="544"/>
      <c r="G43" s="544"/>
      <c r="H43" s="543"/>
    </row>
    <row r="44" spans="1:10" ht="11.5">
      <c r="A44" s="526">
        <v>20</v>
      </c>
      <c r="B44" s="329" t="s">
        <v>91</v>
      </c>
      <c r="E44" s="10">
        <f>F44+G44</f>
        <v>15696</v>
      </c>
      <c r="F44" s="544">
        <f>F190</f>
        <v>15696</v>
      </c>
      <c r="G44" s="544">
        <f>G190</f>
        <v>0</v>
      </c>
      <c r="H44" s="543" t="str">
        <f>IF(E44=F44+G44," ","ERROR")</f>
        <v xml:space="preserve"> </v>
      </c>
    </row>
    <row r="45" spans="1:10" ht="11.5">
      <c r="A45" s="526">
        <v>21</v>
      </c>
      <c r="B45" s="329" t="s">
        <v>401</v>
      </c>
      <c r="E45" s="10">
        <f>F45+G45</f>
        <v>10678</v>
      </c>
      <c r="F45" s="544">
        <f>F192+F193+F194+F195</f>
        <v>10678</v>
      </c>
      <c r="G45" s="544">
        <f>G192+G193+G194+G195</f>
        <v>0</v>
      </c>
      <c r="H45" s="543" t="str">
        <f>IF(E45=F45+G45," ","ERROR")</f>
        <v xml:space="preserve"> </v>
      </c>
      <c r="J45" s="10"/>
    </row>
    <row r="46" spans="1:10" ht="11.5">
      <c r="A46" s="526">
        <v>22</v>
      </c>
      <c r="B46" s="329" t="s">
        <v>399</v>
      </c>
      <c r="E46" s="10">
        <f>F46+G46</f>
        <v>-3003</v>
      </c>
      <c r="F46" s="544">
        <f>SUM(F196:F209)</f>
        <v>-3003</v>
      </c>
      <c r="G46" s="544">
        <f>SUM(G196:G209)</f>
        <v>0</v>
      </c>
      <c r="H46" s="543"/>
      <c r="J46" s="10"/>
    </row>
    <row r="47" spans="1:10" ht="11.5">
      <c r="A47" s="526">
        <v>23</v>
      </c>
      <c r="B47" s="329" t="s">
        <v>93</v>
      </c>
      <c r="E47" s="545">
        <f>F47+G47</f>
        <v>0</v>
      </c>
      <c r="F47" s="546">
        <v>0</v>
      </c>
      <c r="G47" s="546">
        <v>0</v>
      </c>
      <c r="H47" s="543" t="str">
        <f>IF(E47=F47+G47," ","ERROR")</f>
        <v xml:space="preserve"> </v>
      </c>
    </row>
    <row r="48" spans="1:10" ht="11.5">
      <c r="A48" s="526">
        <v>24</v>
      </c>
      <c r="B48" s="329" t="s">
        <v>98</v>
      </c>
      <c r="E48" s="545">
        <f>SUM(E44:E47)</f>
        <v>23371</v>
      </c>
      <c r="F48" s="545">
        <f>SUM(F44:F47)</f>
        <v>23371</v>
      </c>
      <c r="G48" s="545">
        <f>SUM(G44:G47)</f>
        <v>0</v>
      </c>
      <c r="H48" s="543" t="str">
        <f>IF(E48=F48+G48," ","ERROR")</f>
        <v xml:space="preserve"> </v>
      </c>
    </row>
    <row r="49" spans="1:8" ht="11.5">
      <c r="A49" s="526">
        <v>25</v>
      </c>
      <c r="B49" s="329" t="s">
        <v>53</v>
      </c>
      <c r="E49" s="545">
        <f>E25+E31+E37+E39+E40+E41+E48+E21</f>
        <v>181582</v>
      </c>
      <c r="F49" s="545">
        <f>F25+F31+F37+F39+F40+F41+F48+F21</f>
        <v>181582</v>
      </c>
      <c r="G49" s="545">
        <f>G25+G31+G37+G39+G40+G41+G48+G21</f>
        <v>0</v>
      </c>
      <c r="H49" s="543" t="str">
        <f>IF(E49=F49+G49," ","ERROR")</f>
        <v xml:space="preserve"> </v>
      </c>
    </row>
    <row r="50" spans="1:8" ht="11.5">
      <c r="A50" s="526"/>
      <c r="E50" s="10"/>
      <c r="F50" s="10"/>
      <c r="G50" s="10"/>
      <c r="H50" s="543"/>
    </row>
    <row r="51" spans="1:8" ht="11.5">
      <c r="A51" s="526">
        <v>26</v>
      </c>
      <c r="B51" s="329" t="s">
        <v>99</v>
      </c>
      <c r="E51" s="10">
        <f>E18-E49</f>
        <v>26243</v>
      </c>
      <c r="F51" s="10">
        <f>F18-F49</f>
        <v>26243</v>
      </c>
      <c r="G51" s="10">
        <f>G18-G49</f>
        <v>0</v>
      </c>
      <c r="H51" s="543" t="str">
        <f>IF(E51=F51+G51," ","ERROR")</f>
        <v xml:space="preserve"> </v>
      </c>
    </row>
    <row r="52" spans="1:8" ht="12" customHeight="1">
      <c r="A52" s="526"/>
      <c r="E52" s="10"/>
      <c r="F52" s="10"/>
      <c r="G52" s="10"/>
      <c r="H52" s="543"/>
    </row>
    <row r="53" spans="1:8" ht="12" customHeight="1">
      <c r="A53" s="526"/>
      <c r="B53" s="329" t="s">
        <v>100</v>
      </c>
      <c r="E53" s="10"/>
      <c r="F53" s="10"/>
      <c r="G53" s="10"/>
      <c r="H53" s="543"/>
    </row>
    <row r="54" spans="1:8" ht="11.5">
      <c r="A54" s="526">
        <v>27</v>
      </c>
      <c r="B54" s="548" t="s">
        <v>101</v>
      </c>
      <c r="D54" s="549">
        <v>0.21</v>
      </c>
      <c r="E54" s="10">
        <f>F54+G54</f>
        <v>-4720</v>
      </c>
      <c r="F54" s="544">
        <f>F218</f>
        <v>-4720</v>
      </c>
      <c r="G54" s="544">
        <f>G218</f>
        <v>0</v>
      </c>
      <c r="H54" s="543" t="str">
        <f>IF(E54=F54+G54," ","ERROR")</f>
        <v xml:space="preserve"> </v>
      </c>
    </row>
    <row r="55" spans="1:8" ht="11.5">
      <c r="A55" s="526">
        <v>28</v>
      </c>
      <c r="B55" s="548" t="s">
        <v>230</v>
      </c>
      <c r="D55" s="549"/>
      <c r="E55" s="10"/>
      <c r="F55" s="544"/>
      <c r="G55" s="544"/>
      <c r="H55" s="543"/>
    </row>
    <row r="56" spans="1:8" ht="11.5">
      <c r="A56" s="526">
        <v>29</v>
      </c>
      <c r="B56" s="329" t="s">
        <v>102</v>
      </c>
      <c r="E56" s="10">
        <f>F56+G56</f>
        <v>6501</v>
      </c>
      <c r="F56" s="544">
        <f>F219</f>
        <v>6501</v>
      </c>
      <c r="G56" s="544">
        <f>G219</f>
        <v>0</v>
      </c>
      <c r="H56" s="543" t="str">
        <f>IF(E56=F56+G56," ","ERROR")</f>
        <v xml:space="preserve"> </v>
      </c>
    </row>
    <row r="57" spans="1:8" ht="11.5">
      <c r="A57" s="526">
        <v>30</v>
      </c>
      <c r="B57" s="329" t="s">
        <v>103</v>
      </c>
      <c r="E57" s="545">
        <f>F57+G57</f>
        <v>-12</v>
      </c>
      <c r="F57" s="546">
        <f>F220</f>
        <v>-12</v>
      </c>
      <c r="G57" s="546">
        <f>G220</f>
        <v>0</v>
      </c>
      <c r="H57" s="543" t="str">
        <f>IF(E57=F57+G57," ","ERROR")</f>
        <v xml:space="preserve"> </v>
      </c>
    </row>
    <row r="58" spans="1:8" ht="11.5">
      <c r="A58" s="526"/>
      <c r="G58" s="529"/>
      <c r="H58" s="543"/>
    </row>
    <row r="59" spans="1:8" ht="12" thickBot="1">
      <c r="A59" s="526">
        <v>31</v>
      </c>
      <c r="B59" s="550" t="s">
        <v>59</v>
      </c>
      <c r="E59" s="11">
        <f>E51-(+E54+E56+E57)</f>
        <v>24474</v>
      </c>
      <c r="F59" s="11">
        <f>F51-(F54+F56+F57)</f>
        <v>24474</v>
      </c>
      <c r="G59" s="11">
        <f>G51-(G54+G56+G57)</f>
        <v>0</v>
      </c>
      <c r="H59" s="543" t="str">
        <f>IF(E59=F59+G59," ","ERROR")</f>
        <v xml:space="preserve"> </v>
      </c>
    </row>
    <row r="60" spans="1:8" ht="12" thickTop="1">
      <c r="A60" s="526"/>
      <c r="E60" s="536"/>
      <c r="F60" s="536"/>
      <c r="G60" s="536"/>
      <c r="H60" s="543"/>
    </row>
    <row r="61" spans="1:8" ht="11.5">
      <c r="A61" s="526"/>
      <c r="B61" s="548" t="s">
        <v>104</v>
      </c>
      <c r="G61" s="529"/>
      <c r="H61" s="543"/>
    </row>
    <row r="62" spans="1:8" ht="11.5">
      <c r="A62" s="526"/>
      <c r="B62" s="548" t="s">
        <v>105</v>
      </c>
      <c r="G62" s="529"/>
      <c r="H62" s="543"/>
    </row>
    <row r="63" spans="1:8" ht="11.5">
      <c r="A63" s="526">
        <v>32</v>
      </c>
      <c r="B63" s="329" t="s">
        <v>106</v>
      </c>
      <c r="E63" s="22">
        <f>F63+G63</f>
        <v>29714</v>
      </c>
      <c r="F63" s="374">
        <f>F238</f>
        <v>29714</v>
      </c>
      <c r="G63" s="374">
        <f>G238</f>
        <v>0</v>
      </c>
      <c r="H63" s="543" t="str">
        <f t="shared" ref="H63:H76" si="1">IF(E63=F63+G63," ","ERROR")</f>
        <v xml:space="preserve"> </v>
      </c>
    </row>
    <row r="64" spans="1:8" ht="11.5">
      <c r="A64" s="526">
        <v>33</v>
      </c>
      <c r="B64" s="329" t="s">
        <v>107</v>
      </c>
      <c r="E64" s="10">
        <f>F64+G64</f>
        <v>505864</v>
      </c>
      <c r="F64" s="544">
        <f>F254</f>
        <v>505864</v>
      </c>
      <c r="G64" s="544">
        <f>G254</f>
        <v>0</v>
      </c>
      <c r="H64" s="543" t="str">
        <f t="shared" si="1"/>
        <v xml:space="preserve"> </v>
      </c>
    </row>
    <row r="65" spans="1:8" ht="11.5">
      <c r="A65" s="526">
        <v>34</v>
      </c>
      <c r="B65" s="329" t="s">
        <v>108</v>
      </c>
      <c r="E65" s="545">
        <f>F65+G65</f>
        <v>141661</v>
      </c>
      <c r="F65" s="546">
        <f>F267+F227</f>
        <v>141661</v>
      </c>
      <c r="G65" s="546">
        <f>G267+G227</f>
        <v>0</v>
      </c>
      <c r="H65" s="543" t="str">
        <f t="shared" si="1"/>
        <v xml:space="preserve"> </v>
      </c>
    </row>
    <row r="66" spans="1:8" ht="11.5">
      <c r="A66" s="526">
        <v>35</v>
      </c>
      <c r="B66" s="329" t="s">
        <v>109</v>
      </c>
      <c r="E66" s="10">
        <f>SUM(E63:E65)</f>
        <v>677239</v>
      </c>
      <c r="F66" s="544">
        <f>SUM(F63:F65)</f>
        <v>677239</v>
      </c>
      <c r="G66" s="544">
        <f>SUM(G63:G65)</f>
        <v>0</v>
      </c>
      <c r="H66" s="543" t="str">
        <f t="shared" si="1"/>
        <v xml:space="preserve"> </v>
      </c>
    </row>
    <row r="67" spans="1:8" ht="11.5">
      <c r="A67" s="526"/>
      <c r="E67" s="10"/>
      <c r="F67" s="544"/>
      <c r="G67" s="544"/>
      <c r="H67" s="543"/>
    </row>
    <row r="68" spans="1:8" ht="11.5">
      <c r="A68" s="526"/>
      <c r="B68" s="329" t="s">
        <v>402</v>
      </c>
      <c r="E68" s="10"/>
      <c r="F68" s="544"/>
      <c r="G68" s="544"/>
      <c r="H68" s="543" t="str">
        <f t="shared" si="1"/>
        <v xml:space="preserve"> </v>
      </c>
    </row>
    <row r="69" spans="1:8" ht="11.5">
      <c r="A69" s="526">
        <v>36</v>
      </c>
      <c r="B69" s="329" t="s">
        <v>106</v>
      </c>
      <c r="E69" s="10">
        <f>F69+G69</f>
        <v>-11566</v>
      </c>
      <c r="F69" s="544">
        <f>F273+F281-1</f>
        <v>-11566</v>
      </c>
      <c r="G69" s="544">
        <f>G273+G281</f>
        <v>0</v>
      </c>
      <c r="H69" s="543" t="str">
        <f t="shared" si="1"/>
        <v xml:space="preserve"> </v>
      </c>
    </row>
    <row r="70" spans="1:8" ht="11.5">
      <c r="A70" s="526">
        <v>37</v>
      </c>
      <c r="B70" s="329" t="s">
        <v>107</v>
      </c>
      <c r="E70" s="10">
        <f>F70+G70</f>
        <v>-151240</v>
      </c>
      <c r="F70" s="544">
        <f>F274</f>
        <v>-151240</v>
      </c>
      <c r="G70" s="544">
        <f>G274</f>
        <v>0</v>
      </c>
      <c r="H70" s="543" t="str">
        <f t="shared" si="1"/>
        <v xml:space="preserve"> </v>
      </c>
    </row>
    <row r="71" spans="1:8" ht="11.5">
      <c r="A71" s="526">
        <v>38</v>
      </c>
      <c r="B71" s="329" t="s">
        <v>108</v>
      </c>
      <c r="E71" s="545">
        <f>F71+G71</f>
        <v>-38750</v>
      </c>
      <c r="F71" s="546">
        <f>F275+F279+F280+F282</f>
        <v>-38750</v>
      </c>
      <c r="G71" s="546">
        <f>G275+G279+G280+G282</f>
        <v>0</v>
      </c>
      <c r="H71" s="543" t="str">
        <f t="shared" si="1"/>
        <v xml:space="preserve"> </v>
      </c>
    </row>
    <row r="72" spans="1:8" ht="11.5">
      <c r="A72" s="526">
        <v>39</v>
      </c>
      <c r="B72" s="329" t="s">
        <v>403</v>
      </c>
      <c r="E72" s="551">
        <f>SUM(E69:E71)</f>
        <v>-201556</v>
      </c>
      <c r="F72" s="551">
        <f>SUM(F69:F71)</f>
        <v>-201556</v>
      </c>
      <c r="G72" s="551">
        <f>SUM(G69:G71)</f>
        <v>0</v>
      </c>
      <c r="H72" s="543" t="str">
        <f t="shared" si="1"/>
        <v xml:space="preserve"> </v>
      </c>
    </row>
    <row r="73" spans="1:8" ht="11.5">
      <c r="A73" s="526">
        <v>40</v>
      </c>
      <c r="B73" s="329" t="s">
        <v>165</v>
      </c>
      <c r="E73" s="10">
        <f>E66+E72</f>
        <v>475683</v>
      </c>
      <c r="F73" s="10">
        <f>F66+F72</f>
        <v>475683</v>
      </c>
      <c r="G73" s="10">
        <f>G66+G72</f>
        <v>0</v>
      </c>
      <c r="H73" s="543"/>
    </row>
    <row r="74" spans="1:8" ht="11.5">
      <c r="A74" s="526">
        <v>41</v>
      </c>
      <c r="B74" s="548" t="s">
        <v>110</v>
      </c>
      <c r="E74" s="552">
        <f>F74+G74</f>
        <v>-91014</v>
      </c>
      <c r="F74" s="552">
        <f>F295</f>
        <v>-91014</v>
      </c>
      <c r="G74" s="552">
        <f>G295</f>
        <v>0</v>
      </c>
      <c r="H74" s="543" t="str">
        <f t="shared" si="1"/>
        <v xml:space="preserve"> </v>
      </c>
    </row>
    <row r="75" spans="1:8" ht="11.5">
      <c r="A75" s="526">
        <v>42</v>
      </c>
      <c r="B75" s="125" t="s">
        <v>192</v>
      </c>
      <c r="E75" s="10">
        <f>E73+E74</f>
        <v>384669</v>
      </c>
      <c r="F75" s="10">
        <f>F73+F74</f>
        <v>384669</v>
      </c>
      <c r="G75" s="10">
        <f>G73+G74</f>
        <v>0</v>
      </c>
      <c r="H75" s="543"/>
    </row>
    <row r="76" spans="1:8" ht="11.5">
      <c r="A76" s="526">
        <v>43</v>
      </c>
      <c r="B76" s="329" t="s">
        <v>66</v>
      </c>
      <c r="E76" s="10">
        <f t="shared" ref="E76:E79" si="2">F76+G76</f>
        <v>10411</v>
      </c>
      <c r="F76" s="10">
        <f>F303+F304-1</f>
        <v>10411</v>
      </c>
      <c r="G76" s="10">
        <f>G303+G304</f>
        <v>0</v>
      </c>
      <c r="H76" s="543" t="str">
        <f t="shared" si="1"/>
        <v xml:space="preserve"> </v>
      </c>
    </row>
    <row r="77" spans="1:8" ht="11.5">
      <c r="A77" s="526">
        <v>44</v>
      </c>
      <c r="B77" s="548" t="s">
        <v>67</v>
      </c>
      <c r="E77" s="10">
        <f t="shared" si="2"/>
        <v>0</v>
      </c>
      <c r="F77" s="529">
        <v>0</v>
      </c>
      <c r="G77" s="529">
        <f>G301+G302</f>
        <v>0</v>
      </c>
      <c r="H77" s="543" t="str">
        <f>IF(E79=F79+G79," ","ERROR")</f>
        <v xml:space="preserve"> </v>
      </c>
    </row>
    <row r="78" spans="1:8" ht="11.5">
      <c r="A78" s="526">
        <v>45</v>
      </c>
      <c r="B78" s="548" t="s">
        <v>407</v>
      </c>
      <c r="E78" s="10">
        <f t="shared" si="2"/>
        <v>7359</v>
      </c>
      <c r="F78" s="529">
        <f>F300+F305+F306+F308+F309+F301+F302+F307</f>
        <v>7359</v>
      </c>
      <c r="G78" s="529">
        <f>G305+G306</f>
        <v>0</v>
      </c>
      <c r="H78" s="543"/>
    </row>
    <row r="79" spans="1:8" ht="11.5">
      <c r="A79" s="526">
        <v>46</v>
      </c>
      <c r="B79" s="329" t="s">
        <v>167</v>
      </c>
      <c r="E79" s="545">
        <f t="shared" si="2"/>
        <v>3494</v>
      </c>
      <c r="F79" s="545">
        <f>F310</f>
        <v>3494</v>
      </c>
      <c r="G79" s="545">
        <f>G310</f>
        <v>0</v>
      </c>
      <c r="H79" s="543"/>
    </row>
    <row r="80" spans="1:8" ht="11.25" customHeight="1">
      <c r="G80" s="529"/>
    </row>
    <row r="81" spans="1:10" ht="9" customHeight="1">
      <c r="A81" s="526"/>
      <c r="B81" s="329" t="s">
        <v>111</v>
      </c>
      <c r="G81" s="529"/>
      <c r="H81" s="543"/>
    </row>
    <row r="82" spans="1:10" ht="12" thickBot="1">
      <c r="A82" s="526">
        <v>47</v>
      </c>
      <c r="B82" s="550" t="s">
        <v>68</v>
      </c>
      <c r="E82" s="553">
        <f>E75+E76+E79+E77+E78</f>
        <v>405933</v>
      </c>
      <c r="F82" s="553">
        <f>F75+F76+F79+F77+F78</f>
        <v>405933</v>
      </c>
      <c r="G82" s="553">
        <f>G75+G76+G79+G77+G78</f>
        <v>0</v>
      </c>
      <c r="H82" s="543" t="str">
        <f>IF(E82=F82+G82," ","ERROR")</f>
        <v xml:space="preserve"> </v>
      </c>
    </row>
    <row r="83" spans="1:10" ht="11.25" customHeight="1" thickTop="1">
      <c r="E83" s="536"/>
      <c r="F83" s="536"/>
      <c r="G83" s="536"/>
    </row>
    <row r="84" spans="1:10" ht="11.25" customHeight="1">
      <c r="E84" s="7">
        <f>E59/E82</f>
        <v>6.0290737634043058E-2</v>
      </c>
      <c r="F84" s="7">
        <f>F59/F82</f>
        <v>6.0290737634043058E-2</v>
      </c>
      <c r="G84" s="7"/>
    </row>
    <row r="86" spans="1:10" ht="11.25" customHeight="1">
      <c r="A86" s="230"/>
      <c r="B86" s="231" t="s">
        <v>32</v>
      </c>
      <c r="J86" s="345"/>
    </row>
    <row r="87" spans="1:10" ht="11.25" customHeight="1">
      <c r="A87" s="230"/>
      <c r="B87" s="232" t="s">
        <v>231</v>
      </c>
      <c r="J87" s="346"/>
    </row>
    <row r="88" spans="1:10" ht="11.25" customHeight="1">
      <c r="A88" s="233">
        <v>480000</v>
      </c>
      <c r="B88" s="232" t="s">
        <v>232</v>
      </c>
      <c r="F88" s="529">
        <f>ROUND(H88/1000,0)</f>
        <v>97151</v>
      </c>
      <c r="H88" s="60">
        <v>97151452</v>
      </c>
      <c r="I88" s="60"/>
      <c r="J88" s="346"/>
    </row>
    <row r="89" spans="1:10" ht="11.25" customHeight="1">
      <c r="A89" s="233" t="s">
        <v>233</v>
      </c>
      <c r="B89" s="232" t="s">
        <v>234</v>
      </c>
      <c r="F89" s="529">
        <f t="shared" ref="F89:F154" si="3">ROUND(H89/1000,0)</f>
        <v>46414</v>
      </c>
      <c r="H89" s="60">
        <v>46414269</v>
      </c>
      <c r="I89" s="60"/>
      <c r="J89" s="346"/>
    </row>
    <row r="90" spans="1:10" ht="11.25" customHeight="1">
      <c r="A90" s="233" t="s">
        <v>235</v>
      </c>
      <c r="B90" s="232" t="s">
        <v>236</v>
      </c>
      <c r="F90" s="529">
        <f t="shared" si="3"/>
        <v>1565</v>
      </c>
      <c r="H90" s="60">
        <v>1564879</v>
      </c>
      <c r="I90" s="60"/>
      <c r="J90" s="346"/>
    </row>
    <row r="91" spans="1:10" ht="11.25" customHeight="1">
      <c r="A91" s="233">
        <v>481400</v>
      </c>
      <c r="B91" s="232" t="s">
        <v>237</v>
      </c>
      <c r="F91" s="529">
        <f t="shared" si="3"/>
        <v>0</v>
      </c>
      <c r="H91" s="60">
        <v>0</v>
      </c>
      <c r="I91" s="60"/>
      <c r="J91" s="346"/>
    </row>
    <row r="92" spans="1:10" ht="11.25" customHeight="1">
      <c r="A92" s="233">
        <v>484000</v>
      </c>
      <c r="B92" s="232" t="s">
        <v>240</v>
      </c>
      <c r="F92" s="529">
        <f t="shared" si="3"/>
        <v>210</v>
      </c>
      <c r="H92" s="60">
        <v>209620</v>
      </c>
      <c r="I92" s="60"/>
      <c r="J92" s="346"/>
    </row>
    <row r="93" spans="1:10" ht="11.25" customHeight="1">
      <c r="A93" s="230" t="s">
        <v>238</v>
      </c>
      <c r="B93" s="232" t="s">
        <v>239</v>
      </c>
      <c r="F93" s="529">
        <f t="shared" si="3"/>
        <v>-2788</v>
      </c>
      <c r="H93" s="60">
        <v>-2788442</v>
      </c>
      <c r="I93" s="60"/>
      <c r="J93" s="346"/>
    </row>
    <row r="94" spans="1:10" ht="11.25" customHeight="1">
      <c r="A94" s="230"/>
      <c r="B94" s="232" t="s">
        <v>241</v>
      </c>
      <c r="F94" s="529">
        <f t="shared" si="3"/>
        <v>142552</v>
      </c>
      <c r="H94" s="60">
        <v>142551778</v>
      </c>
      <c r="I94" s="60"/>
      <c r="J94" s="346"/>
    </row>
    <row r="95" spans="1:10" ht="11.25" customHeight="1">
      <c r="A95" s="230"/>
      <c r="B95" s="232"/>
      <c r="F95" s="529">
        <f t="shared" si="3"/>
        <v>0</v>
      </c>
      <c r="H95" s="60"/>
      <c r="I95" s="60"/>
      <c r="J95" s="346"/>
    </row>
    <row r="96" spans="1:10" ht="11.25" customHeight="1">
      <c r="A96" s="230"/>
      <c r="B96" s="232" t="s">
        <v>242</v>
      </c>
      <c r="F96" s="529">
        <f t="shared" si="3"/>
        <v>0</v>
      </c>
      <c r="H96" s="60"/>
      <c r="I96" s="60"/>
      <c r="J96" s="346"/>
    </row>
    <row r="97" spans="1:10" ht="11.25" customHeight="1">
      <c r="A97" s="234">
        <v>483000</v>
      </c>
      <c r="B97" s="235" t="s">
        <v>243</v>
      </c>
      <c r="F97" s="529">
        <f t="shared" si="3"/>
        <v>55068</v>
      </c>
      <c r="H97" s="60">
        <v>55067624</v>
      </c>
      <c r="I97" s="60"/>
      <c r="J97" s="347"/>
    </row>
    <row r="98" spans="1:10" ht="11.25" customHeight="1">
      <c r="A98" s="233">
        <v>488000</v>
      </c>
      <c r="B98" s="232" t="s">
        <v>244</v>
      </c>
      <c r="F98" s="529">
        <f t="shared" si="3"/>
        <v>7</v>
      </c>
      <c r="H98" s="60">
        <v>7083</v>
      </c>
      <c r="I98" s="60"/>
      <c r="J98" s="346"/>
    </row>
    <row r="99" spans="1:10" ht="11.25" customHeight="1">
      <c r="A99" s="233">
        <v>489300</v>
      </c>
      <c r="B99" s="232" t="s">
        <v>245</v>
      </c>
      <c r="F99" s="529">
        <f t="shared" si="3"/>
        <v>5183</v>
      </c>
      <c r="H99" s="60">
        <v>5183204</v>
      </c>
      <c r="I99" s="60"/>
      <c r="J99" s="346"/>
    </row>
    <row r="100" spans="1:10" ht="11.25" customHeight="1">
      <c r="A100" s="233">
        <v>493000</v>
      </c>
      <c r="B100" s="232" t="s">
        <v>246</v>
      </c>
      <c r="F100" s="529">
        <f t="shared" si="3"/>
        <v>3</v>
      </c>
      <c r="H100" s="60">
        <v>2751</v>
      </c>
      <c r="I100" s="60"/>
      <c r="J100" s="346"/>
    </row>
    <row r="101" spans="1:10" ht="11.25" customHeight="1">
      <c r="A101" s="233">
        <v>495000</v>
      </c>
      <c r="B101" s="232" t="s">
        <v>247</v>
      </c>
      <c r="F101" s="529">
        <f t="shared" si="3"/>
        <v>4604</v>
      </c>
      <c r="H101" s="60">
        <v>4603937</v>
      </c>
      <c r="I101" s="60"/>
      <c r="J101" s="346"/>
    </row>
    <row r="102" spans="1:10" ht="11.25" customHeight="1">
      <c r="A102" s="233">
        <v>496100</v>
      </c>
      <c r="B102" s="232" t="s">
        <v>444</v>
      </c>
      <c r="F102" s="529">
        <f t="shared" si="3"/>
        <v>444</v>
      </c>
      <c r="H102" s="60">
        <v>443946</v>
      </c>
      <c r="I102" s="60"/>
      <c r="J102" s="346"/>
    </row>
    <row r="103" spans="1:10" ht="11.25" customHeight="1">
      <c r="A103" s="478">
        <v>496110</v>
      </c>
      <c r="B103" s="346" t="s">
        <v>511</v>
      </c>
      <c r="F103" s="529">
        <f t="shared" si="3"/>
        <v>-35</v>
      </c>
      <c r="H103" s="60">
        <v>-34878</v>
      </c>
      <c r="I103" s="60"/>
      <c r="J103" s="346"/>
    </row>
    <row r="104" spans="1:10" ht="11.25" customHeight="1">
      <c r="A104" s="230"/>
      <c r="B104" s="232" t="s">
        <v>248</v>
      </c>
      <c r="F104" s="529">
        <f t="shared" si="3"/>
        <v>65274</v>
      </c>
      <c r="H104" s="60">
        <v>65273667</v>
      </c>
      <c r="I104" s="60"/>
      <c r="J104" s="346"/>
    </row>
    <row r="105" spans="1:10" ht="11.25" customHeight="1">
      <c r="A105" s="230"/>
      <c r="B105" s="232" t="s">
        <v>249</v>
      </c>
      <c r="F105" s="529">
        <f t="shared" si="3"/>
        <v>207825</v>
      </c>
      <c r="H105" s="60">
        <v>207825445</v>
      </c>
      <c r="I105" s="60"/>
      <c r="J105" s="346"/>
    </row>
    <row r="106" spans="1:10" ht="11.25" customHeight="1">
      <c r="A106" s="230"/>
      <c r="B106" s="232"/>
      <c r="F106" s="529">
        <f t="shared" si="3"/>
        <v>0</v>
      </c>
      <c r="H106" s="60"/>
      <c r="I106" s="60"/>
      <c r="J106" s="346"/>
    </row>
    <row r="107" spans="1:10" ht="11.25" customHeight="1">
      <c r="A107" s="230"/>
      <c r="B107" s="232" t="s">
        <v>250</v>
      </c>
      <c r="F107" s="529">
        <f t="shared" si="3"/>
        <v>0</v>
      </c>
      <c r="H107" s="60"/>
      <c r="I107" s="60"/>
      <c r="J107" s="346"/>
    </row>
    <row r="108" spans="1:10" ht="11.25" customHeight="1">
      <c r="A108" s="236" t="s">
        <v>251</v>
      </c>
      <c r="B108" s="232" t="s">
        <v>38</v>
      </c>
      <c r="F108" s="529">
        <f t="shared" si="3"/>
        <v>100541</v>
      </c>
      <c r="H108" s="60">
        <v>100541400</v>
      </c>
      <c r="I108" s="60"/>
      <c r="J108" s="346"/>
    </row>
    <row r="109" spans="1:10" ht="11.25" customHeight="1">
      <c r="A109" s="233" t="s">
        <v>252</v>
      </c>
      <c r="B109" s="232" t="s">
        <v>253</v>
      </c>
      <c r="F109" s="529">
        <f t="shared" si="3"/>
        <v>-1600</v>
      </c>
      <c r="H109" s="60">
        <v>-1599800</v>
      </c>
      <c r="I109" s="60"/>
      <c r="J109" s="346"/>
    </row>
    <row r="110" spans="1:10" ht="11.25" customHeight="1">
      <c r="A110" s="234">
        <v>811000</v>
      </c>
      <c r="B110" s="235" t="s">
        <v>254</v>
      </c>
      <c r="F110" s="529">
        <f t="shared" si="3"/>
        <v>-328</v>
      </c>
      <c r="H110" s="60">
        <v>-328449</v>
      </c>
      <c r="I110" s="60"/>
      <c r="J110" s="347"/>
    </row>
    <row r="111" spans="1:10" ht="11.25" customHeight="1">
      <c r="A111" s="233">
        <v>813000</v>
      </c>
      <c r="B111" s="232" t="s">
        <v>255</v>
      </c>
      <c r="F111" s="529">
        <f t="shared" si="3"/>
        <v>871</v>
      </c>
      <c r="H111" s="60">
        <v>871445</v>
      </c>
      <c r="I111" s="60"/>
      <c r="J111" s="346"/>
    </row>
    <row r="112" spans="1:10" ht="11.25" customHeight="1">
      <c r="A112" s="233">
        <v>813010</v>
      </c>
      <c r="B112" s="232" t="s">
        <v>256</v>
      </c>
      <c r="F112" s="529">
        <f t="shared" si="3"/>
        <v>87</v>
      </c>
      <c r="H112" s="60">
        <v>87458</v>
      </c>
      <c r="I112" s="60"/>
      <c r="J112" s="346"/>
    </row>
    <row r="113" spans="1:10" ht="11.25" customHeight="1">
      <c r="A113" s="230"/>
      <c r="B113" s="232" t="s">
        <v>257</v>
      </c>
      <c r="F113" s="529">
        <f t="shared" si="3"/>
        <v>99572</v>
      </c>
      <c r="H113" s="60">
        <v>99572054</v>
      </c>
      <c r="I113" s="60"/>
      <c r="J113" s="346"/>
    </row>
    <row r="114" spans="1:10" ht="11.25" customHeight="1">
      <c r="A114" s="230"/>
      <c r="B114" s="232"/>
      <c r="F114" s="529">
        <f t="shared" si="3"/>
        <v>0</v>
      </c>
      <c r="H114" s="60"/>
      <c r="I114" s="60"/>
      <c r="J114" s="346"/>
    </row>
    <row r="115" spans="1:10" ht="11.25" customHeight="1">
      <c r="A115" s="230"/>
      <c r="B115" s="232" t="s">
        <v>258</v>
      </c>
      <c r="F115" s="529">
        <f t="shared" si="3"/>
        <v>0</v>
      </c>
      <c r="H115" s="60"/>
      <c r="I115" s="60"/>
      <c r="J115" s="346"/>
    </row>
    <row r="116" spans="1:10" ht="11.25" customHeight="1">
      <c r="A116" s="233">
        <v>814000</v>
      </c>
      <c r="B116" s="232" t="s">
        <v>259</v>
      </c>
      <c r="F116" s="529">
        <f t="shared" si="3"/>
        <v>14</v>
      </c>
      <c r="H116" s="60">
        <v>14266</v>
      </c>
      <c r="I116" s="60"/>
      <c r="J116" s="346"/>
    </row>
    <row r="117" spans="1:10" ht="11.25" customHeight="1">
      <c r="A117" s="233">
        <v>824000</v>
      </c>
      <c r="B117" s="232" t="s">
        <v>260</v>
      </c>
      <c r="F117" s="529">
        <f t="shared" si="3"/>
        <v>479</v>
      </c>
      <c r="H117" s="60">
        <v>479200</v>
      </c>
      <c r="I117" s="60"/>
      <c r="J117" s="346"/>
    </row>
    <row r="118" spans="1:10" ht="11.25" customHeight="1">
      <c r="A118" s="233">
        <v>837000</v>
      </c>
      <c r="B118" s="232" t="s">
        <v>261</v>
      </c>
      <c r="F118" s="529">
        <f t="shared" si="3"/>
        <v>1390</v>
      </c>
      <c r="H118" s="60">
        <v>1389796</v>
      </c>
      <c r="I118" s="60"/>
      <c r="J118" s="346"/>
    </row>
    <row r="119" spans="1:10" ht="11.25" customHeight="1">
      <c r="A119" s="230"/>
      <c r="B119" s="232" t="s">
        <v>262</v>
      </c>
      <c r="F119" s="529">
        <f t="shared" si="3"/>
        <v>1883</v>
      </c>
      <c r="H119" s="60">
        <v>1883262</v>
      </c>
      <c r="I119" s="60"/>
      <c r="J119" s="346"/>
    </row>
    <row r="120" spans="1:10" ht="11.25" customHeight="1">
      <c r="A120" s="230"/>
      <c r="B120" s="232"/>
      <c r="F120" s="529">
        <f t="shared" si="3"/>
        <v>0</v>
      </c>
      <c r="H120" s="60"/>
      <c r="I120" s="60"/>
      <c r="J120" s="346"/>
    </row>
    <row r="121" spans="1:10" ht="11.25" customHeight="1">
      <c r="A121" s="231"/>
      <c r="B121" s="232" t="s">
        <v>263</v>
      </c>
      <c r="F121" s="529">
        <f t="shared" si="3"/>
        <v>494</v>
      </c>
      <c r="H121" s="60">
        <v>494267</v>
      </c>
      <c r="I121" s="60"/>
      <c r="J121" s="346"/>
    </row>
    <row r="122" spans="1:10" ht="11.25" customHeight="1">
      <c r="A122" s="231"/>
      <c r="B122" s="232" t="s">
        <v>264</v>
      </c>
      <c r="F122" s="529">
        <f t="shared" si="3"/>
        <v>0</v>
      </c>
      <c r="H122" s="60">
        <v>0</v>
      </c>
      <c r="I122" s="60"/>
      <c r="J122" s="346"/>
    </row>
    <row r="123" spans="1:10" ht="11.25" customHeight="1">
      <c r="A123" s="230"/>
      <c r="B123" s="232" t="s">
        <v>265</v>
      </c>
      <c r="F123" s="529">
        <f t="shared" si="3"/>
        <v>323</v>
      </c>
      <c r="H123" s="60">
        <v>323030</v>
      </c>
      <c r="I123" s="60"/>
      <c r="J123" s="346"/>
    </row>
    <row r="124" spans="1:10" ht="11.25" customHeight="1">
      <c r="A124" s="230"/>
      <c r="B124" s="232" t="s">
        <v>266</v>
      </c>
      <c r="F124" s="529">
        <f t="shared" si="3"/>
        <v>817</v>
      </c>
      <c r="H124" s="60">
        <v>817297</v>
      </c>
      <c r="I124" s="60"/>
      <c r="J124" s="346"/>
    </row>
    <row r="125" spans="1:10" ht="11.25" customHeight="1">
      <c r="A125" s="230"/>
      <c r="B125" s="232"/>
      <c r="F125" s="529">
        <f t="shared" si="3"/>
        <v>0</v>
      </c>
      <c r="H125" s="60"/>
      <c r="I125" s="60"/>
      <c r="J125" s="346"/>
    </row>
    <row r="126" spans="1:10" ht="11.25" customHeight="1">
      <c r="A126" s="230"/>
      <c r="B126" s="232" t="s">
        <v>267</v>
      </c>
      <c r="F126" s="529">
        <f t="shared" si="3"/>
        <v>2701</v>
      </c>
      <c r="H126" s="60">
        <v>2700559</v>
      </c>
      <c r="I126" s="60"/>
      <c r="J126" s="346"/>
    </row>
    <row r="127" spans="1:10" ht="11.25" customHeight="1">
      <c r="A127" s="230"/>
      <c r="B127" s="232"/>
      <c r="F127" s="529">
        <f t="shared" si="3"/>
        <v>0</v>
      </c>
      <c r="H127" s="60"/>
      <c r="I127" s="60"/>
      <c r="J127" s="346"/>
    </row>
    <row r="128" spans="1:10" ht="11.25" customHeight="1">
      <c r="A128" s="230"/>
      <c r="B128" s="232" t="s">
        <v>268</v>
      </c>
      <c r="F128" s="529">
        <f t="shared" si="3"/>
        <v>0</v>
      </c>
      <c r="H128" s="60"/>
      <c r="I128" s="60"/>
      <c r="J128" s="346"/>
    </row>
    <row r="129" spans="1:15" ht="11.25" customHeight="1">
      <c r="A129" s="230"/>
      <c r="B129" s="232" t="s">
        <v>269</v>
      </c>
      <c r="F129" s="529">
        <f t="shared" si="3"/>
        <v>0</v>
      </c>
      <c r="H129" s="60"/>
      <c r="I129" s="60"/>
      <c r="J129" s="346"/>
    </row>
    <row r="130" spans="1:15" ht="11.25" customHeight="1">
      <c r="A130" s="233">
        <v>870000</v>
      </c>
      <c r="B130" s="232" t="s">
        <v>259</v>
      </c>
      <c r="F130" s="529">
        <f t="shared" si="3"/>
        <v>1716</v>
      </c>
      <c r="H130" s="60">
        <v>1716400</v>
      </c>
      <c r="I130" s="60"/>
      <c r="J130" s="346"/>
    </row>
    <row r="131" spans="1:15" ht="11.25" customHeight="1">
      <c r="A131" s="233">
        <v>871000</v>
      </c>
      <c r="B131" s="232" t="s">
        <v>270</v>
      </c>
      <c r="F131" s="529">
        <f t="shared" si="3"/>
        <v>0</v>
      </c>
      <c r="H131" s="60">
        <v>0</v>
      </c>
      <c r="I131" s="60"/>
      <c r="J131" s="346"/>
    </row>
    <row r="132" spans="1:15" ht="11.25" customHeight="1">
      <c r="A132" s="233">
        <v>874000</v>
      </c>
      <c r="B132" s="232" t="s">
        <v>271</v>
      </c>
      <c r="F132" s="529">
        <f t="shared" si="3"/>
        <v>3412</v>
      </c>
      <c r="H132" s="60">
        <v>3411775</v>
      </c>
      <c r="I132" s="60"/>
      <c r="J132" s="346"/>
      <c r="N132" s="87"/>
    </row>
    <row r="133" spans="1:15" ht="11.25" customHeight="1" thickBot="1">
      <c r="A133" s="233">
        <v>875000</v>
      </c>
      <c r="B133" s="232" t="s">
        <v>272</v>
      </c>
      <c r="F133" s="529">
        <f t="shared" si="3"/>
        <v>94</v>
      </c>
      <c r="H133" s="60">
        <v>93505</v>
      </c>
      <c r="I133" s="60"/>
      <c r="J133" s="346"/>
      <c r="N133" s="554"/>
      <c r="O133" s="555"/>
    </row>
    <row r="134" spans="1:15" ht="11.25" customHeight="1" thickTop="1">
      <c r="A134" s="233">
        <v>876000</v>
      </c>
      <c r="B134" s="232" t="s">
        <v>273</v>
      </c>
      <c r="F134" s="529">
        <f t="shared" si="3"/>
        <v>8</v>
      </c>
      <c r="H134" s="60">
        <v>8175</v>
      </c>
      <c r="I134" s="60"/>
      <c r="J134" s="346"/>
    </row>
    <row r="135" spans="1:15" ht="11.25" customHeight="1">
      <c r="A135" s="233">
        <v>877000</v>
      </c>
      <c r="B135" s="232" t="s">
        <v>274</v>
      </c>
      <c r="F135" s="529">
        <f t="shared" si="3"/>
        <v>57</v>
      </c>
      <c r="H135" s="60">
        <v>57473</v>
      </c>
      <c r="I135" s="60"/>
      <c r="J135" s="346"/>
    </row>
    <row r="136" spans="1:15" ht="11.25" customHeight="1">
      <c r="A136" s="233">
        <v>878000</v>
      </c>
      <c r="B136" s="232" t="s">
        <v>275</v>
      </c>
      <c r="F136" s="529">
        <f t="shared" si="3"/>
        <v>412</v>
      </c>
      <c r="H136" s="60">
        <v>411763</v>
      </c>
      <c r="I136" s="60"/>
      <c r="J136" s="346"/>
    </row>
    <row r="137" spans="1:15" ht="11.25" customHeight="1">
      <c r="A137" s="233">
        <v>879000</v>
      </c>
      <c r="B137" s="232" t="s">
        <v>276</v>
      </c>
      <c r="F137" s="529">
        <f t="shared" si="3"/>
        <v>1471</v>
      </c>
      <c r="H137" s="60">
        <v>1471078</v>
      </c>
      <c r="I137" s="60"/>
      <c r="J137" s="346"/>
    </row>
    <row r="138" spans="1:15" ht="11.25" customHeight="1">
      <c r="A138" s="233">
        <v>880000</v>
      </c>
      <c r="B138" s="232" t="s">
        <v>260</v>
      </c>
      <c r="F138" s="529">
        <f t="shared" si="3"/>
        <v>2110</v>
      </c>
      <c r="H138" s="60">
        <v>2110108</v>
      </c>
      <c r="I138" s="60"/>
      <c r="J138" s="346"/>
    </row>
    <row r="139" spans="1:15" ht="11.25" customHeight="1">
      <c r="A139" s="233">
        <v>881000</v>
      </c>
      <c r="B139" s="232" t="s">
        <v>277</v>
      </c>
      <c r="F139" s="529">
        <f t="shared" si="3"/>
        <v>27</v>
      </c>
      <c r="H139" s="60">
        <v>27240</v>
      </c>
      <c r="I139" s="60"/>
      <c r="J139" s="346"/>
    </row>
    <row r="140" spans="1:15" ht="11.25" customHeight="1">
      <c r="A140" s="230"/>
      <c r="B140" s="232"/>
      <c r="F140" s="529">
        <f t="shared" si="3"/>
        <v>0</v>
      </c>
      <c r="H140" s="60"/>
      <c r="I140" s="60"/>
      <c r="J140" s="346"/>
    </row>
    <row r="141" spans="1:15" ht="11.25" customHeight="1">
      <c r="A141" s="230"/>
      <c r="B141" s="232" t="s">
        <v>278</v>
      </c>
      <c r="F141" s="529">
        <f t="shared" si="3"/>
        <v>0</v>
      </c>
      <c r="H141" s="60"/>
      <c r="I141" s="60"/>
      <c r="J141" s="346"/>
    </row>
    <row r="142" spans="1:15" ht="11.25" customHeight="1">
      <c r="A142" s="233">
        <v>885000</v>
      </c>
      <c r="B142" s="232" t="s">
        <v>259</v>
      </c>
      <c r="F142" s="529">
        <f t="shared" si="3"/>
        <v>82</v>
      </c>
      <c r="H142" s="60">
        <v>81761</v>
      </c>
      <c r="I142" s="60"/>
      <c r="J142" s="346"/>
    </row>
    <row r="143" spans="1:15" ht="11.25" customHeight="1">
      <c r="A143" s="233">
        <v>887000</v>
      </c>
      <c r="B143" s="232" t="s">
        <v>279</v>
      </c>
      <c r="F143" s="529">
        <f t="shared" si="3"/>
        <v>770</v>
      </c>
      <c r="H143" s="60">
        <v>770000</v>
      </c>
      <c r="I143" s="60"/>
      <c r="J143" s="346"/>
    </row>
    <row r="144" spans="1:15" ht="11.25" customHeight="1">
      <c r="A144" s="233">
        <v>889000</v>
      </c>
      <c r="B144" s="232" t="s">
        <v>272</v>
      </c>
      <c r="F144" s="529">
        <f t="shared" si="3"/>
        <v>276</v>
      </c>
      <c r="H144" s="60">
        <v>276331</v>
      </c>
      <c r="I144" s="60"/>
      <c r="J144" s="346"/>
    </row>
    <row r="145" spans="1:10" ht="11.25" customHeight="1">
      <c r="A145" s="233">
        <v>890000</v>
      </c>
      <c r="B145" s="232" t="s">
        <v>273</v>
      </c>
      <c r="F145" s="529">
        <f t="shared" si="3"/>
        <v>15</v>
      </c>
      <c r="H145" s="60">
        <v>14903</v>
      </c>
      <c r="I145" s="60"/>
      <c r="J145" s="346"/>
    </row>
    <row r="146" spans="1:10" ht="11.25" customHeight="1">
      <c r="A146" s="233">
        <v>891000</v>
      </c>
      <c r="B146" s="232" t="s">
        <v>274</v>
      </c>
      <c r="F146" s="529">
        <f t="shared" si="3"/>
        <v>66</v>
      </c>
      <c r="H146" s="60">
        <v>65500</v>
      </c>
      <c r="I146" s="60"/>
      <c r="J146" s="346"/>
    </row>
    <row r="147" spans="1:10" ht="11.25" customHeight="1">
      <c r="A147" s="233">
        <v>892000</v>
      </c>
      <c r="B147" s="232" t="s">
        <v>280</v>
      </c>
      <c r="F147" s="529">
        <f t="shared" si="3"/>
        <v>1358</v>
      </c>
      <c r="H147" s="60">
        <v>1358024</v>
      </c>
      <c r="I147" s="60"/>
      <c r="J147" s="346"/>
    </row>
    <row r="148" spans="1:10" ht="11.25" customHeight="1">
      <c r="A148" s="233">
        <v>893000</v>
      </c>
      <c r="B148" s="232" t="s">
        <v>281</v>
      </c>
      <c r="F148" s="529">
        <f t="shared" si="3"/>
        <v>1610</v>
      </c>
      <c r="H148" s="60">
        <v>1610312</v>
      </c>
      <c r="I148" s="60"/>
      <c r="J148" s="346"/>
    </row>
    <row r="149" spans="1:10" ht="11.25" customHeight="1">
      <c r="A149" s="233">
        <v>894000</v>
      </c>
      <c r="B149" s="232" t="s">
        <v>261</v>
      </c>
      <c r="F149" s="529">
        <f t="shared" si="3"/>
        <v>185</v>
      </c>
      <c r="H149" s="60">
        <v>184961</v>
      </c>
      <c r="I149" s="60"/>
      <c r="J149" s="346"/>
    </row>
    <row r="150" spans="1:10" ht="11.25" customHeight="1">
      <c r="A150" s="230"/>
      <c r="B150" s="232" t="s">
        <v>282</v>
      </c>
      <c r="F150" s="529">
        <f t="shared" si="3"/>
        <v>13669</v>
      </c>
      <c r="H150" s="60">
        <v>13669309</v>
      </c>
      <c r="I150" s="60"/>
      <c r="J150" s="346"/>
    </row>
    <row r="151" spans="1:10" ht="11.25" customHeight="1">
      <c r="A151" s="230"/>
      <c r="B151" s="232"/>
      <c r="F151" s="529">
        <f t="shared" si="3"/>
        <v>0</v>
      </c>
      <c r="H151" s="60"/>
      <c r="I151" s="60"/>
      <c r="J151" s="346"/>
    </row>
    <row r="152" spans="1:10" ht="11.25" customHeight="1">
      <c r="A152" s="230"/>
      <c r="B152" s="232" t="s">
        <v>283</v>
      </c>
      <c r="F152" s="529">
        <f t="shared" si="3"/>
        <v>12468</v>
      </c>
      <c r="H152" s="60">
        <v>12468481</v>
      </c>
      <c r="I152" s="60"/>
      <c r="J152" s="346"/>
    </row>
    <row r="153" spans="1:10" ht="11.25" customHeight="1">
      <c r="A153" s="230"/>
      <c r="B153" s="232" t="s">
        <v>265</v>
      </c>
      <c r="F153" s="529">
        <f t="shared" si="3"/>
        <v>13739</v>
      </c>
      <c r="H153" s="60">
        <v>13739392</v>
      </c>
      <c r="I153" s="60"/>
      <c r="J153" s="346"/>
    </row>
    <row r="154" spans="1:10" ht="11.25" customHeight="1">
      <c r="A154" s="230"/>
      <c r="B154" s="232" t="s">
        <v>284</v>
      </c>
      <c r="F154" s="529">
        <f t="shared" si="3"/>
        <v>26208</v>
      </c>
      <c r="H154" s="60">
        <v>26207873</v>
      </c>
      <c r="I154" s="60"/>
      <c r="J154" s="346"/>
    </row>
    <row r="155" spans="1:10" ht="11.25" customHeight="1">
      <c r="A155" s="230"/>
      <c r="B155" s="232"/>
      <c r="F155" s="529">
        <f t="shared" ref="F155:F227" si="4">ROUND(H155/1000,0)</f>
        <v>0</v>
      </c>
      <c r="H155" s="60"/>
      <c r="I155" s="60"/>
      <c r="J155" s="346"/>
    </row>
    <row r="156" spans="1:10" ht="11.25" customHeight="1">
      <c r="A156" s="230"/>
      <c r="B156" s="232" t="s">
        <v>285</v>
      </c>
      <c r="F156" s="529">
        <f t="shared" si="4"/>
        <v>39877</v>
      </c>
      <c r="H156" s="60">
        <v>39877182</v>
      </c>
      <c r="I156" s="60"/>
      <c r="J156" s="346"/>
    </row>
    <row r="157" spans="1:10" ht="11.25" customHeight="1">
      <c r="A157" s="230"/>
      <c r="B157" s="232"/>
      <c r="F157" s="529">
        <f t="shared" si="4"/>
        <v>0</v>
      </c>
      <c r="H157" s="60"/>
      <c r="I157" s="60"/>
      <c r="J157" s="346"/>
    </row>
    <row r="158" spans="1:10" ht="11.25" customHeight="1">
      <c r="A158" s="230"/>
      <c r="B158" s="232" t="s">
        <v>286</v>
      </c>
      <c r="F158" s="529">
        <f t="shared" si="4"/>
        <v>0</v>
      </c>
      <c r="H158" s="60"/>
      <c r="I158" s="60"/>
      <c r="J158" s="346"/>
    </row>
    <row r="159" spans="1:10" ht="11.25" customHeight="1">
      <c r="A159" s="233">
        <v>901000</v>
      </c>
      <c r="B159" s="232" t="s">
        <v>287</v>
      </c>
      <c r="F159" s="529">
        <f t="shared" si="4"/>
        <v>78</v>
      </c>
      <c r="H159" s="60">
        <v>77629</v>
      </c>
      <c r="I159" s="60"/>
      <c r="J159" s="346"/>
    </row>
    <row r="160" spans="1:10" ht="11.25" customHeight="1">
      <c r="A160" s="233">
        <v>902000</v>
      </c>
      <c r="B160" s="232" t="s">
        <v>288</v>
      </c>
      <c r="F160" s="529">
        <f t="shared" si="4"/>
        <v>1669</v>
      </c>
      <c r="H160" s="60">
        <v>1669162</v>
      </c>
      <c r="I160" s="60"/>
      <c r="J160" s="346"/>
    </row>
    <row r="161" spans="1:10" ht="11.25" customHeight="1">
      <c r="A161" s="233" t="s">
        <v>289</v>
      </c>
      <c r="B161" s="232" t="s">
        <v>290</v>
      </c>
      <c r="F161" s="529">
        <f t="shared" si="4"/>
        <v>4469</v>
      </c>
      <c r="H161" s="60">
        <v>4468642</v>
      </c>
      <c r="I161" s="60"/>
      <c r="J161" s="346"/>
    </row>
    <row r="162" spans="1:10" ht="11.25" customHeight="1">
      <c r="A162" s="233">
        <v>904000</v>
      </c>
      <c r="B162" s="232" t="s">
        <v>291</v>
      </c>
      <c r="F162" s="529">
        <f t="shared" si="4"/>
        <v>90</v>
      </c>
      <c r="H162" s="60">
        <v>89876</v>
      </c>
      <c r="I162" s="60"/>
      <c r="J162" s="346"/>
    </row>
    <row r="163" spans="1:10" ht="11.25" customHeight="1">
      <c r="A163" s="233">
        <v>905000</v>
      </c>
      <c r="B163" s="232" t="s">
        <v>292</v>
      </c>
      <c r="F163" s="529">
        <f t="shared" si="4"/>
        <v>93</v>
      </c>
      <c r="H163" s="60">
        <v>92738</v>
      </c>
      <c r="I163" s="60"/>
      <c r="J163" s="346"/>
    </row>
    <row r="164" spans="1:10" ht="11.25" customHeight="1">
      <c r="A164" s="230"/>
      <c r="B164" s="232" t="s">
        <v>293</v>
      </c>
      <c r="F164" s="529">
        <f t="shared" si="4"/>
        <v>6398</v>
      </c>
      <c r="H164" s="60">
        <v>6398047</v>
      </c>
      <c r="I164" s="60"/>
      <c r="J164" s="346"/>
    </row>
    <row r="165" spans="1:10" ht="11.25" customHeight="1">
      <c r="A165" s="230"/>
      <c r="B165" s="232"/>
      <c r="F165" s="529">
        <f t="shared" si="4"/>
        <v>0</v>
      </c>
      <c r="H165" s="60"/>
      <c r="I165" s="60"/>
      <c r="J165" s="346"/>
    </row>
    <row r="166" spans="1:10" ht="11.25" customHeight="1">
      <c r="A166" s="230"/>
      <c r="B166" s="232" t="s">
        <v>294</v>
      </c>
      <c r="F166" s="529">
        <f t="shared" si="4"/>
        <v>0</v>
      </c>
      <c r="H166" s="60"/>
      <c r="I166" s="60"/>
      <c r="J166" s="346"/>
    </row>
    <row r="167" spans="1:10" ht="11.25" customHeight="1">
      <c r="A167" s="233" t="s">
        <v>295</v>
      </c>
      <c r="B167" s="232" t="s">
        <v>296</v>
      </c>
      <c r="F167" s="529">
        <f t="shared" si="4"/>
        <v>8902</v>
      </c>
      <c r="H167" s="60">
        <v>8901554</v>
      </c>
      <c r="I167" s="60"/>
      <c r="J167" s="346"/>
    </row>
    <row r="168" spans="1:10" ht="11.25" customHeight="1">
      <c r="A168" s="233">
        <v>909000</v>
      </c>
      <c r="B168" s="232" t="s">
        <v>297</v>
      </c>
      <c r="F168" s="529">
        <f t="shared" si="4"/>
        <v>644</v>
      </c>
      <c r="H168" s="60">
        <v>643901</v>
      </c>
      <c r="I168" s="60"/>
      <c r="J168" s="346"/>
    </row>
    <row r="169" spans="1:10" ht="11.25" customHeight="1">
      <c r="A169" s="233">
        <v>910000</v>
      </c>
      <c r="B169" s="232" t="s">
        <v>298</v>
      </c>
      <c r="F169" s="529">
        <f t="shared" si="4"/>
        <v>118</v>
      </c>
      <c r="H169" s="60">
        <v>118200</v>
      </c>
      <c r="I169" s="60"/>
      <c r="J169" s="346"/>
    </row>
    <row r="170" spans="1:10" ht="11.25" customHeight="1">
      <c r="A170" s="230"/>
      <c r="B170" s="232" t="s">
        <v>299</v>
      </c>
      <c r="F170" s="529">
        <f t="shared" si="4"/>
        <v>9664</v>
      </c>
      <c r="H170" s="60">
        <v>9663655</v>
      </c>
      <c r="I170" s="60"/>
      <c r="J170" s="346"/>
    </row>
    <row r="171" spans="1:10" ht="11.25" customHeight="1">
      <c r="A171" s="230"/>
      <c r="B171" s="232"/>
      <c r="F171" s="529">
        <f t="shared" si="4"/>
        <v>0</v>
      </c>
      <c r="H171" s="60"/>
      <c r="I171" s="60"/>
      <c r="J171" s="346"/>
    </row>
    <row r="172" spans="1:10" ht="11.25" customHeight="1">
      <c r="A172" s="230"/>
      <c r="B172" s="232" t="s">
        <v>300</v>
      </c>
      <c r="F172" s="529">
        <f t="shared" si="4"/>
        <v>0</v>
      </c>
      <c r="H172" s="60"/>
      <c r="I172" s="60"/>
      <c r="J172" s="346"/>
    </row>
    <row r="173" spans="1:10" ht="11.25" customHeight="1">
      <c r="A173" s="233">
        <v>912000</v>
      </c>
      <c r="B173" s="232" t="s">
        <v>301</v>
      </c>
      <c r="F173" s="529">
        <f t="shared" si="4"/>
        <v>0</v>
      </c>
      <c r="H173" s="60">
        <v>0</v>
      </c>
      <c r="I173" s="60"/>
      <c r="J173" s="346"/>
    </row>
    <row r="174" spans="1:10" ht="11.25" customHeight="1">
      <c r="A174" s="233">
        <v>913000</v>
      </c>
      <c r="B174" s="232" t="s">
        <v>297</v>
      </c>
      <c r="F174" s="529">
        <f t="shared" si="4"/>
        <v>0</v>
      </c>
      <c r="H174" s="60">
        <v>0</v>
      </c>
      <c r="I174" s="60"/>
      <c r="J174" s="346"/>
    </row>
    <row r="175" spans="1:10" ht="11.25" customHeight="1">
      <c r="A175" s="233">
        <v>916000</v>
      </c>
      <c r="B175" s="232" t="s">
        <v>302</v>
      </c>
      <c r="F175" s="529">
        <f t="shared" si="4"/>
        <v>0</v>
      </c>
      <c r="H175" s="60">
        <v>0</v>
      </c>
      <c r="I175" s="60"/>
      <c r="J175" s="346"/>
    </row>
    <row r="176" spans="1:10" ht="11.25" customHeight="1">
      <c r="A176" s="230"/>
      <c r="B176" s="232" t="s">
        <v>303</v>
      </c>
      <c r="F176" s="529">
        <f t="shared" si="4"/>
        <v>0</v>
      </c>
      <c r="H176" s="60">
        <v>0</v>
      </c>
      <c r="I176" s="60"/>
      <c r="J176" s="346"/>
    </row>
    <row r="177" spans="1:10" ht="11.25" customHeight="1">
      <c r="A177" s="230"/>
      <c r="B177" s="232"/>
      <c r="F177" s="529">
        <f t="shared" si="4"/>
        <v>0</v>
      </c>
      <c r="H177" s="60"/>
      <c r="I177" s="60"/>
      <c r="J177" s="346"/>
    </row>
    <row r="178" spans="1:10" ht="11.25" customHeight="1">
      <c r="A178" s="230"/>
      <c r="B178" s="232" t="s">
        <v>304</v>
      </c>
      <c r="F178" s="529">
        <f t="shared" si="4"/>
        <v>0</v>
      </c>
      <c r="H178" s="60"/>
      <c r="I178" s="60"/>
      <c r="J178" s="346"/>
    </row>
    <row r="179" spans="1:10" ht="11.25" customHeight="1">
      <c r="A179" s="233">
        <v>920000</v>
      </c>
      <c r="B179" s="232" t="s">
        <v>305</v>
      </c>
      <c r="F179" s="529">
        <f t="shared" si="4"/>
        <v>6966</v>
      </c>
      <c r="H179" s="60">
        <v>6965982</v>
      </c>
      <c r="I179" s="60"/>
      <c r="J179" s="346"/>
    </row>
    <row r="180" spans="1:10" ht="11.25" customHeight="1">
      <c r="A180" s="233">
        <v>921000</v>
      </c>
      <c r="B180" s="232" t="s">
        <v>306</v>
      </c>
      <c r="F180" s="529">
        <f t="shared" si="4"/>
        <v>973</v>
      </c>
      <c r="H180" s="60">
        <v>973038</v>
      </c>
      <c r="I180" s="60"/>
      <c r="J180" s="346"/>
    </row>
    <row r="181" spans="1:10" ht="11.25" customHeight="1">
      <c r="A181" s="233">
        <v>922000</v>
      </c>
      <c r="B181" s="232" t="s">
        <v>307</v>
      </c>
      <c r="F181" s="529">
        <f t="shared" si="4"/>
        <v>-13</v>
      </c>
      <c r="H181" s="60">
        <v>-12863</v>
      </c>
      <c r="I181" s="60"/>
      <c r="J181" s="346"/>
    </row>
    <row r="182" spans="1:10" ht="11.25" customHeight="1">
      <c r="A182" s="233">
        <v>923000</v>
      </c>
      <c r="B182" s="232" t="s">
        <v>308</v>
      </c>
      <c r="F182" s="529">
        <f t="shared" si="4"/>
        <v>1950</v>
      </c>
      <c r="H182" s="60">
        <v>1949546</v>
      </c>
      <c r="I182" s="60"/>
      <c r="J182" s="346"/>
    </row>
    <row r="183" spans="1:10" ht="11.25" customHeight="1">
      <c r="A183" s="233">
        <v>924000</v>
      </c>
      <c r="B183" s="232" t="s">
        <v>309</v>
      </c>
      <c r="F183" s="529">
        <f t="shared" si="4"/>
        <v>248</v>
      </c>
      <c r="H183" s="60">
        <v>247872</v>
      </c>
      <c r="I183" s="60"/>
      <c r="J183" s="346"/>
    </row>
    <row r="184" spans="1:10" ht="11.25" customHeight="1">
      <c r="A184" s="230" t="s">
        <v>310</v>
      </c>
      <c r="B184" s="232" t="s">
        <v>311</v>
      </c>
      <c r="F184" s="529">
        <f t="shared" si="4"/>
        <v>596</v>
      </c>
      <c r="H184" s="60">
        <v>595616</v>
      </c>
      <c r="I184" s="60"/>
      <c r="J184" s="346"/>
    </row>
    <row r="185" spans="1:10" ht="11.25" customHeight="1">
      <c r="A185" s="230" t="s">
        <v>312</v>
      </c>
      <c r="B185" s="232" t="s">
        <v>313</v>
      </c>
      <c r="F185" s="529">
        <f t="shared" si="4"/>
        <v>416</v>
      </c>
      <c r="H185" s="60">
        <v>415933</v>
      </c>
      <c r="I185" s="60"/>
      <c r="J185" s="346"/>
    </row>
    <row r="186" spans="1:10" ht="11.25" customHeight="1">
      <c r="A186" s="233">
        <v>928000</v>
      </c>
      <c r="B186" s="232" t="s">
        <v>314</v>
      </c>
      <c r="F186" s="529">
        <f t="shared" si="4"/>
        <v>801</v>
      </c>
      <c r="H186" s="60">
        <v>801039</v>
      </c>
      <c r="I186" s="60"/>
      <c r="J186" s="346"/>
    </row>
    <row r="187" spans="1:10" ht="11.25" customHeight="1">
      <c r="A187" s="233">
        <v>930000</v>
      </c>
      <c r="B187" s="232" t="s">
        <v>315</v>
      </c>
      <c r="F187" s="529">
        <f t="shared" si="4"/>
        <v>962</v>
      </c>
      <c r="H187" s="60">
        <v>962328</v>
      </c>
      <c r="I187" s="60"/>
      <c r="J187" s="346"/>
    </row>
    <row r="188" spans="1:10" ht="11.25" customHeight="1">
      <c r="A188" s="233">
        <v>931000</v>
      </c>
      <c r="B188" s="232" t="s">
        <v>277</v>
      </c>
      <c r="F188" s="529">
        <f t="shared" si="4"/>
        <v>72</v>
      </c>
      <c r="H188" s="60">
        <v>71724</v>
      </c>
      <c r="I188" s="60"/>
      <c r="J188" s="346"/>
    </row>
    <row r="189" spans="1:10" ht="11.25" customHeight="1">
      <c r="A189" s="233">
        <v>935000</v>
      </c>
      <c r="B189" s="232" t="s">
        <v>316</v>
      </c>
      <c r="F189" s="529">
        <f t="shared" si="4"/>
        <v>2726</v>
      </c>
      <c r="H189" s="60">
        <v>2725885</v>
      </c>
      <c r="I189" s="60"/>
      <c r="J189" s="346"/>
    </row>
    <row r="190" spans="1:10" ht="11.25" customHeight="1">
      <c r="A190" s="230"/>
      <c r="B190" s="232" t="s">
        <v>317</v>
      </c>
      <c r="F190" s="529">
        <f t="shared" si="4"/>
        <v>15696</v>
      </c>
      <c r="H190" s="60">
        <v>15696100</v>
      </c>
      <c r="I190" s="60"/>
      <c r="J190" s="346"/>
    </row>
    <row r="191" spans="1:10" ht="11.25" customHeight="1">
      <c r="A191" s="230"/>
      <c r="B191" s="232"/>
      <c r="F191" s="529">
        <f t="shared" si="4"/>
        <v>0</v>
      </c>
      <c r="H191" s="60"/>
      <c r="I191" s="60"/>
      <c r="J191" s="346"/>
    </row>
    <row r="192" spans="1:10" ht="11.25" customHeight="1">
      <c r="A192" s="230"/>
      <c r="B192" s="232" t="s">
        <v>318</v>
      </c>
      <c r="F192" s="529">
        <f t="shared" si="4"/>
        <v>5201</v>
      </c>
      <c r="H192" s="60">
        <v>5200792</v>
      </c>
      <c r="I192" s="60"/>
      <c r="J192" s="346"/>
    </row>
    <row r="193" spans="1:10" ht="11.25" customHeight="1">
      <c r="A193" s="230"/>
      <c r="B193" s="232" t="s">
        <v>319</v>
      </c>
      <c r="F193" s="529">
        <f t="shared" si="4"/>
        <v>124</v>
      </c>
      <c r="H193" s="60">
        <v>124301</v>
      </c>
      <c r="I193" s="60"/>
      <c r="J193" s="346"/>
    </row>
    <row r="194" spans="1:10" ht="11.25" customHeight="1">
      <c r="A194" s="230"/>
      <c r="B194" s="232" t="s">
        <v>320</v>
      </c>
      <c r="F194" s="529">
        <f t="shared" si="4"/>
        <v>5353</v>
      </c>
      <c r="H194" s="60">
        <v>5352917</v>
      </c>
      <c r="I194" s="60"/>
      <c r="J194" s="346"/>
    </row>
    <row r="195" spans="1:10" ht="11.25" customHeight="1">
      <c r="A195" s="231"/>
      <c r="B195" s="232" t="s">
        <v>321</v>
      </c>
      <c r="F195" s="529">
        <f t="shared" si="4"/>
        <v>0</v>
      </c>
      <c r="H195" s="60">
        <v>-6</v>
      </c>
      <c r="I195" s="60"/>
      <c r="J195" s="346"/>
    </row>
    <row r="196" spans="1:10" ht="11.25" customHeight="1">
      <c r="A196" s="237">
        <v>407025</v>
      </c>
      <c r="B196" s="232" t="s">
        <v>322</v>
      </c>
      <c r="F196" s="529">
        <f t="shared" si="4"/>
        <v>0</v>
      </c>
      <c r="H196" s="60">
        <v>0</v>
      </c>
      <c r="I196" s="60"/>
      <c r="J196" s="346" t="s">
        <v>322</v>
      </c>
    </row>
    <row r="197" spans="1:10" ht="11.25" customHeight="1">
      <c r="A197" s="233">
        <v>407229</v>
      </c>
      <c r="B197" s="232" t="s">
        <v>445</v>
      </c>
      <c r="F197" s="529">
        <f t="shared" si="4"/>
        <v>0</v>
      </c>
      <c r="H197" s="60">
        <v>0</v>
      </c>
      <c r="I197" s="60"/>
      <c r="J197" s="346" t="s">
        <v>445</v>
      </c>
    </row>
    <row r="198" spans="1:10" ht="11.25" customHeight="1">
      <c r="A198" s="233">
        <v>407230</v>
      </c>
      <c r="B198" s="232" t="s">
        <v>500</v>
      </c>
      <c r="F198" s="529">
        <f t="shared" si="4"/>
        <v>-1205</v>
      </c>
      <c r="H198" s="60">
        <v>-1205040</v>
      </c>
      <c r="I198" s="60"/>
      <c r="J198" s="346" t="s">
        <v>500</v>
      </c>
    </row>
    <row r="199" spans="1:10" ht="11.25" customHeight="1">
      <c r="A199" s="233">
        <v>407302</v>
      </c>
      <c r="B199" s="232" t="s">
        <v>501</v>
      </c>
      <c r="F199" s="529">
        <f t="shared" si="4"/>
        <v>584</v>
      </c>
      <c r="H199" s="60">
        <v>584253</v>
      </c>
      <c r="I199" s="60"/>
      <c r="J199" s="346" t="s">
        <v>501</v>
      </c>
    </row>
    <row r="200" spans="1:10" ht="11.25" customHeight="1">
      <c r="A200" s="233">
        <v>407305</v>
      </c>
      <c r="B200" s="346" t="s">
        <v>519</v>
      </c>
      <c r="F200" s="529">
        <f t="shared" si="4"/>
        <v>0</v>
      </c>
      <c r="H200" s="60">
        <v>0</v>
      </c>
      <c r="I200" s="60"/>
      <c r="J200" s="346" t="s">
        <v>519</v>
      </c>
    </row>
    <row r="201" spans="1:10" ht="11.25" customHeight="1">
      <c r="A201" s="233">
        <v>407311</v>
      </c>
      <c r="B201" s="232" t="s">
        <v>502</v>
      </c>
      <c r="F201" s="529">
        <f t="shared" si="4"/>
        <v>79</v>
      </c>
      <c r="H201" s="60">
        <v>79179</v>
      </c>
      <c r="I201" s="60"/>
      <c r="J201" s="347" t="s">
        <v>502</v>
      </c>
    </row>
    <row r="202" spans="1:10" ht="11.25" customHeight="1">
      <c r="A202" s="233">
        <v>407319</v>
      </c>
      <c r="B202" s="232" t="s">
        <v>503</v>
      </c>
      <c r="F202" s="529">
        <f t="shared" si="4"/>
        <v>229</v>
      </c>
      <c r="H202" s="60">
        <v>229489</v>
      </c>
      <c r="I202" s="60"/>
      <c r="J202" s="347" t="s">
        <v>503</v>
      </c>
    </row>
    <row r="203" spans="1:10" ht="11.25" customHeight="1">
      <c r="A203" s="233">
        <v>407332</v>
      </c>
      <c r="B203" s="232" t="s">
        <v>504</v>
      </c>
      <c r="F203" s="529">
        <f t="shared" si="4"/>
        <v>11</v>
      </c>
      <c r="H203" s="60">
        <v>10957</v>
      </c>
      <c r="I203" s="60"/>
      <c r="J203" s="347" t="s">
        <v>504</v>
      </c>
    </row>
    <row r="204" spans="1:10" ht="11.25" customHeight="1">
      <c r="A204" s="233">
        <v>407335</v>
      </c>
      <c r="B204" s="232" t="s">
        <v>323</v>
      </c>
      <c r="F204" s="529">
        <f t="shared" si="4"/>
        <v>0</v>
      </c>
      <c r="H204" s="60">
        <v>0</v>
      </c>
      <c r="I204" s="60"/>
      <c r="J204" s="347" t="s">
        <v>323</v>
      </c>
    </row>
    <row r="205" spans="1:10" ht="11.25" customHeight="1">
      <c r="A205" s="233" t="s">
        <v>505</v>
      </c>
      <c r="B205" s="232" t="s">
        <v>506</v>
      </c>
      <c r="F205" s="529">
        <f t="shared" si="4"/>
        <v>0</v>
      </c>
      <c r="H205" s="60">
        <v>0</v>
      </c>
      <c r="I205" s="60"/>
      <c r="J205" s="346" t="s">
        <v>506</v>
      </c>
    </row>
    <row r="206" spans="1:10" ht="11.25" customHeight="1">
      <c r="A206" s="233" t="s">
        <v>507</v>
      </c>
      <c r="B206" s="232" t="s">
        <v>508</v>
      </c>
      <c r="F206" s="529">
        <f t="shared" si="4"/>
        <v>-462</v>
      </c>
      <c r="H206" s="60">
        <v>-462395</v>
      </c>
      <c r="I206" s="60"/>
      <c r="J206" s="346" t="s">
        <v>508</v>
      </c>
    </row>
    <row r="207" spans="1:10" ht="11.25" customHeight="1">
      <c r="A207" s="233" t="s">
        <v>324</v>
      </c>
      <c r="B207" s="232" t="s">
        <v>325</v>
      </c>
      <c r="F207" s="529">
        <f t="shared" si="4"/>
        <v>0</v>
      </c>
      <c r="H207" s="60">
        <v>0</v>
      </c>
      <c r="I207" s="60"/>
      <c r="J207" s="346" t="s">
        <v>325</v>
      </c>
    </row>
    <row r="208" spans="1:10" ht="15.5">
      <c r="A208" s="233" t="s">
        <v>509</v>
      </c>
      <c r="B208" s="232" t="s">
        <v>510</v>
      </c>
      <c r="F208" s="529">
        <f t="shared" si="4"/>
        <v>-2239</v>
      </c>
      <c r="H208" s="60">
        <v>-2239164</v>
      </c>
      <c r="I208" s="60"/>
      <c r="J208" s="346" t="s">
        <v>520</v>
      </c>
    </row>
    <row r="209" spans="1:10" ht="15.5">
      <c r="A209" s="348" t="s">
        <v>448</v>
      </c>
      <c r="B209" s="346" t="s">
        <v>447</v>
      </c>
      <c r="F209" s="529">
        <f t="shared" si="4"/>
        <v>0</v>
      </c>
      <c r="H209" s="60">
        <v>0</v>
      </c>
      <c r="I209" s="60"/>
      <c r="J209" s="346" t="s">
        <v>447</v>
      </c>
    </row>
    <row r="210" spans="1:10" ht="15.5">
      <c r="A210" s="230"/>
      <c r="B210" s="232" t="s">
        <v>326</v>
      </c>
      <c r="F210" s="529">
        <f t="shared" si="4"/>
        <v>7675</v>
      </c>
      <c r="H210" s="60">
        <v>7675283</v>
      </c>
      <c r="I210" s="60"/>
      <c r="J210" s="346"/>
    </row>
    <row r="211" spans="1:10" ht="15.5">
      <c r="A211" s="230"/>
      <c r="B211" s="232"/>
      <c r="F211" s="529">
        <f t="shared" si="4"/>
        <v>0</v>
      </c>
      <c r="H211" s="60"/>
      <c r="I211" s="60"/>
      <c r="J211" s="346"/>
    </row>
    <row r="212" spans="1:10" ht="15.5">
      <c r="A212" s="233"/>
      <c r="B212" s="232" t="s">
        <v>327</v>
      </c>
      <c r="F212" s="529">
        <f t="shared" si="4"/>
        <v>23371</v>
      </c>
      <c r="H212" s="60">
        <v>23371383</v>
      </c>
      <c r="I212" s="60"/>
      <c r="J212" s="346"/>
    </row>
    <row r="213" spans="1:10" ht="15.5">
      <c r="A213" s="233"/>
      <c r="B213" s="232"/>
      <c r="F213" s="529">
        <f t="shared" si="4"/>
        <v>0</v>
      </c>
      <c r="H213" s="60"/>
      <c r="I213" s="60"/>
      <c r="J213" s="346"/>
    </row>
    <row r="214" spans="1:10" ht="11.25" customHeight="1">
      <c r="A214" s="233"/>
      <c r="B214" s="232" t="s">
        <v>328</v>
      </c>
      <c r="F214" s="529">
        <f t="shared" si="4"/>
        <v>181583</v>
      </c>
      <c r="H214" s="60">
        <v>181582880</v>
      </c>
      <c r="I214" s="60"/>
      <c r="J214" s="346"/>
    </row>
    <row r="215" spans="1:10" ht="11.25" customHeight="1">
      <c r="A215" s="233"/>
      <c r="B215" s="232"/>
      <c r="F215" s="529">
        <f t="shared" si="4"/>
        <v>0</v>
      </c>
      <c r="H215" s="60"/>
      <c r="I215" s="60"/>
      <c r="J215" s="346"/>
    </row>
    <row r="216" spans="1:10" ht="11.25" customHeight="1">
      <c r="A216" s="233"/>
      <c r="B216" s="232" t="s">
        <v>329</v>
      </c>
      <c r="F216" s="529">
        <f t="shared" si="4"/>
        <v>26243</v>
      </c>
      <c r="H216" s="60">
        <v>26242565</v>
      </c>
      <c r="I216" s="60"/>
      <c r="J216" s="346"/>
    </row>
    <row r="217" spans="1:10" ht="11.25" customHeight="1">
      <c r="A217" s="233"/>
      <c r="B217" s="232"/>
      <c r="F217" s="529">
        <f t="shared" si="4"/>
        <v>0</v>
      </c>
      <c r="H217" s="60"/>
      <c r="I217" s="60"/>
      <c r="J217" s="346"/>
    </row>
    <row r="218" spans="1:10" ht="11.25" customHeight="1">
      <c r="A218" s="233"/>
      <c r="B218" s="232" t="s">
        <v>55</v>
      </c>
      <c r="F218" s="529">
        <f t="shared" si="4"/>
        <v>-4720</v>
      </c>
      <c r="H218" s="60">
        <v>-4719700</v>
      </c>
      <c r="I218" s="60"/>
      <c r="J218" s="346"/>
    </row>
    <row r="219" spans="1:10" ht="15.5">
      <c r="A219" s="233"/>
      <c r="B219" s="232" t="s">
        <v>330</v>
      </c>
      <c r="F219" s="529">
        <f t="shared" si="4"/>
        <v>6501</v>
      </c>
      <c r="H219" s="60">
        <v>6500601</v>
      </c>
      <c r="I219" s="60"/>
      <c r="J219" s="346"/>
    </row>
    <row r="220" spans="1:10" ht="15.5">
      <c r="A220" s="233"/>
      <c r="B220" s="232" t="s">
        <v>331</v>
      </c>
      <c r="F220" s="529">
        <f t="shared" si="4"/>
        <v>-12</v>
      </c>
      <c r="H220" s="60">
        <v>-12048</v>
      </c>
      <c r="I220" s="60"/>
      <c r="J220" s="346"/>
    </row>
    <row r="221" spans="1:10" ht="11.25" customHeight="1">
      <c r="A221" s="230"/>
      <c r="B221" s="479" t="s">
        <v>332</v>
      </c>
      <c r="C221" s="556"/>
      <c r="D221" s="556"/>
      <c r="E221" s="557"/>
      <c r="F221" s="558">
        <f t="shared" si="4"/>
        <v>24474</v>
      </c>
      <c r="G221" s="557"/>
      <c r="H221" s="559">
        <v>24473712</v>
      </c>
    </row>
    <row r="222" spans="1:10" ht="11.25" customHeight="1">
      <c r="F222" s="529">
        <f t="shared" si="4"/>
        <v>0</v>
      </c>
      <c r="J222" s="349"/>
    </row>
    <row r="223" spans="1:10" ht="11.25" customHeight="1">
      <c r="A223" s="238"/>
      <c r="B223" s="239" t="s">
        <v>105</v>
      </c>
      <c r="F223" s="529">
        <f t="shared" si="4"/>
        <v>0</v>
      </c>
      <c r="J223" s="349"/>
    </row>
    <row r="224" spans="1:10" ht="11.25" customHeight="1">
      <c r="A224" s="238"/>
      <c r="B224" s="239" t="s">
        <v>333</v>
      </c>
      <c r="F224" s="529">
        <f t="shared" si="4"/>
        <v>0</v>
      </c>
      <c r="I224" s="60"/>
      <c r="J224" s="350"/>
    </row>
    <row r="225" spans="1:10" ht="11.25" customHeight="1">
      <c r="A225" s="240">
        <v>303000</v>
      </c>
      <c r="B225" s="241" t="s">
        <v>334</v>
      </c>
      <c r="F225" s="529">
        <f t="shared" si="4"/>
        <v>2522</v>
      </c>
      <c r="H225" s="60">
        <v>2522414</v>
      </c>
      <c r="I225" s="60"/>
      <c r="J225" s="349"/>
    </row>
    <row r="226" spans="1:10" ht="11.25" customHeight="1">
      <c r="A226" s="242" t="s">
        <v>335</v>
      </c>
      <c r="B226" s="239" t="s">
        <v>336</v>
      </c>
      <c r="F226" s="529">
        <f t="shared" si="4"/>
        <v>39910</v>
      </c>
      <c r="H226" s="60">
        <v>39909991</v>
      </c>
      <c r="I226" s="60"/>
      <c r="J226" s="349"/>
    </row>
    <row r="227" spans="1:10" ht="11.25" customHeight="1">
      <c r="A227" s="243"/>
      <c r="B227" s="239" t="s">
        <v>337</v>
      </c>
      <c r="F227" s="529">
        <f t="shared" si="4"/>
        <v>42432</v>
      </c>
      <c r="H227" s="60">
        <v>42432405</v>
      </c>
      <c r="I227" s="60"/>
      <c r="J227" s="349"/>
    </row>
    <row r="228" spans="1:10" ht="11.25" customHeight="1">
      <c r="A228" s="243"/>
      <c r="B228" s="239"/>
      <c r="F228" s="529">
        <f t="shared" ref="F228:F293" si="5">ROUND(H228/1000,0)</f>
        <v>0</v>
      </c>
      <c r="H228" s="60"/>
      <c r="I228" s="60"/>
      <c r="J228" s="349"/>
    </row>
    <row r="229" spans="1:10" ht="11.25" customHeight="1">
      <c r="A229" s="243"/>
      <c r="B229" s="239" t="s">
        <v>338</v>
      </c>
      <c r="F229" s="529">
        <f t="shared" si="5"/>
        <v>0</v>
      </c>
      <c r="H229" s="60"/>
      <c r="I229" s="60"/>
      <c r="J229" s="349"/>
    </row>
    <row r="230" spans="1:10" ht="11.25" customHeight="1">
      <c r="A230" s="244" t="s">
        <v>339</v>
      </c>
      <c r="B230" s="239" t="s">
        <v>340</v>
      </c>
      <c r="F230" s="529">
        <f t="shared" si="5"/>
        <v>912</v>
      </c>
      <c r="H230" s="60">
        <v>911631</v>
      </c>
      <c r="I230" s="60"/>
      <c r="J230" s="349"/>
    </row>
    <row r="231" spans="1:10" ht="11.25" customHeight="1">
      <c r="A231" s="244" t="s">
        <v>341</v>
      </c>
      <c r="B231" s="239" t="s">
        <v>342</v>
      </c>
      <c r="F231" s="529">
        <f t="shared" si="5"/>
        <v>1897</v>
      </c>
      <c r="H231" s="60">
        <v>1897389</v>
      </c>
      <c r="I231" s="60"/>
      <c r="J231" s="349"/>
    </row>
    <row r="232" spans="1:10" ht="11.25" customHeight="1">
      <c r="A232" s="244" t="s">
        <v>343</v>
      </c>
      <c r="B232" s="239" t="s">
        <v>344</v>
      </c>
      <c r="F232" s="529">
        <f t="shared" si="5"/>
        <v>13706</v>
      </c>
      <c r="H232" s="60">
        <v>13705887</v>
      </c>
      <c r="I232" s="60"/>
      <c r="J232" s="349"/>
    </row>
    <row r="233" spans="1:10" ht="11.25" customHeight="1">
      <c r="A233" s="244">
        <v>353000</v>
      </c>
      <c r="B233" s="239" t="s">
        <v>345</v>
      </c>
      <c r="F233" s="529">
        <f t="shared" si="5"/>
        <v>805</v>
      </c>
      <c r="H233" s="60">
        <v>804510</v>
      </c>
      <c r="I233" s="60"/>
      <c r="J233" s="349"/>
    </row>
    <row r="234" spans="1:10" ht="11.25" customHeight="1">
      <c r="A234" s="244">
        <v>354000</v>
      </c>
      <c r="B234" s="239" t="s">
        <v>346</v>
      </c>
      <c r="F234" s="529">
        <f t="shared" si="5"/>
        <v>9056</v>
      </c>
      <c r="H234" s="60">
        <v>9055590</v>
      </c>
      <c r="I234" s="60"/>
      <c r="J234" s="349"/>
    </row>
    <row r="235" spans="1:10" ht="11.25" customHeight="1">
      <c r="A235" s="244">
        <v>355000</v>
      </c>
      <c r="B235" s="239" t="s">
        <v>347</v>
      </c>
      <c r="F235" s="529">
        <f t="shared" si="5"/>
        <v>1098</v>
      </c>
      <c r="H235" s="60">
        <v>1097651</v>
      </c>
      <c r="I235" s="60"/>
      <c r="J235" s="349"/>
    </row>
    <row r="236" spans="1:10" ht="11.25" customHeight="1">
      <c r="A236" s="244">
        <v>356000</v>
      </c>
      <c r="B236" s="239" t="s">
        <v>348</v>
      </c>
      <c r="F236" s="529">
        <f t="shared" si="5"/>
        <v>289</v>
      </c>
      <c r="H236" s="60">
        <v>289412</v>
      </c>
      <c r="I236" s="60"/>
      <c r="J236" s="349"/>
    </row>
    <row r="237" spans="1:10" ht="11.25" customHeight="1">
      <c r="A237" s="244">
        <v>357000</v>
      </c>
      <c r="B237" s="239" t="s">
        <v>261</v>
      </c>
      <c r="F237" s="529">
        <f t="shared" si="5"/>
        <v>1952</v>
      </c>
      <c r="H237" s="60">
        <v>1951521</v>
      </c>
      <c r="I237" s="60"/>
      <c r="J237" s="349"/>
    </row>
    <row r="238" spans="1:10" ht="11.25" customHeight="1">
      <c r="A238" s="244"/>
      <c r="B238" s="239" t="s">
        <v>349</v>
      </c>
      <c r="F238" s="529">
        <f t="shared" si="5"/>
        <v>29714</v>
      </c>
      <c r="H238" s="60">
        <v>29713591</v>
      </c>
      <c r="I238" s="60"/>
      <c r="J238" s="349"/>
    </row>
    <row r="239" spans="1:10" ht="11.25" customHeight="1">
      <c r="A239" s="244"/>
      <c r="B239" s="239"/>
      <c r="F239" s="529">
        <f t="shared" si="5"/>
        <v>0</v>
      </c>
      <c r="H239" s="60"/>
      <c r="I239" s="60"/>
      <c r="J239" s="349"/>
    </row>
    <row r="240" spans="1:10" ht="11.25" customHeight="1">
      <c r="A240" s="244"/>
      <c r="B240" s="239" t="s">
        <v>350</v>
      </c>
      <c r="F240" s="529">
        <f t="shared" si="5"/>
        <v>0</v>
      </c>
      <c r="H240" s="60"/>
      <c r="I240" s="60"/>
      <c r="J240" s="349"/>
    </row>
    <row r="241" spans="1:10" ht="11.25" customHeight="1">
      <c r="A241" s="244">
        <v>374200</v>
      </c>
      <c r="B241" s="239" t="s">
        <v>340</v>
      </c>
      <c r="F241" s="529">
        <f t="shared" si="5"/>
        <v>64</v>
      </c>
      <c r="H241" s="60">
        <v>63925</v>
      </c>
      <c r="I241" s="60"/>
      <c r="J241" s="349"/>
    </row>
    <row r="242" spans="1:10" ht="11.25" customHeight="1">
      <c r="A242" s="244">
        <v>374400</v>
      </c>
      <c r="B242" s="239" t="s">
        <v>340</v>
      </c>
      <c r="F242" s="529">
        <f t="shared" si="5"/>
        <v>332</v>
      </c>
      <c r="H242" s="60">
        <v>331807</v>
      </c>
      <c r="I242" s="60"/>
      <c r="J242" s="349"/>
    </row>
    <row r="243" spans="1:10" ht="11.25" customHeight="1">
      <c r="A243" s="244">
        <v>375000</v>
      </c>
      <c r="B243" s="239" t="s">
        <v>342</v>
      </c>
      <c r="F243" s="529">
        <f t="shared" si="5"/>
        <v>808</v>
      </c>
      <c r="H243" s="60">
        <v>808155</v>
      </c>
      <c r="I243" s="60"/>
      <c r="J243" s="351"/>
    </row>
    <row r="244" spans="1:10" ht="11.25" customHeight="1">
      <c r="A244" s="244">
        <v>376000</v>
      </c>
      <c r="B244" s="245" t="s">
        <v>279</v>
      </c>
      <c r="F244" s="529">
        <f t="shared" si="5"/>
        <v>248466</v>
      </c>
      <c r="H244" s="60">
        <v>248465835</v>
      </c>
      <c r="I244" s="60"/>
      <c r="J244" s="349"/>
    </row>
    <row r="245" spans="1:10" ht="11.25" customHeight="1">
      <c r="A245" s="244">
        <v>378000</v>
      </c>
      <c r="B245" s="239" t="s">
        <v>351</v>
      </c>
      <c r="F245" s="529">
        <f t="shared" si="5"/>
        <v>4122</v>
      </c>
      <c r="H245" s="60">
        <v>4122097</v>
      </c>
      <c r="I245" s="60"/>
      <c r="J245" s="349"/>
    </row>
    <row r="246" spans="1:10" ht="11.25" customHeight="1">
      <c r="A246" s="244">
        <v>379000</v>
      </c>
      <c r="B246" s="239" t="s">
        <v>352</v>
      </c>
      <c r="F246" s="529">
        <f t="shared" si="5"/>
        <v>1880</v>
      </c>
      <c r="H246" s="60">
        <v>1879782</v>
      </c>
      <c r="I246" s="60"/>
      <c r="J246" s="349"/>
    </row>
    <row r="247" spans="1:10" ht="11.25" customHeight="1">
      <c r="A247" s="244">
        <v>380000</v>
      </c>
      <c r="B247" s="239" t="s">
        <v>280</v>
      </c>
      <c r="F247" s="529">
        <f t="shared" si="5"/>
        <v>185716</v>
      </c>
      <c r="H247" s="60">
        <v>185715840</v>
      </c>
      <c r="I247" s="60"/>
      <c r="J247" s="349"/>
    </row>
    <row r="248" spans="1:10" ht="11.25" customHeight="1">
      <c r="A248" s="244">
        <v>381000</v>
      </c>
      <c r="B248" s="239" t="s">
        <v>353</v>
      </c>
      <c r="F248" s="529">
        <f t="shared" si="5"/>
        <v>61627</v>
      </c>
      <c r="H248" s="60">
        <v>61626618</v>
      </c>
      <c r="I248" s="60"/>
      <c r="J248" s="349"/>
    </row>
    <row r="249" spans="1:10" ht="11.25" customHeight="1">
      <c r="A249" s="244">
        <v>382000</v>
      </c>
      <c r="B249" s="239" t="s">
        <v>354</v>
      </c>
      <c r="F249" s="529">
        <f t="shared" si="5"/>
        <v>0</v>
      </c>
      <c r="H249" s="60">
        <v>0</v>
      </c>
      <c r="I249" s="60"/>
      <c r="J249" s="349"/>
    </row>
    <row r="250" spans="1:10" ht="11.25" customHeight="1">
      <c r="A250" s="244">
        <v>383000</v>
      </c>
      <c r="B250" s="239" t="s">
        <v>355</v>
      </c>
      <c r="F250" s="529">
        <f t="shared" si="5"/>
        <v>0</v>
      </c>
      <c r="H250" s="60">
        <v>0</v>
      </c>
      <c r="I250" s="60"/>
      <c r="J250" s="349"/>
    </row>
    <row r="251" spans="1:10" ht="11.25" customHeight="1">
      <c r="A251" s="244">
        <v>384000</v>
      </c>
      <c r="B251" s="239" t="s">
        <v>356</v>
      </c>
      <c r="F251" s="529">
        <f t="shared" si="5"/>
        <v>0</v>
      </c>
      <c r="H251" s="60">
        <v>0</v>
      </c>
      <c r="I251" s="60"/>
      <c r="J251" s="349"/>
    </row>
    <row r="252" spans="1:10" ht="11.25" customHeight="1">
      <c r="A252" s="244">
        <v>385000</v>
      </c>
      <c r="B252" s="239" t="s">
        <v>357</v>
      </c>
      <c r="F252" s="529">
        <f t="shared" si="5"/>
        <v>2849</v>
      </c>
      <c r="H252" s="60">
        <v>2849480</v>
      </c>
      <c r="I252" s="60"/>
      <c r="J252" s="349"/>
    </row>
    <row r="253" spans="1:10" ht="11.25" customHeight="1">
      <c r="A253" s="244">
        <v>387000</v>
      </c>
      <c r="B253" s="239" t="s">
        <v>261</v>
      </c>
      <c r="F253" s="529">
        <f t="shared" si="5"/>
        <v>0</v>
      </c>
      <c r="H253" s="60">
        <v>0</v>
      </c>
      <c r="I253" s="60"/>
      <c r="J253" s="349"/>
    </row>
    <row r="254" spans="1:10" ht="11.25" customHeight="1">
      <c r="A254" s="244"/>
      <c r="B254" s="239" t="s">
        <v>358</v>
      </c>
      <c r="F254" s="529">
        <f t="shared" si="5"/>
        <v>505864</v>
      </c>
      <c r="H254" s="60">
        <v>505863539</v>
      </c>
      <c r="I254" s="60"/>
      <c r="J254" s="349"/>
    </row>
    <row r="255" spans="1:10" ht="11.25" customHeight="1">
      <c r="A255" s="244"/>
      <c r="B255" s="239"/>
      <c r="F255" s="529">
        <f t="shared" si="5"/>
        <v>0</v>
      </c>
      <c r="H255" s="60"/>
      <c r="I255" s="60"/>
      <c r="J255" s="349"/>
    </row>
    <row r="256" spans="1:10" ht="11.25" customHeight="1">
      <c r="A256" s="244"/>
      <c r="B256" s="239" t="s">
        <v>359</v>
      </c>
      <c r="F256" s="529">
        <f t="shared" si="5"/>
        <v>0</v>
      </c>
      <c r="H256" s="60"/>
      <c r="I256" s="60"/>
      <c r="J256" s="349"/>
    </row>
    <row r="257" spans="1:10" ht="11.25" customHeight="1">
      <c r="A257" s="244" t="s">
        <v>360</v>
      </c>
      <c r="B257" s="239" t="s">
        <v>340</v>
      </c>
      <c r="F257" s="529">
        <f t="shared" si="5"/>
        <v>4595</v>
      </c>
      <c r="H257" s="60">
        <v>4594658</v>
      </c>
      <c r="I257" s="60"/>
      <c r="J257" s="349"/>
    </row>
    <row r="258" spans="1:10" ht="11.25" customHeight="1">
      <c r="A258" s="242" t="s">
        <v>361</v>
      </c>
      <c r="B258" s="239" t="s">
        <v>342</v>
      </c>
      <c r="F258" s="529">
        <f t="shared" si="5"/>
        <v>43153</v>
      </c>
      <c r="H258" s="60">
        <v>43152820</v>
      </c>
      <c r="I258" s="60"/>
      <c r="J258" s="349"/>
    </row>
    <row r="259" spans="1:10" ht="11.25" customHeight="1">
      <c r="A259" s="242" t="s">
        <v>362</v>
      </c>
      <c r="B259" s="239" t="s">
        <v>363</v>
      </c>
      <c r="F259" s="529">
        <f t="shared" si="5"/>
        <v>15079</v>
      </c>
      <c r="H259" s="60">
        <v>15079267</v>
      </c>
      <c r="I259" s="60"/>
      <c r="J259" s="349"/>
    </row>
    <row r="260" spans="1:10" ht="11.25" customHeight="1">
      <c r="A260" s="242" t="s">
        <v>364</v>
      </c>
      <c r="B260" s="239" t="s">
        <v>365</v>
      </c>
      <c r="F260" s="529">
        <f t="shared" si="5"/>
        <v>12835</v>
      </c>
      <c r="H260" s="60">
        <v>12835377</v>
      </c>
      <c r="I260" s="60"/>
      <c r="J260" s="349"/>
    </row>
    <row r="261" spans="1:10" ht="11.25" customHeight="1">
      <c r="A261" s="244">
        <v>393000</v>
      </c>
      <c r="B261" s="239" t="s">
        <v>366</v>
      </c>
      <c r="F261" s="529">
        <f t="shared" si="5"/>
        <v>875</v>
      </c>
      <c r="H261" s="60">
        <v>874865</v>
      </c>
      <c r="I261" s="60"/>
      <c r="J261" s="349"/>
    </row>
    <row r="262" spans="1:10" ht="11.25" customHeight="1">
      <c r="A262" s="244">
        <v>394000</v>
      </c>
      <c r="B262" s="239" t="s">
        <v>367</v>
      </c>
      <c r="F262" s="529">
        <f t="shared" si="5"/>
        <v>6687</v>
      </c>
      <c r="H262" s="60">
        <v>6687230</v>
      </c>
      <c r="I262" s="60"/>
      <c r="J262" s="349"/>
    </row>
    <row r="263" spans="1:10" ht="11.25" customHeight="1">
      <c r="A263" s="244">
        <v>395000</v>
      </c>
      <c r="B263" s="239" t="s">
        <v>368</v>
      </c>
      <c r="F263" s="529">
        <f t="shared" si="5"/>
        <v>439</v>
      </c>
      <c r="H263" s="60">
        <v>439347</v>
      </c>
      <c r="I263" s="60"/>
      <c r="J263" s="349"/>
    </row>
    <row r="264" spans="1:10" ht="11.25" customHeight="1">
      <c r="A264" s="244" t="s">
        <v>369</v>
      </c>
      <c r="B264" s="239" t="s">
        <v>370</v>
      </c>
      <c r="F264" s="529">
        <f t="shared" si="5"/>
        <v>3250</v>
      </c>
      <c r="H264" s="60">
        <v>3249932</v>
      </c>
      <c r="I264" s="60"/>
      <c r="J264" s="349"/>
    </row>
    <row r="265" spans="1:10" ht="11.25" customHeight="1">
      <c r="A265" s="244" t="s">
        <v>371</v>
      </c>
      <c r="B265" s="239" t="s">
        <v>372</v>
      </c>
      <c r="F265" s="529">
        <f t="shared" si="5"/>
        <v>12227</v>
      </c>
      <c r="H265" s="60">
        <v>12226567</v>
      </c>
      <c r="I265" s="60"/>
      <c r="J265" s="349"/>
    </row>
    <row r="266" spans="1:10" ht="11.25" customHeight="1">
      <c r="A266" s="244">
        <v>398000</v>
      </c>
      <c r="B266" s="239" t="s">
        <v>373</v>
      </c>
      <c r="F266" s="529">
        <f t="shared" si="5"/>
        <v>89</v>
      </c>
      <c r="H266" s="60">
        <v>88917</v>
      </c>
      <c r="I266" s="60"/>
      <c r="J266" s="349"/>
    </row>
    <row r="267" spans="1:10" ht="11.25" customHeight="1">
      <c r="A267" s="244"/>
      <c r="B267" s="239" t="s">
        <v>374</v>
      </c>
      <c r="F267" s="529">
        <f t="shared" si="5"/>
        <v>99229</v>
      </c>
      <c r="H267" s="60">
        <v>99228980</v>
      </c>
      <c r="I267" s="60"/>
      <c r="J267" s="349"/>
    </row>
    <row r="268" spans="1:10" ht="11.25" customHeight="1">
      <c r="A268" s="244"/>
      <c r="B268" s="239"/>
      <c r="F268" s="529">
        <f t="shared" si="5"/>
        <v>0</v>
      </c>
      <c r="H268" s="60"/>
      <c r="I268" s="60"/>
      <c r="J268" s="349"/>
    </row>
    <row r="269" spans="1:10" ht="11.25" customHeight="1">
      <c r="A269" s="244"/>
      <c r="B269" s="239" t="s">
        <v>375</v>
      </c>
      <c r="F269" s="529">
        <f t="shared" si="5"/>
        <v>677239</v>
      </c>
      <c r="H269" s="60">
        <v>677238515</v>
      </c>
      <c r="I269" s="60"/>
      <c r="J269" s="349"/>
    </row>
    <row r="270" spans="1:10" ht="11.25" customHeight="1">
      <c r="A270" s="244"/>
      <c r="B270" s="239"/>
      <c r="F270" s="529">
        <f t="shared" si="5"/>
        <v>0</v>
      </c>
      <c r="H270" s="60"/>
      <c r="I270" s="60"/>
      <c r="J270" s="349"/>
    </row>
    <row r="271" spans="1:10" ht="11.25" customHeight="1">
      <c r="A271" s="244"/>
      <c r="B271" s="239"/>
      <c r="F271" s="529">
        <f t="shared" si="5"/>
        <v>0</v>
      </c>
      <c r="H271" s="60"/>
      <c r="I271" s="60"/>
      <c r="J271" s="349"/>
    </row>
    <row r="272" spans="1:10" ht="11.25" customHeight="1">
      <c r="A272" s="242"/>
      <c r="B272" s="239" t="s">
        <v>64</v>
      </c>
      <c r="F272" s="529">
        <f t="shared" si="5"/>
        <v>0</v>
      </c>
      <c r="H272" s="60"/>
      <c r="I272" s="60"/>
      <c r="J272" s="349"/>
    </row>
    <row r="273" spans="1:10" ht="11.25" customHeight="1">
      <c r="A273" s="242"/>
      <c r="B273" s="239" t="s">
        <v>42</v>
      </c>
      <c r="F273" s="529">
        <f t="shared" si="5"/>
        <v>-11565</v>
      </c>
      <c r="H273" s="60">
        <v>-11565386</v>
      </c>
      <c r="I273" s="60"/>
      <c r="J273" s="349"/>
    </row>
    <row r="274" spans="1:10" ht="11.25" customHeight="1">
      <c r="A274" s="242"/>
      <c r="B274" s="239" t="s">
        <v>61</v>
      </c>
      <c r="F274" s="529">
        <f t="shared" si="5"/>
        <v>-151240</v>
      </c>
      <c r="H274" s="60">
        <v>-151240420</v>
      </c>
      <c r="I274" s="60"/>
      <c r="J274" s="349"/>
    </row>
    <row r="275" spans="1:10" ht="11.25" customHeight="1">
      <c r="A275" s="242"/>
      <c r="B275" s="239" t="s">
        <v>62</v>
      </c>
      <c r="F275" s="529">
        <f t="shared" si="5"/>
        <v>-25355</v>
      </c>
      <c r="H275" s="60">
        <v>-25354672</v>
      </c>
      <c r="I275" s="60"/>
      <c r="J275" s="349"/>
    </row>
    <row r="276" spans="1:10" ht="11.25" customHeight="1">
      <c r="A276" s="238"/>
      <c r="B276" s="239" t="s">
        <v>376</v>
      </c>
      <c r="F276" s="529">
        <f t="shared" si="5"/>
        <v>-188160</v>
      </c>
      <c r="H276" s="60">
        <v>-188160478</v>
      </c>
      <c r="I276" s="60"/>
      <c r="J276" s="349"/>
    </row>
    <row r="277" spans="1:10" ht="11.25" customHeight="1">
      <c r="A277" s="238"/>
      <c r="B277" s="239"/>
      <c r="F277" s="529">
        <f t="shared" si="5"/>
        <v>0</v>
      </c>
      <c r="H277" s="60"/>
      <c r="I277" s="60"/>
      <c r="J277" s="349"/>
    </row>
    <row r="278" spans="1:10" ht="11.25" customHeight="1">
      <c r="A278" s="238"/>
      <c r="B278" s="239" t="s">
        <v>377</v>
      </c>
      <c r="F278" s="529">
        <f t="shared" si="5"/>
        <v>0</v>
      </c>
      <c r="H278" s="60"/>
      <c r="I278" s="60"/>
      <c r="J278" s="349"/>
    </row>
    <row r="279" spans="1:10" ht="11.25" customHeight="1">
      <c r="A279" s="242"/>
      <c r="B279" s="239" t="s">
        <v>378</v>
      </c>
      <c r="F279" s="529">
        <f t="shared" si="5"/>
        <v>-768</v>
      </c>
      <c r="H279" s="60">
        <v>-767960</v>
      </c>
      <c r="I279" s="60"/>
      <c r="J279" s="349"/>
    </row>
    <row r="280" spans="1:10" ht="11.25" customHeight="1">
      <c r="A280" s="242"/>
      <c r="B280" s="239" t="s">
        <v>379</v>
      </c>
      <c r="F280" s="529">
        <f t="shared" si="5"/>
        <v>-12627</v>
      </c>
      <c r="H280" s="60">
        <v>-12627311</v>
      </c>
      <c r="I280" s="60"/>
      <c r="J280" s="349"/>
    </row>
    <row r="281" spans="1:10" ht="11.25" customHeight="1">
      <c r="A281" s="242"/>
      <c r="B281" s="239" t="s">
        <v>42</v>
      </c>
      <c r="F281" s="529">
        <f t="shared" si="5"/>
        <v>0</v>
      </c>
      <c r="H281" s="60">
        <v>0</v>
      </c>
      <c r="I281" s="60"/>
      <c r="J281" s="349"/>
    </row>
    <row r="282" spans="1:10" ht="11.25" customHeight="1">
      <c r="A282" s="242"/>
      <c r="B282" s="239" t="s">
        <v>380</v>
      </c>
      <c r="F282" s="529">
        <f t="shared" si="5"/>
        <v>0</v>
      </c>
      <c r="H282" s="60">
        <v>1</v>
      </c>
      <c r="I282" s="60"/>
      <c r="J282" s="349"/>
    </row>
    <row r="283" spans="1:10" ht="11.25" customHeight="1">
      <c r="A283" s="242"/>
      <c r="B283" s="239" t="s">
        <v>381</v>
      </c>
      <c r="F283" s="529">
        <f t="shared" si="5"/>
        <v>-13395</v>
      </c>
      <c r="H283" s="60">
        <v>-13395270</v>
      </c>
      <c r="I283" s="60"/>
      <c r="J283" s="349"/>
    </row>
    <row r="284" spans="1:10" ht="11.25" customHeight="1">
      <c r="A284" s="242"/>
      <c r="B284" s="239"/>
      <c r="F284" s="529">
        <f t="shared" si="5"/>
        <v>0</v>
      </c>
      <c r="H284" s="60"/>
      <c r="I284" s="60"/>
      <c r="J284" s="349"/>
    </row>
    <row r="285" spans="1:10" ht="11.25" customHeight="1">
      <c r="A285" s="242"/>
      <c r="B285" s="239" t="s">
        <v>382</v>
      </c>
      <c r="F285" s="529">
        <f t="shared" si="5"/>
        <v>-201556</v>
      </c>
      <c r="H285" s="60">
        <v>-201555748</v>
      </c>
      <c r="I285" s="60"/>
      <c r="J285" s="349"/>
    </row>
    <row r="286" spans="1:10" ht="11.25" customHeight="1">
      <c r="A286" s="242"/>
      <c r="B286" s="239"/>
      <c r="F286" s="529">
        <f t="shared" si="5"/>
        <v>0</v>
      </c>
      <c r="H286" s="60"/>
      <c r="I286" s="60"/>
      <c r="J286" s="349"/>
    </row>
    <row r="287" spans="1:10" ht="11.25" customHeight="1">
      <c r="A287" s="238"/>
      <c r="B287" s="239" t="s">
        <v>383</v>
      </c>
      <c r="F287" s="529">
        <f t="shared" si="5"/>
        <v>475683</v>
      </c>
      <c r="H287" s="60">
        <v>475682767</v>
      </c>
      <c r="I287" s="60"/>
      <c r="J287" s="349"/>
    </row>
    <row r="288" spans="1:10" ht="11.25" customHeight="1">
      <c r="A288" s="238"/>
      <c r="B288" s="239"/>
      <c r="F288" s="529">
        <f t="shared" si="5"/>
        <v>0</v>
      </c>
      <c r="H288" s="60"/>
      <c r="I288" s="60"/>
      <c r="J288" s="352"/>
    </row>
    <row r="289" spans="1:10" ht="11.25" customHeight="1">
      <c r="A289" s="246"/>
      <c r="B289" s="247" t="s">
        <v>384</v>
      </c>
      <c r="F289" s="529">
        <f t="shared" si="5"/>
        <v>0</v>
      </c>
      <c r="H289" s="60"/>
      <c r="I289" s="60"/>
      <c r="J289" s="352"/>
    </row>
    <row r="290" spans="1:10" ht="11.25" customHeight="1">
      <c r="A290" s="248">
        <v>282900</v>
      </c>
      <c r="B290" s="247" t="s">
        <v>385</v>
      </c>
      <c r="F290" s="529">
        <f t="shared" si="5"/>
        <v>-77537</v>
      </c>
      <c r="H290" s="60">
        <v>-77536974</v>
      </c>
      <c r="I290" s="60"/>
      <c r="J290" s="352"/>
    </row>
    <row r="291" spans="1:10" ht="11.25" customHeight="1">
      <c r="A291" s="248">
        <v>282900</v>
      </c>
      <c r="B291" s="247" t="s">
        <v>386</v>
      </c>
      <c r="F291" s="529">
        <f t="shared" si="5"/>
        <v>-12969</v>
      </c>
      <c r="H291" s="60">
        <v>-12968938</v>
      </c>
      <c r="I291" s="60"/>
      <c r="J291" s="352"/>
    </row>
    <row r="292" spans="1:10" ht="11.25" customHeight="1">
      <c r="A292" s="383">
        <v>282919</v>
      </c>
      <c r="B292" s="352" t="s">
        <v>512</v>
      </c>
      <c r="F292" s="529">
        <f t="shared" si="5"/>
        <v>-218</v>
      </c>
      <c r="H292" s="60">
        <v>-218411</v>
      </c>
      <c r="I292" s="60"/>
      <c r="J292" s="352"/>
    </row>
    <row r="293" spans="1:10" ht="11.25" customHeight="1">
      <c r="A293" s="248">
        <v>283750</v>
      </c>
      <c r="B293" s="247" t="s">
        <v>424</v>
      </c>
      <c r="F293" s="529">
        <f t="shared" si="5"/>
        <v>-34</v>
      </c>
      <c r="H293" s="60">
        <v>-33589</v>
      </c>
      <c r="I293" s="60"/>
      <c r="J293" s="352"/>
    </row>
    <row r="294" spans="1:10" ht="11.25" customHeight="1">
      <c r="A294" s="248">
        <v>283850</v>
      </c>
      <c r="B294" s="247" t="s">
        <v>387</v>
      </c>
      <c r="F294" s="529">
        <f t="shared" ref="F294:F314" si="6">ROUND(H294/1000,0)</f>
        <v>-256</v>
      </c>
      <c r="H294" s="60">
        <v>-256390</v>
      </c>
      <c r="I294" s="60"/>
      <c r="J294" s="349"/>
    </row>
    <row r="295" spans="1:10" ht="11.25" customHeight="1">
      <c r="A295" s="242"/>
      <c r="B295" s="239" t="s">
        <v>388</v>
      </c>
      <c r="F295" s="529">
        <f t="shared" si="6"/>
        <v>-91014</v>
      </c>
      <c r="H295" s="60">
        <v>-91014302</v>
      </c>
      <c r="I295" s="60"/>
      <c r="J295" s="349"/>
    </row>
    <row r="296" spans="1:10" ht="11.25" customHeight="1">
      <c r="A296" s="238"/>
      <c r="B296" s="239"/>
      <c r="F296" s="529">
        <f t="shared" si="6"/>
        <v>0</v>
      </c>
      <c r="H296" s="60"/>
      <c r="I296" s="60"/>
      <c r="J296" s="349"/>
    </row>
    <row r="297" spans="1:10" ht="11.25" customHeight="1">
      <c r="A297" s="238"/>
      <c r="B297" s="239" t="s">
        <v>389</v>
      </c>
      <c r="F297" s="529">
        <f t="shared" si="6"/>
        <v>384668</v>
      </c>
      <c r="H297" s="60">
        <v>384668465</v>
      </c>
    </row>
    <row r="298" spans="1:10" ht="11.25" customHeight="1">
      <c r="J298" s="349"/>
    </row>
    <row r="299" spans="1:10" ht="11.25" customHeight="1">
      <c r="A299" s="249"/>
      <c r="B299" s="250" t="s">
        <v>390</v>
      </c>
      <c r="I299" s="60"/>
      <c r="J299" s="349"/>
    </row>
    <row r="300" spans="1:10" ht="11.25" customHeight="1">
      <c r="A300" s="560">
        <v>108121</v>
      </c>
      <c r="B300" s="349" t="s">
        <v>521</v>
      </c>
      <c r="F300" s="529">
        <f t="shared" si="6"/>
        <v>-530</v>
      </c>
      <c r="H300" s="329">
        <v>-530214</v>
      </c>
      <c r="I300" s="60"/>
      <c r="J300" s="349"/>
    </row>
    <row r="301" spans="1:10" ht="11.25" customHeight="1">
      <c r="A301" s="251">
        <v>182332</v>
      </c>
      <c r="B301" s="250" t="s">
        <v>513</v>
      </c>
      <c r="F301" s="529">
        <f t="shared" si="6"/>
        <v>348</v>
      </c>
      <c r="H301" s="60">
        <v>348468</v>
      </c>
      <c r="I301" s="60"/>
      <c r="J301" s="349"/>
    </row>
    <row r="302" spans="1:10" ht="11.25" customHeight="1">
      <c r="A302" s="251">
        <v>182318</v>
      </c>
      <c r="B302" s="250" t="s">
        <v>514</v>
      </c>
      <c r="F302" s="529">
        <f t="shared" si="6"/>
        <v>-23</v>
      </c>
      <c r="H302" s="60">
        <v>-22934</v>
      </c>
      <c r="I302" s="60"/>
      <c r="J302" s="352"/>
    </row>
    <row r="303" spans="1:10" ht="11.25" customHeight="1">
      <c r="A303" s="252">
        <v>117100</v>
      </c>
      <c r="B303" s="253" t="s">
        <v>391</v>
      </c>
      <c r="F303" s="529">
        <f t="shared" si="6"/>
        <v>3936</v>
      </c>
      <c r="H303" s="60">
        <v>3936095</v>
      </c>
      <c r="I303" s="60"/>
      <c r="J303" s="352"/>
    </row>
    <row r="304" spans="1:10" ht="11.25" customHeight="1">
      <c r="A304" s="252">
        <v>164100</v>
      </c>
      <c r="B304" s="253" t="s">
        <v>392</v>
      </c>
      <c r="F304" s="529">
        <f t="shared" si="6"/>
        <v>6476</v>
      </c>
      <c r="H304" s="60">
        <v>6475580</v>
      </c>
      <c r="I304" s="60"/>
      <c r="J304" s="353"/>
    </row>
    <row r="305" spans="1:10" ht="11.25" customHeight="1">
      <c r="A305" s="252">
        <v>252000</v>
      </c>
      <c r="B305" s="254" t="s">
        <v>393</v>
      </c>
      <c r="F305" s="529">
        <f t="shared" si="6"/>
        <v>-2</v>
      </c>
      <c r="H305" s="60">
        <v>-2397</v>
      </c>
      <c r="I305" s="60"/>
      <c r="J305" s="353"/>
    </row>
    <row r="306" spans="1:10" ht="15.5">
      <c r="A306" s="252">
        <v>235199</v>
      </c>
      <c r="B306" s="254" t="s">
        <v>394</v>
      </c>
      <c r="F306" s="529">
        <f t="shared" si="6"/>
        <v>-568</v>
      </c>
      <c r="H306" s="60">
        <v>-567872</v>
      </c>
      <c r="I306" s="60"/>
      <c r="J306" s="353"/>
    </row>
    <row r="307" spans="1:10" ht="15.5">
      <c r="A307" s="383">
        <v>254911</v>
      </c>
      <c r="B307" s="353" t="s">
        <v>515</v>
      </c>
      <c r="F307" s="529">
        <f t="shared" si="6"/>
        <v>0</v>
      </c>
      <c r="H307" s="60">
        <v>0</v>
      </c>
      <c r="I307" s="60"/>
      <c r="J307" s="353"/>
    </row>
    <row r="308" spans="1:10" ht="11.25" customHeight="1">
      <c r="A308" s="383">
        <v>182302</v>
      </c>
      <c r="B308" s="353" t="s">
        <v>461</v>
      </c>
      <c r="F308" s="529">
        <f t="shared" si="6"/>
        <v>10296</v>
      </c>
      <c r="H308" s="60">
        <v>10295922</v>
      </c>
      <c r="I308" s="60"/>
      <c r="J308" s="353"/>
    </row>
    <row r="309" spans="1:10" ht="11.25" customHeight="1">
      <c r="A309" s="383">
        <v>283302</v>
      </c>
      <c r="B309" s="353" t="s">
        <v>516</v>
      </c>
      <c r="F309" s="529">
        <f t="shared" si="6"/>
        <v>-2162</v>
      </c>
      <c r="H309" s="60">
        <v>-2162144</v>
      </c>
      <c r="I309" s="60"/>
      <c r="J309" s="353"/>
    </row>
    <row r="310" spans="1:10" ht="11.25" customHeight="1">
      <c r="A310" s="255"/>
      <c r="B310" s="256" t="s">
        <v>395</v>
      </c>
      <c r="F310" s="529">
        <f t="shared" si="6"/>
        <v>3494</v>
      </c>
      <c r="H310" s="60">
        <v>3494231</v>
      </c>
      <c r="I310" s="60"/>
      <c r="J310" s="352"/>
    </row>
    <row r="311" spans="1:10" ht="11.25" customHeight="1">
      <c r="A311" s="252">
        <v>186710</v>
      </c>
      <c r="B311" s="253" t="s">
        <v>396</v>
      </c>
      <c r="F311" s="529">
        <f t="shared" si="6"/>
        <v>0</v>
      </c>
      <c r="H311" s="60">
        <v>0</v>
      </c>
      <c r="I311" s="60"/>
      <c r="J311" s="349"/>
    </row>
    <row r="312" spans="1:10" ht="11.25" customHeight="1">
      <c r="A312" s="254"/>
      <c r="B312" s="250" t="s">
        <v>397</v>
      </c>
      <c r="F312" s="529">
        <f t="shared" si="6"/>
        <v>21265</v>
      </c>
      <c r="H312" s="60">
        <v>21264735</v>
      </c>
      <c r="I312" s="60"/>
      <c r="J312" s="349"/>
    </row>
    <row r="313" spans="1:10" ht="11.25" customHeight="1">
      <c r="A313" s="254"/>
      <c r="B313" s="250"/>
      <c r="F313" s="529">
        <f t="shared" si="6"/>
        <v>0</v>
      </c>
      <c r="H313" s="60"/>
      <c r="I313" s="60"/>
      <c r="J313" s="349"/>
    </row>
    <row r="314" spans="1:10" ht="11.25" customHeight="1">
      <c r="A314" s="254"/>
      <c r="B314" s="250" t="s">
        <v>398</v>
      </c>
      <c r="F314" s="529">
        <f t="shared" si="6"/>
        <v>405933</v>
      </c>
      <c r="H314" s="60">
        <v>405933200</v>
      </c>
    </row>
  </sheetData>
  <customSheetViews>
    <customSheetView guid="{A15D1964-B049-11D2-8670-0000832CEEE8}" scale="75" showPageBreaks="1" printArea="1" showRuler="0">
      <selection activeCell="F8" sqref="F8:F63"/>
      <pageMargins left="1" right="1" top="0.5" bottom="0.5" header="0.5" footer="0.5"/>
      <printOptions horizontalCentered="1"/>
      <pageSetup scale="89" orientation="portrait" horizontalDpi="300" verticalDpi="300" r:id="rId1"/>
      <headerFooter alignWithMargins="0"/>
    </customSheetView>
    <customSheetView guid="{5BE913A1-B14F-11D2-B0DC-0000832CDFF0}" scale="75" showPageBreaks="1" printArea="1" showRuler="0">
      <pageMargins left="1" right="1" top="0.5" bottom="0.5" header="0.5" footer="0.5"/>
      <printOptions horizontalCentered="1"/>
      <pageSetup scale="89" orientation="portrait" horizontalDpi="300" verticalDpi="300" r:id="rId2"/>
      <headerFooter alignWithMargins="0"/>
    </customSheetView>
  </customSheetViews>
  <mergeCells count="2">
    <mergeCell ref="A3:C3"/>
    <mergeCell ref="A5:C5"/>
  </mergeCells>
  <phoneticPr fontId="0" type="noConversion"/>
  <printOptions horizontalCentered="1"/>
  <pageMargins left="1" right="1" top="0.5" bottom="0.5" header="0.5" footer="0.5"/>
  <pageSetup scale="79" orientation="portrait" horizontalDpi="300" verticalDpi="300" r:id="rId3"/>
  <headerFooter alignWithMargins="0"/>
  <legacy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A77B5ED84937743973E7F67CD421E1E" ma:contentTypeVersion="52" ma:contentTypeDescription="" ma:contentTypeScope="" ma:versionID="5c3423d3119d0c9e52915902aa2dcee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Visibility xmlns="dc463f71-b30c-4ab2-9473-d307f9d35888">Full Visibility</Visibility>
    <DocumentSetType xmlns="dc463f71-b30c-4ab2-9473-d307f9d35888">Exhibit - Proposed</DocumentSetType>
    <IsConfidential xmlns="dc463f71-b30c-4ab2-9473-d307f9d35888">false</IsConfidential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2020-10-30T07:00:00+00:00</OpenedDate>
    <Date1 xmlns="dc463f71-b30c-4ab2-9473-d307f9d35888">2021-07-02T17:36:36+00:00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200900</DocketNumber>
    <AgendaOrder xmlns="dc463f71-b30c-4ab2-9473-d307f9d35888">false</AgendaOrder>
    <SignificantOrder xmlns="dc463f71-b30c-4ab2-9473-d307f9d35888">false</SignificantOrd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6054CF42-43A8-4C0D-8679-7AB06970F830}"/>
</file>

<file path=customXml/itemProps2.xml><?xml version="1.0" encoding="utf-8"?>
<ds:datastoreItem xmlns:ds="http://schemas.openxmlformats.org/officeDocument/2006/customXml" ds:itemID="{A5AD6DFF-4399-4E32-AC0C-CD1DBF8F73A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80F9CFD-3288-4D87-8F1B-D4C0C379B03C}">
  <ds:schemaRefs>
    <ds:schemaRef ds:uri="a0689114-bdb9-4146-803a-240f5368dce0"/>
    <ds:schemaRef ds:uri="http://schemas.openxmlformats.org/package/2006/metadata/core-properties"/>
    <ds:schemaRef ds:uri="http://schemas.microsoft.com/office/infopath/2007/PartnerControls"/>
    <ds:schemaRef ds:uri="http://purl.org/dc/elements/1.1/"/>
    <ds:schemaRef ds:uri="http://purl.org/dc/terms/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F12BAD5C-674F-4585-A257-F394E04C998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15</vt:i4>
      </vt:variant>
    </vt:vector>
  </HeadingPairs>
  <TitlesOfParts>
    <vt:vector size="24" baseType="lpstr">
      <vt:lpstr>PROP0SED RATES</vt:lpstr>
      <vt:lpstr>RR SUMMARY</vt:lpstr>
      <vt:lpstr>CF</vt:lpstr>
      <vt:lpstr>ADJ DETAIL INPUT</vt:lpstr>
      <vt:lpstr>COMPARISON</vt:lpstr>
      <vt:lpstr>ADJ SUMMARY</vt:lpstr>
      <vt:lpstr>DEBT CALC</vt:lpstr>
      <vt:lpstr>ROO INPUT</vt:lpstr>
      <vt:lpstr>LEAD SHEETS-DO NOT ENTER</vt:lpstr>
      <vt:lpstr>'DEBT CALC'!ID_Elec</vt:lpstr>
      <vt:lpstr>'ADJ DETAIL INPUT'!Print_Area</vt:lpstr>
      <vt:lpstr>'ADJ SUMMARY'!Print_Area</vt:lpstr>
      <vt:lpstr>CF!Print_Area</vt:lpstr>
      <vt:lpstr>COMPARISON!Print_Area</vt:lpstr>
      <vt:lpstr>'DEBT CALC'!Print_Area</vt:lpstr>
      <vt:lpstr>'LEAD SHEETS-DO NOT ENTER'!Print_Area</vt:lpstr>
      <vt:lpstr>'PROP0SED RATES'!Print_Area</vt:lpstr>
      <vt:lpstr>'ROO INPUT'!Print_Area</vt:lpstr>
      <vt:lpstr>'RR SUMMARY'!Print_Area</vt:lpstr>
      <vt:lpstr>COMPARISON!Print_for_CBReport</vt:lpstr>
      <vt:lpstr>COMPARISON!Print_for_Checking</vt:lpstr>
      <vt:lpstr>'ADJ DETAIL INPUT'!Print_Titles</vt:lpstr>
      <vt:lpstr>'LEAD SHEETS-DO NOT ENTER'!Print_Titles</vt:lpstr>
      <vt:lpstr>'DEBT CALC'!WA_Elec</vt:lpstr>
    </vt:vector>
  </TitlesOfParts>
  <Company>Micron Electronics,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200900-01-894-Staff-Huang-Exh.JH-3</dc:title>
  <dc:creator>Preferred Customer</dc:creator>
  <cp:lastModifiedBy>Huang, Joanna (UTC)</cp:lastModifiedBy>
  <cp:lastPrinted>2021-07-01T22:37:35Z</cp:lastPrinted>
  <dcterms:created xsi:type="dcterms:W3CDTF">1997-05-15T21:41:44Z</dcterms:created>
  <dcterms:modified xsi:type="dcterms:W3CDTF">2021-07-01T22:37:38Z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0x0101006E56B4D1795A2E4DB2F0B01679ED314A00EA77B5ED84937743973E7F67CD421E1E</vt:lpwstr>
  </property>
  <property fmtid="{D5CDD505-2E9C-101B-9397-08002B2CF9AE}" pid="4" name="EfsecDocumentType">
    <vt:lpwstr>Documents</vt:lpwstr>
  </property>
  <property fmtid="{D5CDD505-2E9C-101B-9397-08002B2CF9AE}" pid="10" name="IsOfficialRecord">
    <vt:bool>false</vt:bool>
  </property>
  <property fmtid="{D5CDD505-2E9C-101B-9397-08002B2CF9AE}" pid="11" name="IsVisibleToEfsecCouncil">
    <vt:bool>false</vt:bool>
  </property>
  <property fmtid="{D5CDD505-2E9C-101B-9397-08002B2CF9AE}" pid="18" name="_docset_NoMedatataSyncRequired">
    <vt:lpwstr>False</vt:lpwstr>
  </property>
  <property fmtid="{D5CDD505-2E9C-101B-9397-08002B2CF9AE}" pid="19" name="IsEFSEC">
    <vt:bool>false</vt:bool>
  </property>
</Properties>
</file>