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03" activeTab="2"/>
  </bookViews>
  <sheets>
    <sheet name="2009 " sheetId="1" r:id="rId1"/>
    <sheet name="GL Accounts" sheetId="2" r:id="rId2"/>
    <sheet name="2008 corrected" sheetId="3" r:id="rId3"/>
  </sheets>
  <definedNames>
    <definedName name="_xlnm.Print_Area" localSheetId="2">'2008 corrected'!$A$1:$P$32</definedName>
    <definedName name="Revenue_Run_Customers">#REF!</definedName>
    <definedName name="Revenue_Run_Therms">#REF!</definedName>
    <definedName name="WC_Unb_Calc">#REF!</definedName>
  </definedNames>
  <calcPr calcMode="manual" fullCalcOnLoad="1"/>
</workbook>
</file>

<file path=xl/sharedStrings.xml><?xml version="1.0" encoding="utf-8"?>
<sst xmlns="http://schemas.openxmlformats.org/spreadsheetml/2006/main" count="346" uniqueCount="135">
  <si>
    <t>AVISTA UTILITIES</t>
  </si>
  <si>
    <t>Schedule 101 Billed 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</si>
  <si>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</si>
  <si>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</si>
  <si>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</si>
  <si>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</si>
  <si>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</si>
  <si>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</si>
  <si>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</si>
  <si>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</si>
  <si>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</si>
  <si>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</si>
  <si>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</si>
  <si>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</si>
  <si>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Deduct Prior Month Unbilled Therms</t>
  </si>
  <si>
    <t>Add Current Month Unbilled Therms</t>
  </si>
  <si>
    <t>Normal DDH</t>
  </si>
  <si>
    <t>Actual DDH</t>
  </si>
  <si>
    <t>Normal - Actual DDH</t>
  </si>
  <si>
    <t>Sensitivity</t>
  </si>
  <si>
    <t>01</t>
  </si>
  <si>
    <t>21</t>
  </si>
  <si>
    <t>Unbilled DDH</t>
  </si>
  <si>
    <t>Unbilled Factor</t>
  </si>
  <si>
    <t>Res 101</t>
  </si>
  <si>
    <t>Com 101</t>
  </si>
  <si>
    <t>Ind 101</t>
  </si>
  <si>
    <t>Total 101</t>
  </si>
  <si>
    <t>01 RESIDENTIAL</t>
  </si>
  <si>
    <t>21 FIRM COMMERCIAL</t>
  </si>
  <si>
    <t>31 FIRM-MISCELLANEOUS INDUSTRIAL</t>
  </si>
  <si>
    <t>80 INTERDEPARTMENT REVENUE</t>
  </si>
  <si>
    <t>101</t>
  </si>
  <si>
    <t>Add Weather Adjustment</t>
  </si>
  <si>
    <t>Schedule 101</t>
  </si>
  <si>
    <t>Weather Normalization</t>
  </si>
  <si>
    <t>Total</t>
  </si>
  <si>
    <t>Degree Day Adjustment</t>
  </si>
  <si>
    <t>31</t>
  </si>
  <si>
    <t>80</t>
  </si>
  <si>
    <t>2004 Baseload</t>
  </si>
  <si>
    <t>Washington - Gas</t>
  </si>
  <si>
    <t>Sch. 101</t>
  </si>
  <si>
    <t xml:space="preserve">  Total 101</t>
  </si>
  <si>
    <t xml:space="preserve">   Total</t>
  </si>
  <si>
    <t>Monthly Unbilled Calculation</t>
  </si>
  <si>
    <t>Weather Adj Calendar Therms</t>
  </si>
  <si>
    <t xml:space="preserve">   Weather Adj Calendar Therms</t>
  </si>
  <si>
    <t xml:space="preserve">      Times Current Margin Rate per Therm</t>
  </si>
  <si>
    <t xml:space="preserve">      Therm Difference</t>
  </si>
  <si>
    <t>Use/DD/Cust(1)</t>
  </si>
  <si>
    <t>Less Test Year Therms</t>
  </si>
  <si>
    <t>Deduct New Customer Usage(1)</t>
  </si>
  <si>
    <t>Approved Decoupling Mechanism</t>
  </si>
  <si>
    <t>Adjusted for Actual New Customer Usage</t>
  </si>
  <si>
    <t xml:space="preserve">         Revenue Excess (Shortfall)</t>
  </si>
  <si>
    <t>90% Limitation</t>
  </si>
  <si>
    <t xml:space="preserve">Deferred Revenue Account Entry </t>
  </si>
  <si>
    <t>12 Months Ended June 2006 Actual</t>
  </si>
  <si>
    <t>407328 or (407428)</t>
  </si>
  <si>
    <t>2nd Year Pilot Period July 2007 - June 2008</t>
  </si>
  <si>
    <t>Period to Date</t>
  </si>
  <si>
    <r>
      <t xml:space="preserve">      Times Current Margin Rate per Therm </t>
    </r>
    <r>
      <rPr>
        <b/>
        <i/>
        <sz val="10"/>
        <rFont val="Arial"/>
        <family val="2"/>
      </rPr>
      <t>(2)</t>
    </r>
  </si>
  <si>
    <t>New Base Rates January 1, 2008</t>
  </si>
  <si>
    <t>Monthly</t>
  </si>
  <si>
    <t>06 Baseld(1)</t>
  </si>
  <si>
    <t>Revenue Run Customers (Meters Billed)</t>
  </si>
  <si>
    <t>Class</t>
  </si>
  <si>
    <t>2006 Total</t>
  </si>
  <si>
    <t>Residential 101</t>
  </si>
  <si>
    <t>Commercial 101</t>
  </si>
  <si>
    <t>Industrial 101</t>
  </si>
  <si>
    <t>Interdepartmental 101</t>
  </si>
  <si>
    <t>2006 Test Year</t>
  </si>
  <si>
    <t>(1) Per monthly reports - current month usage for new services opened since that month of the test year (2004 for July through December, 2006 for January through June)</t>
  </si>
  <si>
    <t>Unbilled Calculation (2004 Test Year Factors)</t>
  </si>
  <si>
    <t>Weather Adjustment Calculation (2004 Test Year Factors)</t>
  </si>
  <si>
    <t>2004 Test Year Number of Customers by Class</t>
  </si>
  <si>
    <t>2007/2008 with 2007 compared to 2004 Test Year and 2008 compared to 2006 Test Year</t>
  </si>
  <si>
    <t>(2) Revised Margin Rate per Therm corrected in October per agreement with Staff and Public Counsel in Docket No. UG-071863, margin rate January through June from UG-070805 is exclusive of incremental revenue related cost items.</t>
  </si>
  <si>
    <t>3rd Year Pilot Period July 2008 - June 2009</t>
  </si>
  <si>
    <t>12 Months Ended June 2009 Actual</t>
  </si>
  <si>
    <t>Use/DD/Cust(6)</t>
  </si>
  <si>
    <t>Unbilled DDH (6)</t>
  </si>
  <si>
    <t>Unbilled Factor (6)</t>
  </si>
  <si>
    <t>07 Baseld(1)</t>
  </si>
  <si>
    <t>2007 Total</t>
  </si>
  <si>
    <t xml:space="preserve">2008/2009 compared to 2006 Test Year Jul to Dec, compared to 2007 Test Year Jan to Jun </t>
  </si>
  <si>
    <t>2007 Test Year</t>
  </si>
  <si>
    <t>(1) Per monthly reports - current month usage for new services opened since that month of the test year (2006 for July through December and 2007 for January through June)</t>
  </si>
  <si>
    <t>Correction for December 2007</t>
  </si>
  <si>
    <t>Original Journal Entry</t>
  </si>
  <si>
    <t>Correction for December 2007 New Customer Report Error</t>
  </si>
  <si>
    <t>January 2009 Net Journal Entry</t>
  </si>
  <si>
    <t>New Rates Effective 01/01/2009 with 2007 Test Year</t>
  </si>
  <si>
    <t>Revenue Run Customers</t>
  </si>
  <si>
    <t>change in revenue run customers</t>
  </si>
  <si>
    <t>New service billings on schedule 101</t>
  </si>
  <si>
    <t>Average Use per Customer</t>
  </si>
  <si>
    <t>Per Revenue Runs Total Schedule 101</t>
  </si>
  <si>
    <t>Per New Customer Report</t>
  </si>
  <si>
    <t>New cust rept less change in rev run cust</t>
  </si>
  <si>
    <t>New cust report therms / Rev Run change in cust</t>
  </si>
  <si>
    <t>GL Account Balance  Accounting Period : '200901, 200902, 200903'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</si>
  <si>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</si>
  <si>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</si>
  <si>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</si>
  <si>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</si>
  <si>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</si>
  <si>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</si>
  <si>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</si>
  <si>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</si>
  <si>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200901</t>
  </si>
  <si>
    <t>200902</t>
  </si>
  <si>
    <t>200903</t>
  </si>
  <si>
    <t>Sum: 438,632.00</t>
  </si>
  <si>
    <t>Balance Sheet Accounts</t>
  </si>
  <si>
    <t>Ferc Acct:182328</t>
  </si>
  <si>
    <t>Ferc Acct Desc:REG ASSET- DECOUPLING SURCHARG</t>
  </si>
  <si>
    <t>Sum: -316,149.27</t>
  </si>
  <si>
    <t>Ferc Acct:182329</t>
  </si>
  <si>
    <t>Ferc Acct Desc:REG ASSET- DECOUPLING PRIOR YE</t>
  </si>
  <si>
    <t>Sum: 0.00</t>
  </si>
  <si>
    <t>Ferc Acct:283328</t>
  </si>
  <si>
    <t>Ferc Acct Desc:ADFIT DECOUPLING DEFERRED REV</t>
  </si>
  <si>
    <t>Sum: -42,868.96</t>
  </si>
  <si>
    <t>Income Statement Accounts</t>
  </si>
  <si>
    <t>Ferc Acct:407428</t>
  </si>
  <si>
    <t>Ferc Acct Desc:REG CREDIT DECOUPLING DEF REV</t>
  </si>
  <si>
    <t>Sum: -438,632.00</t>
  </si>
  <si>
    <t>Ferc Acct:407328</t>
  </si>
  <si>
    <t>Ferc Acct Desc:REG DEBIT DECOUPLING DEF REV</t>
  </si>
  <si>
    <t>Ferc Acct:407329</t>
  </si>
  <si>
    <t>Ferc Acct Desc:REG DEBIT AMT DECOUPLING SURCH</t>
  </si>
  <si>
    <t>Sum: 321,750.03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</si>
</sst>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&quot;$&quot;#,##0.00000"/>
    <numFmt numFmtId="192" formatCode="_(* #,##0.000_);_(* \(#,##0.000\);_(* &quot;-&quot;???_);_(@_)"/>
    <numFmt numFmtId="193" formatCode="#,##0,;\-#,##0,"/>
    <numFmt numFmtId="194" formatCode="#,###,###,##0.00"/>
    <numFmt numFmtId="195" formatCode="###,##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15" applyNumberFormat="1" applyAlignment="1">
      <alignment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167" fontId="0" fillId="0" borderId="1" xfId="15" applyNumberFormat="1" applyBorder="1" applyAlignment="1">
      <alignment/>
    </xf>
    <xf numFmtId="167" fontId="0" fillId="0" borderId="0" xfId="15" applyNumberFormat="1" applyBorder="1" applyAlignment="1">
      <alignment/>
    </xf>
    <xf numFmtId="166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0" fillId="0" borderId="0" xfId="19" applyNumberFormat="1" applyAlignment="1">
      <alignment/>
    </xf>
    <xf numFmtId="0" fontId="4" fillId="0" borderId="0" xfId="0" applyFont="1" applyAlignment="1">
      <alignment/>
    </xf>
    <xf numFmtId="10" fontId="0" fillId="0" borderId="0" xfId="19" applyNumberFormat="1" applyFont="1" applyAlignment="1">
      <alignment/>
    </xf>
    <xf numFmtId="167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  <xf numFmtId="10" fontId="0" fillId="0" borderId="0" xfId="19" applyNumberFormat="1" applyFill="1" applyBorder="1" applyAlignment="1">
      <alignment/>
    </xf>
    <xf numFmtId="1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0" fontId="7" fillId="0" borderId="0" xfId="0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>
      <alignment horizontal="right"/>
    </xf>
    <xf numFmtId="5" fontId="1" fillId="0" borderId="0" xfId="17" applyNumberFormat="1" applyFont="1" applyAlignment="1">
      <alignment/>
    </xf>
    <xf numFmtId="5" fontId="1" fillId="0" borderId="0" xfId="17" applyNumberFormat="1" applyFont="1" applyBorder="1" applyAlignment="1">
      <alignment/>
    </xf>
    <xf numFmtId="167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5" fontId="1" fillId="0" borderId="0" xfId="17" applyNumberFormat="1" applyFont="1" applyFill="1" applyAlignment="1">
      <alignment/>
    </xf>
    <xf numFmtId="166" fontId="0" fillId="2" borderId="0" xfId="15" applyNumberFormat="1" applyFill="1" applyBorder="1" applyAlignment="1">
      <alignment/>
    </xf>
    <xf numFmtId="10" fontId="0" fillId="2" borderId="0" xfId="19" applyNumberForma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7" fontId="0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3" borderId="0" xfId="0" applyFont="1" applyFill="1" applyAlignment="1">
      <alignment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/>
    </xf>
    <xf numFmtId="17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4" fontId="0" fillId="2" borderId="0" xfId="0" applyNumberFormat="1" applyFill="1" applyAlignment="1">
      <alignment/>
    </xf>
    <xf numFmtId="10" fontId="0" fillId="2" borderId="0" xfId="19" applyNumberFormat="1" applyFont="1" applyFill="1" applyAlignment="1">
      <alignment/>
    </xf>
    <xf numFmtId="10" fontId="0" fillId="2" borderId="0" xfId="19" applyNumberFormat="1" applyFill="1" applyAlignment="1">
      <alignment/>
    </xf>
    <xf numFmtId="10" fontId="0" fillId="0" borderId="0" xfId="19" applyNumberFormat="1" applyFont="1" applyBorder="1" applyAlignment="1">
      <alignment/>
    </xf>
    <xf numFmtId="172" fontId="0" fillId="0" borderId="0" xfId="0" applyNumberFormat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19" applyNumberFormat="1" applyFont="1" applyFill="1" applyBorder="1" applyAlignment="1">
      <alignment/>
    </xf>
    <xf numFmtId="166" fontId="0" fillId="0" borderId="0" xfId="15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0" fontId="0" fillId="0" borderId="0" xfId="19" applyNumberFormat="1" applyFill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0" fillId="0" borderId="2" xfId="15" applyNumberFormat="1" applyFont="1" applyFill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5" fillId="0" borderId="2" xfId="0" applyFont="1" applyBorder="1" applyAlignment="1">
      <alignment/>
    </xf>
    <xf numFmtId="5" fontId="1" fillId="0" borderId="2" xfId="17" applyNumberFormat="1" applyFont="1" applyBorder="1" applyAlignment="1">
      <alignment/>
    </xf>
    <xf numFmtId="9" fontId="0" fillId="0" borderId="2" xfId="19" applyFont="1" applyBorder="1" applyAlignment="1">
      <alignment/>
    </xf>
    <xf numFmtId="167" fontId="0" fillId="0" borderId="2" xfId="15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0" xfId="17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43" fontId="0" fillId="0" borderId="0" xfId="15" applyFont="1" applyAlignment="1">
      <alignment/>
    </xf>
    <xf numFmtId="0" fontId="2" fillId="4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center"/>
    </xf>
    <xf numFmtId="194" fontId="2" fillId="5" borderId="4" xfId="0" applyNumberFormat="1" applyFont="1" applyFill="1" applyBorder="1" applyAlignment="1">
      <alignment horizontal="right" vertical="center"/>
    </xf>
    <xf numFmtId="195" fontId="2" fillId="5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left" vertical="top"/>
    </xf>
    <xf numFmtId="194" fontId="10" fillId="6" borderId="4" xfId="0" applyNumberFormat="1" applyFont="1" applyFill="1" applyBorder="1" applyAlignment="1">
      <alignment horizontal="left" vertical="top"/>
    </xf>
    <xf numFmtId="195" fontId="10" fillId="6" borderId="4" xfId="0" applyNumberFormat="1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center"/>
    </xf>
    <xf numFmtId="194" fontId="2" fillId="5" borderId="0" xfId="0" applyNumberFormat="1" applyFont="1" applyFill="1" applyBorder="1" applyAlignment="1">
      <alignment horizontal="right" vertical="center"/>
    </xf>
    <xf numFmtId="195" fontId="2" fillId="5" borderId="0" xfId="0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left" vertical="top"/>
    </xf>
    <xf numFmtId="194" fontId="10" fillId="6" borderId="0" xfId="0" applyNumberFormat="1" applyFont="1" applyFill="1" applyBorder="1" applyAlignment="1">
      <alignment horizontal="left" vertical="top"/>
    </xf>
    <xf numFmtId="195" fontId="10" fillId="6" borderId="0" xfId="0" applyNumberFormat="1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right" vertical="center" wrapText="1"/>
    </xf>
    <xf numFmtId="167" fontId="11" fillId="0" borderId="0" xfId="15" applyNumberFormat="1" applyFont="1" applyFill="1" applyAlignment="1">
      <alignment/>
    </xf>
    <xf numFmtId="0" fontId="11" fillId="0" borderId="0" xfId="0" applyFont="1" applyAlignment="1">
      <alignment/>
    </xf>
    <xf numFmtId="167" fontId="11" fillId="0" borderId="2" xfId="15" applyNumberFormat="1" applyFont="1" applyFill="1" applyBorder="1" applyAlignment="1">
      <alignment/>
    </xf>
    <xf numFmtId="166" fontId="11" fillId="0" borderId="0" xfId="15" applyNumberFormat="1" applyFont="1" applyFill="1" applyBorder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Fill="1" applyBorder="1" applyAlignment="1">
      <alignment/>
    </xf>
    <xf numFmtId="167" fontId="11" fillId="0" borderId="0" xfId="15" applyNumberFormat="1" applyFont="1" applyAlignment="1">
      <alignment/>
    </xf>
    <xf numFmtId="167" fontId="11" fillId="0" borderId="0" xfId="0" applyNumberFormat="1" applyFont="1" applyFill="1" applyAlignment="1">
      <alignment/>
    </xf>
    <xf numFmtId="10" fontId="11" fillId="0" borderId="0" xfId="19" applyNumberFormat="1" applyFont="1" applyFill="1" applyBorder="1" applyAlignment="1">
      <alignment/>
    </xf>
    <xf numFmtId="167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19" applyNumberFormat="1" applyFont="1" applyFill="1" applyAlignment="1">
      <alignment/>
    </xf>
    <xf numFmtId="167" fontId="12" fillId="6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FFFF"/>
      <rgbColor rgb="00CCCCCC"/>
      <rgbColor rgb="00CCFF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29"/>
  <sheetViews>
    <sheetView tabSelected="1" workbookViewId="0" topLeftCell="A6">
      <selection activeCell="M28" sqref="M28"/>
    </sheetView>
  </sheetViews>
  <sheetFormatPr defaultColWidth="9.140625" defaultRowHeight="12.75"/>
  <cols>
    <col min="1" max="1" width="17.7109375" style="2" customWidth="1"/>
    <col min="2" max="2" width="11.7109375" style="2" customWidth="1"/>
    <col min="3" max="3" width="11.00390625" style="2" customWidth="1"/>
    <col min="4" max="4" width="13.57421875" style="2" customWidth="1"/>
    <col min="5" max="5" width="12.7109375" style="2" customWidth="1"/>
    <col min="6" max="6" width="13.00390625" style="2" customWidth="1"/>
    <col min="7" max="9" width="13.00390625" style="2" bestFit="1" customWidth="1"/>
    <col min="10" max="10" width="13.851562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2812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1" ht="12.75">
      <c r="A1" s="5" t="s">
        <v>0</v>
      </c>
    </row>
    <row r="2" ht="12.75">
      <c r="A2" s="5" t="s">
        <v>41</v>
      </c>
    </row>
    <row r="3" ht="12.75">
      <c r="A3" s="5" t="s">
        <v>53</v>
      </c>
    </row>
    <row r="4" ht="12.75">
      <c r="A4" s="5" t="s">
        <v>87</v>
      </c>
    </row>
    <row r="5" spans="1:10" ht="12.75">
      <c r="A5" s="5" t="s">
        <v>54</v>
      </c>
      <c r="J5" s="82" t="s">
        <v>94</v>
      </c>
    </row>
    <row r="6" spans="1:10" ht="12.75">
      <c r="A6" s="5" t="s">
        <v>80</v>
      </c>
      <c r="J6" s="69"/>
    </row>
    <row r="7" spans="4:16" ht="12.75">
      <c r="D7" s="11">
        <v>2008</v>
      </c>
      <c r="E7" s="11">
        <v>2008</v>
      </c>
      <c r="F7" s="11">
        <v>2008</v>
      </c>
      <c r="G7" s="11">
        <v>2008</v>
      </c>
      <c r="H7" s="11">
        <v>2008</v>
      </c>
      <c r="I7" s="11">
        <v>2008</v>
      </c>
      <c r="J7" s="70">
        <v>2009</v>
      </c>
      <c r="K7" s="11">
        <v>2009</v>
      </c>
      <c r="L7" s="11">
        <v>2009</v>
      </c>
      <c r="M7" s="11">
        <v>2009</v>
      </c>
      <c r="N7" s="11">
        <v>2009</v>
      </c>
      <c r="O7" s="11">
        <v>2009</v>
      </c>
      <c r="P7" s="5" t="s">
        <v>61</v>
      </c>
    </row>
    <row r="8" spans="4:16" ht="12.75"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71" t="s">
        <v>2</v>
      </c>
      <c r="K8" s="30" t="s">
        <v>3</v>
      </c>
      <c r="L8" s="30" t="s">
        <v>4</v>
      </c>
      <c r="M8" s="30" t="s">
        <v>5</v>
      </c>
      <c r="N8" s="30" t="s">
        <v>6</v>
      </c>
      <c r="O8" s="30" t="s">
        <v>7</v>
      </c>
      <c r="P8" s="30" t="s">
        <v>36</v>
      </c>
    </row>
    <row r="9" spans="1:10" ht="12.75">
      <c r="A9" s="5" t="s">
        <v>81</v>
      </c>
      <c r="B9" s="5"/>
      <c r="J9" s="69"/>
    </row>
    <row r="10" spans="1:15" ht="12.75">
      <c r="A10" s="24" t="s">
        <v>34</v>
      </c>
      <c r="D10" s="1"/>
      <c r="E10" s="1"/>
      <c r="F10" s="1"/>
      <c r="G10" s="22"/>
      <c r="H10" s="22"/>
      <c r="I10" s="22"/>
      <c r="J10" s="72"/>
      <c r="K10" s="22"/>
      <c r="L10" s="22"/>
      <c r="M10" s="22"/>
      <c r="N10" s="22"/>
      <c r="O10" s="22"/>
    </row>
    <row r="11" spans="1:17" ht="12.75">
      <c r="A11" s="2" t="s">
        <v>1</v>
      </c>
      <c r="D11" s="106">
        <v>2763613</v>
      </c>
      <c r="E11" s="106">
        <v>2223233</v>
      </c>
      <c r="F11" s="106">
        <v>2487966</v>
      </c>
      <c r="G11" s="106">
        <v>3933329</v>
      </c>
      <c r="H11" s="106">
        <v>8603159</v>
      </c>
      <c r="I11" s="106">
        <v>15345278</v>
      </c>
      <c r="J11" s="108">
        <v>24885757</v>
      </c>
      <c r="K11" s="106">
        <v>21106338</v>
      </c>
      <c r="L11" s="106">
        <v>17754612</v>
      </c>
      <c r="M11" s="106"/>
      <c r="N11" s="106"/>
      <c r="O11" s="106"/>
      <c r="P11" s="3">
        <f>SUM(D11:O11)</f>
        <v>99103285</v>
      </c>
      <c r="Q11" s="3"/>
    </row>
    <row r="12" spans="1:17" ht="12.75">
      <c r="A12" s="32" t="s">
        <v>52</v>
      </c>
      <c r="D12" s="106">
        <v>-82104</v>
      </c>
      <c r="E12" s="106">
        <v>-66736</v>
      </c>
      <c r="F12" s="106">
        <v>-78849</v>
      </c>
      <c r="G12" s="106">
        <v>-127362</v>
      </c>
      <c r="H12" s="106">
        <v>-276318</v>
      </c>
      <c r="I12" s="106">
        <v>-599812</v>
      </c>
      <c r="J12" s="108">
        <v>-837285</v>
      </c>
      <c r="K12" s="106">
        <v>-628669</v>
      </c>
      <c r="L12" s="106">
        <v>-571631</v>
      </c>
      <c r="M12" s="106"/>
      <c r="N12" s="106"/>
      <c r="O12" s="106"/>
      <c r="P12" s="3">
        <f>SUM(D12:O12)</f>
        <v>-3268766</v>
      </c>
      <c r="Q12" s="3"/>
    </row>
    <row r="13" spans="1:17" ht="12.75">
      <c r="A13" s="2" t="s">
        <v>14</v>
      </c>
      <c r="D13" s="1">
        <f aca="true" t="shared" si="0" ref="D13:I13">-D66</f>
        <v>-1731459</v>
      </c>
      <c r="E13" s="1">
        <f t="shared" si="0"/>
        <v>-1267630</v>
      </c>
      <c r="F13" s="1">
        <f t="shared" si="0"/>
        <v>-1309729</v>
      </c>
      <c r="G13" s="1">
        <f t="shared" si="0"/>
        <v>-1930178</v>
      </c>
      <c r="H13" s="1">
        <f t="shared" si="0"/>
        <v>-6206433</v>
      </c>
      <c r="I13" s="1">
        <f t="shared" si="0"/>
        <v>-9576840</v>
      </c>
      <c r="J13" s="72">
        <f aca="true" t="shared" si="1" ref="J13:O13">-D110</f>
        <v>-16255704</v>
      </c>
      <c r="K13" s="22">
        <f t="shared" si="1"/>
        <v>-12772752</v>
      </c>
      <c r="L13" s="22">
        <f t="shared" si="1"/>
        <v>-10188273</v>
      </c>
      <c r="M13" s="22">
        <f t="shared" si="1"/>
        <v>-9003631</v>
      </c>
      <c r="N13" s="22">
        <f t="shared" si="1"/>
        <v>0</v>
      </c>
      <c r="O13" s="22">
        <f t="shared" si="1"/>
        <v>0</v>
      </c>
      <c r="P13" s="3">
        <f>SUM(D13:O13)</f>
        <v>-70242629</v>
      </c>
      <c r="Q13" s="3"/>
    </row>
    <row r="14" spans="1:17" ht="12.75">
      <c r="A14" s="2" t="s">
        <v>15</v>
      </c>
      <c r="D14" s="1">
        <f aca="true" t="shared" si="2" ref="D14:I14">E66</f>
        <v>1267630</v>
      </c>
      <c r="E14" s="1">
        <f t="shared" si="2"/>
        <v>1309729</v>
      </c>
      <c r="F14" s="1">
        <f t="shared" si="2"/>
        <v>1930178</v>
      </c>
      <c r="G14" s="1">
        <f t="shared" si="2"/>
        <v>6206433</v>
      </c>
      <c r="H14" s="1">
        <f t="shared" si="2"/>
        <v>9576840</v>
      </c>
      <c r="I14" s="1">
        <f t="shared" si="2"/>
        <v>16255704</v>
      </c>
      <c r="J14" s="72">
        <f aca="true" t="shared" si="3" ref="J14:O14">E110</f>
        <v>12772752</v>
      </c>
      <c r="K14" s="22">
        <f t="shared" si="3"/>
        <v>10188273</v>
      </c>
      <c r="L14" s="22">
        <f t="shared" si="3"/>
        <v>9003631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3">
        <f>SUM(D14:O14)</f>
        <v>68511170</v>
      </c>
      <c r="Q14" s="1"/>
    </row>
    <row r="15" spans="1:17" ht="12.75">
      <c r="A15" s="2" t="s">
        <v>33</v>
      </c>
      <c r="D15" s="1">
        <f aca="true" t="shared" si="4" ref="D15:I15">D50</f>
        <v>0</v>
      </c>
      <c r="E15" s="1">
        <f t="shared" si="4"/>
        <v>0</v>
      </c>
      <c r="F15" s="1">
        <f t="shared" si="4"/>
        <v>0</v>
      </c>
      <c r="G15" s="1">
        <f t="shared" si="4"/>
        <v>331716</v>
      </c>
      <c r="H15" s="1">
        <f t="shared" si="4"/>
        <v>1494158</v>
      </c>
      <c r="I15" s="1">
        <f t="shared" si="4"/>
        <v>-2505968</v>
      </c>
      <c r="J15" s="72">
        <f aca="true" t="shared" si="5" ref="J15:O15">D94</f>
        <v>-1544178</v>
      </c>
      <c r="K15" s="22">
        <f t="shared" si="5"/>
        <v>-704787</v>
      </c>
      <c r="L15" s="22">
        <f t="shared" si="5"/>
        <v>-2625925</v>
      </c>
      <c r="M15" s="22">
        <f t="shared" si="5"/>
        <v>0</v>
      </c>
      <c r="N15" s="22">
        <f t="shared" si="5"/>
        <v>0</v>
      </c>
      <c r="O15" s="22">
        <f t="shared" si="5"/>
        <v>0</v>
      </c>
      <c r="P15" s="3">
        <f>SUM(D15:O15)</f>
        <v>-5554984</v>
      </c>
      <c r="Q15" s="1"/>
    </row>
    <row r="16" spans="1:17" ht="12.75">
      <c r="A16" s="2" t="s">
        <v>47</v>
      </c>
      <c r="D16" s="4">
        <f aca="true" t="shared" si="6" ref="D16:P16">SUM(D11:D15)</f>
        <v>2217680</v>
      </c>
      <c r="E16" s="4">
        <f t="shared" si="6"/>
        <v>2198596</v>
      </c>
      <c r="F16" s="4">
        <f t="shared" si="6"/>
        <v>3029566</v>
      </c>
      <c r="G16" s="4">
        <f t="shared" si="6"/>
        <v>8413938</v>
      </c>
      <c r="H16" s="4">
        <f t="shared" si="6"/>
        <v>13191406</v>
      </c>
      <c r="I16" s="4">
        <f t="shared" si="6"/>
        <v>18918362</v>
      </c>
      <c r="J16" s="73">
        <f t="shared" si="6"/>
        <v>19021342</v>
      </c>
      <c r="K16" s="4">
        <f t="shared" si="6"/>
        <v>17188403</v>
      </c>
      <c r="L16" s="4">
        <f t="shared" si="6"/>
        <v>13372414</v>
      </c>
      <c r="M16" s="4">
        <f t="shared" si="6"/>
        <v>-9003631</v>
      </c>
      <c r="N16" s="4">
        <f t="shared" si="6"/>
        <v>0</v>
      </c>
      <c r="O16" s="4">
        <f t="shared" si="6"/>
        <v>0</v>
      </c>
      <c r="P16" s="4">
        <f t="shared" si="6"/>
        <v>88548076</v>
      </c>
      <c r="Q16" s="1"/>
    </row>
    <row r="17" spans="4:17" ht="12.75">
      <c r="D17" s="6"/>
      <c r="E17" s="6"/>
      <c r="F17" s="6"/>
      <c r="G17" s="6"/>
      <c r="H17" s="6"/>
      <c r="I17" s="6"/>
      <c r="J17" s="74"/>
      <c r="K17" s="6"/>
      <c r="L17" s="6"/>
      <c r="M17" s="6"/>
      <c r="N17" s="6"/>
      <c r="O17" s="6"/>
      <c r="P17" s="6"/>
      <c r="Q17" s="1"/>
    </row>
    <row r="18" spans="1:17" ht="12.75">
      <c r="A18" s="2" t="s">
        <v>46</v>
      </c>
      <c r="D18" s="6">
        <f aca="true" t="shared" si="7" ref="D18:O18">D16</f>
        <v>2217680</v>
      </c>
      <c r="E18" s="6">
        <f t="shared" si="7"/>
        <v>2198596</v>
      </c>
      <c r="F18" s="6">
        <f t="shared" si="7"/>
        <v>3029566</v>
      </c>
      <c r="G18" s="6">
        <f t="shared" si="7"/>
        <v>8413938</v>
      </c>
      <c r="H18" s="6">
        <f t="shared" si="7"/>
        <v>13191406</v>
      </c>
      <c r="I18" s="6">
        <f t="shared" si="7"/>
        <v>18918362</v>
      </c>
      <c r="J18" s="74">
        <f t="shared" si="7"/>
        <v>19021342</v>
      </c>
      <c r="K18" s="6">
        <f t="shared" si="7"/>
        <v>17188403</v>
      </c>
      <c r="L18" s="6">
        <f t="shared" si="7"/>
        <v>13372414</v>
      </c>
      <c r="M18" s="6">
        <f t="shared" si="7"/>
        <v>-9003631</v>
      </c>
      <c r="N18" s="6">
        <f t="shared" si="7"/>
        <v>0</v>
      </c>
      <c r="O18" s="6">
        <f t="shared" si="7"/>
        <v>0</v>
      </c>
      <c r="P18" s="3">
        <f>SUM(D18:O18)</f>
        <v>88548076</v>
      </c>
      <c r="Q18" s="1"/>
    </row>
    <row r="19" spans="1:16" ht="12.75">
      <c r="A19" t="s">
        <v>51</v>
      </c>
      <c r="B19"/>
      <c r="C19"/>
      <c r="D19" s="7">
        <v>1983193</v>
      </c>
      <c r="E19" s="7">
        <v>2049321</v>
      </c>
      <c r="F19" s="7">
        <v>3228950</v>
      </c>
      <c r="G19" s="7">
        <v>8830784</v>
      </c>
      <c r="H19" s="7">
        <v>14228112</v>
      </c>
      <c r="I19" s="7">
        <v>20663191</v>
      </c>
      <c r="J19" s="75">
        <v>20189483</v>
      </c>
      <c r="K19" s="7">
        <v>18089596</v>
      </c>
      <c r="L19" s="7">
        <v>13420523</v>
      </c>
      <c r="M19" s="7">
        <v>7791044</v>
      </c>
      <c r="N19" s="7">
        <v>4652911</v>
      </c>
      <c r="O19" s="7">
        <v>2115994</v>
      </c>
      <c r="P19" s="3">
        <f>SUM(D19:O19)</f>
        <v>117243102</v>
      </c>
    </row>
    <row r="20" spans="1:16" ht="12.75">
      <c r="A20" s="2" t="s">
        <v>49</v>
      </c>
      <c r="C20"/>
      <c r="D20" s="10">
        <f aca="true" t="shared" si="8" ref="D20:L20">D18-D19</f>
        <v>234487</v>
      </c>
      <c r="E20" s="10">
        <f t="shared" si="8"/>
        <v>149275</v>
      </c>
      <c r="F20" s="10">
        <f t="shared" si="8"/>
        <v>-199384</v>
      </c>
      <c r="G20" s="10">
        <f t="shared" si="8"/>
        <v>-416846</v>
      </c>
      <c r="H20" s="10">
        <f t="shared" si="8"/>
        <v>-1036706</v>
      </c>
      <c r="I20" s="10">
        <f t="shared" si="8"/>
        <v>-1744829</v>
      </c>
      <c r="J20" s="76">
        <f t="shared" si="8"/>
        <v>-1168141</v>
      </c>
      <c r="K20" s="10">
        <f t="shared" si="8"/>
        <v>-901193</v>
      </c>
      <c r="L20" s="10">
        <f t="shared" si="8"/>
        <v>-48109</v>
      </c>
      <c r="M20" s="10"/>
      <c r="N20" s="10"/>
      <c r="O20" s="10"/>
      <c r="P20" s="3">
        <f>SUM(D20:O20)</f>
        <v>-5131446</v>
      </c>
    </row>
    <row r="21" spans="1:16" ht="12.75">
      <c r="A21" s="2" t="s">
        <v>48</v>
      </c>
      <c r="C21"/>
      <c r="D21" s="23">
        <v>0.21748</v>
      </c>
      <c r="E21" s="23">
        <v>0.21748</v>
      </c>
      <c r="F21" s="23">
        <v>0.21748</v>
      </c>
      <c r="G21" s="23">
        <v>0.21748</v>
      </c>
      <c r="H21" s="23">
        <v>0.21748</v>
      </c>
      <c r="I21" s="23">
        <v>0.21748</v>
      </c>
      <c r="J21" s="77">
        <v>0.24201</v>
      </c>
      <c r="K21" s="23">
        <v>0.24201</v>
      </c>
      <c r="L21" s="23">
        <v>0.24201</v>
      </c>
      <c r="M21" s="23">
        <v>0.24201</v>
      </c>
      <c r="N21" s="23">
        <v>0.24201</v>
      </c>
      <c r="O21" s="23">
        <v>0.24201</v>
      </c>
      <c r="P21"/>
    </row>
    <row r="22" spans="1:16" s="5" customFormat="1" ht="12.75">
      <c r="A22" s="5" t="s">
        <v>55</v>
      </c>
      <c r="D22" s="35">
        <f aca="true" t="shared" si="9" ref="D22:O22">D20*D21</f>
        <v>50996.23276</v>
      </c>
      <c r="E22" s="35">
        <f t="shared" si="9"/>
        <v>32464.327</v>
      </c>
      <c r="F22" s="39">
        <f t="shared" si="9"/>
        <v>-43362.03232</v>
      </c>
      <c r="G22" s="35">
        <f t="shared" si="9"/>
        <v>-90655.66808</v>
      </c>
      <c r="H22" s="35">
        <f t="shared" si="9"/>
        <v>-225462.82088</v>
      </c>
      <c r="I22" s="35">
        <f t="shared" si="9"/>
        <v>-379465.41092</v>
      </c>
      <c r="J22" s="78">
        <f t="shared" si="9"/>
        <v>-282701.80341</v>
      </c>
      <c r="K22" s="35">
        <f t="shared" si="9"/>
        <v>-218097.71793</v>
      </c>
      <c r="L22" s="35">
        <f t="shared" si="9"/>
        <v>-11642.85909</v>
      </c>
      <c r="M22" s="39">
        <f t="shared" si="9"/>
        <v>0</v>
      </c>
      <c r="N22" s="35">
        <f t="shared" si="9"/>
        <v>0</v>
      </c>
      <c r="O22" s="39">
        <f t="shared" si="9"/>
        <v>0</v>
      </c>
      <c r="P22" s="35">
        <f>SUM(D22:O22)</f>
        <v>-1167927.75287</v>
      </c>
    </row>
    <row r="23" spans="2:16" s="5" customFormat="1" ht="12.75">
      <c r="B23" s="34" t="s">
        <v>56</v>
      </c>
      <c r="C23" s="2"/>
      <c r="D23" s="33">
        <v>0.9</v>
      </c>
      <c r="E23" s="33">
        <v>0.9</v>
      </c>
      <c r="F23" s="33">
        <v>0.9</v>
      </c>
      <c r="G23" s="33">
        <v>0.9</v>
      </c>
      <c r="H23" s="33">
        <v>0.9</v>
      </c>
      <c r="I23" s="33">
        <v>0.9</v>
      </c>
      <c r="J23" s="79">
        <v>0.9</v>
      </c>
      <c r="K23" s="33">
        <v>0.9</v>
      </c>
      <c r="L23" s="33">
        <v>0.9</v>
      </c>
      <c r="M23" s="33">
        <v>0.9</v>
      </c>
      <c r="N23" s="33">
        <v>0.9</v>
      </c>
      <c r="O23" s="33">
        <v>0.9</v>
      </c>
      <c r="P23" s="35"/>
    </row>
    <row r="24" spans="1:16" ht="12.75">
      <c r="A24" s="5" t="s">
        <v>57</v>
      </c>
      <c r="D24" s="36">
        <f aca="true" t="shared" si="10" ref="D24:O24">D22*D23</f>
        <v>45896.609484</v>
      </c>
      <c r="E24" s="36">
        <f t="shared" si="10"/>
        <v>29217.8943</v>
      </c>
      <c r="F24" s="36">
        <f t="shared" si="10"/>
        <v>-39025.829088</v>
      </c>
      <c r="G24" s="36">
        <f t="shared" si="10"/>
        <v>-81590.101272</v>
      </c>
      <c r="H24" s="36">
        <f t="shared" si="10"/>
        <v>-202916.538792</v>
      </c>
      <c r="I24" s="36">
        <f t="shared" si="10"/>
        <v>-341518.869828</v>
      </c>
      <c r="J24" s="78">
        <f t="shared" si="10"/>
        <v>-254431.623069</v>
      </c>
      <c r="K24" s="36">
        <f t="shared" si="10"/>
        <v>-196287.94613700002</v>
      </c>
      <c r="L24" s="36">
        <f t="shared" si="10"/>
        <v>-10478.573181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>SUM(D24:O24)</f>
        <v>-1051134.977583</v>
      </c>
    </row>
    <row r="25" spans="1:16" ht="12.75">
      <c r="A25"/>
      <c r="B25" s="5" t="s">
        <v>59</v>
      </c>
      <c r="C25"/>
      <c r="D25"/>
      <c r="E25" s="1"/>
      <c r="F25" s="1"/>
      <c r="G25" s="1"/>
      <c r="H25" s="1"/>
      <c r="I25" s="1"/>
      <c r="J25" s="80"/>
      <c r="K25" s="1"/>
      <c r="L25" s="1"/>
      <c r="M25" s="1"/>
      <c r="N25" s="1"/>
      <c r="O25" s="1"/>
      <c r="P25" s="3"/>
    </row>
    <row r="26" spans="1:16" ht="12.75">
      <c r="A26"/>
      <c r="B26" s="5"/>
      <c r="C26"/>
      <c r="D26"/>
      <c r="E26" s="1"/>
      <c r="F26" s="1"/>
      <c r="G26" s="1"/>
      <c r="H26" s="1"/>
      <c r="I26" s="1"/>
      <c r="J26" s="44"/>
      <c r="K26" s="1"/>
      <c r="L26" s="1"/>
      <c r="M26" s="1"/>
      <c r="N26" s="1"/>
      <c r="O26" s="1"/>
      <c r="P26" s="3"/>
    </row>
    <row r="27" spans="1:16" ht="12.75">
      <c r="A27" s="5" t="s">
        <v>92</v>
      </c>
      <c r="B27" s="5"/>
      <c r="C27"/>
      <c r="D27"/>
      <c r="E27" s="1"/>
      <c r="F27" s="1"/>
      <c r="G27" s="1"/>
      <c r="H27" s="1"/>
      <c r="I27" s="1"/>
      <c r="J27" s="36">
        <f>'2008 corrected'!I28</f>
        <v>22566.990204</v>
      </c>
      <c r="K27" s="1"/>
      <c r="L27" s="1"/>
      <c r="M27" s="1"/>
      <c r="N27" s="1"/>
      <c r="O27" s="1"/>
      <c r="P27" s="36">
        <f>SUM(D27:O27)</f>
        <v>22566.990204</v>
      </c>
    </row>
    <row r="28" spans="1:16" ht="12.75">
      <c r="A28" s="5"/>
      <c r="B28" s="5"/>
      <c r="C28"/>
      <c r="D28"/>
      <c r="E28" s="1"/>
      <c r="F28" s="1"/>
      <c r="G28" s="1"/>
      <c r="H28" s="1"/>
      <c r="I28" s="1"/>
      <c r="J28" s="81"/>
      <c r="K28" s="1"/>
      <c r="L28" s="1"/>
      <c r="M28" s="1"/>
      <c r="N28" s="1"/>
      <c r="O28" s="1"/>
      <c r="P28" s="3"/>
    </row>
    <row r="29" spans="1:16" ht="12.75">
      <c r="A29" s="5" t="s">
        <v>93</v>
      </c>
      <c r="B29" s="5"/>
      <c r="C29"/>
      <c r="D29"/>
      <c r="E29" s="1"/>
      <c r="F29" s="1"/>
      <c r="G29" s="1"/>
      <c r="H29" s="1"/>
      <c r="I29" s="1"/>
      <c r="J29" s="83">
        <f>J24+J27</f>
        <v>-231864.632865</v>
      </c>
      <c r="K29" s="1"/>
      <c r="L29" s="1"/>
      <c r="M29" s="1"/>
      <c r="N29" s="1"/>
      <c r="O29" s="1"/>
      <c r="P29" s="36">
        <f>P24+P27</f>
        <v>-1028567.9873789999</v>
      </c>
    </row>
    <row r="30" spans="1:16" ht="12.75">
      <c r="A30" s="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2.75">
      <c r="A31" s="32" t="s">
        <v>89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 ht="12.75">
      <c r="A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</row>
    <row r="33" spans="1:16" ht="12.75">
      <c r="A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</row>
    <row r="34" spans="1:17" ht="12.75" hidden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0" ht="12.75" hidden="1">
      <c r="A35" s="32" t="s">
        <v>73</v>
      </c>
      <c r="D35" s="110"/>
      <c r="E35" s="110"/>
      <c r="F35" s="110"/>
      <c r="G35" s="110"/>
      <c r="H35" s="110"/>
      <c r="I35" s="110"/>
      <c r="J35" s="110"/>
    </row>
    <row r="36" spans="1:16" ht="12.75" hidden="1">
      <c r="A36" s="24" t="s">
        <v>35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 hidden="1">
      <c r="A37"/>
      <c r="B37"/>
      <c r="C37"/>
      <c r="D37" s="27">
        <v>39630</v>
      </c>
      <c r="E37" s="27">
        <v>39661</v>
      </c>
      <c r="F37" s="27">
        <v>39692</v>
      </c>
      <c r="G37" s="27">
        <v>39722</v>
      </c>
      <c r="H37" s="27">
        <v>39753</v>
      </c>
      <c r="I37" s="27">
        <v>39783</v>
      </c>
      <c r="J37" s="27">
        <v>39814</v>
      </c>
      <c r="K37" s="27">
        <v>39845</v>
      </c>
      <c r="L37" s="27">
        <v>39873</v>
      </c>
      <c r="M37" s="27">
        <v>39904</v>
      </c>
      <c r="N37" s="27">
        <v>39934</v>
      </c>
      <c r="O37" s="27">
        <v>39965</v>
      </c>
      <c r="P37" s="26" t="s">
        <v>36</v>
      </c>
    </row>
    <row r="38" spans="1:16" ht="12.75" hidden="1">
      <c r="A38" s="2" t="s">
        <v>16</v>
      </c>
      <c r="D38" s="6">
        <v>44</v>
      </c>
      <c r="E38" s="6">
        <v>42</v>
      </c>
      <c r="F38" s="6">
        <v>196</v>
      </c>
      <c r="G38" s="6">
        <v>554</v>
      </c>
      <c r="H38" s="6">
        <v>897</v>
      </c>
      <c r="I38" s="6">
        <v>1168</v>
      </c>
      <c r="J38" s="6">
        <v>1169</v>
      </c>
      <c r="K38" s="6">
        <f>916</f>
        <v>916</v>
      </c>
      <c r="L38" s="6">
        <v>790</v>
      </c>
      <c r="M38" s="6">
        <v>557</v>
      </c>
      <c r="N38" s="6">
        <v>338</v>
      </c>
      <c r="O38" s="6">
        <v>149</v>
      </c>
      <c r="P38" s="3">
        <f>SUM(D38:O38)</f>
        <v>6820</v>
      </c>
    </row>
    <row r="39" spans="1:16" ht="12.75" hidden="1">
      <c r="A39" s="45" t="s">
        <v>17</v>
      </c>
      <c r="B39"/>
      <c r="C39"/>
      <c r="D39" s="8">
        <v>8</v>
      </c>
      <c r="E39" s="61">
        <v>52</v>
      </c>
      <c r="F39" s="61">
        <v>142</v>
      </c>
      <c r="G39" s="61">
        <v>529</v>
      </c>
      <c r="H39" s="61">
        <v>785</v>
      </c>
      <c r="I39" s="61">
        <v>1328</v>
      </c>
      <c r="J39" s="8">
        <f aca="true" t="shared" si="11" ref="J39:O39">J38</f>
        <v>1169</v>
      </c>
      <c r="K39" s="8">
        <f t="shared" si="11"/>
        <v>916</v>
      </c>
      <c r="L39" s="8">
        <f t="shared" si="11"/>
        <v>790</v>
      </c>
      <c r="M39" s="8">
        <f t="shared" si="11"/>
        <v>557</v>
      </c>
      <c r="N39" s="8">
        <f t="shared" si="11"/>
        <v>338</v>
      </c>
      <c r="O39" s="8">
        <f t="shared" si="11"/>
        <v>149</v>
      </c>
      <c r="P39" s="3">
        <f>SUM(D39:O39)</f>
        <v>6763</v>
      </c>
    </row>
    <row r="40" spans="1:16" ht="12.75" hidden="1">
      <c r="A40" s="5" t="s">
        <v>37</v>
      </c>
      <c r="B40"/>
      <c r="C40"/>
      <c r="D40" s="10">
        <f aca="true" t="shared" si="12" ref="D40:O40">D38-D39</f>
        <v>36</v>
      </c>
      <c r="E40" s="10">
        <f t="shared" si="12"/>
        <v>-10</v>
      </c>
      <c r="F40" s="10">
        <f t="shared" si="12"/>
        <v>54</v>
      </c>
      <c r="G40" s="10">
        <f t="shared" si="12"/>
        <v>25</v>
      </c>
      <c r="H40" s="10">
        <f t="shared" si="12"/>
        <v>112</v>
      </c>
      <c r="I40" s="10">
        <f t="shared" si="12"/>
        <v>-160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4">
        <f>SUM(D40:O40)</f>
        <v>57</v>
      </c>
    </row>
    <row r="41" spans="1:16" ht="12.75" hidden="1">
      <c r="A41" s="5"/>
      <c r="B41" s="25"/>
      <c r="C41" s="46" t="s">
        <v>64</v>
      </c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 hidden="1">
      <c r="A42" t="s">
        <v>24</v>
      </c>
      <c r="B42"/>
      <c r="C42" s="26" t="s">
        <v>50</v>
      </c>
      <c r="D42" s="47">
        <v>0</v>
      </c>
      <c r="E42" s="47">
        <v>0</v>
      </c>
      <c r="F42" s="47">
        <v>0</v>
      </c>
      <c r="G42" s="47">
        <v>0.09</v>
      </c>
      <c r="H42" s="47">
        <v>0.09</v>
      </c>
      <c r="I42" s="47">
        <v>0.101</v>
      </c>
      <c r="J42" s="47">
        <v>0.101</v>
      </c>
      <c r="K42" s="47">
        <v>0.101</v>
      </c>
      <c r="L42" s="47">
        <v>0.101</v>
      </c>
      <c r="M42" s="47">
        <v>0.09</v>
      </c>
      <c r="N42" s="47">
        <v>0.09</v>
      </c>
      <c r="O42" s="47">
        <v>0.09</v>
      </c>
      <c r="P42"/>
    </row>
    <row r="43" spans="1:16" ht="12.75" hidden="1">
      <c r="A43" t="s">
        <v>25</v>
      </c>
      <c r="B43"/>
      <c r="C43" s="26" t="s">
        <v>50</v>
      </c>
      <c r="D43" s="47">
        <v>0</v>
      </c>
      <c r="E43" s="47">
        <v>0</v>
      </c>
      <c r="F43" s="47">
        <v>0</v>
      </c>
      <c r="G43" s="47">
        <v>0.169</v>
      </c>
      <c r="H43" s="47">
        <v>0.169</v>
      </c>
      <c r="I43" s="47">
        <v>0.243</v>
      </c>
      <c r="J43" s="47">
        <v>0.243</v>
      </c>
      <c r="K43" s="47">
        <v>0.243</v>
      </c>
      <c r="L43" s="47">
        <v>0.243</v>
      </c>
      <c r="M43" s="47">
        <v>0.169</v>
      </c>
      <c r="N43" s="47">
        <v>0.169</v>
      </c>
      <c r="O43" s="47">
        <v>0.169</v>
      </c>
      <c r="P43"/>
    </row>
    <row r="44" spans="1:16" ht="12.75" hidden="1">
      <c r="A44" t="s">
        <v>26</v>
      </c>
      <c r="B44"/>
      <c r="C44" s="26" t="s">
        <v>50</v>
      </c>
      <c r="D44" s="47">
        <v>0</v>
      </c>
      <c r="E44" s="47">
        <v>0</v>
      </c>
      <c r="F44" s="47">
        <v>0</v>
      </c>
      <c r="G44" s="47">
        <v>0.306</v>
      </c>
      <c r="H44" s="47">
        <v>0.306</v>
      </c>
      <c r="I44" s="47">
        <v>0.422</v>
      </c>
      <c r="J44" s="47">
        <v>0.422</v>
      </c>
      <c r="K44" s="47">
        <v>0.422</v>
      </c>
      <c r="L44" s="47">
        <v>0.422</v>
      </c>
      <c r="M44" s="47">
        <v>0.306</v>
      </c>
      <c r="N44" s="47">
        <v>0.306</v>
      </c>
      <c r="O44" s="47">
        <v>0.306</v>
      </c>
      <c r="P44"/>
    </row>
    <row r="45" spans="1:16" ht="12.75" hidden="1">
      <c r="A45"/>
      <c r="B45" s="23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 hidden="1">
      <c r="A46" s="24" t="s">
        <v>42</v>
      </c>
      <c r="B46" s="23"/>
      <c r="C46" s="23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 hidden="1">
      <c r="A47" t="s">
        <v>24</v>
      </c>
      <c r="B47"/>
      <c r="C47"/>
      <c r="D47" s="112">
        <f>ROUND(D$40*D42*J71,0)</f>
        <v>0</v>
      </c>
      <c r="E47" s="112">
        <f aca="true" t="shared" si="13" ref="E47:I49">ROUND(E$40*E42*K71,0)</f>
        <v>0</v>
      </c>
      <c r="F47" s="112">
        <f t="shared" si="13"/>
        <v>0</v>
      </c>
      <c r="G47" s="112">
        <f t="shared" si="13"/>
        <v>283203</v>
      </c>
      <c r="H47" s="112">
        <f t="shared" si="13"/>
        <v>1275453</v>
      </c>
      <c r="I47" s="112">
        <f t="shared" si="13"/>
        <v>-2053580</v>
      </c>
      <c r="J47" s="9">
        <f aca="true" t="shared" si="14" ref="J47:O49">ROUND(J$40*J42*D71,0)</f>
        <v>0</v>
      </c>
      <c r="K47" s="9">
        <f t="shared" si="14"/>
        <v>0</v>
      </c>
      <c r="L47" s="9">
        <f t="shared" si="14"/>
        <v>0</v>
      </c>
      <c r="M47" s="9">
        <f t="shared" si="14"/>
        <v>0</v>
      </c>
      <c r="N47" s="9">
        <f t="shared" si="14"/>
        <v>0</v>
      </c>
      <c r="O47" s="9">
        <f t="shared" si="14"/>
        <v>0</v>
      </c>
      <c r="P47" s="9">
        <f>SUM(D47:O47)</f>
        <v>-494924</v>
      </c>
    </row>
    <row r="48" spans="1:16" ht="12.75" hidden="1">
      <c r="A48" t="s">
        <v>25</v>
      </c>
      <c r="B48"/>
      <c r="C48"/>
      <c r="D48" s="9">
        <f>ROUND(D$40*D43*J72,0)</f>
        <v>0</v>
      </c>
      <c r="E48" s="9">
        <f t="shared" si="13"/>
        <v>0</v>
      </c>
      <c r="F48" s="9">
        <f t="shared" si="13"/>
        <v>0</v>
      </c>
      <c r="G48" s="9">
        <f t="shared" si="13"/>
        <v>47840</v>
      </c>
      <c r="H48" s="9">
        <f t="shared" si="13"/>
        <v>215552</v>
      </c>
      <c r="I48" s="9">
        <f t="shared" si="13"/>
        <v>-446109</v>
      </c>
      <c r="J48" s="9">
        <f t="shared" si="14"/>
        <v>0</v>
      </c>
      <c r="K48" s="9">
        <f t="shared" si="14"/>
        <v>0</v>
      </c>
      <c r="L48" s="9">
        <f t="shared" si="14"/>
        <v>0</v>
      </c>
      <c r="M48" s="9">
        <f t="shared" si="14"/>
        <v>0</v>
      </c>
      <c r="N48" s="9">
        <f t="shared" si="14"/>
        <v>0</v>
      </c>
      <c r="O48" s="9">
        <f t="shared" si="14"/>
        <v>0</v>
      </c>
      <c r="P48" s="9">
        <f>SUM(D48:O48)</f>
        <v>-182717</v>
      </c>
    </row>
    <row r="49" spans="1:16" ht="12.75" hidden="1">
      <c r="A49" t="s">
        <v>26</v>
      </c>
      <c r="B49"/>
      <c r="C49"/>
      <c r="D49" s="9">
        <f>ROUND(D$40*D44*J73,0)</f>
        <v>0</v>
      </c>
      <c r="E49" s="9">
        <f t="shared" si="13"/>
        <v>0</v>
      </c>
      <c r="F49" s="9">
        <f t="shared" si="13"/>
        <v>0</v>
      </c>
      <c r="G49" s="9">
        <f t="shared" si="13"/>
        <v>673</v>
      </c>
      <c r="H49" s="9">
        <f t="shared" si="13"/>
        <v>3153</v>
      </c>
      <c r="I49" s="9">
        <f t="shared" si="13"/>
        <v>-6279</v>
      </c>
      <c r="J49" s="9">
        <f t="shared" si="14"/>
        <v>0</v>
      </c>
      <c r="K49" s="9">
        <f t="shared" si="14"/>
        <v>0</v>
      </c>
      <c r="L49" s="9">
        <f t="shared" si="14"/>
        <v>0</v>
      </c>
      <c r="M49" s="9">
        <f t="shared" si="14"/>
        <v>0</v>
      </c>
      <c r="N49" s="9">
        <f t="shared" si="14"/>
        <v>0</v>
      </c>
      <c r="O49" s="9">
        <f t="shared" si="14"/>
        <v>0</v>
      </c>
      <c r="P49" s="9">
        <f>SUM(D49:O49)</f>
        <v>-2453</v>
      </c>
    </row>
    <row r="50" spans="1:16" ht="12.75" hidden="1">
      <c r="A50" t="s">
        <v>43</v>
      </c>
      <c r="B50"/>
      <c r="C50"/>
      <c r="D50" s="15">
        <f aca="true" t="shared" si="15" ref="D50:P50">SUM(D47:D49)</f>
        <v>0</v>
      </c>
      <c r="E50" s="15">
        <f t="shared" si="15"/>
        <v>0</v>
      </c>
      <c r="F50" s="15">
        <f t="shared" si="15"/>
        <v>0</v>
      </c>
      <c r="G50" s="15">
        <f t="shared" si="15"/>
        <v>331716</v>
      </c>
      <c r="H50" s="15">
        <f t="shared" si="15"/>
        <v>1494158</v>
      </c>
      <c r="I50" s="15">
        <f t="shared" si="15"/>
        <v>-2505968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5"/>
        <v>0</v>
      </c>
      <c r="O50" s="15">
        <f t="shared" si="15"/>
        <v>0</v>
      </c>
      <c r="P50" s="15">
        <f t="shared" si="15"/>
        <v>-680094</v>
      </c>
    </row>
    <row r="51" spans="1:16" ht="12.75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 hidden="1">
      <c r="A53" s="24" t="s">
        <v>45</v>
      </c>
      <c r="B53"/>
      <c r="C53"/>
      <c r="D53" s="16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 hidden="1">
      <c r="A54" s="12"/>
      <c r="B54"/>
      <c r="C54"/>
      <c r="D54" s="31">
        <v>39600</v>
      </c>
      <c r="E54" s="31">
        <v>39630</v>
      </c>
      <c r="F54" s="31">
        <v>39661</v>
      </c>
      <c r="G54" s="31">
        <v>39692</v>
      </c>
      <c r="H54" s="31">
        <v>39722</v>
      </c>
      <c r="I54" s="31">
        <v>39753</v>
      </c>
      <c r="J54" s="31">
        <v>39783</v>
      </c>
      <c r="K54" s="31">
        <v>39814</v>
      </c>
      <c r="L54" s="31">
        <v>39845</v>
      </c>
      <c r="M54" s="31">
        <v>39873</v>
      </c>
      <c r="N54" s="31">
        <v>39904</v>
      </c>
      <c r="O54" s="31">
        <v>39934</v>
      </c>
      <c r="P54" s="31">
        <v>39965</v>
      </c>
    </row>
    <row r="55" spans="1:16" ht="12.75" hidden="1">
      <c r="A55" t="s">
        <v>22</v>
      </c>
      <c r="B55"/>
      <c r="C55"/>
      <c r="D55" s="63">
        <v>71.2</v>
      </c>
      <c r="E55" s="42">
        <v>4.7</v>
      </c>
      <c r="F55" s="42">
        <v>45.3</v>
      </c>
      <c r="G55" s="42">
        <v>101.5</v>
      </c>
      <c r="H55" s="42">
        <v>369.6</v>
      </c>
      <c r="I55" s="42">
        <v>567.2</v>
      </c>
      <c r="J55" s="42">
        <v>952.4</v>
      </c>
      <c r="K55" s="54"/>
      <c r="L55" s="55"/>
      <c r="M55" s="54"/>
      <c r="N55" s="54"/>
      <c r="O55" s="54"/>
      <c r="P55" s="56"/>
    </row>
    <row r="56" spans="1:16" ht="12.75" hidden="1">
      <c r="A56" t="s">
        <v>23</v>
      </c>
      <c r="B56"/>
      <c r="C56"/>
      <c r="D56" s="28">
        <v>0.633</v>
      </c>
      <c r="E56" s="62">
        <v>0.6332</v>
      </c>
      <c r="F56" s="62">
        <v>0.6528</v>
      </c>
      <c r="G56" s="62">
        <v>0.6281</v>
      </c>
      <c r="H56" s="62">
        <v>0.6531</v>
      </c>
      <c r="I56" s="62">
        <v>0.6916</v>
      </c>
      <c r="J56" s="62">
        <v>0.6863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8">
        <v>0</v>
      </c>
    </row>
    <row r="57" spans="1:16" ht="12.75" hidden="1">
      <c r="A57" s="5"/>
      <c r="B57" s="25" t="s">
        <v>65</v>
      </c>
      <c r="C57" s="46" t="s">
        <v>64</v>
      </c>
      <c r="D57" s="1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9"/>
    </row>
    <row r="58" spans="1:16" ht="12.75" hidden="1">
      <c r="A58" t="s">
        <v>24</v>
      </c>
      <c r="B58" s="43">
        <v>15</v>
      </c>
      <c r="C58" s="26" t="s">
        <v>50</v>
      </c>
      <c r="D58" s="48">
        <f>P58</f>
        <v>0.0448</v>
      </c>
      <c r="E58" s="48">
        <v>0</v>
      </c>
      <c r="F58" s="48">
        <v>0</v>
      </c>
      <c r="G58" s="48">
        <f>(F58+H58)/2</f>
        <v>0.0448</v>
      </c>
      <c r="H58" s="48">
        <v>0.0896</v>
      </c>
      <c r="I58" s="48">
        <f>(H58+J58)/2</f>
        <v>0.09505</v>
      </c>
      <c r="J58" s="48">
        <v>0.1005</v>
      </c>
      <c r="K58" s="48">
        <v>0.1005</v>
      </c>
      <c r="L58" s="48">
        <v>0.1005</v>
      </c>
      <c r="M58" s="48">
        <f>(L58+N58)/2</f>
        <v>0.09505</v>
      </c>
      <c r="N58" s="48">
        <v>0.0896</v>
      </c>
      <c r="O58" s="48">
        <v>0.0896</v>
      </c>
      <c r="P58" s="48">
        <f>(O58+Q58)/2</f>
        <v>0.0448</v>
      </c>
    </row>
    <row r="59" spans="1:16" ht="12.75" hidden="1">
      <c r="A59" t="s">
        <v>25</v>
      </c>
      <c r="B59" s="43">
        <v>12</v>
      </c>
      <c r="C59" s="26" t="s">
        <v>50</v>
      </c>
      <c r="D59" s="48">
        <f>P59</f>
        <v>0.0844</v>
      </c>
      <c r="E59" s="48">
        <v>0</v>
      </c>
      <c r="F59" s="48">
        <v>0</v>
      </c>
      <c r="G59" s="48">
        <f>(F59+H59)/2</f>
        <v>0.0844</v>
      </c>
      <c r="H59" s="48">
        <v>0.1688</v>
      </c>
      <c r="I59" s="48">
        <f>(H59+J59)/2</f>
        <v>0.20575</v>
      </c>
      <c r="J59" s="48">
        <v>0.2427</v>
      </c>
      <c r="K59" s="48">
        <v>0.2427</v>
      </c>
      <c r="L59" s="48">
        <v>0.2427</v>
      </c>
      <c r="M59" s="48">
        <f>(L59+N59)/2</f>
        <v>0.20575</v>
      </c>
      <c r="N59" s="48">
        <v>0.1688</v>
      </c>
      <c r="O59" s="48">
        <v>0.1688</v>
      </c>
      <c r="P59" s="48">
        <f>(O59+Q59)/2</f>
        <v>0.0844</v>
      </c>
    </row>
    <row r="60" spans="1:16" ht="12.75" hidden="1">
      <c r="A60" t="s">
        <v>26</v>
      </c>
      <c r="B60" s="43">
        <v>0</v>
      </c>
      <c r="C60" s="26" t="s">
        <v>50</v>
      </c>
      <c r="D60" s="48">
        <f>P60</f>
        <v>0.15275</v>
      </c>
      <c r="E60" s="48">
        <v>0</v>
      </c>
      <c r="F60" s="48">
        <v>0</v>
      </c>
      <c r="G60" s="48">
        <f>(F60+H60)/2</f>
        <v>0.15275</v>
      </c>
      <c r="H60" s="48">
        <v>0.3055</v>
      </c>
      <c r="I60" s="48">
        <f>(H60+J60)/2</f>
        <v>0.36385</v>
      </c>
      <c r="J60" s="48">
        <v>0.4222</v>
      </c>
      <c r="K60" s="48">
        <v>0.4222</v>
      </c>
      <c r="L60" s="48">
        <v>0.4222</v>
      </c>
      <c r="M60" s="48">
        <f>(L60+N60)/2</f>
        <v>0.36385</v>
      </c>
      <c r="N60" s="48">
        <v>0.3055</v>
      </c>
      <c r="O60" s="48">
        <v>0.3055</v>
      </c>
      <c r="P60" s="48">
        <f>(O60+Q60)/2</f>
        <v>0.15275</v>
      </c>
    </row>
    <row r="61" spans="1:16" ht="12.75" hidden="1">
      <c r="A61"/>
      <c r="B61"/>
      <c r="C61" s="23"/>
      <c r="D61" s="1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9"/>
    </row>
    <row r="62" spans="1:16" ht="12.75" hidden="1">
      <c r="A62" s="24" t="s">
        <v>42</v>
      </c>
      <c r="B62" s="25"/>
      <c r="C62" s="26"/>
      <c r="D62" s="1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9"/>
    </row>
    <row r="63" spans="1:16" ht="12.75" hidden="1">
      <c r="A63" t="s">
        <v>24</v>
      </c>
      <c r="B63"/>
      <c r="C63"/>
      <c r="D63" s="9">
        <f aca="true" t="shared" si="16" ref="D63:J65">ROUND((D$55*D58)*I71,0)+ROUND(($B58*D$56)*I71,0)</f>
        <v>1577451</v>
      </c>
      <c r="E63" s="9">
        <f t="shared" si="16"/>
        <v>1182330</v>
      </c>
      <c r="F63" s="9">
        <f t="shared" si="16"/>
        <v>1221209</v>
      </c>
      <c r="G63" s="9">
        <f t="shared" si="16"/>
        <v>1746939</v>
      </c>
      <c r="H63" s="9">
        <f t="shared" si="16"/>
        <v>5401331</v>
      </c>
      <c r="I63" s="9">
        <f t="shared" si="16"/>
        <v>8134346</v>
      </c>
      <c r="J63" s="9">
        <f t="shared" si="16"/>
        <v>13471627</v>
      </c>
      <c r="K63" s="9">
        <f aca="true" t="shared" si="17" ref="K63:P65">ROUND((K$55*K58)*D71,0)+ROUND(($B58*K$56)*D71,0)</f>
        <v>0</v>
      </c>
      <c r="L63" s="9">
        <f t="shared" si="17"/>
        <v>0</v>
      </c>
      <c r="M63" s="9">
        <f t="shared" si="17"/>
        <v>0</v>
      </c>
      <c r="N63" s="9">
        <f t="shared" si="17"/>
        <v>0</v>
      </c>
      <c r="O63" s="9">
        <f t="shared" si="17"/>
        <v>0</v>
      </c>
      <c r="P63" s="9">
        <f t="shared" si="17"/>
        <v>0</v>
      </c>
    </row>
    <row r="64" spans="1:16" ht="12.75" hidden="1">
      <c r="A64" t="s">
        <v>25</v>
      </c>
      <c r="B64"/>
      <c r="C64"/>
      <c r="D64" s="9">
        <f t="shared" si="16"/>
        <v>153018</v>
      </c>
      <c r="E64" s="9">
        <f t="shared" si="16"/>
        <v>85300</v>
      </c>
      <c r="F64" s="9">
        <f t="shared" si="16"/>
        <v>88520</v>
      </c>
      <c r="G64" s="9">
        <f t="shared" si="16"/>
        <v>181828</v>
      </c>
      <c r="H64" s="9">
        <f t="shared" si="16"/>
        <v>795166</v>
      </c>
      <c r="I64" s="9">
        <f t="shared" si="16"/>
        <v>1423507</v>
      </c>
      <c r="J64" s="9">
        <f t="shared" si="16"/>
        <v>2746681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  <c r="O64" s="9">
        <f t="shared" si="17"/>
        <v>0</v>
      </c>
      <c r="P64" s="9">
        <f t="shared" si="17"/>
        <v>0</v>
      </c>
    </row>
    <row r="65" spans="1:16" ht="12.75" hidden="1">
      <c r="A65" t="s">
        <v>26</v>
      </c>
      <c r="B65"/>
      <c r="C65"/>
      <c r="D65" s="9">
        <f t="shared" si="16"/>
        <v>990</v>
      </c>
      <c r="E65" s="9">
        <f t="shared" si="16"/>
        <v>0</v>
      </c>
      <c r="F65" s="9">
        <f t="shared" si="16"/>
        <v>0</v>
      </c>
      <c r="G65" s="9">
        <f t="shared" si="16"/>
        <v>1411</v>
      </c>
      <c r="H65" s="9">
        <f t="shared" si="16"/>
        <v>9936</v>
      </c>
      <c r="I65" s="9">
        <f t="shared" si="16"/>
        <v>18987</v>
      </c>
      <c r="J65" s="9">
        <f t="shared" si="16"/>
        <v>37396</v>
      </c>
      <c r="K65" s="9">
        <f t="shared" si="17"/>
        <v>0</v>
      </c>
      <c r="L65" s="9">
        <f t="shared" si="17"/>
        <v>0</v>
      </c>
      <c r="M65" s="9">
        <f t="shared" si="17"/>
        <v>0</v>
      </c>
      <c r="N65" s="9">
        <f t="shared" si="17"/>
        <v>0</v>
      </c>
      <c r="O65" s="9">
        <f t="shared" si="17"/>
        <v>0</v>
      </c>
      <c r="P65" s="9">
        <f t="shared" si="17"/>
        <v>0</v>
      </c>
    </row>
    <row r="66" spans="1:16" ht="12.75" hidden="1">
      <c r="A66" t="s">
        <v>44</v>
      </c>
      <c r="B66"/>
      <c r="C66"/>
      <c r="D66" s="15">
        <f aca="true" t="shared" si="18" ref="D66:P66">SUM(D63:D65)</f>
        <v>1731459</v>
      </c>
      <c r="E66" s="15">
        <f t="shared" si="18"/>
        <v>1267630</v>
      </c>
      <c r="F66" s="15">
        <f t="shared" si="18"/>
        <v>1309729</v>
      </c>
      <c r="G66" s="15">
        <f t="shared" si="18"/>
        <v>1930178</v>
      </c>
      <c r="H66" s="15">
        <f t="shared" si="18"/>
        <v>6206433</v>
      </c>
      <c r="I66" s="15">
        <f t="shared" si="18"/>
        <v>9576840</v>
      </c>
      <c r="J66" s="15">
        <f t="shared" si="18"/>
        <v>16255704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 t="shared" si="18"/>
        <v>0</v>
      </c>
      <c r="O66" s="15">
        <f t="shared" si="18"/>
        <v>0</v>
      </c>
      <c r="P66" s="15">
        <f t="shared" si="18"/>
        <v>0</v>
      </c>
    </row>
    <row r="67" spans="1:16" ht="12.75" hidden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 hidden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 hidden="1">
      <c r="A69" s="5" t="s">
        <v>66</v>
      </c>
      <c r="B69"/>
      <c r="C69"/>
      <c r="D69" s="110"/>
      <c r="E69" s="110"/>
      <c r="F69" s="110"/>
      <c r="G69" s="110"/>
      <c r="H69" s="110"/>
      <c r="I69" s="110"/>
      <c r="J69"/>
      <c r="K69"/>
      <c r="L69"/>
      <c r="M69"/>
      <c r="N69"/>
      <c r="O69"/>
      <c r="P69"/>
    </row>
    <row r="70" spans="1:16" ht="12.75" hidden="1">
      <c r="A70" s="5"/>
      <c r="B70" t="s">
        <v>67</v>
      </c>
      <c r="C70" s="31">
        <v>38687</v>
      </c>
      <c r="D70" s="31">
        <v>38718</v>
      </c>
      <c r="E70" s="31">
        <v>38749</v>
      </c>
      <c r="F70" s="31">
        <v>38777</v>
      </c>
      <c r="G70" s="31">
        <v>38808</v>
      </c>
      <c r="H70" s="31">
        <v>38838</v>
      </c>
      <c r="I70" s="31">
        <v>38869</v>
      </c>
      <c r="J70" s="31">
        <v>38899</v>
      </c>
      <c r="K70" s="31">
        <v>38930</v>
      </c>
      <c r="L70" s="31">
        <v>38961</v>
      </c>
      <c r="M70" s="31">
        <v>38991</v>
      </c>
      <c r="N70" s="31">
        <v>39022</v>
      </c>
      <c r="O70" s="31">
        <v>39052</v>
      </c>
      <c r="P70" s="49" t="s">
        <v>68</v>
      </c>
    </row>
    <row r="71" spans="1:16" ht="12.75" hidden="1">
      <c r="A71" t="s">
        <v>69</v>
      </c>
      <c r="B71" s="50" t="s">
        <v>20</v>
      </c>
      <c r="C71" s="9">
        <v>123861</v>
      </c>
      <c r="D71" s="9">
        <v>124155</v>
      </c>
      <c r="E71" s="9">
        <v>124306</v>
      </c>
      <c r="F71" s="9">
        <v>124387</v>
      </c>
      <c r="G71" s="9">
        <v>124402</v>
      </c>
      <c r="H71" s="9">
        <v>124602</v>
      </c>
      <c r="I71" s="9">
        <v>124358</v>
      </c>
      <c r="J71" s="9">
        <v>124482</v>
      </c>
      <c r="K71" s="9">
        <v>124715</v>
      </c>
      <c r="L71" s="9">
        <v>125061</v>
      </c>
      <c r="M71" s="9">
        <v>125868</v>
      </c>
      <c r="N71" s="9">
        <v>126533</v>
      </c>
      <c r="O71" s="9">
        <v>127078</v>
      </c>
      <c r="P71" s="9">
        <f>SUM(D71:O71)</f>
        <v>1499947</v>
      </c>
    </row>
    <row r="72" spans="1:16" ht="12.75" hidden="1">
      <c r="A72" t="s">
        <v>70</v>
      </c>
      <c r="B72" s="50" t="s">
        <v>21</v>
      </c>
      <c r="C72" s="9">
        <v>11283</v>
      </c>
      <c r="D72" s="9">
        <v>11239</v>
      </c>
      <c r="E72" s="9">
        <v>11279</v>
      </c>
      <c r="F72" s="9">
        <v>11289</v>
      </c>
      <c r="G72" s="9">
        <v>11260</v>
      </c>
      <c r="H72" s="9">
        <v>11225</v>
      </c>
      <c r="I72" s="9">
        <v>11247</v>
      </c>
      <c r="J72" s="9">
        <v>11226</v>
      </c>
      <c r="K72" s="9">
        <v>11300</v>
      </c>
      <c r="L72" s="9">
        <v>11291</v>
      </c>
      <c r="M72" s="9">
        <v>11323</v>
      </c>
      <c r="N72" s="9">
        <v>11388</v>
      </c>
      <c r="O72" s="9">
        <v>11474</v>
      </c>
      <c r="P72" s="9">
        <f>SUM(D72:O72)</f>
        <v>135541</v>
      </c>
    </row>
    <row r="73" spans="1:16" ht="12.75" hidden="1">
      <c r="A73" t="s">
        <v>71</v>
      </c>
      <c r="B73" s="50" t="s">
        <v>38</v>
      </c>
      <c r="C73" s="9">
        <v>92</v>
      </c>
      <c r="D73" s="9">
        <v>94</v>
      </c>
      <c r="E73" s="9">
        <v>92</v>
      </c>
      <c r="F73" s="9">
        <v>91</v>
      </c>
      <c r="G73" s="9">
        <v>91</v>
      </c>
      <c r="H73" s="9">
        <v>88</v>
      </c>
      <c r="I73" s="9">
        <v>91</v>
      </c>
      <c r="J73" s="9">
        <v>91</v>
      </c>
      <c r="K73" s="9">
        <v>90</v>
      </c>
      <c r="L73" s="9">
        <v>91</v>
      </c>
      <c r="M73" s="9">
        <v>88</v>
      </c>
      <c r="N73" s="9">
        <v>92</v>
      </c>
      <c r="O73" s="9">
        <v>93</v>
      </c>
      <c r="P73" s="9">
        <f>SUM(D73:O73)</f>
        <v>1092</v>
      </c>
    </row>
    <row r="74" spans="1:16" ht="12.75" hidden="1">
      <c r="A74" t="s">
        <v>72</v>
      </c>
      <c r="B74" s="50" t="s">
        <v>39</v>
      </c>
      <c r="C74" s="9"/>
      <c r="D74" s="9">
        <v>22</v>
      </c>
      <c r="E74" s="9">
        <v>22</v>
      </c>
      <c r="F74" s="9">
        <v>22</v>
      </c>
      <c r="G74" s="9">
        <v>22</v>
      </c>
      <c r="H74" s="9">
        <v>23</v>
      </c>
      <c r="I74" s="9">
        <v>23</v>
      </c>
      <c r="J74" s="9">
        <v>23</v>
      </c>
      <c r="K74" s="9">
        <v>23</v>
      </c>
      <c r="L74" s="9">
        <v>23</v>
      </c>
      <c r="M74" s="9">
        <v>23</v>
      </c>
      <c r="N74" s="9">
        <v>23</v>
      </c>
      <c r="O74" s="9">
        <v>22</v>
      </c>
      <c r="P74" s="9">
        <f>SUM(D74:O74)</f>
        <v>271</v>
      </c>
    </row>
    <row r="75" spans="1:16" ht="12.75" hidden="1">
      <c r="A75" t="s">
        <v>44</v>
      </c>
      <c r="B75"/>
      <c r="C75"/>
      <c r="D75" s="10">
        <f aca="true" t="shared" si="19" ref="D75:P75">SUM(D71:D74)</f>
        <v>135510</v>
      </c>
      <c r="E75" s="10">
        <f t="shared" si="19"/>
        <v>135699</v>
      </c>
      <c r="F75" s="10">
        <f t="shared" si="19"/>
        <v>135789</v>
      </c>
      <c r="G75" s="10">
        <f t="shared" si="19"/>
        <v>135775</v>
      </c>
      <c r="H75" s="10">
        <f t="shared" si="19"/>
        <v>135938</v>
      </c>
      <c r="I75" s="10">
        <f t="shared" si="19"/>
        <v>135719</v>
      </c>
      <c r="J75" s="10">
        <f t="shared" si="19"/>
        <v>135822</v>
      </c>
      <c r="K75" s="10">
        <f t="shared" si="19"/>
        <v>136128</v>
      </c>
      <c r="L75" s="10">
        <f t="shared" si="19"/>
        <v>136466</v>
      </c>
      <c r="M75" s="10">
        <f t="shared" si="19"/>
        <v>137302</v>
      </c>
      <c r="N75" s="10">
        <f t="shared" si="19"/>
        <v>138036</v>
      </c>
      <c r="O75" s="10">
        <f t="shared" si="19"/>
        <v>138667</v>
      </c>
      <c r="P75" s="10">
        <f t="shared" si="19"/>
        <v>1636851</v>
      </c>
    </row>
    <row r="76" ht="12.75" hidden="1"/>
    <row r="77" ht="12.75" hidden="1"/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ht="12.75">
      <c r="A79" s="32" t="s">
        <v>88</v>
      </c>
    </row>
    <row r="80" spans="1:16" ht="12.75">
      <c r="A80" s="24" t="s">
        <v>35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2.75">
      <c r="A81"/>
      <c r="B81"/>
      <c r="C81"/>
      <c r="D81" s="27">
        <v>39814</v>
      </c>
      <c r="E81" s="27">
        <v>39845</v>
      </c>
      <c r="F81" s="27">
        <v>39873</v>
      </c>
      <c r="G81" s="27">
        <v>39904</v>
      </c>
      <c r="H81" s="27">
        <v>39934</v>
      </c>
      <c r="I81" s="27">
        <v>39965</v>
      </c>
      <c r="J81" s="27">
        <v>39995</v>
      </c>
      <c r="K81" s="27">
        <v>40026</v>
      </c>
      <c r="L81" s="27">
        <v>40057</v>
      </c>
      <c r="M81" s="27">
        <v>40087</v>
      </c>
      <c r="N81" s="27">
        <v>40118</v>
      </c>
      <c r="O81" s="27">
        <v>40148</v>
      </c>
      <c r="P81" s="26" t="s">
        <v>36</v>
      </c>
    </row>
    <row r="82" spans="1:16" ht="12.75">
      <c r="A82" s="2" t="s">
        <v>16</v>
      </c>
      <c r="D82" s="6">
        <v>1105</v>
      </c>
      <c r="E82" s="6">
        <v>912</v>
      </c>
      <c r="F82" s="6">
        <v>768</v>
      </c>
      <c r="G82" s="6">
        <v>536</v>
      </c>
      <c r="H82" s="6">
        <v>324</v>
      </c>
      <c r="I82" s="6">
        <v>139</v>
      </c>
      <c r="J82" s="6">
        <v>37</v>
      </c>
      <c r="K82" s="6">
        <v>34</v>
      </c>
      <c r="L82" s="6">
        <v>189</v>
      </c>
      <c r="M82" s="6">
        <v>543</v>
      </c>
      <c r="N82" s="6">
        <v>894</v>
      </c>
      <c r="O82" s="6">
        <v>1171</v>
      </c>
      <c r="P82" s="3">
        <f>SUM(D82:O82)</f>
        <v>6652</v>
      </c>
    </row>
    <row r="83" spans="1:16" ht="12.75">
      <c r="A83" s="45" t="s">
        <v>17</v>
      </c>
      <c r="B83"/>
      <c r="C83"/>
      <c r="D83" s="115">
        <v>1204</v>
      </c>
      <c r="E83" s="115">
        <v>957</v>
      </c>
      <c r="F83" s="115">
        <v>936</v>
      </c>
      <c r="G83" s="8">
        <v>536</v>
      </c>
      <c r="H83" s="8">
        <v>324</v>
      </c>
      <c r="I83" s="8">
        <v>139</v>
      </c>
      <c r="J83" s="8">
        <v>37</v>
      </c>
      <c r="K83" s="8">
        <v>34</v>
      </c>
      <c r="L83" s="8">
        <v>189</v>
      </c>
      <c r="M83" s="8">
        <v>543</v>
      </c>
      <c r="N83" s="8">
        <v>894</v>
      </c>
      <c r="O83" s="8">
        <v>1171</v>
      </c>
      <c r="P83" s="3">
        <f>SUM(D83:O83)</f>
        <v>6964</v>
      </c>
    </row>
    <row r="84" spans="1:16" ht="12.75">
      <c r="A84" s="5" t="s">
        <v>37</v>
      </c>
      <c r="B84"/>
      <c r="C84"/>
      <c r="D84" s="10">
        <f aca="true" t="shared" si="20" ref="D84:P84">D82-D83</f>
        <v>-99</v>
      </c>
      <c r="E84" s="10">
        <f t="shared" si="20"/>
        <v>-45</v>
      </c>
      <c r="F84" s="10">
        <f t="shared" si="20"/>
        <v>-168</v>
      </c>
      <c r="G84" s="10">
        <f t="shared" si="20"/>
        <v>0</v>
      </c>
      <c r="H84" s="10">
        <f t="shared" si="20"/>
        <v>0</v>
      </c>
      <c r="I84" s="10">
        <f t="shared" si="20"/>
        <v>0</v>
      </c>
      <c r="J84" s="10">
        <f t="shared" si="20"/>
        <v>0</v>
      </c>
      <c r="K84" s="10">
        <f t="shared" si="20"/>
        <v>0</v>
      </c>
      <c r="L84" s="10">
        <f t="shared" si="20"/>
        <v>0</v>
      </c>
      <c r="M84" s="10">
        <f t="shared" si="20"/>
        <v>0</v>
      </c>
      <c r="N84" s="10">
        <f t="shared" si="20"/>
        <v>0</v>
      </c>
      <c r="O84" s="10">
        <f t="shared" si="20"/>
        <v>0</v>
      </c>
      <c r="P84" s="10">
        <f t="shared" si="20"/>
        <v>-312</v>
      </c>
    </row>
    <row r="85" spans="1:16" ht="12.75">
      <c r="A85" s="5"/>
      <c r="B85" s="25"/>
      <c r="C85" s="46" t="s">
        <v>64</v>
      </c>
      <c r="D85" s="8"/>
      <c r="E85" s="115"/>
      <c r="F85" s="115"/>
      <c r="G85" s="115"/>
      <c r="H85" s="115"/>
      <c r="I85" s="115"/>
      <c r="J85" s="110"/>
      <c r="K85"/>
      <c r="L85"/>
      <c r="M85"/>
      <c r="N85"/>
      <c r="O85"/>
      <c r="P85"/>
    </row>
    <row r="86" spans="1:16" ht="12.75">
      <c r="A86" t="s">
        <v>24</v>
      </c>
      <c r="B86"/>
      <c r="C86" s="26" t="s">
        <v>82</v>
      </c>
      <c r="D86" s="48">
        <v>0.1005</v>
      </c>
      <c r="E86" s="116">
        <v>0.1005</v>
      </c>
      <c r="F86" s="116">
        <v>0.1005</v>
      </c>
      <c r="G86" s="116">
        <v>0.0896</v>
      </c>
      <c r="H86" s="116">
        <v>0.0896</v>
      </c>
      <c r="I86" s="116">
        <v>0.0896</v>
      </c>
      <c r="J86" s="116">
        <v>0</v>
      </c>
      <c r="K86" s="48">
        <v>0</v>
      </c>
      <c r="L86" s="48">
        <v>0</v>
      </c>
      <c r="M86" s="48">
        <v>0.0896</v>
      </c>
      <c r="N86" s="48">
        <v>0.0896</v>
      </c>
      <c r="O86" s="48">
        <v>0.1005</v>
      </c>
      <c r="P86"/>
    </row>
    <row r="87" spans="1:16" ht="12.75">
      <c r="A87" t="s">
        <v>25</v>
      </c>
      <c r="B87"/>
      <c r="C87" s="26" t="s">
        <v>82</v>
      </c>
      <c r="D87" s="48">
        <v>0.2427</v>
      </c>
      <c r="E87" s="48">
        <v>0.2427</v>
      </c>
      <c r="F87" s="48">
        <v>0.2427</v>
      </c>
      <c r="G87" s="48">
        <v>0.1688</v>
      </c>
      <c r="H87" s="48">
        <v>0.1688</v>
      </c>
      <c r="I87" s="48">
        <v>0.1688</v>
      </c>
      <c r="J87" s="48">
        <v>0</v>
      </c>
      <c r="K87" s="48">
        <v>0</v>
      </c>
      <c r="L87" s="48">
        <v>0</v>
      </c>
      <c r="M87" s="48">
        <v>0.1688</v>
      </c>
      <c r="N87" s="48">
        <v>0.1688</v>
      </c>
      <c r="O87" s="48">
        <v>0.2427</v>
      </c>
      <c r="P87"/>
    </row>
    <row r="88" spans="1:16" ht="12.75">
      <c r="A88" t="s">
        <v>26</v>
      </c>
      <c r="B88"/>
      <c r="C88" s="26" t="s">
        <v>82</v>
      </c>
      <c r="D88" s="48">
        <v>0.4222</v>
      </c>
      <c r="E88" s="48">
        <v>0.4222</v>
      </c>
      <c r="F88" s="48">
        <v>0.4222</v>
      </c>
      <c r="G88" s="48">
        <v>0.3055</v>
      </c>
      <c r="H88" s="48">
        <v>0.3055</v>
      </c>
      <c r="I88" s="48">
        <v>0.3055</v>
      </c>
      <c r="J88" s="48">
        <v>0</v>
      </c>
      <c r="K88" s="48">
        <v>0</v>
      </c>
      <c r="L88" s="48">
        <v>0</v>
      </c>
      <c r="M88" s="48">
        <v>0.3055</v>
      </c>
      <c r="N88" s="48">
        <v>0.3055</v>
      </c>
      <c r="O88" s="48">
        <v>0.4222</v>
      </c>
      <c r="P88"/>
    </row>
    <row r="89" spans="1:16" ht="12.75">
      <c r="A89"/>
      <c r="B89" s="23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2.75">
      <c r="A90" s="24" t="s">
        <v>42</v>
      </c>
      <c r="B90" s="23"/>
      <c r="C90" s="23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2.75">
      <c r="A91" t="s">
        <v>24</v>
      </c>
      <c r="B91"/>
      <c r="C91"/>
      <c r="D91" s="9">
        <f>ROUND(D$84*D86*D115,0)</f>
        <v>-1266432</v>
      </c>
      <c r="E91" s="9">
        <f aca="true" t="shared" si="21" ref="E91:O91">ROUND(E$84*E86*E115,0)</f>
        <v>-576804</v>
      </c>
      <c r="F91" s="9">
        <f t="shared" si="21"/>
        <v>-2152541</v>
      </c>
      <c r="G91" s="9">
        <f t="shared" si="21"/>
        <v>0</v>
      </c>
      <c r="H91" s="9">
        <f t="shared" si="21"/>
        <v>0</v>
      </c>
      <c r="I91" s="9">
        <f t="shared" si="21"/>
        <v>0</v>
      </c>
      <c r="J91" s="9">
        <f t="shared" si="21"/>
        <v>0</v>
      </c>
      <c r="K91" s="9">
        <f t="shared" si="21"/>
        <v>0</v>
      </c>
      <c r="L91" s="9">
        <f t="shared" si="21"/>
        <v>0</v>
      </c>
      <c r="M91" s="9">
        <f t="shared" si="21"/>
        <v>0</v>
      </c>
      <c r="N91" s="9">
        <f t="shared" si="21"/>
        <v>0</v>
      </c>
      <c r="O91" s="9">
        <f t="shared" si="21"/>
        <v>0</v>
      </c>
      <c r="P91" s="9">
        <f>SUM(D91:O91)</f>
        <v>-3995777</v>
      </c>
    </row>
    <row r="92" spans="1:16" ht="12.75">
      <c r="A92" t="s">
        <v>25</v>
      </c>
      <c r="B92"/>
      <c r="C92"/>
      <c r="D92" s="9">
        <f aca="true" t="shared" si="22" ref="D92:O92">ROUND(D$84*D87*D116,0)</f>
        <v>-274151</v>
      </c>
      <c r="E92" s="9">
        <f t="shared" si="22"/>
        <v>-126121</v>
      </c>
      <c r="F92" s="9">
        <f t="shared" si="22"/>
        <v>-466858</v>
      </c>
      <c r="G92" s="9">
        <f t="shared" si="22"/>
        <v>0</v>
      </c>
      <c r="H92" s="9">
        <f t="shared" si="22"/>
        <v>0</v>
      </c>
      <c r="I92" s="9">
        <f t="shared" si="22"/>
        <v>0</v>
      </c>
      <c r="J92" s="9">
        <f t="shared" si="22"/>
        <v>0</v>
      </c>
      <c r="K92" s="9">
        <f t="shared" si="22"/>
        <v>0</v>
      </c>
      <c r="L92" s="9">
        <f t="shared" si="22"/>
        <v>0</v>
      </c>
      <c r="M92" s="9">
        <f t="shared" si="22"/>
        <v>0</v>
      </c>
      <c r="N92" s="9">
        <f t="shared" si="22"/>
        <v>0</v>
      </c>
      <c r="O92" s="9">
        <f t="shared" si="22"/>
        <v>0</v>
      </c>
      <c r="P92" s="9">
        <f>SUM(D92:O92)</f>
        <v>-867130</v>
      </c>
    </row>
    <row r="93" spans="1:16" ht="12.75">
      <c r="A93" t="s">
        <v>26</v>
      </c>
      <c r="B93"/>
      <c r="C93"/>
      <c r="D93" s="9">
        <f aca="true" t="shared" si="23" ref="D93:O93">ROUND(D$84*D88*D117,0)</f>
        <v>-3595</v>
      </c>
      <c r="E93" s="9">
        <f t="shared" si="23"/>
        <v>-1862</v>
      </c>
      <c r="F93" s="9">
        <f t="shared" si="23"/>
        <v>-6526</v>
      </c>
      <c r="G93" s="9">
        <f t="shared" si="23"/>
        <v>0</v>
      </c>
      <c r="H93" s="9">
        <f t="shared" si="23"/>
        <v>0</v>
      </c>
      <c r="I93" s="9">
        <f t="shared" si="23"/>
        <v>0</v>
      </c>
      <c r="J93" s="9">
        <f t="shared" si="23"/>
        <v>0</v>
      </c>
      <c r="K93" s="9">
        <f t="shared" si="23"/>
        <v>0</v>
      </c>
      <c r="L93" s="9">
        <f t="shared" si="23"/>
        <v>0</v>
      </c>
      <c r="M93" s="9">
        <f t="shared" si="23"/>
        <v>0</v>
      </c>
      <c r="N93" s="9">
        <f t="shared" si="23"/>
        <v>0</v>
      </c>
      <c r="O93" s="9">
        <f t="shared" si="23"/>
        <v>0</v>
      </c>
      <c r="P93" s="9">
        <f>SUM(D93:O93)</f>
        <v>-11983</v>
      </c>
    </row>
    <row r="94" spans="1:16" ht="12.75">
      <c r="A94" t="s">
        <v>43</v>
      </c>
      <c r="B94"/>
      <c r="C94"/>
      <c r="D94" s="15">
        <f aca="true" t="shared" si="24" ref="D94:P94">SUM(D91:D93)</f>
        <v>-1544178</v>
      </c>
      <c r="E94" s="15">
        <f t="shared" si="24"/>
        <v>-704787</v>
      </c>
      <c r="F94" s="15">
        <f t="shared" si="24"/>
        <v>-2625925</v>
      </c>
      <c r="G94" s="15">
        <f t="shared" si="24"/>
        <v>0</v>
      </c>
      <c r="H94" s="15">
        <f t="shared" si="24"/>
        <v>0</v>
      </c>
      <c r="I94" s="15">
        <f t="shared" si="24"/>
        <v>0</v>
      </c>
      <c r="J94" s="15">
        <f t="shared" si="24"/>
        <v>0</v>
      </c>
      <c r="K94" s="15">
        <f t="shared" si="24"/>
        <v>0</v>
      </c>
      <c r="L94" s="15">
        <f t="shared" si="24"/>
        <v>0</v>
      </c>
      <c r="M94" s="15">
        <f t="shared" si="24"/>
        <v>0</v>
      </c>
      <c r="N94" s="15">
        <f t="shared" si="24"/>
        <v>0</v>
      </c>
      <c r="O94" s="15">
        <f t="shared" si="24"/>
        <v>0</v>
      </c>
      <c r="P94" s="15">
        <f t="shared" si="24"/>
        <v>-4874890</v>
      </c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 s="24" t="s">
        <v>45</v>
      </c>
      <c r="B97"/>
      <c r="C97"/>
      <c r="D97" s="16"/>
      <c r="E97"/>
      <c r="F97"/>
      <c r="G97"/>
      <c r="H97"/>
      <c r="I97"/>
      <c r="J97"/>
      <c r="K97"/>
      <c r="L97"/>
      <c r="M97"/>
      <c r="N97"/>
      <c r="O97"/>
      <c r="P97"/>
    </row>
    <row r="98" spans="1:16" ht="12.75">
      <c r="A98" s="12"/>
      <c r="B98"/>
      <c r="C98"/>
      <c r="D98" s="31">
        <v>39783</v>
      </c>
      <c r="E98" s="31">
        <v>39814</v>
      </c>
      <c r="F98" s="31">
        <v>39845</v>
      </c>
      <c r="G98" s="31">
        <v>39873</v>
      </c>
      <c r="H98" s="31">
        <v>39904</v>
      </c>
      <c r="I98" s="31">
        <v>39934</v>
      </c>
      <c r="J98" s="31">
        <v>39965</v>
      </c>
      <c r="K98" s="31">
        <v>39995</v>
      </c>
      <c r="L98" s="31">
        <v>40026</v>
      </c>
      <c r="M98" s="31">
        <v>40057</v>
      </c>
      <c r="N98" s="31">
        <v>40087</v>
      </c>
      <c r="O98" s="31">
        <v>40118</v>
      </c>
      <c r="P98" s="31">
        <v>40148</v>
      </c>
    </row>
    <row r="99" spans="1:16" ht="12.75">
      <c r="A99" t="s">
        <v>83</v>
      </c>
      <c r="B99"/>
      <c r="C99"/>
      <c r="D99" s="109">
        <v>952.4</v>
      </c>
      <c r="E99" s="117">
        <v>740.5</v>
      </c>
      <c r="F99" s="118">
        <v>571.1</v>
      </c>
      <c r="G99" s="117">
        <v>535.7</v>
      </c>
      <c r="H99" s="54">
        <v>0</v>
      </c>
      <c r="I99" s="54">
        <v>0</v>
      </c>
      <c r="J99" s="56">
        <v>0</v>
      </c>
      <c r="K99" s="66"/>
      <c r="L99" s="45"/>
      <c r="M99" s="66"/>
      <c r="N99" s="45"/>
      <c r="O99" s="66"/>
      <c r="P99" s="65"/>
    </row>
    <row r="100" spans="1:16" ht="12.75">
      <c r="A100" t="s">
        <v>84</v>
      </c>
      <c r="B100"/>
      <c r="C100"/>
      <c r="D100" s="114">
        <v>0.6863</v>
      </c>
      <c r="E100" s="119">
        <v>0.5975</v>
      </c>
      <c r="F100" s="119">
        <v>0.6062</v>
      </c>
      <c r="G100" s="119">
        <v>0.6011</v>
      </c>
      <c r="H100" s="57">
        <v>0</v>
      </c>
      <c r="I100" s="57">
        <v>0</v>
      </c>
      <c r="J100" s="58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8">
        <v>0</v>
      </c>
    </row>
    <row r="101" spans="1:16" ht="12.75">
      <c r="A101" s="5"/>
      <c r="B101" s="25" t="s">
        <v>85</v>
      </c>
      <c r="C101" s="46" t="s">
        <v>64</v>
      </c>
      <c r="D101" s="18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9"/>
    </row>
    <row r="102" spans="1:16" ht="12.75">
      <c r="A102" t="s">
        <v>24</v>
      </c>
      <c r="B102" s="43">
        <v>15</v>
      </c>
      <c r="C102" s="26" t="s">
        <v>82</v>
      </c>
      <c r="D102" s="48">
        <v>0.1005</v>
      </c>
      <c r="E102" s="48">
        <v>0.1005</v>
      </c>
      <c r="F102" s="48">
        <v>0.1005</v>
      </c>
      <c r="G102" s="48">
        <f>(F102+H102)/2</f>
        <v>0.09505</v>
      </c>
      <c r="H102" s="48">
        <v>0.0896</v>
      </c>
      <c r="I102" s="48">
        <v>0.0896</v>
      </c>
      <c r="J102" s="48">
        <f>(I102+K102)/2</f>
        <v>0.0448</v>
      </c>
      <c r="K102" s="48">
        <v>0</v>
      </c>
      <c r="L102" s="48">
        <v>0</v>
      </c>
      <c r="M102" s="48">
        <f>(L102+N102)/2</f>
        <v>0.0448</v>
      </c>
      <c r="N102" s="48">
        <v>0.0896</v>
      </c>
      <c r="O102" s="48">
        <f>(N102+P102)/2</f>
        <v>0.09505</v>
      </c>
      <c r="P102" s="48">
        <v>0.1005</v>
      </c>
    </row>
    <row r="103" spans="1:16" ht="12.75">
      <c r="A103" t="s">
        <v>25</v>
      </c>
      <c r="B103" s="43">
        <v>12</v>
      </c>
      <c r="C103" s="26" t="s">
        <v>82</v>
      </c>
      <c r="D103" s="48">
        <v>0.2427</v>
      </c>
      <c r="E103" s="48">
        <v>0.2427</v>
      </c>
      <c r="F103" s="48">
        <v>0.2427</v>
      </c>
      <c r="G103" s="48">
        <f>(F103+H103)/2</f>
        <v>0.20575</v>
      </c>
      <c r="H103" s="48">
        <v>0.1688</v>
      </c>
      <c r="I103" s="48">
        <v>0.1688</v>
      </c>
      <c r="J103" s="48">
        <f>(I103+K103)/2</f>
        <v>0.0844</v>
      </c>
      <c r="K103" s="48">
        <v>0</v>
      </c>
      <c r="L103" s="48">
        <v>0</v>
      </c>
      <c r="M103" s="48">
        <f>(L103+N103)/2</f>
        <v>0.0844</v>
      </c>
      <c r="N103" s="48">
        <v>0.1688</v>
      </c>
      <c r="O103" s="48">
        <f>(N103+P103)/2</f>
        <v>0.20575</v>
      </c>
      <c r="P103" s="48">
        <v>0.2427</v>
      </c>
    </row>
    <row r="104" spans="1:16" ht="12.75">
      <c r="A104" t="s">
        <v>26</v>
      </c>
      <c r="B104" s="43">
        <v>0</v>
      </c>
      <c r="C104" s="26" t="s">
        <v>82</v>
      </c>
      <c r="D104" s="48">
        <v>0.4222</v>
      </c>
      <c r="E104" s="48">
        <v>0.4222</v>
      </c>
      <c r="F104" s="48">
        <v>0.4222</v>
      </c>
      <c r="G104" s="48">
        <f>(F104+H104)/2</f>
        <v>0.36385</v>
      </c>
      <c r="H104" s="48">
        <v>0.3055</v>
      </c>
      <c r="I104" s="48">
        <v>0.3055</v>
      </c>
      <c r="J104" s="48">
        <f>(I104+K104)/2</f>
        <v>0.15275</v>
      </c>
      <c r="K104" s="48">
        <v>0</v>
      </c>
      <c r="L104" s="48">
        <v>0</v>
      </c>
      <c r="M104" s="48">
        <f>(L104+N104)/2</f>
        <v>0.15275</v>
      </c>
      <c r="N104" s="48">
        <v>0.3055</v>
      </c>
      <c r="O104" s="48">
        <f>(N104+P104)/2</f>
        <v>0.36385</v>
      </c>
      <c r="P104" s="48">
        <v>0.4222</v>
      </c>
    </row>
    <row r="105" spans="1:16" ht="12.75">
      <c r="A105"/>
      <c r="B105"/>
      <c r="C105" s="23"/>
      <c r="D105" s="18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9"/>
    </row>
    <row r="106" spans="1:16" ht="12.75">
      <c r="A106" s="24" t="s">
        <v>42</v>
      </c>
      <c r="B106" s="25"/>
      <c r="C106" s="26"/>
      <c r="D106" s="18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9"/>
    </row>
    <row r="107" spans="1:16" ht="12.75">
      <c r="A107" t="s">
        <v>24</v>
      </c>
      <c r="B107"/>
      <c r="C107"/>
      <c r="D107" s="9">
        <f>ROUND((D$99*D102)*C115,0)+ROUND(($B102*D$100)*C115,0)</f>
        <v>13471627</v>
      </c>
      <c r="E107" s="9">
        <f>ROUND((E$99*E102)*D115,0)+ROUND(($B102*E$100)*D115,0)</f>
        <v>10613457</v>
      </c>
      <c r="F107" s="9">
        <f aca="true" t="shared" si="25" ref="F107:P107">ROUND((F$99*F102)*E115,0)+ROUND(($B102*F$100)*E115,0)</f>
        <v>8480016</v>
      </c>
      <c r="G107" s="9">
        <f t="shared" si="25"/>
        <v>7641086</v>
      </c>
      <c r="H107" s="9">
        <f t="shared" si="25"/>
        <v>0</v>
      </c>
      <c r="I107" s="9">
        <f t="shared" si="25"/>
        <v>0</v>
      </c>
      <c r="J107" s="9">
        <f t="shared" si="25"/>
        <v>0</v>
      </c>
      <c r="K107" s="9">
        <f t="shared" si="25"/>
        <v>0</v>
      </c>
      <c r="L107" s="9">
        <f t="shared" si="25"/>
        <v>0</v>
      </c>
      <c r="M107" s="9">
        <f t="shared" si="25"/>
        <v>0</v>
      </c>
      <c r="N107" s="9">
        <f t="shared" si="25"/>
        <v>0</v>
      </c>
      <c r="O107" s="9">
        <f t="shared" si="25"/>
        <v>0</v>
      </c>
      <c r="P107" s="9">
        <f t="shared" si="25"/>
        <v>0</v>
      </c>
    </row>
    <row r="108" spans="1:16" ht="12.75">
      <c r="A108" t="s">
        <v>25</v>
      </c>
      <c r="B108"/>
      <c r="C108"/>
      <c r="D108" s="9">
        <f>ROUND((D$99*D103)*C116,0)+ROUND(($B103*D$100)*C116,0)</f>
        <v>2746681</v>
      </c>
      <c r="E108" s="9">
        <f aca="true" t="shared" si="26" ref="E108:P108">ROUND((E$99*E103)*D116,0)+ROUND(($B103*E$100)*D116,0)</f>
        <v>2132408</v>
      </c>
      <c r="F108" s="9">
        <f t="shared" si="26"/>
        <v>1684627</v>
      </c>
      <c r="G108" s="9">
        <f t="shared" si="26"/>
        <v>1344613</v>
      </c>
      <c r="H108" s="9">
        <f t="shared" si="26"/>
        <v>0</v>
      </c>
      <c r="I108" s="9">
        <f t="shared" si="26"/>
        <v>0</v>
      </c>
      <c r="J108" s="9">
        <f t="shared" si="26"/>
        <v>0</v>
      </c>
      <c r="K108" s="9">
        <f t="shared" si="26"/>
        <v>0</v>
      </c>
      <c r="L108" s="9">
        <f t="shared" si="26"/>
        <v>0</v>
      </c>
      <c r="M108" s="9">
        <f t="shared" si="26"/>
        <v>0</v>
      </c>
      <c r="N108" s="9">
        <f t="shared" si="26"/>
        <v>0</v>
      </c>
      <c r="O108" s="9">
        <f t="shared" si="26"/>
        <v>0</v>
      </c>
      <c r="P108" s="9">
        <f t="shared" si="26"/>
        <v>0</v>
      </c>
    </row>
    <row r="109" spans="1:16" ht="12.75">
      <c r="A109" t="s">
        <v>26</v>
      </c>
      <c r="B109"/>
      <c r="C109"/>
      <c r="D109" s="9">
        <f>ROUND((D$99*D104)*C117,0)+ROUND(($B104*D$100)*C117,0)</f>
        <v>37396</v>
      </c>
      <c r="E109" s="9">
        <f aca="true" t="shared" si="27" ref="E109:P109">ROUND((E$99*E104)*D117,0)+ROUND(($B104*E$100)*D117,0)</f>
        <v>26887</v>
      </c>
      <c r="F109" s="9">
        <f t="shared" si="27"/>
        <v>23630</v>
      </c>
      <c r="G109" s="9">
        <f t="shared" si="27"/>
        <v>17932</v>
      </c>
      <c r="H109" s="9">
        <f t="shared" si="27"/>
        <v>0</v>
      </c>
      <c r="I109" s="9">
        <f t="shared" si="27"/>
        <v>0</v>
      </c>
      <c r="J109" s="9">
        <f t="shared" si="27"/>
        <v>0</v>
      </c>
      <c r="K109" s="9">
        <f t="shared" si="27"/>
        <v>0</v>
      </c>
      <c r="L109" s="9">
        <f t="shared" si="27"/>
        <v>0</v>
      </c>
      <c r="M109" s="9">
        <f t="shared" si="27"/>
        <v>0</v>
      </c>
      <c r="N109" s="9">
        <f t="shared" si="27"/>
        <v>0</v>
      </c>
      <c r="O109" s="9">
        <f t="shared" si="27"/>
        <v>0</v>
      </c>
      <c r="P109" s="9">
        <f t="shared" si="27"/>
        <v>0</v>
      </c>
    </row>
    <row r="110" spans="1:16" ht="12.75">
      <c r="A110" t="s">
        <v>44</v>
      </c>
      <c r="B110"/>
      <c r="C110"/>
      <c r="D110" s="15">
        <f aca="true" t="shared" si="28" ref="D110:P110">SUM(D107:D109)</f>
        <v>16255704</v>
      </c>
      <c r="E110" s="15">
        <f t="shared" si="28"/>
        <v>12772752</v>
      </c>
      <c r="F110" s="15">
        <f t="shared" si="28"/>
        <v>10188273</v>
      </c>
      <c r="G110" s="15">
        <f t="shared" si="28"/>
        <v>9003631</v>
      </c>
      <c r="H110" s="15">
        <f t="shared" si="28"/>
        <v>0</v>
      </c>
      <c r="I110" s="15">
        <f t="shared" si="28"/>
        <v>0</v>
      </c>
      <c r="J110" s="15">
        <f t="shared" si="28"/>
        <v>0</v>
      </c>
      <c r="K110" s="15">
        <f t="shared" si="28"/>
        <v>0</v>
      </c>
      <c r="L110" s="15">
        <f t="shared" si="28"/>
        <v>0</v>
      </c>
      <c r="M110" s="15">
        <f t="shared" si="28"/>
        <v>0</v>
      </c>
      <c r="N110" s="15">
        <f t="shared" si="28"/>
        <v>0</v>
      </c>
      <c r="O110" s="15">
        <f t="shared" si="28"/>
        <v>0</v>
      </c>
      <c r="P110" s="15">
        <f t="shared" si="28"/>
        <v>0</v>
      </c>
    </row>
    <row r="111" spans="1:1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2.75">
      <c r="A113" s="5" t="s">
        <v>66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2.75">
      <c r="A114" s="5"/>
      <c r="B114" t="s">
        <v>67</v>
      </c>
      <c r="C114" s="31">
        <v>39052</v>
      </c>
      <c r="D114" s="31">
        <v>39083</v>
      </c>
      <c r="E114" s="31">
        <v>39114</v>
      </c>
      <c r="F114" s="31">
        <v>39142</v>
      </c>
      <c r="G114" s="31">
        <v>39173</v>
      </c>
      <c r="H114" s="31">
        <v>39203</v>
      </c>
      <c r="I114" s="31">
        <v>39234</v>
      </c>
      <c r="J114" s="31">
        <v>39264</v>
      </c>
      <c r="K114" s="31">
        <v>39295</v>
      </c>
      <c r="L114" s="31">
        <v>39326</v>
      </c>
      <c r="M114" s="31">
        <v>39356</v>
      </c>
      <c r="N114" s="31">
        <v>39387</v>
      </c>
      <c r="O114" s="31">
        <v>39417</v>
      </c>
      <c r="P114" s="49" t="s">
        <v>86</v>
      </c>
    </row>
    <row r="115" spans="1:16" ht="12.75">
      <c r="A115" t="s">
        <v>69</v>
      </c>
      <c r="B115" s="50" t="s">
        <v>20</v>
      </c>
      <c r="C115" s="9">
        <v>127078</v>
      </c>
      <c r="D115" s="9">
        <v>127286</v>
      </c>
      <c r="E115" s="9">
        <v>127541</v>
      </c>
      <c r="F115" s="9">
        <v>127490</v>
      </c>
      <c r="G115" s="9">
        <v>127528</v>
      </c>
      <c r="H115" s="9">
        <v>127415</v>
      </c>
      <c r="I115" s="9">
        <v>127215</v>
      </c>
      <c r="J115" s="9">
        <v>127256</v>
      </c>
      <c r="K115" s="9">
        <v>127482</v>
      </c>
      <c r="L115" s="9">
        <v>127898</v>
      </c>
      <c r="M115" s="9">
        <v>128371</v>
      </c>
      <c r="N115" s="9">
        <v>129218</v>
      </c>
      <c r="O115" s="9">
        <v>129424</v>
      </c>
      <c r="P115" s="9">
        <f>SUM(D115:O115)</f>
        <v>1534124</v>
      </c>
    </row>
    <row r="116" spans="1:16" ht="12.75">
      <c r="A116" t="s">
        <v>70</v>
      </c>
      <c r="B116" s="50" t="s">
        <v>21</v>
      </c>
      <c r="C116" s="9">
        <v>11474</v>
      </c>
      <c r="D116" s="9">
        <v>11410</v>
      </c>
      <c r="E116" s="9">
        <v>11548</v>
      </c>
      <c r="F116" s="9">
        <v>11450</v>
      </c>
      <c r="G116" s="9">
        <v>11469</v>
      </c>
      <c r="H116" s="9">
        <v>11480</v>
      </c>
      <c r="I116" s="9">
        <v>11504</v>
      </c>
      <c r="J116" s="9">
        <v>11503</v>
      </c>
      <c r="K116" s="9">
        <v>11497</v>
      </c>
      <c r="L116" s="9">
        <v>11551</v>
      </c>
      <c r="M116" s="9">
        <v>11552</v>
      </c>
      <c r="N116" s="9">
        <v>11597</v>
      </c>
      <c r="O116" s="9">
        <v>11702</v>
      </c>
      <c r="P116" s="9">
        <f>SUM(D116:O116)</f>
        <v>138263</v>
      </c>
    </row>
    <row r="117" spans="1:16" ht="12.75">
      <c r="A117" t="s">
        <v>71</v>
      </c>
      <c r="B117" s="50" t="s">
        <v>38</v>
      </c>
      <c r="C117" s="9">
        <v>93</v>
      </c>
      <c r="D117" s="9">
        <v>86</v>
      </c>
      <c r="E117" s="9">
        <v>98</v>
      </c>
      <c r="F117" s="9">
        <v>92</v>
      </c>
      <c r="G117" s="9">
        <v>92</v>
      </c>
      <c r="H117" s="9">
        <v>93</v>
      </c>
      <c r="I117" s="9">
        <v>95</v>
      </c>
      <c r="J117" s="9">
        <v>94</v>
      </c>
      <c r="K117" s="9">
        <v>93</v>
      </c>
      <c r="L117" s="9">
        <v>95</v>
      </c>
      <c r="M117" s="9">
        <v>93</v>
      </c>
      <c r="N117" s="9">
        <v>92</v>
      </c>
      <c r="O117" s="9">
        <v>93</v>
      </c>
      <c r="P117" s="9">
        <f>SUM(D117:O117)</f>
        <v>1116</v>
      </c>
    </row>
    <row r="118" spans="1:16" ht="12.75">
      <c r="A118" t="s">
        <v>72</v>
      </c>
      <c r="B118" s="50" t="s">
        <v>39</v>
      </c>
      <c r="C118" s="9">
        <v>22</v>
      </c>
      <c r="D118" s="9">
        <v>22</v>
      </c>
      <c r="E118" s="9">
        <v>23</v>
      </c>
      <c r="F118" s="9">
        <v>23</v>
      </c>
      <c r="G118" s="9">
        <v>24</v>
      </c>
      <c r="H118" s="9">
        <v>24</v>
      </c>
      <c r="I118" s="9">
        <v>24</v>
      </c>
      <c r="J118" s="9">
        <v>24</v>
      </c>
      <c r="K118" s="9">
        <v>24</v>
      </c>
      <c r="L118" s="9">
        <v>24</v>
      </c>
      <c r="M118" s="9">
        <v>23</v>
      </c>
      <c r="N118" s="9">
        <v>23</v>
      </c>
      <c r="O118" s="9">
        <v>23</v>
      </c>
      <c r="P118" s="9">
        <f>SUM(D118:O118)</f>
        <v>281</v>
      </c>
    </row>
    <row r="119" spans="1:16" ht="12.75">
      <c r="A119" t="s">
        <v>44</v>
      </c>
      <c r="B119"/>
      <c r="C119" s="10">
        <f aca="true" t="shared" si="29" ref="C119:P119">SUM(C115:C118)</f>
        <v>138667</v>
      </c>
      <c r="D119" s="10">
        <f t="shared" si="29"/>
        <v>138804</v>
      </c>
      <c r="E119" s="10">
        <f t="shared" si="29"/>
        <v>139210</v>
      </c>
      <c r="F119" s="10">
        <f t="shared" si="29"/>
        <v>139055</v>
      </c>
      <c r="G119" s="10">
        <f t="shared" si="29"/>
        <v>139113</v>
      </c>
      <c r="H119" s="10">
        <f t="shared" si="29"/>
        <v>139012</v>
      </c>
      <c r="I119" s="10">
        <f t="shared" si="29"/>
        <v>138838</v>
      </c>
      <c r="J119" s="10">
        <f t="shared" si="29"/>
        <v>138877</v>
      </c>
      <c r="K119" s="10">
        <f t="shared" si="29"/>
        <v>139096</v>
      </c>
      <c r="L119" s="10">
        <f t="shared" si="29"/>
        <v>139568</v>
      </c>
      <c r="M119" s="10">
        <f t="shared" si="29"/>
        <v>140039</v>
      </c>
      <c r="N119" s="10">
        <f t="shared" si="29"/>
        <v>140930</v>
      </c>
      <c r="O119" s="10">
        <f t="shared" si="29"/>
        <v>141242</v>
      </c>
      <c r="P119" s="10">
        <f t="shared" si="29"/>
        <v>1673784</v>
      </c>
    </row>
    <row r="121" spans="1:6" ht="12.75">
      <c r="A121" s="2" t="s">
        <v>95</v>
      </c>
      <c r="D121" s="84">
        <v>143747</v>
      </c>
      <c r="E121" s="84">
        <v>143734</v>
      </c>
      <c r="F121" s="84">
        <v>143649</v>
      </c>
    </row>
    <row r="122" spans="1:6" ht="12.75">
      <c r="A122" s="2" t="s">
        <v>96</v>
      </c>
      <c r="D122" s="3">
        <f>D121-D119</f>
        <v>4943</v>
      </c>
      <c r="E122" s="3">
        <f>E121-E119</f>
        <v>4524</v>
      </c>
      <c r="F122" s="3">
        <f>F121-F119</f>
        <v>4594</v>
      </c>
    </row>
    <row r="123" spans="1:6" ht="12.75">
      <c r="A123" s="2" t="s">
        <v>97</v>
      </c>
      <c r="D123" s="1">
        <v>5233</v>
      </c>
      <c r="E123" s="1">
        <v>4875</v>
      </c>
      <c r="F123" s="1">
        <v>5259</v>
      </c>
    </row>
    <row r="124" spans="1:6" ht="12.75">
      <c r="A124" s="2" t="s">
        <v>101</v>
      </c>
      <c r="D124" s="3">
        <f>D123-D122</f>
        <v>290</v>
      </c>
      <c r="E124" s="3">
        <f>E123-E122</f>
        <v>351</v>
      </c>
      <c r="F124" s="3">
        <f>F123-F122</f>
        <v>665</v>
      </c>
    </row>
    <row r="126" ht="12.75">
      <c r="A126" s="2" t="s">
        <v>98</v>
      </c>
    </row>
    <row r="127" spans="1:6" ht="12.75">
      <c r="A127" s="2" t="s">
        <v>100</v>
      </c>
      <c r="D127" s="85">
        <f>J12/D123</f>
        <v>-160.000955474871</v>
      </c>
      <c r="E127" s="85">
        <f>K12/E123</f>
        <v>-128.9577435897436</v>
      </c>
      <c r="F127" s="85">
        <f>L12/F123</f>
        <v>-108.69575965012359</v>
      </c>
    </row>
    <row r="128" spans="1:6" ht="12.75">
      <c r="A128" s="2" t="s">
        <v>99</v>
      </c>
      <c r="D128" s="85">
        <f aca="true" t="shared" si="30" ref="D128:F129">J11/D121</f>
        <v>173.1219225444705</v>
      </c>
      <c r="E128" s="85">
        <f t="shared" si="30"/>
        <v>146.84304339961318</v>
      </c>
      <c r="F128" s="85">
        <f t="shared" si="30"/>
        <v>123.59718480462794</v>
      </c>
    </row>
    <row r="129" spans="1:6" ht="12.75">
      <c r="A129" s="2" t="s">
        <v>102</v>
      </c>
      <c r="D129" s="85">
        <f t="shared" si="30"/>
        <v>-169.38802346752985</v>
      </c>
      <c r="E129" s="85">
        <f t="shared" si="30"/>
        <v>-138.9630857648099</v>
      </c>
      <c r="F129" s="85">
        <f t="shared" si="30"/>
        <v>-124.429908576404</v>
      </c>
    </row>
  </sheetData>
  <printOptions horizontalCentered="1" verticalCentered="1"/>
  <pageMargins left="0.25" right="0.25" top="1" bottom="0.65" header="1" footer="0.5"/>
  <pageSetup horizontalDpi="600" verticalDpi="600" orientation="landscape" scale="65" r:id="rId1"/>
  <headerFooter alignWithMargins="0">
    <oddHeader>&amp;C&amp;12Avista Corporation Natural Gas Decoupling Mechanism
Docket No. UG-060518
Quarterly Report for 1st Quarter 2009</oddHeader>
    <oddFooter>&amp;Lfile: &amp;F / &amp;A&amp;RPage &amp;P of &amp;N</oddFoot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36">
      <selection activeCell="M28" sqref="M28"/>
    </sheetView>
  </sheetViews>
  <sheetFormatPr defaultColWidth="9.140625" defaultRowHeight="12.75"/>
  <cols>
    <col min="1" max="1" width="17.8515625" style="0" customWidth="1"/>
    <col min="2" max="2" width="49.00390625" style="0" customWidth="1"/>
    <col min="3" max="3" width="16.00390625" style="0" customWidth="1"/>
    <col min="4" max="4" width="14.140625" style="0" customWidth="1"/>
  </cols>
  <sheetData>
    <row r="1" ht="12.75">
      <c r="B1" s="5" t="s">
        <v>116</v>
      </c>
    </row>
    <row r="2" ht="12.75">
      <c r="A2" t="s">
        <v>103</v>
      </c>
    </row>
    <row r="4" spans="1:4" ht="15" customHeight="1">
      <c r="A4" s="86" t="s">
        <v>104</v>
      </c>
      <c r="B4" s="87" t="s">
        <v>105</v>
      </c>
      <c r="C4" s="88" t="s">
        <v>106</v>
      </c>
      <c r="D4" s="88" t="s">
        <v>107</v>
      </c>
    </row>
    <row r="6" spans="1:4" ht="15" customHeight="1">
      <c r="A6" s="86" t="s">
        <v>108</v>
      </c>
      <c r="B6" s="95" t="s">
        <v>109</v>
      </c>
      <c r="C6" s="95" t="s">
        <v>110</v>
      </c>
      <c r="D6" s="95" t="s">
        <v>111</v>
      </c>
    </row>
    <row r="7" spans="1:4" ht="12.75">
      <c r="A7" s="89" t="s">
        <v>112</v>
      </c>
      <c r="B7" s="90">
        <v>589937</v>
      </c>
      <c r="C7" s="91">
        <v>231865</v>
      </c>
      <c r="D7" s="90">
        <v>821802</v>
      </c>
    </row>
    <row r="8" spans="1:4" ht="12.75">
      <c r="A8" s="89" t="s">
        <v>113</v>
      </c>
      <c r="B8" s="90">
        <v>821802</v>
      </c>
      <c r="C8" s="91">
        <v>196288</v>
      </c>
      <c r="D8" s="90">
        <v>1018090</v>
      </c>
    </row>
    <row r="9" spans="1:4" ht="12.75">
      <c r="A9" s="89" t="s">
        <v>114</v>
      </c>
      <c r="B9" s="90">
        <v>1018090</v>
      </c>
      <c r="C9" s="91">
        <v>10479</v>
      </c>
      <c r="D9" s="90">
        <v>1028569</v>
      </c>
    </row>
    <row r="10" spans="1:4" ht="12.75">
      <c r="A10" s="92"/>
      <c r="B10" s="93"/>
      <c r="C10" s="94" t="s">
        <v>115</v>
      </c>
      <c r="D10" s="93"/>
    </row>
    <row r="11" spans="4:15" ht="12.75"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4:15" ht="12.75"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ht="12.75">
      <c r="A13" t="s">
        <v>103</v>
      </c>
    </row>
    <row r="15" spans="1:4" ht="12.75">
      <c r="A15" s="86" t="s">
        <v>117</v>
      </c>
      <c r="B15" s="87" t="s">
        <v>118</v>
      </c>
      <c r="C15" s="88" t="s">
        <v>106</v>
      </c>
      <c r="D15" s="88" t="s">
        <v>107</v>
      </c>
    </row>
    <row r="17" spans="1:4" ht="12.75">
      <c r="A17" s="86" t="s">
        <v>108</v>
      </c>
      <c r="B17" s="95" t="s">
        <v>109</v>
      </c>
      <c r="C17" s="95" t="s">
        <v>110</v>
      </c>
      <c r="D17" s="95" t="s">
        <v>111</v>
      </c>
    </row>
    <row r="18" spans="1:4" ht="12.75">
      <c r="A18" s="89" t="s">
        <v>112</v>
      </c>
      <c r="B18" s="90">
        <v>479593.22</v>
      </c>
      <c r="C18" s="91">
        <v>-121379.21</v>
      </c>
      <c r="D18" s="90">
        <v>358214.01</v>
      </c>
    </row>
    <row r="19" spans="1:4" ht="12.75">
      <c r="A19" s="89" t="s">
        <v>113</v>
      </c>
      <c r="B19" s="90">
        <v>358214.01</v>
      </c>
      <c r="C19" s="91">
        <v>-97486.46</v>
      </c>
      <c r="D19" s="90">
        <v>260727.55</v>
      </c>
    </row>
    <row r="20" spans="1:4" ht="12.75">
      <c r="A20" s="89" t="s">
        <v>114</v>
      </c>
      <c r="B20" s="90">
        <v>260727.55</v>
      </c>
      <c r="C20" s="91">
        <v>-97283.6</v>
      </c>
      <c r="D20" s="90">
        <v>163443.95</v>
      </c>
    </row>
    <row r="21" spans="1:4" ht="12.75">
      <c r="A21" s="92"/>
      <c r="B21" s="93"/>
      <c r="C21" s="94" t="s">
        <v>119</v>
      </c>
      <c r="D21" s="93"/>
    </row>
    <row r="24" spans="1:12" ht="12.75">
      <c r="A24" t="s">
        <v>103</v>
      </c>
      <c r="L24" s="52"/>
    </row>
    <row r="26" spans="1:4" ht="12.75">
      <c r="A26" s="96" t="s">
        <v>120</v>
      </c>
      <c r="B26" s="97" t="s">
        <v>121</v>
      </c>
      <c r="C26" s="98" t="s">
        <v>106</v>
      </c>
      <c r="D26" s="98" t="s">
        <v>107</v>
      </c>
    </row>
    <row r="28" spans="1:4" ht="12.75">
      <c r="A28" s="96" t="s">
        <v>108</v>
      </c>
      <c r="B28" s="105" t="s">
        <v>109</v>
      </c>
      <c r="C28" s="105" t="s">
        <v>110</v>
      </c>
      <c r="D28" s="105" t="s">
        <v>111</v>
      </c>
    </row>
    <row r="29" spans="1:4" ht="12.75">
      <c r="A29" s="99" t="s">
        <v>112</v>
      </c>
      <c r="B29" s="100">
        <v>0</v>
      </c>
      <c r="C29" s="101">
        <v>0</v>
      </c>
      <c r="D29" s="100">
        <v>0</v>
      </c>
    </row>
    <row r="30" spans="1:4" ht="12.75">
      <c r="A30" s="99" t="s">
        <v>113</v>
      </c>
      <c r="B30" s="100">
        <v>0</v>
      </c>
      <c r="C30" s="101">
        <v>0</v>
      </c>
      <c r="D30" s="100">
        <v>0</v>
      </c>
    </row>
    <row r="31" spans="1:4" ht="12.75">
      <c r="A31" s="99" t="s">
        <v>114</v>
      </c>
      <c r="B31" s="100">
        <v>0</v>
      </c>
      <c r="C31" s="101">
        <v>0</v>
      </c>
      <c r="D31" s="100">
        <v>0</v>
      </c>
    </row>
    <row r="32" spans="1:4" ht="12.75">
      <c r="A32" s="102"/>
      <c r="B32" s="103"/>
      <c r="C32" s="104" t="s">
        <v>122</v>
      </c>
      <c r="D32" s="103"/>
    </row>
    <row r="35" spans="1:10" ht="12.75">
      <c r="A35" t="s">
        <v>103</v>
      </c>
      <c r="D35" s="110"/>
      <c r="E35" s="110"/>
      <c r="F35" s="110"/>
      <c r="G35" s="110"/>
      <c r="H35" s="110"/>
      <c r="I35" s="110"/>
      <c r="J35" s="110"/>
    </row>
    <row r="37" spans="1:4" ht="12.75">
      <c r="A37" s="86" t="s">
        <v>123</v>
      </c>
      <c r="B37" s="87" t="s">
        <v>124</v>
      </c>
      <c r="C37" s="88" t="s">
        <v>106</v>
      </c>
      <c r="D37" s="88" t="s">
        <v>107</v>
      </c>
    </row>
    <row r="39" spans="1:4" ht="12.75">
      <c r="A39" s="86" t="s">
        <v>108</v>
      </c>
      <c r="B39" s="86" t="s">
        <v>109</v>
      </c>
      <c r="C39" s="86" t="s">
        <v>110</v>
      </c>
      <c r="D39" s="86" t="s">
        <v>111</v>
      </c>
    </row>
    <row r="40" spans="1:4" ht="12.75">
      <c r="A40" s="89" t="s">
        <v>112</v>
      </c>
      <c r="B40" s="90">
        <v>-374335.63</v>
      </c>
      <c r="C40" s="91">
        <v>-38670.03</v>
      </c>
      <c r="D40" s="90">
        <v>-413005.66</v>
      </c>
    </row>
    <row r="41" spans="1:4" ht="12.75">
      <c r="A41" s="89" t="s">
        <v>113</v>
      </c>
      <c r="B41" s="90">
        <v>-413005.66</v>
      </c>
      <c r="C41" s="91">
        <v>-34580.54</v>
      </c>
      <c r="D41" s="90">
        <v>-447586.2</v>
      </c>
    </row>
    <row r="42" spans="1:4" ht="12.75">
      <c r="A42" s="89" t="s">
        <v>114</v>
      </c>
      <c r="B42" s="90">
        <v>-447586.2</v>
      </c>
      <c r="C42" s="91">
        <v>30381.61</v>
      </c>
      <c r="D42" s="90">
        <v>-417204.59</v>
      </c>
    </row>
    <row r="43" spans="1:4" ht="12.75">
      <c r="A43" s="92"/>
      <c r="B43" s="93"/>
      <c r="C43" s="94" t="s">
        <v>125</v>
      </c>
      <c r="D43" s="93"/>
    </row>
    <row r="46" ht="12.75">
      <c r="B46" s="5" t="s">
        <v>126</v>
      </c>
    </row>
    <row r="47" spans="1:9" ht="12.75">
      <c r="A47" t="s">
        <v>103</v>
      </c>
      <c r="D47" s="107"/>
      <c r="E47" s="107"/>
      <c r="F47" s="107"/>
      <c r="G47" s="107"/>
      <c r="H47" s="107"/>
      <c r="I47" s="107"/>
    </row>
    <row r="49" spans="1:4" ht="12.75">
      <c r="A49" s="86" t="s">
        <v>127</v>
      </c>
      <c r="B49" s="87" t="s">
        <v>128</v>
      </c>
      <c r="C49" s="88" t="s">
        <v>106</v>
      </c>
      <c r="D49" s="88" t="s">
        <v>107</v>
      </c>
    </row>
    <row r="51" spans="1:4" ht="12.75">
      <c r="A51" s="86" t="s">
        <v>108</v>
      </c>
      <c r="B51" s="95" t="s">
        <v>109</v>
      </c>
      <c r="C51" s="95" t="s">
        <v>110</v>
      </c>
      <c r="D51" s="95" t="s">
        <v>111</v>
      </c>
    </row>
    <row r="52" spans="1:4" ht="12.75">
      <c r="A52" s="89" t="s">
        <v>112</v>
      </c>
      <c r="B52" s="90">
        <v>0</v>
      </c>
      <c r="C52" s="91">
        <v>-231865</v>
      </c>
      <c r="D52" s="90">
        <v>-231865</v>
      </c>
    </row>
    <row r="53" spans="1:4" ht="12.75">
      <c r="A53" s="89" t="s">
        <v>113</v>
      </c>
      <c r="B53" s="90">
        <v>-231865</v>
      </c>
      <c r="C53" s="91">
        <v>-196288</v>
      </c>
      <c r="D53" s="90">
        <v>-428153</v>
      </c>
    </row>
    <row r="54" spans="1:4" ht="12.75">
      <c r="A54" s="89" t="s">
        <v>114</v>
      </c>
      <c r="B54" s="90">
        <v>-428153</v>
      </c>
      <c r="C54" s="91">
        <v>-10479</v>
      </c>
      <c r="D54" s="90">
        <v>-438632</v>
      </c>
    </row>
    <row r="55" spans="1:4" ht="12.75">
      <c r="A55" s="92"/>
      <c r="B55" s="93"/>
      <c r="C55" s="94" t="s">
        <v>129</v>
      </c>
      <c r="D55" s="93"/>
    </row>
    <row r="58" ht="12.75">
      <c r="A58" t="s">
        <v>103</v>
      </c>
    </row>
    <row r="60" spans="1:4" ht="12.75">
      <c r="A60" s="96" t="s">
        <v>130</v>
      </c>
      <c r="B60" s="97" t="s">
        <v>131</v>
      </c>
      <c r="C60" s="98" t="s">
        <v>106</v>
      </c>
      <c r="D60" s="98" t="s">
        <v>107</v>
      </c>
    </row>
    <row r="62" spans="1:4" ht="12.75">
      <c r="A62" s="96" t="s">
        <v>108</v>
      </c>
      <c r="B62" s="105" t="s">
        <v>109</v>
      </c>
      <c r="C62" s="105" t="s">
        <v>110</v>
      </c>
      <c r="D62" s="105" t="s">
        <v>111</v>
      </c>
    </row>
    <row r="63" spans="1:4" ht="12.75">
      <c r="A63" s="99" t="s">
        <v>112</v>
      </c>
      <c r="B63" s="100">
        <v>0</v>
      </c>
      <c r="C63" s="101">
        <v>0</v>
      </c>
      <c r="D63" s="100">
        <v>0</v>
      </c>
    </row>
    <row r="64" spans="1:4" ht="12.75">
      <c r="A64" s="99" t="s">
        <v>113</v>
      </c>
      <c r="B64" s="100">
        <v>0</v>
      </c>
      <c r="C64" s="101">
        <v>0</v>
      </c>
      <c r="D64" s="100">
        <v>0</v>
      </c>
    </row>
    <row r="65" spans="1:4" ht="12.75">
      <c r="A65" s="99" t="s">
        <v>114</v>
      </c>
      <c r="B65" s="100">
        <v>0</v>
      </c>
      <c r="C65" s="101">
        <v>0</v>
      </c>
      <c r="D65" s="100">
        <v>0</v>
      </c>
    </row>
    <row r="66" spans="1:4" ht="12.75">
      <c r="A66" s="102"/>
      <c r="B66" s="103"/>
      <c r="C66" s="104" t="s">
        <v>122</v>
      </c>
      <c r="D66" s="103"/>
    </row>
    <row r="69" spans="1:9" ht="12.75">
      <c r="A69" t="s">
        <v>103</v>
      </c>
      <c r="D69" s="110"/>
      <c r="E69" s="110"/>
      <c r="F69" s="110"/>
      <c r="G69" s="110"/>
      <c r="H69" s="110"/>
      <c r="I69" s="110"/>
    </row>
    <row r="71" spans="1:4" ht="12.75">
      <c r="A71" s="86" t="s">
        <v>132</v>
      </c>
      <c r="B71" s="87" t="s">
        <v>133</v>
      </c>
      <c r="C71" s="88" t="s">
        <v>106</v>
      </c>
      <c r="D71" s="88" t="s">
        <v>107</v>
      </c>
    </row>
    <row r="73" spans="1:4" ht="12.75">
      <c r="A73" s="86" t="s">
        <v>108</v>
      </c>
      <c r="B73" s="86" t="s">
        <v>109</v>
      </c>
      <c r="C73" s="86" t="s">
        <v>110</v>
      </c>
      <c r="D73" s="86" t="s">
        <v>111</v>
      </c>
    </row>
    <row r="74" spans="1:4" ht="12.75">
      <c r="A74" s="89" t="s">
        <v>112</v>
      </c>
      <c r="B74" s="90">
        <v>0</v>
      </c>
      <c r="C74" s="91">
        <v>123855.65</v>
      </c>
      <c r="D74" s="90">
        <v>123855.65</v>
      </c>
    </row>
    <row r="75" spans="1:4" ht="12.75">
      <c r="A75" s="89" t="s">
        <v>113</v>
      </c>
      <c r="B75" s="90">
        <v>123855.65</v>
      </c>
      <c r="C75" s="91">
        <v>99323.31</v>
      </c>
      <c r="D75" s="90">
        <v>223178.96</v>
      </c>
    </row>
    <row r="76" spans="1:4" ht="12.75">
      <c r="A76" s="89" t="s">
        <v>114</v>
      </c>
      <c r="B76" s="90">
        <v>223178.96</v>
      </c>
      <c r="C76" s="91">
        <v>98571.07</v>
      </c>
      <c r="D76" s="90">
        <v>321750.03</v>
      </c>
    </row>
    <row r="77" spans="1:4" ht="12.75">
      <c r="A77" s="92"/>
      <c r="B77" s="93"/>
      <c r="C77" s="94" t="s">
        <v>134</v>
      </c>
      <c r="D77" s="93"/>
    </row>
    <row r="85" spans="5:10" ht="12.75">
      <c r="E85" s="110"/>
      <c r="F85" s="110"/>
      <c r="G85" s="110"/>
      <c r="H85" s="110"/>
      <c r="I85" s="110"/>
      <c r="J85" s="110"/>
    </row>
    <row r="86" spans="5:10" ht="12.75">
      <c r="E86" s="110"/>
      <c r="F86" s="110"/>
      <c r="G86" s="110"/>
      <c r="H86" s="110"/>
      <c r="I86" s="110"/>
      <c r="J86" s="110"/>
    </row>
  </sheetData>
  <printOptions horizontalCentered="1" verticalCentered="1"/>
  <pageMargins left="0.25" right="0.25" top="1" bottom="0.65" header="1" footer="0.5"/>
  <pageSetup horizontalDpi="600" verticalDpi="600" orientation="landscape" scale="65" r:id="rId1"/>
  <headerFooter alignWithMargins="0">
    <oddHeader>&amp;C&amp;12Avista Corporation Natural Gas Decoupling Mechanism
Docket No. UG-060518
Quarterly Report for 1st Quarter 2009</oddHeader>
    <oddFooter>&amp;Lfile: &amp;F / &amp;A&amp;RPage &amp;P of &amp;N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10.00390625" style="2" customWidth="1"/>
    <col min="2" max="2" width="18.42187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00390625" style="2" bestFit="1" customWidth="1"/>
    <col min="9" max="9" width="13.7109375" style="2" customWidth="1"/>
    <col min="10" max="10" width="13.42187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5742187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1" ht="12.75">
      <c r="A1" s="5" t="s">
        <v>0</v>
      </c>
    </row>
    <row r="2" ht="12.75">
      <c r="A2" s="5" t="s">
        <v>41</v>
      </c>
    </row>
    <row r="3" ht="12.75">
      <c r="A3" s="5" t="s">
        <v>53</v>
      </c>
    </row>
    <row r="4" ht="12.75">
      <c r="A4" s="5" t="s">
        <v>78</v>
      </c>
    </row>
    <row r="5" ht="12.75">
      <c r="A5" s="5" t="s">
        <v>54</v>
      </c>
    </row>
    <row r="6" spans="1:10" ht="12.75">
      <c r="A6" s="5" t="s">
        <v>60</v>
      </c>
      <c r="J6" s="5" t="s">
        <v>63</v>
      </c>
    </row>
    <row r="7" spans="4:16" ht="12.75">
      <c r="D7" s="11">
        <v>2007</v>
      </c>
      <c r="E7" s="11">
        <v>2007</v>
      </c>
      <c r="F7" s="11">
        <v>2007</v>
      </c>
      <c r="G7" s="11">
        <v>2007</v>
      </c>
      <c r="H7" s="11">
        <v>2007</v>
      </c>
      <c r="I7" s="11">
        <v>2007</v>
      </c>
      <c r="J7" s="11">
        <v>2008</v>
      </c>
      <c r="K7" s="11">
        <v>2008</v>
      </c>
      <c r="L7" s="11">
        <v>2008</v>
      </c>
      <c r="M7" s="11">
        <v>2008</v>
      </c>
      <c r="N7" s="11">
        <v>2008</v>
      </c>
      <c r="O7" s="11">
        <v>2008</v>
      </c>
      <c r="P7" s="5" t="s">
        <v>61</v>
      </c>
    </row>
    <row r="8" spans="4:16" ht="12.75"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30" t="s">
        <v>2</v>
      </c>
      <c r="K8" s="30" t="s">
        <v>3</v>
      </c>
      <c r="L8" s="30" t="s">
        <v>4</v>
      </c>
      <c r="M8" s="30" t="s">
        <v>5</v>
      </c>
      <c r="N8" s="30" t="s">
        <v>6</v>
      </c>
      <c r="O8" s="30" t="s">
        <v>7</v>
      </c>
      <c r="P8" s="30" t="s">
        <v>36</v>
      </c>
    </row>
    <row r="9" spans="1:2" ht="12.75">
      <c r="A9" s="5" t="s">
        <v>58</v>
      </c>
      <c r="B9" s="5"/>
    </row>
    <row r="10" spans="1:7" ht="12.75">
      <c r="A10" s="24" t="s">
        <v>34</v>
      </c>
      <c r="D10" s="1"/>
      <c r="E10" s="1"/>
      <c r="F10" s="1"/>
      <c r="G10" s="22"/>
    </row>
    <row r="11" spans="1:17" ht="12.75">
      <c r="A11" s="2" t="s">
        <v>1</v>
      </c>
      <c r="D11" s="106">
        <v>2462636</v>
      </c>
      <c r="E11" s="106">
        <v>2010203</v>
      </c>
      <c r="F11" s="106">
        <v>2332936</v>
      </c>
      <c r="G11" s="106">
        <v>4484817</v>
      </c>
      <c r="H11" s="106">
        <v>9398517</v>
      </c>
      <c r="I11" s="106">
        <v>18392852</v>
      </c>
      <c r="J11" s="106">
        <v>20755627</v>
      </c>
      <c r="K11" s="106">
        <v>22514347</v>
      </c>
      <c r="L11" s="106">
        <v>14859076</v>
      </c>
      <c r="M11" s="106">
        <v>13629159</v>
      </c>
      <c r="N11" s="106">
        <v>8714627</v>
      </c>
      <c r="O11" s="106">
        <v>4232714</v>
      </c>
      <c r="P11" s="3">
        <f>SUM(D11:O11)</f>
        <v>123787511</v>
      </c>
      <c r="Q11" s="3"/>
    </row>
    <row r="12" spans="1:17" ht="12.75">
      <c r="A12" s="32" t="s">
        <v>52</v>
      </c>
      <c r="D12" s="106">
        <v>-180683</v>
      </c>
      <c r="E12" s="106">
        <v>-141329</v>
      </c>
      <c r="F12" s="106">
        <v>-161990</v>
      </c>
      <c r="G12" s="106">
        <v>-277602</v>
      </c>
      <c r="H12" s="106">
        <v>-613037</v>
      </c>
      <c r="I12" s="120">
        <v>-1421829</v>
      </c>
      <c r="J12" s="106">
        <v>-840804</v>
      </c>
      <c r="K12" s="106">
        <v>-933547</v>
      </c>
      <c r="L12" s="106">
        <v>-590323</v>
      </c>
      <c r="M12" s="106">
        <v>-544390</v>
      </c>
      <c r="N12" s="106">
        <v>-304416</v>
      </c>
      <c r="O12" s="106">
        <v>-134597</v>
      </c>
      <c r="P12" s="3">
        <f>SUM(D12:O12)</f>
        <v>-6144547</v>
      </c>
      <c r="Q12" s="3"/>
    </row>
    <row r="13" spans="1:17" ht="12.75">
      <c r="A13" s="2" t="s">
        <v>14</v>
      </c>
      <c r="D13" s="1">
        <f aca="true" t="shared" si="0" ref="D13:I13">-D41</f>
        <v>-1688657.3691</v>
      </c>
      <c r="E13" s="1">
        <f t="shared" si="0"/>
        <v>-512729.36110000004</v>
      </c>
      <c r="F13" s="1">
        <f t="shared" si="0"/>
        <v>-861827.0961999999</v>
      </c>
      <c r="G13" s="1">
        <f t="shared" si="0"/>
        <v>-3069727.6876000003</v>
      </c>
      <c r="H13" s="1">
        <f t="shared" si="0"/>
        <v>-6526098.6665</v>
      </c>
      <c r="I13" s="1">
        <f t="shared" si="0"/>
        <v>-10839345.651700001</v>
      </c>
      <c r="J13" s="1">
        <f aca="true" t="shared" si="1" ref="J13:O13">-D96</f>
        <v>-11907095</v>
      </c>
      <c r="K13" s="1">
        <f t="shared" si="1"/>
        <v>-12692443</v>
      </c>
      <c r="L13" s="1">
        <f t="shared" si="1"/>
        <v>-9661573</v>
      </c>
      <c r="M13" s="1">
        <f t="shared" si="1"/>
        <v>-9011346</v>
      </c>
      <c r="N13" s="1">
        <f t="shared" si="1"/>
        <v>-6832115</v>
      </c>
      <c r="O13" s="1">
        <f t="shared" si="1"/>
        <v>-3107922</v>
      </c>
      <c r="P13" s="3">
        <f>SUM(D13:O13)</f>
        <v>-76710879.8322</v>
      </c>
      <c r="Q13" s="3"/>
    </row>
    <row r="14" spans="1:17" ht="12.75">
      <c r="A14" s="2" t="s">
        <v>15</v>
      </c>
      <c r="D14" s="1">
        <f aca="true" t="shared" si="2" ref="D14:I14">E41</f>
        <v>512729.36110000004</v>
      </c>
      <c r="E14" s="1">
        <f t="shared" si="2"/>
        <v>861827.0961999999</v>
      </c>
      <c r="F14" s="1">
        <f t="shared" si="2"/>
        <v>3069727.6876000003</v>
      </c>
      <c r="G14" s="1">
        <f t="shared" si="2"/>
        <v>6526098.6665</v>
      </c>
      <c r="H14" s="1">
        <f t="shared" si="2"/>
        <v>10839345.651700001</v>
      </c>
      <c r="I14" s="1">
        <f t="shared" si="2"/>
        <v>11778585.171</v>
      </c>
      <c r="J14" s="1">
        <f aca="true" t="shared" si="3" ref="J14:O14">E96</f>
        <v>12692443</v>
      </c>
      <c r="K14" s="1">
        <f t="shared" si="3"/>
        <v>9661573</v>
      </c>
      <c r="L14" s="1">
        <f t="shared" si="3"/>
        <v>9011346</v>
      </c>
      <c r="M14" s="1">
        <f t="shared" si="3"/>
        <v>6832115</v>
      </c>
      <c r="N14" s="1">
        <f t="shared" si="3"/>
        <v>3107922</v>
      </c>
      <c r="O14" s="1">
        <f t="shared" si="3"/>
        <v>1731459</v>
      </c>
      <c r="P14" s="3">
        <f>SUM(D14:O14)</f>
        <v>76625171.6341</v>
      </c>
      <c r="Q14" s="1"/>
    </row>
    <row r="15" spans="1:17" ht="12.75">
      <c r="A15" s="2" t="s">
        <v>33</v>
      </c>
      <c r="D15" s="1">
        <f aca="true" t="shared" si="4" ref="D15:I15">D54</f>
        <v>692582.2639999999</v>
      </c>
      <c r="E15" s="1">
        <f t="shared" si="4"/>
        <v>236741.505</v>
      </c>
      <c r="F15" s="1">
        <f t="shared" si="4"/>
        <v>31658.591999999997</v>
      </c>
      <c r="G15" s="1">
        <f t="shared" si="4"/>
        <v>15894.109</v>
      </c>
      <c r="H15" s="1">
        <f t="shared" si="4"/>
        <v>47991.147000000004</v>
      </c>
      <c r="I15" s="1">
        <f t="shared" si="4"/>
        <v>673724.3099999999</v>
      </c>
      <c r="J15" s="1">
        <f aca="true" t="shared" si="5" ref="J15:O15">D80</f>
        <v>-1132969</v>
      </c>
      <c r="K15" s="1">
        <f t="shared" si="5"/>
        <v>-107342</v>
      </c>
      <c r="L15" s="1">
        <f t="shared" si="5"/>
        <v>-1381024</v>
      </c>
      <c r="M15" s="1">
        <f t="shared" si="5"/>
        <v>-1653998</v>
      </c>
      <c r="N15" s="1">
        <f t="shared" si="5"/>
        <v>840841</v>
      </c>
      <c r="O15" s="1">
        <f t="shared" si="5"/>
        <v>-354262</v>
      </c>
      <c r="P15" s="3">
        <f>SUM(D15:O15)</f>
        <v>-2090162.0730000003</v>
      </c>
      <c r="Q15" s="1"/>
    </row>
    <row r="16" spans="1:17" ht="12.75">
      <c r="A16" s="2" t="s">
        <v>47</v>
      </c>
      <c r="D16" s="4">
        <f aca="true" t="shared" si="6" ref="D16:P16">SUM(D11:D15)</f>
        <v>1798607.256</v>
      </c>
      <c r="E16" s="4">
        <f t="shared" si="6"/>
        <v>2454713.2400999996</v>
      </c>
      <c r="F16" s="4">
        <f t="shared" si="6"/>
        <v>4410505.1834</v>
      </c>
      <c r="G16" s="4">
        <f t="shared" si="6"/>
        <v>7679480.087900001</v>
      </c>
      <c r="H16" s="4">
        <f t="shared" si="6"/>
        <v>13146718.1322</v>
      </c>
      <c r="I16" s="4">
        <f t="shared" si="6"/>
        <v>18583986.829299998</v>
      </c>
      <c r="J16" s="4">
        <f t="shared" si="6"/>
        <v>19567202</v>
      </c>
      <c r="K16" s="4">
        <f t="shared" si="6"/>
        <v>18442588</v>
      </c>
      <c r="L16" s="4">
        <f t="shared" si="6"/>
        <v>12237502</v>
      </c>
      <c r="M16" s="4">
        <f t="shared" si="6"/>
        <v>9251540</v>
      </c>
      <c r="N16" s="4">
        <f t="shared" si="6"/>
        <v>5526859</v>
      </c>
      <c r="O16" s="4">
        <f t="shared" si="6"/>
        <v>2367392</v>
      </c>
      <c r="P16" s="4">
        <f t="shared" si="6"/>
        <v>115467093.7289</v>
      </c>
      <c r="Q16" s="1"/>
    </row>
    <row r="17" spans="4:17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</row>
    <row r="18" spans="1:17" ht="12.75">
      <c r="A18" s="2" t="s">
        <v>46</v>
      </c>
      <c r="D18" s="6">
        <f aca="true" t="shared" si="7" ref="D18:O18">D16</f>
        <v>1798607.256</v>
      </c>
      <c r="E18" s="6">
        <f t="shared" si="7"/>
        <v>2454713.2400999996</v>
      </c>
      <c r="F18" s="6">
        <f t="shared" si="7"/>
        <v>4410505.1834</v>
      </c>
      <c r="G18" s="6">
        <f t="shared" si="7"/>
        <v>7679480.087900001</v>
      </c>
      <c r="H18" s="6">
        <f t="shared" si="7"/>
        <v>13146718.1322</v>
      </c>
      <c r="I18" s="6">
        <f t="shared" si="7"/>
        <v>18583986.829299998</v>
      </c>
      <c r="J18" s="6">
        <f t="shared" si="7"/>
        <v>19567202</v>
      </c>
      <c r="K18" s="6">
        <f t="shared" si="7"/>
        <v>18442588</v>
      </c>
      <c r="L18" s="6">
        <f t="shared" si="7"/>
        <v>12237502</v>
      </c>
      <c r="M18" s="6">
        <f t="shared" si="7"/>
        <v>9251540</v>
      </c>
      <c r="N18" s="6">
        <f t="shared" si="7"/>
        <v>5526859</v>
      </c>
      <c r="O18" s="6">
        <f t="shared" si="7"/>
        <v>2367392</v>
      </c>
      <c r="P18" s="3">
        <f>SUM(D18:O18)</f>
        <v>115467093.7289</v>
      </c>
      <c r="Q18" s="1"/>
    </row>
    <row r="19" spans="1:16" ht="12.75">
      <c r="A19" t="s">
        <v>51</v>
      </c>
      <c r="B19"/>
      <c r="C19"/>
      <c r="D19" s="7">
        <v>1992869.2803962994</v>
      </c>
      <c r="E19" s="7">
        <v>2626004.0579347075</v>
      </c>
      <c r="F19" s="7">
        <v>3962139.288864518</v>
      </c>
      <c r="G19" s="7">
        <v>9013668.04240531</v>
      </c>
      <c r="H19" s="7">
        <v>14551771.69540904</v>
      </c>
      <c r="I19" s="7">
        <v>19133174.011006385</v>
      </c>
      <c r="J19" s="7">
        <v>20193658</v>
      </c>
      <c r="K19" s="7">
        <v>16744930</v>
      </c>
      <c r="L19" s="7">
        <v>14101624</v>
      </c>
      <c r="M19" s="7">
        <v>9347535</v>
      </c>
      <c r="N19" s="7">
        <v>5032140</v>
      </c>
      <c r="O19" s="7">
        <v>2400167</v>
      </c>
      <c r="P19" s="3">
        <f>SUM(D19:O19)</f>
        <v>119099680.37601626</v>
      </c>
    </row>
    <row r="20" spans="1:16" ht="12.75">
      <c r="A20" s="2" t="s">
        <v>49</v>
      </c>
      <c r="C20"/>
      <c r="D20" s="10">
        <f aca="true" t="shared" si="8" ref="D20:O20">D18-D19</f>
        <v>-194262.02439629938</v>
      </c>
      <c r="E20" s="10">
        <f t="shared" si="8"/>
        <v>-171290.8178347079</v>
      </c>
      <c r="F20" s="10">
        <f t="shared" si="8"/>
        <v>448365.8945354824</v>
      </c>
      <c r="G20" s="10">
        <f t="shared" si="8"/>
        <v>-1334187.9545053085</v>
      </c>
      <c r="H20" s="10">
        <f t="shared" si="8"/>
        <v>-1405053.56320904</v>
      </c>
      <c r="I20" s="10">
        <f t="shared" si="8"/>
        <v>-549187.1817063875</v>
      </c>
      <c r="J20" s="10">
        <f t="shared" si="8"/>
        <v>-626456</v>
      </c>
      <c r="K20" s="10">
        <f t="shared" si="8"/>
        <v>1697658</v>
      </c>
      <c r="L20" s="10">
        <f t="shared" si="8"/>
        <v>-1864122</v>
      </c>
      <c r="M20" s="10">
        <f t="shared" si="8"/>
        <v>-95995</v>
      </c>
      <c r="N20" s="10">
        <f t="shared" si="8"/>
        <v>494719</v>
      </c>
      <c r="O20" s="10">
        <f t="shared" si="8"/>
        <v>-32775</v>
      </c>
      <c r="P20" s="3">
        <f>SUM(D20:O20)</f>
        <v>-3632586.647116261</v>
      </c>
    </row>
    <row r="21" spans="1:16" ht="12.75">
      <c r="A21" s="2" t="s">
        <v>62</v>
      </c>
      <c r="C21"/>
      <c r="D21" s="23">
        <v>0.19822</v>
      </c>
      <c r="E21" s="23">
        <v>0.19822</v>
      </c>
      <c r="F21" s="23">
        <v>0.19822</v>
      </c>
      <c r="G21" s="23">
        <v>0.19822</v>
      </c>
      <c r="H21" s="23">
        <v>0.19822</v>
      </c>
      <c r="I21" s="23">
        <v>0.19822</v>
      </c>
      <c r="J21" s="23">
        <v>0.21748</v>
      </c>
      <c r="K21" s="23">
        <f>J21</f>
        <v>0.21748</v>
      </c>
      <c r="L21" s="23">
        <f>K21</f>
        <v>0.21748</v>
      </c>
      <c r="M21" s="23">
        <f>L21</f>
        <v>0.21748</v>
      </c>
      <c r="N21" s="23">
        <f>M21</f>
        <v>0.21748</v>
      </c>
      <c r="O21" s="23">
        <f>N21</f>
        <v>0.21748</v>
      </c>
      <c r="P21"/>
    </row>
    <row r="22" spans="1:16" s="5" customFormat="1" ht="12.75">
      <c r="A22" s="5" t="s">
        <v>55</v>
      </c>
      <c r="D22" s="35">
        <f aca="true" t="shared" si="9" ref="D22:O22">D20*D21</f>
        <v>-38506.61847583447</v>
      </c>
      <c r="E22" s="35">
        <f t="shared" si="9"/>
        <v>-33953.265911195806</v>
      </c>
      <c r="F22" s="39">
        <f t="shared" si="9"/>
        <v>88875.08761482332</v>
      </c>
      <c r="G22" s="35">
        <f t="shared" si="9"/>
        <v>-264462.7363420423</v>
      </c>
      <c r="H22" s="35">
        <f t="shared" si="9"/>
        <v>-278509.71729929594</v>
      </c>
      <c r="I22" s="35">
        <f t="shared" si="9"/>
        <v>-108859.88315784014</v>
      </c>
      <c r="J22" s="35">
        <f t="shared" si="9"/>
        <v>-136241.65088</v>
      </c>
      <c r="K22" s="35">
        <f t="shared" si="9"/>
        <v>369206.66184</v>
      </c>
      <c r="L22" s="35">
        <f t="shared" si="9"/>
        <v>-405409.25256</v>
      </c>
      <c r="M22" s="39">
        <f t="shared" si="9"/>
        <v>-20876.9926</v>
      </c>
      <c r="N22" s="35">
        <f t="shared" si="9"/>
        <v>107591.48812000001</v>
      </c>
      <c r="O22" s="39">
        <f t="shared" si="9"/>
        <v>-7127.907</v>
      </c>
      <c r="P22" s="35">
        <f>SUM(D22:O22)</f>
        <v>-728274.7866513852</v>
      </c>
    </row>
    <row r="23" spans="2:16" s="5" customFormat="1" ht="12.75">
      <c r="B23" s="34" t="s">
        <v>56</v>
      </c>
      <c r="C23" s="2"/>
      <c r="D23" s="33">
        <v>0.9</v>
      </c>
      <c r="E23" s="33">
        <v>0.9</v>
      </c>
      <c r="F23" s="33">
        <v>0.9</v>
      </c>
      <c r="G23" s="33">
        <v>0.9</v>
      </c>
      <c r="H23" s="33">
        <v>0.9</v>
      </c>
      <c r="I23" s="33">
        <v>0.9</v>
      </c>
      <c r="J23" s="33">
        <v>0.9</v>
      </c>
      <c r="K23" s="33">
        <v>0.9</v>
      </c>
      <c r="L23" s="33">
        <v>0.9</v>
      </c>
      <c r="M23" s="33">
        <v>0.9</v>
      </c>
      <c r="N23" s="33">
        <v>0.9</v>
      </c>
      <c r="O23" s="33">
        <v>0.9</v>
      </c>
      <c r="P23" s="35"/>
    </row>
    <row r="24" spans="1:16" ht="12.75">
      <c r="A24" s="5" t="s">
        <v>57</v>
      </c>
      <c r="D24" s="36">
        <f aca="true" t="shared" si="10" ref="D24:O24">D22*D23</f>
        <v>-34655.95662825102</v>
      </c>
      <c r="E24" s="36">
        <f t="shared" si="10"/>
        <v>-30557.939320076224</v>
      </c>
      <c r="F24" s="36">
        <f t="shared" si="10"/>
        <v>79987.578853341</v>
      </c>
      <c r="G24" s="36">
        <f t="shared" si="10"/>
        <v>-238016.46270783804</v>
      </c>
      <c r="H24" s="36">
        <f t="shared" si="10"/>
        <v>-250658.74556936635</v>
      </c>
      <c r="I24" s="36">
        <f t="shared" si="10"/>
        <v>-97973.89484205614</v>
      </c>
      <c r="J24" s="36">
        <f t="shared" si="10"/>
        <v>-122617.485792</v>
      </c>
      <c r="K24" s="36">
        <f t="shared" si="10"/>
        <v>332285.99565600004</v>
      </c>
      <c r="L24" s="36">
        <f t="shared" si="10"/>
        <v>-364868.327304</v>
      </c>
      <c r="M24" s="36">
        <f t="shared" si="10"/>
        <v>-18789.29334</v>
      </c>
      <c r="N24" s="36">
        <f t="shared" si="10"/>
        <v>96832.33930800001</v>
      </c>
      <c r="O24" s="36">
        <f t="shared" si="10"/>
        <v>-6415.116300000001</v>
      </c>
      <c r="P24" s="35">
        <f>SUM(D24:O24)</f>
        <v>-655447.3079862465</v>
      </c>
    </row>
    <row r="25" spans="1:16" ht="12.75">
      <c r="A25"/>
      <c r="B25" s="5" t="s">
        <v>59</v>
      </c>
      <c r="C25"/>
      <c r="D25" s="43"/>
      <c r="E25" s="43"/>
      <c r="F25" s="43"/>
      <c r="G25" s="1"/>
      <c r="H25" s="1"/>
      <c r="I25" s="1"/>
      <c r="J25" s="1"/>
      <c r="K25" s="1"/>
      <c r="L25" s="1"/>
      <c r="M25" s="1"/>
      <c r="N25" s="1"/>
      <c r="O25" s="1"/>
      <c r="P25" s="3"/>
    </row>
    <row r="26" spans="1:16" ht="12.75">
      <c r="A26" s="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2.75">
      <c r="A27" s="2" t="s">
        <v>91</v>
      </c>
      <c r="D27" s="1"/>
      <c r="E27" s="1"/>
      <c r="F27" s="1"/>
      <c r="G27" s="1"/>
      <c r="H27" s="1"/>
      <c r="I27" s="1">
        <v>-120540.88504605614</v>
      </c>
      <c r="J27" s="1"/>
      <c r="K27" s="1"/>
      <c r="L27" s="1"/>
      <c r="M27" s="1"/>
      <c r="N27" s="1"/>
      <c r="O27" s="1"/>
      <c r="P27" s="3">
        <v>-678014.2981902466</v>
      </c>
    </row>
    <row r="28" spans="1:16" ht="12.75">
      <c r="A28" s="5" t="s">
        <v>90</v>
      </c>
      <c r="D28" s="1"/>
      <c r="E28" s="1"/>
      <c r="F28" s="1"/>
      <c r="G28" s="44"/>
      <c r="H28" s="1"/>
      <c r="I28" s="37">
        <f>I24-I27</f>
        <v>22566.990204</v>
      </c>
      <c r="J28" s="1"/>
      <c r="K28" s="1"/>
      <c r="L28" s="1"/>
      <c r="M28" s="1"/>
      <c r="N28" s="1"/>
      <c r="O28" s="1"/>
      <c r="P28" s="37">
        <f>P24-P27</f>
        <v>22566.99020400003</v>
      </c>
    </row>
    <row r="29" spans="4:16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 ht="12.75">
      <c r="A30" s="32" t="s">
        <v>74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1:16" ht="12.75">
      <c r="A31" s="32" t="s">
        <v>79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2.75">
      <c r="A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1:3" ht="12.75">
      <c r="A33" s="24" t="s">
        <v>75</v>
      </c>
      <c r="C33" s="5"/>
    </row>
    <row r="34" spans="1:16" ht="12.75">
      <c r="A34" s="12"/>
      <c r="D34" s="29">
        <v>39234</v>
      </c>
      <c r="E34" s="29">
        <v>39264</v>
      </c>
      <c r="F34" s="29">
        <v>39295</v>
      </c>
      <c r="G34" s="29">
        <v>39326</v>
      </c>
      <c r="H34" s="29">
        <v>39356</v>
      </c>
      <c r="I34" s="29">
        <v>39387</v>
      </c>
      <c r="J34" s="29">
        <v>39417</v>
      </c>
      <c r="K34" s="29"/>
      <c r="L34" s="29"/>
      <c r="M34" s="29"/>
      <c r="N34" s="29"/>
      <c r="O34" s="29"/>
      <c r="P34" s="29"/>
    </row>
    <row r="35" spans="1:16" ht="12.75">
      <c r="A35" t="s">
        <v>22</v>
      </c>
      <c r="B35"/>
      <c r="C35"/>
      <c r="D35" s="109">
        <v>75.2</v>
      </c>
      <c r="E35" s="109">
        <v>0.4</v>
      </c>
      <c r="F35" s="109">
        <v>21.1</v>
      </c>
      <c r="G35" s="109">
        <v>161.9</v>
      </c>
      <c r="H35" s="109">
        <v>377.3</v>
      </c>
      <c r="I35" s="109">
        <v>642.8</v>
      </c>
      <c r="J35" s="109">
        <v>702.2</v>
      </c>
      <c r="K35"/>
      <c r="L35"/>
      <c r="M35"/>
      <c r="N35"/>
      <c r="O35"/>
      <c r="P35"/>
    </row>
    <row r="36" spans="1:16" ht="12.75">
      <c r="A36" t="s">
        <v>23</v>
      </c>
      <c r="B36"/>
      <c r="C36"/>
      <c r="D36" s="18">
        <v>0.6125</v>
      </c>
      <c r="E36" s="18">
        <v>0.6117</v>
      </c>
      <c r="F36" s="18">
        <v>0.6375</v>
      </c>
      <c r="G36" s="18">
        <v>0.6092</v>
      </c>
      <c r="H36" s="18">
        <v>0.6331</v>
      </c>
      <c r="I36" s="18">
        <v>0.6615</v>
      </c>
      <c r="J36" s="18">
        <v>0.61</v>
      </c>
      <c r="K36"/>
      <c r="L36"/>
      <c r="M36"/>
      <c r="N36"/>
      <c r="O36"/>
      <c r="P36"/>
    </row>
    <row r="37" spans="1:16" ht="12.75">
      <c r="A37" s="24" t="s">
        <v>42</v>
      </c>
      <c r="B37" s="26" t="s">
        <v>40</v>
      </c>
      <c r="C37" s="26" t="s">
        <v>19</v>
      </c>
      <c r="D37" s="18"/>
      <c r="E37" s="18"/>
      <c r="F37" s="18"/>
      <c r="G37" s="18"/>
      <c r="H37" s="18"/>
      <c r="I37" s="18"/>
      <c r="J37" s="18"/>
      <c r="K37"/>
      <c r="L37"/>
      <c r="M37"/>
      <c r="N37"/>
      <c r="O37"/>
      <c r="P37"/>
    </row>
    <row r="38" spans="1:16" ht="12.75">
      <c r="A38" t="s">
        <v>24</v>
      </c>
      <c r="B38" s="2">
        <v>7</v>
      </c>
      <c r="C38" s="2">
        <v>0.11</v>
      </c>
      <c r="D38" s="9">
        <f aca="true" t="shared" si="11" ref="D38:J38">$C38*D$35*D59+$B38*D$36*D59</f>
        <v>1484645.9355000001</v>
      </c>
      <c r="E38" s="9">
        <f t="shared" si="11"/>
        <v>511637.1707</v>
      </c>
      <c r="F38" s="9">
        <f t="shared" si="11"/>
        <v>803851.5334999999</v>
      </c>
      <c r="G38" s="9">
        <f t="shared" si="11"/>
        <v>2624152.0122</v>
      </c>
      <c r="H38" s="9">
        <f t="shared" si="11"/>
        <v>5485705.6128</v>
      </c>
      <c r="I38" s="9">
        <f t="shared" si="11"/>
        <v>9053352.206500001</v>
      </c>
      <c r="J38" s="9">
        <f t="shared" si="11"/>
        <v>9822603.56</v>
      </c>
      <c r="K38"/>
      <c r="L38"/>
      <c r="M38"/>
      <c r="N38"/>
      <c r="O38"/>
      <c r="P38"/>
    </row>
    <row r="39" spans="1:16" ht="12.75">
      <c r="A39" t="s">
        <v>25</v>
      </c>
      <c r="B39" s="2">
        <v>0</v>
      </c>
      <c r="C39" s="2">
        <v>0.249</v>
      </c>
      <c r="D39" s="9">
        <f aca="true" t="shared" si="12" ref="D39:J39">$C39*D$35*(D60)+$B39*D$36*(D60)</f>
        <v>201141.8016</v>
      </c>
      <c r="E39" s="9">
        <f t="shared" si="12"/>
        <v>1076.0784</v>
      </c>
      <c r="F39" s="9">
        <f t="shared" si="12"/>
        <v>57125.65470000001</v>
      </c>
      <c r="G39" s="9">
        <f t="shared" si="12"/>
        <v>438848.4066</v>
      </c>
      <c r="H39" s="9">
        <f t="shared" si="12"/>
        <v>1024875.4593</v>
      </c>
      <c r="I39" s="9">
        <f t="shared" si="12"/>
        <v>1759828.9139999999</v>
      </c>
      <c r="J39" s="9">
        <f t="shared" si="12"/>
        <v>1927696.995</v>
      </c>
      <c r="K39"/>
      <c r="L39"/>
      <c r="M39"/>
      <c r="N39"/>
      <c r="O39"/>
      <c r="P39"/>
    </row>
    <row r="40" spans="1:16" ht="12.75">
      <c r="A40" t="s">
        <v>26</v>
      </c>
      <c r="B40" s="2">
        <v>0</v>
      </c>
      <c r="C40" s="2">
        <v>0.424</v>
      </c>
      <c r="D40" s="9">
        <f aca="true" t="shared" si="13" ref="D40:J40">$C40*D$35*D61+$B40*D$36*D61</f>
        <v>2869.632</v>
      </c>
      <c r="E40" s="9">
        <f t="shared" si="13"/>
        <v>16.112</v>
      </c>
      <c r="F40" s="9">
        <f t="shared" si="13"/>
        <v>849.908</v>
      </c>
      <c r="G40" s="9">
        <f t="shared" si="13"/>
        <v>6727.2688</v>
      </c>
      <c r="H40" s="9">
        <f t="shared" si="13"/>
        <v>15517.5944</v>
      </c>
      <c r="I40" s="9">
        <f t="shared" si="13"/>
        <v>26164.531199999998</v>
      </c>
      <c r="J40" s="9">
        <f t="shared" si="13"/>
        <v>28284.615999999998</v>
      </c>
      <c r="K40"/>
      <c r="L40"/>
      <c r="M40"/>
      <c r="N40"/>
      <c r="O40"/>
      <c r="P40"/>
    </row>
    <row r="41" spans="1:16" ht="12.75">
      <c r="A41"/>
      <c r="D41" s="15">
        <f aca="true" t="shared" si="14" ref="D41:J41">SUM(D38:D40)</f>
        <v>1688657.3691</v>
      </c>
      <c r="E41" s="15">
        <f t="shared" si="14"/>
        <v>512729.36110000004</v>
      </c>
      <c r="F41" s="15">
        <f t="shared" si="14"/>
        <v>861827.0961999999</v>
      </c>
      <c r="G41" s="15">
        <f t="shared" si="14"/>
        <v>3069727.6876000003</v>
      </c>
      <c r="H41" s="15">
        <f t="shared" si="14"/>
        <v>6526098.6665</v>
      </c>
      <c r="I41" s="15">
        <f t="shared" si="14"/>
        <v>10839345.651700001</v>
      </c>
      <c r="J41" s="15">
        <f t="shared" si="14"/>
        <v>11778585.171</v>
      </c>
      <c r="K41"/>
      <c r="L41"/>
      <c r="M41"/>
      <c r="N41"/>
      <c r="O41"/>
      <c r="P41"/>
    </row>
    <row r="42" spans="1:16" ht="12.75">
      <c r="A42"/>
      <c r="D42" s="16"/>
      <c r="E42" s="16"/>
      <c r="F42" s="16"/>
      <c r="G42" s="16"/>
      <c r="H42" s="16"/>
      <c r="I42" s="16"/>
      <c r="J42" s="16"/>
      <c r="K42"/>
      <c r="L42"/>
      <c r="M42"/>
      <c r="N42"/>
      <c r="O42"/>
      <c r="P42"/>
    </row>
    <row r="43" spans="1:16" ht="12.75">
      <c r="A43"/>
      <c r="B43" s="20"/>
      <c r="C43" s="20"/>
      <c r="D43" s="16"/>
      <c r="E43" s="16"/>
      <c r="F43" s="16"/>
      <c r="G43" s="16"/>
      <c r="H43" s="16"/>
      <c r="I43" s="16"/>
      <c r="J43" s="16"/>
      <c r="K43"/>
      <c r="L43"/>
      <c r="M43"/>
      <c r="N43"/>
      <c r="O43"/>
      <c r="P43"/>
    </row>
    <row r="44" spans="1:16" ht="12.75">
      <c r="A44" s="24" t="s">
        <v>76</v>
      </c>
      <c r="B44"/>
      <c r="C44"/>
      <c r="D44" s="16"/>
      <c r="E44" s="16"/>
      <c r="F44" s="16"/>
      <c r="G44" s="16"/>
      <c r="H44" s="16"/>
      <c r="I44" s="16"/>
      <c r="J44" s="16"/>
      <c r="K44"/>
      <c r="L44"/>
      <c r="M44"/>
      <c r="N44"/>
      <c r="O44"/>
      <c r="P44"/>
    </row>
    <row r="45" spans="2:16" ht="12.75">
      <c r="B45"/>
      <c r="C45"/>
      <c r="D45" s="14">
        <v>39264</v>
      </c>
      <c r="E45" s="14">
        <v>39295</v>
      </c>
      <c r="F45" s="14">
        <v>39326</v>
      </c>
      <c r="G45" s="14">
        <v>39356</v>
      </c>
      <c r="H45" s="14">
        <v>39387</v>
      </c>
      <c r="I45" s="14">
        <v>39417</v>
      </c>
      <c r="J45"/>
      <c r="K45"/>
      <c r="L45"/>
      <c r="M45"/>
      <c r="N45"/>
      <c r="O45"/>
      <c r="P45"/>
    </row>
    <row r="46" spans="1:16" ht="12.75">
      <c r="A46" s="2" t="s">
        <v>16</v>
      </c>
      <c r="D46" s="6">
        <v>44</v>
      </c>
      <c r="E46" s="6">
        <v>42</v>
      </c>
      <c r="F46" s="6">
        <v>196</v>
      </c>
      <c r="G46" s="6">
        <v>554</v>
      </c>
      <c r="H46" s="6">
        <v>897</v>
      </c>
      <c r="I46" s="6">
        <v>1168</v>
      </c>
      <c r="J46"/>
      <c r="K46"/>
      <c r="L46"/>
      <c r="M46"/>
      <c r="N46"/>
      <c r="O46"/>
      <c r="P46"/>
    </row>
    <row r="47" spans="1:16" ht="12.75">
      <c r="A47" s="2" t="s">
        <v>17</v>
      </c>
      <c r="D47" s="111">
        <v>0</v>
      </c>
      <c r="E47" s="111">
        <v>27</v>
      </c>
      <c r="F47" s="111">
        <v>194</v>
      </c>
      <c r="G47" s="111">
        <v>553</v>
      </c>
      <c r="H47" s="111">
        <v>894</v>
      </c>
      <c r="I47" s="111">
        <v>1126</v>
      </c>
      <c r="J47"/>
      <c r="K47"/>
      <c r="L47"/>
      <c r="M47"/>
      <c r="N47"/>
      <c r="O47"/>
      <c r="P47"/>
    </row>
    <row r="48" spans="1:16" ht="12.75">
      <c r="A48" s="2" t="s">
        <v>18</v>
      </c>
      <c r="D48" s="4">
        <f aca="true" t="shared" si="15" ref="D48:I48">D46-D47</f>
        <v>44</v>
      </c>
      <c r="E48" s="4">
        <f t="shared" si="15"/>
        <v>15</v>
      </c>
      <c r="F48" s="4">
        <f t="shared" si="15"/>
        <v>2</v>
      </c>
      <c r="G48" s="4">
        <f t="shared" si="15"/>
        <v>1</v>
      </c>
      <c r="H48" s="4">
        <f t="shared" si="15"/>
        <v>3</v>
      </c>
      <c r="I48" s="4">
        <f t="shared" si="15"/>
        <v>42</v>
      </c>
      <c r="J48"/>
      <c r="K48"/>
      <c r="L48"/>
      <c r="M48"/>
      <c r="N48"/>
      <c r="O48"/>
      <c r="P48"/>
    </row>
    <row r="49" spans="4:16" ht="12.75">
      <c r="D49" s="6"/>
      <c r="E49" s="6"/>
      <c r="F49" s="6"/>
      <c r="G49" s="6"/>
      <c r="H49" s="6"/>
      <c r="I49" s="6"/>
      <c r="J49"/>
      <c r="K49"/>
      <c r="L49"/>
      <c r="M49"/>
      <c r="N49"/>
      <c r="O49"/>
      <c r="P49"/>
    </row>
    <row r="50" spans="1:16" ht="12.75">
      <c r="A50" s="23" t="s">
        <v>42</v>
      </c>
      <c r="B50" s="26" t="s">
        <v>40</v>
      </c>
      <c r="C50" s="23" t="s">
        <v>19</v>
      </c>
      <c r="D50" s="16"/>
      <c r="E50" s="16"/>
      <c r="F50" s="16"/>
      <c r="G50" s="16"/>
      <c r="H50" s="16"/>
      <c r="I50" s="16"/>
      <c r="J50"/>
      <c r="K50"/>
      <c r="L50"/>
      <c r="M50"/>
      <c r="N50"/>
      <c r="O50"/>
      <c r="P50"/>
    </row>
    <row r="51" spans="1:16" ht="12.75">
      <c r="A51" t="s">
        <v>24</v>
      </c>
      <c r="B51" s="2">
        <v>7</v>
      </c>
      <c r="C51" s="2">
        <v>0.11</v>
      </c>
      <c r="D51" s="16">
        <f aca="true" t="shared" si="16" ref="D51:I51">D$48*$C51*E59</f>
        <v>572441.32</v>
      </c>
      <c r="E51" s="16">
        <f t="shared" si="16"/>
        <v>195526.65</v>
      </c>
      <c r="F51" s="16">
        <f t="shared" si="16"/>
        <v>26154.26</v>
      </c>
      <c r="G51" s="16">
        <f t="shared" si="16"/>
        <v>13136.64</v>
      </c>
      <c r="H51" s="16">
        <f t="shared" si="16"/>
        <v>39655.770000000004</v>
      </c>
      <c r="I51" s="16">
        <f t="shared" si="16"/>
        <v>556733.1</v>
      </c>
      <c r="J51"/>
      <c r="K51"/>
      <c r="L51"/>
      <c r="M51"/>
      <c r="N51"/>
      <c r="O51"/>
      <c r="P51"/>
    </row>
    <row r="52" spans="1:16" ht="12.75">
      <c r="A52" t="s">
        <v>25</v>
      </c>
      <c r="B52" s="2">
        <v>0</v>
      </c>
      <c r="C52" s="2">
        <v>0.249</v>
      </c>
      <c r="D52" s="16">
        <f aca="true" t="shared" si="17" ref="D52:I52">D$48*$C52*(E60)</f>
        <v>118368.624</v>
      </c>
      <c r="E52" s="16">
        <f t="shared" si="17"/>
        <v>40610.655</v>
      </c>
      <c r="F52" s="16">
        <f t="shared" si="17"/>
        <v>5421.228</v>
      </c>
      <c r="G52" s="16">
        <f t="shared" si="17"/>
        <v>2716.341</v>
      </c>
      <c r="H52" s="16">
        <f t="shared" si="17"/>
        <v>8213.265</v>
      </c>
      <c r="I52" s="16">
        <f t="shared" si="17"/>
        <v>115299.45</v>
      </c>
      <c r="J52"/>
      <c r="K52"/>
      <c r="L52"/>
      <c r="M52"/>
      <c r="N52"/>
      <c r="O52"/>
      <c r="P52"/>
    </row>
    <row r="53" spans="1:16" ht="12.75">
      <c r="A53" t="s">
        <v>26</v>
      </c>
      <c r="B53" s="2">
        <v>0</v>
      </c>
      <c r="C53" s="2">
        <v>0.424</v>
      </c>
      <c r="D53" s="16">
        <f aca="true" t="shared" si="18" ref="D53:I53">D$48*$C53*E61</f>
        <v>1772.32</v>
      </c>
      <c r="E53" s="16">
        <f t="shared" si="18"/>
        <v>604.1999999999999</v>
      </c>
      <c r="F53" s="16">
        <f t="shared" si="18"/>
        <v>83.104</v>
      </c>
      <c r="G53" s="16">
        <f t="shared" si="18"/>
        <v>41.128</v>
      </c>
      <c r="H53" s="16">
        <f t="shared" si="18"/>
        <v>122.112</v>
      </c>
      <c r="I53" s="16">
        <f t="shared" si="18"/>
        <v>1691.76</v>
      </c>
      <c r="J53"/>
      <c r="K53"/>
      <c r="L53"/>
      <c r="M53"/>
      <c r="N53"/>
      <c r="O53"/>
      <c r="P53"/>
    </row>
    <row r="54" spans="4:16" ht="12.75">
      <c r="D54" s="4">
        <f aca="true" t="shared" si="19" ref="D54:I54">SUM(D51:D53)</f>
        <v>692582.2639999999</v>
      </c>
      <c r="E54" s="4">
        <f t="shared" si="19"/>
        <v>236741.505</v>
      </c>
      <c r="F54" s="4">
        <f t="shared" si="19"/>
        <v>31658.591999999997</v>
      </c>
      <c r="G54" s="4">
        <f t="shared" si="19"/>
        <v>15894.109</v>
      </c>
      <c r="H54" s="4">
        <f t="shared" si="19"/>
        <v>47991.147000000004</v>
      </c>
      <c r="I54" s="4">
        <f t="shared" si="19"/>
        <v>673724.3099999999</v>
      </c>
      <c r="J54"/>
      <c r="K54"/>
      <c r="L54"/>
      <c r="M54"/>
      <c r="N54"/>
      <c r="O54"/>
      <c r="P54"/>
    </row>
    <row r="56" spans="1:16" ht="12.75">
      <c r="A5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5" t="s">
        <v>77</v>
      </c>
      <c r="B57" s="20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6"/>
    </row>
    <row r="58" spans="4:10" ht="12.75">
      <c r="D58" s="14">
        <v>38139</v>
      </c>
      <c r="E58" s="14">
        <v>38169</v>
      </c>
      <c r="F58" s="14">
        <v>38200</v>
      </c>
      <c r="G58" s="14">
        <v>38231</v>
      </c>
      <c r="H58" s="14">
        <v>38261</v>
      </c>
      <c r="I58" s="14">
        <v>38292</v>
      </c>
      <c r="J58" s="14">
        <v>38322</v>
      </c>
    </row>
    <row r="59" spans="1:10" ht="12.75">
      <c r="A59" t="s">
        <v>32</v>
      </c>
      <c r="B59" s="2" t="s">
        <v>28</v>
      </c>
      <c r="D59" s="1">
        <v>118209</v>
      </c>
      <c r="E59" s="1">
        <v>118273</v>
      </c>
      <c r="F59" s="1">
        <v>118501</v>
      </c>
      <c r="G59" s="1">
        <v>118883</v>
      </c>
      <c r="H59" s="1">
        <v>119424</v>
      </c>
      <c r="I59" s="1">
        <v>120169</v>
      </c>
      <c r="J59" s="1">
        <v>120505</v>
      </c>
    </row>
    <row r="60" spans="1:10" ht="12.75">
      <c r="A60"/>
      <c r="B60" s="2" t="s">
        <v>29</v>
      </c>
      <c r="D60" s="1">
        <v>10742</v>
      </c>
      <c r="E60" s="1">
        <v>10804</v>
      </c>
      <c r="F60" s="1">
        <v>10873</v>
      </c>
      <c r="G60" s="1">
        <v>10886</v>
      </c>
      <c r="H60" s="1">
        <v>10909</v>
      </c>
      <c r="I60" s="1">
        <v>10995</v>
      </c>
      <c r="J60" s="1">
        <v>11025</v>
      </c>
    </row>
    <row r="61" spans="1:10" ht="12.75">
      <c r="A61"/>
      <c r="B61" s="2" t="s">
        <v>30</v>
      </c>
      <c r="D61" s="1">
        <v>90</v>
      </c>
      <c r="E61" s="1">
        <v>95</v>
      </c>
      <c r="F61" s="1">
        <v>95</v>
      </c>
      <c r="G61" s="1">
        <v>98</v>
      </c>
      <c r="H61" s="1">
        <v>97</v>
      </c>
      <c r="I61" s="1">
        <v>96</v>
      </c>
      <c r="J61" s="1">
        <v>95</v>
      </c>
    </row>
    <row r="62" spans="1:10" ht="12.75">
      <c r="A62"/>
      <c r="B62" s="2" t="s">
        <v>31</v>
      </c>
      <c r="D62" s="1">
        <v>20</v>
      </c>
      <c r="E62" s="1">
        <v>20</v>
      </c>
      <c r="F62" s="1">
        <v>21</v>
      </c>
      <c r="G62" s="1">
        <v>21</v>
      </c>
      <c r="H62" s="1">
        <v>21</v>
      </c>
      <c r="I62" s="1">
        <v>21</v>
      </c>
      <c r="J62" s="1">
        <v>21</v>
      </c>
    </row>
    <row r="63" spans="1:10" ht="12.75">
      <c r="A63" s="2" t="s">
        <v>27</v>
      </c>
      <c r="D63" s="13">
        <f aca="true" t="shared" si="20" ref="D63:J63">SUM(D59:D62)</f>
        <v>129061</v>
      </c>
      <c r="E63" s="13">
        <f t="shared" si="20"/>
        <v>129192</v>
      </c>
      <c r="F63" s="13">
        <f t="shared" si="20"/>
        <v>129490</v>
      </c>
      <c r="G63" s="13">
        <f t="shared" si="20"/>
        <v>129888</v>
      </c>
      <c r="H63" s="13">
        <f t="shared" si="20"/>
        <v>130451</v>
      </c>
      <c r="I63" s="13">
        <f t="shared" si="20"/>
        <v>131281</v>
      </c>
      <c r="J63" s="13">
        <f t="shared" si="20"/>
        <v>131646</v>
      </c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0" ht="12.75">
      <c r="A65" s="32" t="s">
        <v>73</v>
      </c>
      <c r="J65" s="3"/>
    </row>
    <row r="66" spans="1:16" ht="12.75">
      <c r="A66" s="24" t="s">
        <v>35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/>
      <c r="B67"/>
      <c r="C67"/>
      <c r="D67" s="27">
        <v>39448</v>
      </c>
      <c r="E67" s="27">
        <v>39479</v>
      </c>
      <c r="F67" s="27">
        <v>39508</v>
      </c>
      <c r="G67" s="27">
        <v>39539</v>
      </c>
      <c r="H67" s="27">
        <v>39569</v>
      </c>
      <c r="I67" s="27">
        <v>39600</v>
      </c>
      <c r="J67" s="27">
        <v>39630</v>
      </c>
      <c r="K67" s="27">
        <v>39661</v>
      </c>
      <c r="L67" s="27">
        <v>39692</v>
      </c>
      <c r="M67" s="27">
        <v>39722</v>
      </c>
      <c r="N67" s="27">
        <v>39753</v>
      </c>
      <c r="O67" s="27">
        <v>39783</v>
      </c>
      <c r="P67" s="26" t="s">
        <v>36</v>
      </c>
    </row>
    <row r="68" spans="1:16" ht="12.75">
      <c r="A68" s="2" t="s">
        <v>16</v>
      </c>
      <c r="D68" s="6">
        <v>1169</v>
      </c>
      <c r="E68" s="6">
        <f>916+29</f>
        <v>945</v>
      </c>
      <c r="F68" s="6">
        <v>790</v>
      </c>
      <c r="G68" s="6">
        <v>557</v>
      </c>
      <c r="H68" s="6">
        <v>338</v>
      </c>
      <c r="I68" s="6">
        <v>149</v>
      </c>
      <c r="J68" s="6">
        <v>44</v>
      </c>
      <c r="K68" s="6">
        <v>42</v>
      </c>
      <c r="L68" s="6">
        <v>196</v>
      </c>
      <c r="M68" s="6">
        <v>554</v>
      </c>
      <c r="N68" s="6">
        <v>897</v>
      </c>
      <c r="O68" s="6">
        <v>1168</v>
      </c>
      <c r="P68" s="3">
        <f>SUM(D68:O68)</f>
        <v>6849</v>
      </c>
    </row>
    <row r="69" spans="1:16" ht="12.75">
      <c r="A69" s="45" t="s">
        <v>17</v>
      </c>
      <c r="B69"/>
      <c r="C69"/>
      <c r="D69" s="113">
        <v>1243</v>
      </c>
      <c r="E69" s="113">
        <v>952</v>
      </c>
      <c r="F69" s="113">
        <v>880</v>
      </c>
      <c r="G69" s="113">
        <v>683</v>
      </c>
      <c r="H69" s="113">
        <v>274</v>
      </c>
      <c r="I69" s="113">
        <v>176</v>
      </c>
      <c r="J69" s="8">
        <f aca="true" t="shared" si="21" ref="J69:O69">J68</f>
        <v>44</v>
      </c>
      <c r="K69" s="8">
        <f t="shared" si="21"/>
        <v>42</v>
      </c>
      <c r="L69" s="8">
        <f t="shared" si="21"/>
        <v>196</v>
      </c>
      <c r="M69" s="8">
        <f t="shared" si="21"/>
        <v>554</v>
      </c>
      <c r="N69" s="8">
        <f t="shared" si="21"/>
        <v>897</v>
      </c>
      <c r="O69" s="8">
        <f t="shared" si="21"/>
        <v>1168</v>
      </c>
      <c r="P69" s="3">
        <f>SUM(D69:O69)</f>
        <v>7109</v>
      </c>
    </row>
    <row r="70" spans="1:16" ht="12.75">
      <c r="A70" s="5" t="s">
        <v>37</v>
      </c>
      <c r="B70"/>
      <c r="C70"/>
      <c r="D70" s="10">
        <f aca="true" t="shared" si="22" ref="D70:O70">D68-D69</f>
        <v>-74</v>
      </c>
      <c r="E70" s="10">
        <f t="shared" si="22"/>
        <v>-7</v>
      </c>
      <c r="F70" s="10">
        <f t="shared" si="22"/>
        <v>-90</v>
      </c>
      <c r="G70" s="10">
        <f t="shared" si="22"/>
        <v>-126</v>
      </c>
      <c r="H70" s="10">
        <f t="shared" si="22"/>
        <v>64</v>
      </c>
      <c r="I70" s="10">
        <f t="shared" si="22"/>
        <v>-27</v>
      </c>
      <c r="J70" s="10">
        <f t="shared" si="22"/>
        <v>0</v>
      </c>
      <c r="K70" s="10">
        <f t="shared" si="22"/>
        <v>0</v>
      </c>
      <c r="L70" s="10">
        <f t="shared" si="22"/>
        <v>0</v>
      </c>
      <c r="M70" s="10">
        <f t="shared" si="22"/>
        <v>0</v>
      </c>
      <c r="N70" s="10">
        <f t="shared" si="22"/>
        <v>0</v>
      </c>
      <c r="O70" s="10">
        <f t="shared" si="22"/>
        <v>0</v>
      </c>
      <c r="P70" s="4">
        <f>SUM(D70:O70)</f>
        <v>-260</v>
      </c>
    </row>
    <row r="71" spans="1:16" ht="12.75">
      <c r="A71" s="5"/>
      <c r="B71" s="25"/>
      <c r="C71" s="46" t="s">
        <v>64</v>
      </c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2.75">
      <c r="A72" t="s">
        <v>24</v>
      </c>
      <c r="B72"/>
      <c r="C72" s="26" t="s">
        <v>50</v>
      </c>
      <c r="D72" s="47">
        <v>0.101</v>
      </c>
      <c r="E72" s="47">
        <v>0.101</v>
      </c>
      <c r="F72" s="47">
        <v>0.101</v>
      </c>
      <c r="G72" s="47">
        <v>0.09</v>
      </c>
      <c r="H72" s="47">
        <v>0.09</v>
      </c>
      <c r="I72" s="47">
        <v>0.09</v>
      </c>
      <c r="J72" s="47">
        <v>0</v>
      </c>
      <c r="K72" s="47">
        <v>0</v>
      </c>
      <c r="L72" s="47">
        <v>0</v>
      </c>
      <c r="M72" s="47">
        <v>0.09</v>
      </c>
      <c r="N72" s="47">
        <v>0.09</v>
      </c>
      <c r="O72" s="47">
        <v>0.101</v>
      </c>
      <c r="P72"/>
    </row>
    <row r="73" spans="1:16" ht="12.75">
      <c r="A73" t="s">
        <v>25</v>
      </c>
      <c r="B73"/>
      <c r="C73" s="26" t="s">
        <v>50</v>
      </c>
      <c r="D73" s="47">
        <v>0.243</v>
      </c>
      <c r="E73" s="47">
        <v>0.243</v>
      </c>
      <c r="F73" s="47">
        <v>0.243</v>
      </c>
      <c r="G73" s="47">
        <v>0.169</v>
      </c>
      <c r="H73" s="47">
        <v>0.169</v>
      </c>
      <c r="I73" s="47">
        <v>0.169</v>
      </c>
      <c r="J73" s="47">
        <v>0</v>
      </c>
      <c r="K73" s="47">
        <v>0</v>
      </c>
      <c r="L73" s="47">
        <v>0</v>
      </c>
      <c r="M73" s="47">
        <v>0.169</v>
      </c>
      <c r="N73" s="47">
        <v>0.169</v>
      </c>
      <c r="O73" s="47">
        <v>0.243</v>
      </c>
      <c r="P73"/>
    </row>
    <row r="74" spans="1:16" ht="12.75">
      <c r="A74" t="s">
        <v>26</v>
      </c>
      <c r="B74"/>
      <c r="C74" s="26" t="s">
        <v>50</v>
      </c>
      <c r="D74" s="47">
        <v>0.422</v>
      </c>
      <c r="E74" s="47">
        <v>0.422</v>
      </c>
      <c r="F74" s="47">
        <v>0.422</v>
      </c>
      <c r="G74" s="47">
        <v>0.306</v>
      </c>
      <c r="H74" s="47">
        <v>0.306</v>
      </c>
      <c r="I74" s="47">
        <v>0.306</v>
      </c>
      <c r="J74" s="47">
        <v>0</v>
      </c>
      <c r="K74" s="47">
        <v>0</v>
      </c>
      <c r="L74" s="47">
        <v>0</v>
      </c>
      <c r="M74" s="47">
        <v>0.306</v>
      </c>
      <c r="N74" s="47">
        <v>0.306</v>
      </c>
      <c r="O74" s="47">
        <v>0.422</v>
      </c>
      <c r="P74"/>
    </row>
    <row r="75" spans="1:16" ht="12.75">
      <c r="A75"/>
      <c r="B75" s="23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2.75">
      <c r="A76" s="24" t="s">
        <v>42</v>
      </c>
      <c r="B76" s="23"/>
      <c r="C76" s="23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2.75">
      <c r="A77" t="s">
        <v>24</v>
      </c>
      <c r="B77"/>
      <c r="C77"/>
      <c r="D77" s="9">
        <f aca="true" t="shared" si="23" ref="D77:O77">ROUND(D$70*D72*D101,0)</f>
        <v>-927934</v>
      </c>
      <c r="E77" s="9">
        <f t="shared" si="23"/>
        <v>-87884</v>
      </c>
      <c r="F77" s="9">
        <f t="shared" si="23"/>
        <v>-1130678</v>
      </c>
      <c r="G77" s="9">
        <f t="shared" si="23"/>
        <v>-1410719</v>
      </c>
      <c r="H77" s="9">
        <f t="shared" si="23"/>
        <v>717708</v>
      </c>
      <c r="I77" s="9">
        <f t="shared" si="23"/>
        <v>-302190</v>
      </c>
      <c r="J77" s="9">
        <f t="shared" si="23"/>
        <v>0</v>
      </c>
      <c r="K77" s="9">
        <f t="shared" si="23"/>
        <v>0</v>
      </c>
      <c r="L77" s="9">
        <f t="shared" si="23"/>
        <v>0</v>
      </c>
      <c r="M77" s="9">
        <f t="shared" si="23"/>
        <v>0</v>
      </c>
      <c r="N77" s="9">
        <f t="shared" si="23"/>
        <v>0</v>
      </c>
      <c r="O77" s="9">
        <f t="shared" si="23"/>
        <v>0</v>
      </c>
      <c r="P77" s="9">
        <f>SUM(D77:O77)</f>
        <v>-3141697</v>
      </c>
    </row>
    <row r="78" spans="1:16" ht="12.75">
      <c r="A78" t="s">
        <v>25</v>
      </c>
      <c r="B78"/>
      <c r="C78"/>
      <c r="D78" s="9">
        <f aca="true" t="shared" si="24" ref="D78:O78">ROUND(D$70*D73*D102,0)</f>
        <v>-202100</v>
      </c>
      <c r="E78" s="9">
        <f t="shared" si="24"/>
        <v>-19186</v>
      </c>
      <c r="F78" s="9">
        <f t="shared" si="24"/>
        <v>-246890</v>
      </c>
      <c r="G78" s="9">
        <f t="shared" si="24"/>
        <v>-239770</v>
      </c>
      <c r="H78" s="9">
        <f t="shared" si="24"/>
        <v>121410</v>
      </c>
      <c r="I78" s="9">
        <f t="shared" si="24"/>
        <v>-51320</v>
      </c>
      <c r="J78" s="9">
        <f t="shared" si="24"/>
        <v>0</v>
      </c>
      <c r="K78" s="9">
        <f t="shared" si="24"/>
        <v>0</v>
      </c>
      <c r="L78" s="9">
        <f t="shared" si="24"/>
        <v>0</v>
      </c>
      <c r="M78" s="9">
        <f t="shared" si="24"/>
        <v>0</v>
      </c>
      <c r="N78" s="9">
        <f t="shared" si="24"/>
        <v>0</v>
      </c>
      <c r="O78" s="9">
        <f t="shared" si="24"/>
        <v>0</v>
      </c>
      <c r="P78" s="9">
        <f>SUM(D78:O78)</f>
        <v>-637856</v>
      </c>
    </row>
    <row r="79" spans="1:16" ht="12.75">
      <c r="A79" t="s">
        <v>26</v>
      </c>
      <c r="B79"/>
      <c r="C79"/>
      <c r="D79" s="9">
        <f aca="true" t="shared" si="25" ref="D79:O79">ROUND(D$70*D74*D103,0)</f>
        <v>-2935</v>
      </c>
      <c r="E79" s="9">
        <f t="shared" si="25"/>
        <v>-272</v>
      </c>
      <c r="F79" s="9">
        <f t="shared" si="25"/>
        <v>-3456</v>
      </c>
      <c r="G79" s="9">
        <f t="shared" si="25"/>
        <v>-3509</v>
      </c>
      <c r="H79" s="9">
        <f t="shared" si="25"/>
        <v>1723</v>
      </c>
      <c r="I79" s="9">
        <f t="shared" si="25"/>
        <v>-752</v>
      </c>
      <c r="J79" s="9">
        <f t="shared" si="25"/>
        <v>0</v>
      </c>
      <c r="K79" s="9">
        <f t="shared" si="25"/>
        <v>0</v>
      </c>
      <c r="L79" s="9">
        <f t="shared" si="25"/>
        <v>0</v>
      </c>
      <c r="M79" s="9">
        <f t="shared" si="25"/>
        <v>0</v>
      </c>
      <c r="N79" s="9">
        <f t="shared" si="25"/>
        <v>0</v>
      </c>
      <c r="O79" s="9">
        <f t="shared" si="25"/>
        <v>0</v>
      </c>
      <c r="P79" s="9">
        <f>SUM(D79:O79)</f>
        <v>-9201</v>
      </c>
    </row>
    <row r="80" spans="1:16" ht="12.75">
      <c r="A80" t="s">
        <v>43</v>
      </c>
      <c r="B80"/>
      <c r="C80"/>
      <c r="D80" s="15">
        <f aca="true" t="shared" si="26" ref="D80:P80">SUM(D77:D79)</f>
        <v>-1132969</v>
      </c>
      <c r="E80" s="15">
        <f t="shared" si="26"/>
        <v>-107342</v>
      </c>
      <c r="F80" s="15">
        <f t="shared" si="26"/>
        <v>-1381024</v>
      </c>
      <c r="G80" s="15">
        <f t="shared" si="26"/>
        <v>-1653998</v>
      </c>
      <c r="H80" s="15">
        <f t="shared" si="26"/>
        <v>840841</v>
      </c>
      <c r="I80" s="15">
        <f t="shared" si="26"/>
        <v>-354262</v>
      </c>
      <c r="J80" s="15">
        <f t="shared" si="26"/>
        <v>0</v>
      </c>
      <c r="K80" s="15">
        <f t="shared" si="26"/>
        <v>0</v>
      </c>
      <c r="L80" s="15">
        <f t="shared" si="26"/>
        <v>0</v>
      </c>
      <c r="M80" s="15">
        <f t="shared" si="26"/>
        <v>0</v>
      </c>
      <c r="N80" s="15">
        <f t="shared" si="26"/>
        <v>0</v>
      </c>
      <c r="O80" s="15">
        <f t="shared" si="26"/>
        <v>0</v>
      </c>
      <c r="P80" s="15">
        <f t="shared" si="26"/>
        <v>-3788754</v>
      </c>
    </row>
    <row r="81" spans="1:1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2.75">
      <c r="A83" s="24" t="s">
        <v>45</v>
      </c>
      <c r="B83"/>
      <c r="C83"/>
      <c r="D83" s="16"/>
      <c r="E83"/>
      <c r="F83" s="52"/>
      <c r="G83" s="52"/>
      <c r="H83"/>
      <c r="I83"/>
      <c r="J83"/>
      <c r="K83"/>
      <c r="L83"/>
      <c r="M83"/>
      <c r="N83"/>
      <c r="O83"/>
      <c r="P83"/>
    </row>
    <row r="84" spans="1:16" ht="12.75">
      <c r="A84" s="12"/>
      <c r="B84"/>
      <c r="C84"/>
      <c r="D84" s="31">
        <v>39417</v>
      </c>
      <c r="E84" s="31">
        <v>39448</v>
      </c>
      <c r="F84" s="53">
        <v>39479</v>
      </c>
      <c r="G84" s="53">
        <v>39508</v>
      </c>
      <c r="H84" s="31">
        <v>39539</v>
      </c>
      <c r="I84" s="31">
        <v>39569</v>
      </c>
      <c r="J84" s="31">
        <v>39600</v>
      </c>
      <c r="K84" s="31">
        <v>39630</v>
      </c>
      <c r="L84" s="31">
        <v>39661</v>
      </c>
      <c r="M84" s="31">
        <v>39692</v>
      </c>
      <c r="N84" s="31">
        <v>39722</v>
      </c>
      <c r="O84" s="31">
        <v>39753</v>
      </c>
      <c r="P84" s="31">
        <v>39783</v>
      </c>
    </row>
    <row r="85" spans="1:16" ht="12.75">
      <c r="A85" t="s">
        <v>22</v>
      </c>
      <c r="B85"/>
      <c r="C85"/>
      <c r="D85" s="17">
        <f>J35</f>
        <v>702.2</v>
      </c>
      <c r="E85" s="109">
        <v>756.7</v>
      </c>
      <c r="F85" s="109">
        <v>554.3</v>
      </c>
      <c r="G85" s="109">
        <v>549</v>
      </c>
      <c r="H85" s="109">
        <v>424.2</v>
      </c>
      <c r="I85" s="109">
        <v>140.1</v>
      </c>
      <c r="J85" s="109">
        <v>71.2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</row>
    <row r="86" spans="1:16" ht="12.75">
      <c r="A86" t="s">
        <v>23</v>
      </c>
      <c r="B86"/>
      <c r="C86"/>
      <c r="D86" s="18">
        <f>J36</f>
        <v>0.61</v>
      </c>
      <c r="E86" s="114">
        <v>0.5791</v>
      </c>
      <c r="F86" s="114">
        <v>0.599</v>
      </c>
      <c r="G86" s="114">
        <v>0.6132</v>
      </c>
      <c r="H86" s="114">
        <v>0.6425</v>
      </c>
      <c r="I86" s="114">
        <v>0.6361</v>
      </c>
      <c r="J86" s="114">
        <v>0.633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</row>
    <row r="87" spans="1:16" ht="12.75">
      <c r="A87" s="5"/>
      <c r="B87" s="25" t="s">
        <v>65</v>
      </c>
      <c r="C87" s="46" t="s">
        <v>64</v>
      </c>
      <c r="D87" s="18"/>
      <c r="E87" s="21"/>
      <c r="F87" s="59"/>
      <c r="G87" s="59"/>
      <c r="H87" s="21"/>
      <c r="I87" s="21"/>
      <c r="J87" s="21"/>
      <c r="K87" s="21"/>
      <c r="L87" s="21"/>
      <c r="M87" s="21"/>
      <c r="N87" s="21"/>
      <c r="O87" s="21"/>
      <c r="P87" s="19"/>
    </row>
    <row r="88" spans="1:16" ht="12.75">
      <c r="A88" t="s">
        <v>24</v>
      </c>
      <c r="B88" s="43">
        <v>15</v>
      </c>
      <c r="C88" s="26" t="s">
        <v>50</v>
      </c>
      <c r="D88" s="48">
        <v>0.1005</v>
      </c>
      <c r="E88" s="48">
        <v>0.1005</v>
      </c>
      <c r="F88" s="60">
        <v>0.1005</v>
      </c>
      <c r="G88" s="60">
        <f>(F88+H88)/2</f>
        <v>0.09505</v>
      </c>
      <c r="H88" s="48">
        <v>0.0896</v>
      </c>
      <c r="I88" s="48">
        <v>0.0896</v>
      </c>
      <c r="J88" s="48">
        <f>(I88+K88)/2</f>
        <v>0.0448</v>
      </c>
      <c r="K88" s="48">
        <v>0</v>
      </c>
      <c r="L88" s="48">
        <v>0</v>
      </c>
      <c r="M88" s="48">
        <f>(L88+N88)/2</f>
        <v>0.0448</v>
      </c>
      <c r="N88" s="48">
        <v>0.0896</v>
      </c>
      <c r="O88" s="48">
        <f>(N88+P88)/2</f>
        <v>0.09505</v>
      </c>
      <c r="P88" s="48">
        <v>0.1005</v>
      </c>
    </row>
    <row r="89" spans="1:16" ht="12.75">
      <c r="A89" t="s">
        <v>25</v>
      </c>
      <c r="B89" s="43">
        <v>12</v>
      </c>
      <c r="C89" s="26" t="s">
        <v>50</v>
      </c>
      <c r="D89" s="48">
        <v>0.2427</v>
      </c>
      <c r="E89" s="48">
        <v>0.2427</v>
      </c>
      <c r="F89" s="60">
        <v>0.2427</v>
      </c>
      <c r="G89" s="60">
        <f>(F89+H89)/2</f>
        <v>0.20575</v>
      </c>
      <c r="H89" s="48">
        <v>0.1688</v>
      </c>
      <c r="I89" s="48">
        <v>0.1688</v>
      </c>
      <c r="J89" s="48">
        <f>(I89+K89)/2</f>
        <v>0.0844</v>
      </c>
      <c r="K89" s="48">
        <v>0</v>
      </c>
      <c r="L89" s="48">
        <v>0</v>
      </c>
      <c r="M89" s="48">
        <f>(L89+N89)/2</f>
        <v>0.0844</v>
      </c>
      <c r="N89" s="48">
        <v>0.1688</v>
      </c>
      <c r="O89" s="48">
        <f>(N89+P89)/2</f>
        <v>0.20575</v>
      </c>
      <c r="P89" s="48">
        <v>0.2427</v>
      </c>
    </row>
    <row r="90" spans="1:16" ht="12.75">
      <c r="A90" t="s">
        <v>26</v>
      </c>
      <c r="B90" s="43">
        <v>0</v>
      </c>
      <c r="C90" s="26" t="s">
        <v>50</v>
      </c>
      <c r="D90" s="48">
        <v>0.4222</v>
      </c>
      <c r="E90" s="48">
        <v>0.4222</v>
      </c>
      <c r="F90" s="60">
        <v>0.4222</v>
      </c>
      <c r="G90" s="60">
        <f>(F90+H90)/2</f>
        <v>0.36385</v>
      </c>
      <c r="H90" s="48">
        <v>0.3055</v>
      </c>
      <c r="I90" s="48">
        <v>0.3055</v>
      </c>
      <c r="J90" s="48">
        <f>(I90+K90)/2</f>
        <v>0.15275</v>
      </c>
      <c r="K90" s="48">
        <v>0</v>
      </c>
      <c r="L90" s="48">
        <v>0</v>
      </c>
      <c r="M90" s="48">
        <f>(L90+N90)/2</f>
        <v>0.15275</v>
      </c>
      <c r="N90" s="48">
        <v>0.3055</v>
      </c>
      <c r="O90" s="48">
        <f>(N90+P90)/2</f>
        <v>0.36385</v>
      </c>
      <c r="P90" s="48">
        <v>0.4222</v>
      </c>
    </row>
    <row r="91" spans="1:16" ht="12.75">
      <c r="A91"/>
      <c r="B91"/>
      <c r="C91" s="23"/>
      <c r="D91" s="18"/>
      <c r="E91" s="21"/>
      <c r="F91" s="59"/>
      <c r="G91" s="59"/>
      <c r="H91" s="21"/>
      <c r="I91" s="21"/>
      <c r="J91" s="21"/>
      <c r="K91" s="21"/>
      <c r="L91" s="21"/>
      <c r="M91" s="21"/>
      <c r="N91" s="21"/>
      <c r="O91" s="21"/>
      <c r="P91" s="19"/>
    </row>
    <row r="92" spans="1:16" ht="12.75">
      <c r="A92" s="24" t="s">
        <v>42</v>
      </c>
      <c r="B92" s="25"/>
      <c r="C92" s="26"/>
      <c r="D92" s="18"/>
      <c r="E92" s="21"/>
      <c r="F92" s="59"/>
      <c r="G92" s="59"/>
      <c r="H92" s="21"/>
      <c r="I92" s="21"/>
      <c r="J92" s="21"/>
      <c r="K92" s="21"/>
      <c r="L92" s="21"/>
      <c r="M92" s="21"/>
      <c r="N92" s="21"/>
      <c r="O92" s="21"/>
      <c r="P92" s="19"/>
    </row>
    <row r="93" spans="1:16" ht="12.75">
      <c r="A93" t="s">
        <v>24</v>
      </c>
      <c r="B93"/>
      <c r="C93"/>
      <c r="D93" s="9">
        <f aca="true" t="shared" si="27" ref="D93:P93">ROUND((D$85*D88)*C101,0)+ROUND(($B88*D$86)*C101,0)</f>
        <v>9874335</v>
      </c>
      <c r="E93" s="9">
        <f t="shared" si="27"/>
        <v>10520255</v>
      </c>
      <c r="F93" s="9">
        <f t="shared" si="27"/>
        <v>8041622</v>
      </c>
      <c r="G93" s="9">
        <f t="shared" si="27"/>
        <v>7634930</v>
      </c>
      <c r="H93" s="9">
        <f t="shared" si="27"/>
        <v>5927235</v>
      </c>
      <c r="I93" s="9">
        <f t="shared" si="27"/>
        <v>2753014</v>
      </c>
      <c r="J93" s="9">
        <f t="shared" si="27"/>
        <v>1577451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</row>
    <row r="94" spans="1:16" ht="12.75">
      <c r="A94" t="s">
        <v>25</v>
      </c>
      <c r="B94"/>
      <c r="C94"/>
      <c r="D94" s="9">
        <f aca="true" t="shared" si="28" ref="D94:P94">ROUND((D$85*D89)*C102,0)+ROUND(($B89*D$86)*C102,0)</f>
        <v>2005485</v>
      </c>
      <c r="E94" s="9">
        <f t="shared" si="28"/>
        <v>2142157</v>
      </c>
      <c r="F94" s="9">
        <f t="shared" si="28"/>
        <v>1598421</v>
      </c>
      <c r="G94" s="9">
        <f t="shared" si="28"/>
        <v>1358238</v>
      </c>
      <c r="H94" s="9">
        <f t="shared" si="28"/>
        <v>893087</v>
      </c>
      <c r="I94" s="9">
        <f t="shared" si="28"/>
        <v>351142</v>
      </c>
      <c r="J94" s="9">
        <f t="shared" si="28"/>
        <v>153018</v>
      </c>
      <c r="K94" s="9">
        <f t="shared" si="28"/>
        <v>0</v>
      </c>
      <c r="L94" s="9">
        <f t="shared" si="28"/>
        <v>0</v>
      </c>
      <c r="M94" s="9">
        <f t="shared" si="28"/>
        <v>0</v>
      </c>
      <c r="N94" s="9">
        <f t="shared" si="28"/>
        <v>0</v>
      </c>
      <c r="O94" s="9">
        <f t="shared" si="28"/>
        <v>0</v>
      </c>
      <c r="P94" s="9">
        <f t="shared" si="28"/>
        <v>0</v>
      </c>
    </row>
    <row r="95" spans="1:16" ht="12.75">
      <c r="A95" t="s">
        <v>26</v>
      </c>
      <c r="B95"/>
      <c r="C95"/>
      <c r="D95" s="9">
        <f aca="true" t="shared" si="29" ref="D95:P95">ROUND((D$85*D90)*C103,0)+ROUND(($B90*D$86)*C103,0)</f>
        <v>27275</v>
      </c>
      <c r="E95" s="9">
        <f t="shared" si="29"/>
        <v>30031</v>
      </c>
      <c r="F95" s="9">
        <f t="shared" si="29"/>
        <v>21530</v>
      </c>
      <c r="G95" s="9">
        <f t="shared" si="29"/>
        <v>18178</v>
      </c>
      <c r="H95" s="9">
        <f t="shared" si="29"/>
        <v>11793</v>
      </c>
      <c r="I95" s="9">
        <f t="shared" si="29"/>
        <v>3766</v>
      </c>
      <c r="J95" s="9">
        <f t="shared" si="29"/>
        <v>990</v>
      </c>
      <c r="K95" s="9">
        <f t="shared" si="29"/>
        <v>0</v>
      </c>
      <c r="L95" s="9">
        <f t="shared" si="29"/>
        <v>0</v>
      </c>
      <c r="M95" s="9">
        <f t="shared" si="29"/>
        <v>0</v>
      </c>
      <c r="N95" s="9">
        <f t="shared" si="29"/>
        <v>0</v>
      </c>
      <c r="O95" s="9">
        <f t="shared" si="29"/>
        <v>0</v>
      </c>
      <c r="P95" s="9">
        <f t="shared" si="29"/>
        <v>0</v>
      </c>
    </row>
    <row r="96" spans="1:16" ht="12.75">
      <c r="A96" t="s">
        <v>44</v>
      </c>
      <c r="B96"/>
      <c r="C96"/>
      <c r="D96" s="15">
        <f aca="true" t="shared" si="30" ref="D96:P96">SUM(D93:D95)</f>
        <v>11907095</v>
      </c>
      <c r="E96" s="15">
        <f t="shared" si="30"/>
        <v>12692443</v>
      </c>
      <c r="F96" s="15">
        <f t="shared" si="30"/>
        <v>9661573</v>
      </c>
      <c r="G96" s="15">
        <f t="shared" si="30"/>
        <v>9011346</v>
      </c>
      <c r="H96" s="15">
        <f t="shared" si="30"/>
        <v>6832115</v>
      </c>
      <c r="I96" s="15">
        <f t="shared" si="30"/>
        <v>3107922</v>
      </c>
      <c r="J96" s="15">
        <f t="shared" si="30"/>
        <v>1731459</v>
      </c>
      <c r="K96" s="15">
        <f t="shared" si="30"/>
        <v>0</v>
      </c>
      <c r="L96" s="15">
        <f t="shared" si="30"/>
        <v>0</v>
      </c>
      <c r="M96" s="15">
        <f t="shared" si="30"/>
        <v>0</v>
      </c>
      <c r="N96" s="15">
        <f t="shared" si="30"/>
        <v>0</v>
      </c>
      <c r="O96" s="15">
        <f t="shared" si="30"/>
        <v>0</v>
      </c>
      <c r="P96" s="15">
        <f t="shared" si="30"/>
        <v>0</v>
      </c>
    </row>
    <row r="97" spans="1:16" ht="12.75">
      <c r="A97"/>
      <c r="B97"/>
      <c r="C97"/>
      <c r="D97"/>
      <c r="E97"/>
      <c r="F97" s="52"/>
      <c r="G97" s="52"/>
      <c r="H97"/>
      <c r="I97"/>
      <c r="J97"/>
      <c r="K97"/>
      <c r="L97"/>
      <c r="M97"/>
      <c r="N97"/>
      <c r="O97"/>
      <c r="P97"/>
    </row>
    <row r="98" spans="1:1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2.75">
      <c r="A99" s="5" t="s">
        <v>66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2.75">
      <c r="A100" s="5"/>
      <c r="B100" t="s">
        <v>67</v>
      </c>
      <c r="C100" s="31">
        <v>38687</v>
      </c>
      <c r="D100" s="31">
        <v>38718</v>
      </c>
      <c r="E100" s="31">
        <v>38749</v>
      </c>
      <c r="F100" s="31">
        <v>38777</v>
      </c>
      <c r="G100" s="31">
        <v>38808</v>
      </c>
      <c r="H100" s="31">
        <v>38838</v>
      </c>
      <c r="I100" s="31">
        <v>38869</v>
      </c>
      <c r="J100" s="31">
        <v>38899</v>
      </c>
      <c r="K100" s="31">
        <v>38930</v>
      </c>
      <c r="L100" s="31">
        <v>38961</v>
      </c>
      <c r="M100" s="31">
        <v>38991</v>
      </c>
      <c r="N100" s="31">
        <v>39022</v>
      </c>
      <c r="O100" s="31">
        <v>39052</v>
      </c>
      <c r="P100" s="49" t="s">
        <v>68</v>
      </c>
    </row>
    <row r="101" spans="1:16" ht="12.75">
      <c r="A101" t="s">
        <v>69</v>
      </c>
      <c r="B101" s="50" t="s">
        <v>20</v>
      </c>
      <c r="C101" s="9">
        <v>123861</v>
      </c>
      <c r="D101" s="9">
        <v>124155</v>
      </c>
      <c r="E101" s="9">
        <v>124306</v>
      </c>
      <c r="F101" s="9">
        <v>124387</v>
      </c>
      <c r="G101" s="9">
        <v>124402</v>
      </c>
      <c r="H101" s="9">
        <v>124602</v>
      </c>
      <c r="I101" s="9">
        <v>124358</v>
      </c>
      <c r="J101" s="9">
        <v>124482</v>
      </c>
      <c r="K101" s="9">
        <v>124715</v>
      </c>
      <c r="L101" s="9">
        <v>125061</v>
      </c>
      <c r="M101" s="9">
        <v>125868</v>
      </c>
      <c r="N101" s="9">
        <v>126533</v>
      </c>
      <c r="O101" s="9">
        <v>127078</v>
      </c>
      <c r="P101" s="9">
        <f>SUM(D101:O101)</f>
        <v>1499947</v>
      </c>
    </row>
    <row r="102" spans="1:16" ht="12.75">
      <c r="A102" t="s">
        <v>70</v>
      </c>
      <c r="B102" s="50" t="s">
        <v>21</v>
      </c>
      <c r="C102" s="9">
        <v>11283</v>
      </c>
      <c r="D102" s="9">
        <v>11239</v>
      </c>
      <c r="E102" s="9">
        <v>11279</v>
      </c>
      <c r="F102" s="9">
        <v>11289</v>
      </c>
      <c r="G102" s="9">
        <v>11260</v>
      </c>
      <c r="H102" s="9">
        <v>11225</v>
      </c>
      <c r="I102" s="9">
        <v>11247</v>
      </c>
      <c r="J102" s="9">
        <v>11226</v>
      </c>
      <c r="K102" s="9">
        <v>11300</v>
      </c>
      <c r="L102" s="9">
        <v>11291</v>
      </c>
      <c r="M102" s="9">
        <v>11323</v>
      </c>
      <c r="N102" s="9">
        <v>11388</v>
      </c>
      <c r="O102" s="9">
        <v>11474</v>
      </c>
      <c r="P102" s="9">
        <f>SUM(D102:O102)</f>
        <v>135541</v>
      </c>
    </row>
    <row r="103" spans="1:16" ht="12.75">
      <c r="A103" t="s">
        <v>71</v>
      </c>
      <c r="B103" s="50" t="s">
        <v>38</v>
      </c>
      <c r="C103" s="9">
        <v>92</v>
      </c>
      <c r="D103" s="9">
        <v>94</v>
      </c>
      <c r="E103" s="9">
        <v>92</v>
      </c>
      <c r="F103" s="9">
        <v>91</v>
      </c>
      <c r="G103" s="9">
        <v>91</v>
      </c>
      <c r="H103" s="9">
        <v>88</v>
      </c>
      <c r="I103" s="9">
        <v>91</v>
      </c>
      <c r="J103" s="9">
        <v>91</v>
      </c>
      <c r="K103" s="9">
        <v>90</v>
      </c>
      <c r="L103" s="9">
        <v>91</v>
      </c>
      <c r="M103" s="9">
        <v>88</v>
      </c>
      <c r="N103" s="9">
        <v>92</v>
      </c>
      <c r="O103" s="9">
        <v>93</v>
      </c>
      <c r="P103" s="9">
        <f>SUM(D103:O103)</f>
        <v>1092</v>
      </c>
    </row>
    <row r="104" spans="1:16" ht="12.75">
      <c r="A104" t="s">
        <v>72</v>
      </c>
      <c r="B104" s="50" t="s">
        <v>39</v>
      </c>
      <c r="C104" s="9"/>
      <c r="D104" s="9">
        <v>22</v>
      </c>
      <c r="E104" s="9">
        <v>22</v>
      </c>
      <c r="F104" s="9">
        <v>22</v>
      </c>
      <c r="G104" s="9">
        <v>22</v>
      </c>
      <c r="H104" s="9">
        <v>23</v>
      </c>
      <c r="I104" s="9">
        <v>23</v>
      </c>
      <c r="J104" s="9">
        <v>23</v>
      </c>
      <c r="K104" s="9">
        <v>23</v>
      </c>
      <c r="L104" s="9">
        <v>23</v>
      </c>
      <c r="M104" s="9">
        <v>23</v>
      </c>
      <c r="N104" s="9">
        <v>23</v>
      </c>
      <c r="O104" s="9">
        <v>22</v>
      </c>
      <c r="P104" s="9">
        <f>SUM(D104:O104)</f>
        <v>271</v>
      </c>
    </row>
    <row r="105" spans="1:16" ht="12.75">
      <c r="A105" t="s">
        <v>44</v>
      </c>
      <c r="B105"/>
      <c r="C105"/>
      <c r="D105" s="10">
        <f aca="true" t="shared" si="31" ref="D105:P105">SUM(D101:D104)</f>
        <v>135510</v>
      </c>
      <c r="E105" s="10">
        <f t="shared" si="31"/>
        <v>135699</v>
      </c>
      <c r="F105" s="10">
        <f t="shared" si="31"/>
        <v>135789</v>
      </c>
      <c r="G105" s="10">
        <f t="shared" si="31"/>
        <v>135775</v>
      </c>
      <c r="H105" s="10">
        <f t="shared" si="31"/>
        <v>135938</v>
      </c>
      <c r="I105" s="10">
        <f t="shared" si="31"/>
        <v>135719</v>
      </c>
      <c r="J105" s="10">
        <f t="shared" si="31"/>
        <v>135822</v>
      </c>
      <c r="K105" s="10">
        <f t="shared" si="31"/>
        <v>136128</v>
      </c>
      <c r="L105" s="10">
        <f t="shared" si="31"/>
        <v>136466</v>
      </c>
      <c r="M105" s="10">
        <f t="shared" si="31"/>
        <v>137302</v>
      </c>
      <c r="N105" s="10">
        <f t="shared" si="31"/>
        <v>138036</v>
      </c>
      <c r="O105" s="10">
        <f t="shared" si="31"/>
        <v>138667</v>
      </c>
      <c r="P105" s="10">
        <f t="shared" si="31"/>
        <v>1636851</v>
      </c>
    </row>
  </sheetData>
  <printOptions horizontalCentered="1" verticalCentered="1"/>
  <pageMargins left="0.25" right="0.25" top="1" bottom="0.65" header="1" footer="0.5"/>
  <pageSetup horizontalDpi="600" verticalDpi="600" orientation="landscape" scale="65" r:id="rId1"/>
  <headerFooter alignWithMargins="0">
    <oddHeader>&amp;C&amp;12Avista Corporation Natural Gas Decoupling Mechanism
Docket No. UG-060518
Quarterly Report for 1st Quarter 2009</oddHeader>
    <oddFooter>&amp;Lfile: &amp;F / &amp;A&amp;RPage &amp;P of &amp;N</oddFooter>
  </headerFooter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szckct</cp:lastModifiedBy>
  <cp:lastPrinted>2009-04-30T21:10:25Z</cp:lastPrinted>
  <dcterms:created xsi:type="dcterms:W3CDTF">1996-10-14T23:33:28Z</dcterms:created>
  <dcterms:modified xsi:type="dcterms:W3CDTF">2009-05-01T21:17:03Z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