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strategen.sharepoint.com/egnyte/Consulting/Client Work/The Energy Project/PSE Disconnection Filing/Project Work/Strategen Workpapers/"/>
    </mc:Choice>
  </mc:AlternateContent>
  <xr:revisionPtr revIDLastSave="65" documentId="13_ncr:1_{31B3EA79-0954-4C40-9341-5C7FF9EECDA7}" xr6:coauthVersionLast="47" xr6:coauthVersionMax="47" xr10:uidLastSave="{967BFA6C-F83C-4D27-9241-D4A7192102A8}"/>
  <bookViews>
    <workbookView xWindow="630" yWindow="360" windowWidth="28770" windowHeight="15090" activeTab="1" xr2:uid="{00000000-000D-0000-FFFF-FFFF00000000}"/>
  </bookViews>
  <sheets>
    <sheet name="TEP DR 121 Attach C" sheetId="1" r:id="rId1"/>
    <sheet name="TEP DR 121 Attach C_StrategenLI" sheetId="4" r:id="rId2"/>
    <sheet name="Gas Forecasted Revenue" sheetId="2" r:id="rId3"/>
    <sheet name="Electric Forecasted Revenue" sheetId="3" r:id="rId4"/>
  </sheets>
  <definedNames>
    <definedName name="_Order1">255</definedName>
    <definedName name="_Order2">255</definedName>
    <definedName name="_Regression_Int">1</definedName>
    <definedName name="AccessDatabase">"I:\COMTREL\FINICLE\TradeSummary.mdb"</definedName>
    <definedName name="AS2DocOpenMode">"AS2DocumentEdit"</definedName>
    <definedName name="Aurora_Prices">"Monthly Price Summary'!$C$4:$H$63"</definedName>
    <definedName name="Button_1">"TradeSummary_Ken_Finicle_List"</definedName>
    <definedName name="CBWorkbookPriority">-2060790043</definedName>
    <definedName name="HTML_CodePage">1252</definedName>
    <definedName name="HTML_Control" localSheetId="3">{"'Sheet1'!$A$1:$J$121"}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limcount">1</definedName>
    <definedName name="LOLD">1</definedName>
    <definedName name="LOLD_Table">10</definedName>
    <definedName name="LOLD_ZZCOOM_M03_Q004">10</definedName>
    <definedName name="LOLD_ZZCOOM_M03_Q004ORDERS">13</definedName>
    <definedName name="LOLD_ZZCOOM_M03_Q004SKF">13</definedName>
    <definedName name="_xlnm.Print_Area" localSheetId="3">'Electric Forecasted Revenue'!$A$1:$Y$39</definedName>
    <definedName name="_xlnm.Print_Area" localSheetId="2">'Gas Forecasted Revenue'!$B$1:$S$36</definedName>
    <definedName name="_xlnm.Print_Titles" localSheetId="3">'Electric Forecasted Revenue'!$A:$B</definedName>
    <definedName name="SAPBEXhrIndnt">"Wide"</definedName>
    <definedName name="SAPsysID">"708C5W7SBKP804JT78WJ0JNKI"</definedName>
    <definedName name="SAPwbID">"ARS"</definedName>
    <definedName name="solver_eval">0</definedName>
    <definedName name="solver_ntri">1000</definedName>
    <definedName name="solver_rsmp">1</definedName>
    <definedName name="solver_seed">0</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4" l="1"/>
  <c r="G43" i="4"/>
  <c r="D43" i="4"/>
  <c r="D21" i="4"/>
  <c r="E34" i="4" s="1"/>
  <c r="C21" i="4"/>
  <c r="D20" i="4"/>
  <c r="E35" i="4" s="1"/>
  <c r="C20" i="4"/>
  <c r="E16" i="4"/>
  <c r="E11" i="4"/>
  <c r="G45" i="4" l="1"/>
  <c r="D44" i="4"/>
  <c r="D45" i="4" s="1"/>
  <c r="E20" i="4"/>
  <c r="F20" i="4" s="1"/>
  <c r="E21" i="4"/>
  <c r="F21" i="4" s="1"/>
  <c r="E17" i="4"/>
  <c r="F35" i="4"/>
  <c r="F44" i="4"/>
  <c r="H44" i="4" s="1"/>
  <c r="F43" i="4"/>
  <c r="H43" i="4" s="1"/>
  <c r="F34" i="4"/>
  <c r="C34" i="4"/>
  <c r="D34" i="4" s="1"/>
  <c r="C35" i="4"/>
  <c r="D22" i="4"/>
  <c r="E36" i="4" s="1"/>
  <c r="F36" i="4" s="1"/>
  <c r="C22" i="4"/>
  <c r="F34" i="1"/>
  <c r="E43" i="1"/>
  <c r="D34" i="1"/>
  <c r="D43" i="1"/>
  <c r="X41" i="3"/>
  <c r="Y41" i="3" s="1"/>
  <c r="X37" i="3"/>
  <c r="Y37" i="3" s="1"/>
  <c r="X33" i="3"/>
  <c r="Y33" i="3" s="1"/>
  <c r="X32" i="3"/>
  <c r="Y32" i="3" s="1"/>
  <c r="X31" i="3"/>
  <c r="Y31" i="3" s="1"/>
  <c r="X28" i="3"/>
  <c r="Y28" i="3" s="1"/>
  <c r="W29" i="3"/>
  <c r="V29" i="3"/>
  <c r="U29" i="3"/>
  <c r="T29" i="3"/>
  <c r="S29" i="3"/>
  <c r="R29" i="3"/>
  <c r="Q29" i="3"/>
  <c r="P29" i="3"/>
  <c r="O29" i="3"/>
  <c r="N29" i="3"/>
  <c r="M29" i="3"/>
  <c r="L29" i="3"/>
  <c r="K29" i="3"/>
  <c r="J29" i="3"/>
  <c r="I29" i="3"/>
  <c r="H29" i="3"/>
  <c r="G29" i="3"/>
  <c r="F29" i="3"/>
  <c r="E29" i="3"/>
  <c r="D29" i="3"/>
  <c r="C29" i="3"/>
  <c r="X24" i="3"/>
  <c r="Y24" i="3" s="1"/>
  <c r="X23" i="3"/>
  <c r="Y23" i="3" s="1"/>
  <c r="X22" i="3"/>
  <c r="Y22" i="3" s="1"/>
  <c r="W25" i="3"/>
  <c r="V25" i="3"/>
  <c r="U25" i="3"/>
  <c r="T25" i="3"/>
  <c r="S25" i="3"/>
  <c r="R25" i="3"/>
  <c r="Q25" i="3"/>
  <c r="P25" i="3"/>
  <c r="O25" i="3"/>
  <c r="N25" i="3"/>
  <c r="M25" i="3"/>
  <c r="L25" i="3"/>
  <c r="K25" i="3"/>
  <c r="J25" i="3"/>
  <c r="I25" i="3"/>
  <c r="H25" i="3"/>
  <c r="G25" i="3"/>
  <c r="F25" i="3"/>
  <c r="E25" i="3"/>
  <c r="D25" i="3"/>
  <c r="C25" i="3"/>
  <c r="X18" i="3"/>
  <c r="Y18" i="3" s="1"/>
  <c r="X17" i="3"/>
  <c r="Y17" i="3" s="1"/>
  <c r="X16" i="3"/>
  <c r="Y16" i="3" s="1"/>
  <c r="X15" i="3"/>
  <c r="Y15" i="3" s="1"/>
  <c r="X14" i="3"/>
  <c r="Y14" i="3" s="1"/>
  <c r="X13" i="3"/>
  <c r="Y13" i="3" s="1"/>
  <c r="X12" i="3"/>
  <c r="Y12" i="3" s="1"/>
  <c r="W19" i="3"/>
  <c r="V19" i="3"/>
  <c r="U19" i="3"/>
  <c r="T19" i="3"/>
  <c r="S19" i="3"/>
  <c r="R19" i="3"/>
  <c r="Q19" i="3"/>
  <c r="P19" i="3"/>
  <c r="O19" i="3"/>
  <c r="N19" i="3"/>
  <c r="M19" i="3"/>
  <c r="L19" i="3"/>
  <c r="K19" i="3"/>
  <c r="J19" i="3"/>
  <c r="I19" i="3"/>
  <c r="H19" i="3"/>
  <c r="G19" i="3"/>
  <c r="F19" i="3"/>
  <c r="X11" i="3"/>
  <c r="D19" i="3"/>
  <c r="C1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W9" i="3"/>
  <c r="W35" i="3" s="1"/>
  <c r="W39" i="3" s="1"/>
  <c r="W42" i="3" s="1"/>
  <c r="V9" i="3"/>
  <c r="U9" i="3"/>
  <c r="T9" i="3"/>
  <c r="S9" i="3"/>
  <c r="R9" i="3"/>
  <c r="Q9" i="3"/>
  <c r="P9" i="3"/>
  <c r="P35" i="3" s="1"/>
  <c r="P39" i="3" s="1"/>
  <c r="P42" i="3" s="1"/>
  <c r="O9" i="3"/>
  <c r="O35" i="3" s="1"/>
  <c r="O39" i="3" s="1"/>
  <c r="O42" i="3" s="1"/>
  <c r="N9" i="3"/>
  <c r="N35" i="3" s="1"/>
  <c r="N39" i="3" s="1"/>
  <c r="N42" i="3" s="1"/>
  <c r="M9" i="3"/>
  <c r="L9" i="3"/>
  <c r="K9" i="3"/>
  <c r="J9" i="3"/>
  <c r="I9" i="3"/>
  <c r="H9" i="3"/>
  <c r="H35" i="3" s="1"/>
  <c r="H39" i="3" s="1"/>
  <c r="H42" i="3" s="1"/>
  <c r="G9" i="3"/>
  <c r="G35" i="3" s="1"/>
  <c r="G39" i="3" s="1"/>
  <c r="G42" i="3" s="1"/>
  <c r="F9" i="3"/>
  <c r="F35" i="3" s="1"/>
  <c r="F39" i="3" s="1"/>
  <c r="F42" i="3" s="1"/>
  <c r="X8" i="3"/>
  <c r="D9" i="3"/>
  <c r="C9" i="3"/>
  <c r="C43" i="4" l="1"/>
  <c r="E43" i="4" s="1"/>
  <c r="C44" i="4"/>
  <c r="E44" i="4" s="1"/>
  <c r="D35" i="4"/>
  <c r="F45" i="4"/>
  <c r="H45" i="4" s="1"/>
  <c r="E22" i="4"/>
  <c r="F22" i="4" s="1"/>
  <c r="C36" i="4"/>
  <c r="D36" i="4" s="1"/>
  <c r="D44" i="1"/>
  <c r="D45" i="1" s="1"/>
  <c r="I35" i="3"/>
  <c r="I39" i="3" s="1"/>
  <c r="I42" i="3" s="1"/>
  <c r="Q35" i="3"/>
  <c r="Q39" i="3" s="1"/>
  <c r="Q42" i="3" s="1"/>
  <c r="C35" i="3"/>
  <c r="C39" i="3" s="1"/>
  <c r="C42" i="3" s="1"/>
  <c r="K35" i="3"/>
  <c r="K39" i="3" s="1"/>
  <c r="K42" i="3" s="1"/>
  <c r="S35" i="3"/>
  <c r="S39" i="3" s="1"/>
  <c r="S42" i="3" s="1"/>
  <c r="X19" i="3"/>
  <c r="Y11" i="3"/>
  <c r="Y19" i="3" s="1"/>
  <c r="J35" i="3"/>
  <c r="J39" i="3" s="1"/>
  <c r="J42" i="3" s="1"/>
  <c r="D35" i="3"/>
  <c r="D39" i="3" s="1"/>
  <c r="D42" i="3" s="1"/>
  <c r="L35" i="3"/>
  <c r="L39" i="3" s="1"/>
  <c r="L42" i="3" s="1"/>
  <c r="T35" i="3"/>
  <c r="T39" i="3" s="1"/>
  <c r="T42" i="3" s="1"/>
  <c r="Y8" i="3"/>
  <c r="Y9" i="3" s="1"/>
  <c r="X9" i="3"/>
  <c r="M35" i="3"/>
  <c r="M39" i="3" s="1"/>
  <c r="M42" i="3" s="1"/>
  <c r="U35" i="3"/>
  <c r="U39" i="3" s="1"/>
  <c r="U42" i="3" s="1"/>
  <c r="R35" i="3"/>
  <c r="R39" i="3" s="1"/>
  <c r="R42" i="3" s="1"/>
  <c r="V35" i="3"/>
  <c r="V39" i="3" s="1"/>
  <c r="V42" i="3" s="1"/>
  <c r="X27" i="3"/>
  <c r="E9" i="3"/>
  <c r="X21" i="3"/>
  <c r="E19" i="3"/>
  <c r="C45" i="4" l="1"/>
  <c r="E45" i="4" s="1"/>
  <c r="X35" i="3"/>
  <c r="X39" i="3" s="1"/>
  <c r="X42" i="3" s="1"/>
  <c r="Y21" i="3"/>
  <c r="Y25" i="3" s="1"/>
  <c r="Y35" i="3" s="1"/>
  <c r="Y39" i="3" s="1"/>
  <c r="Y42" i="3" s="1"/>
  <c r="X25" i="3"/>
  <c r="E35" i="3"/>
  <c r="E39" i="3" s="1"/>
  <c r="E42" i="3" s="1"/>
  <c r="X29" i="3"/>
  <c r="Y27" i="3"/>
  <c r="Y29" i="3" s="1"/>
  <c r="R32" i="2" l="1"/>
  <c r="Q32" i="2"/>
  <c r="N32" i="2"/>
  <c r="M32" i="2"/>
  <c r="L32" i="2"/>
  <c r="J32" i="2"/>
  <c r="I32" i="2"/>
  <c r="E32" i="2"/>
  <c r="D32" i="2"/>
  <c r="R31" i="2"/>
  <c r="P31" i="2"/>
  <c r="L31" i="2"/>
  <c r="E31" i="2"/>
  <c r="P30" i="2"/>
  <c r="M30" i="2"/>
  <c r="L30" i="2"/>
  <c r="E30" i="2"/>
  <c r="R29" i="2"/>
  <c r="Q28" i="2"/>
  <c r="P28" i="2"/>
  <c r="I28" i="2"/>
  <c r="P27" i="2"/>
  <c r="L27" i="2"/>
  <c r="D27" i="2"/>
  <c r="Q26" i="2"/>
  <c r="P26" i="2"/>
  <c r="M26" i="2"/>
  <c r="I26" i="2"/>
  <c r="E26" i="2"/>
  <c r="P32" i="2"/>
  <c r="O32" i="2"/>
  <c r="K32" i="2"/>
  <c r="G32" i="2"/>
  <c r="D31" i="2"/>
  <c r="D30" i="2"/>
  <c r="F18" i="2"/>
  <c r="H18" i="2" s="1"/>
  <c r="S18" i="2" s="1"/>
  <c r="H17" i="2"/>
  <c r="F17" i="2"/>
  <c r="Q31" i="2"/>
  <c r="M31" i="2"/>
  <c r="K31" i="2"/>
  <c r="J31" i="2"/>
  <c r="I31" i="2"/>
  <c r="F16" i="2"/>
  <c r="H16" i="2" s="1"/>
  <c r="R30" i="2"/>
  <c r="Q30" i="2"/>
  <c r="O30" i="2"/>
  <c r="N30" i="2"/>
  <c r="K30" i="2"/>
  <c r="J30" i="2"/>
  <c r="I30" i="2"/>
  <c r="G30" i="2"/>
  <c r="F15" i="2"/>
  <c r="H15" i="2" s="1"/>
  <c r="S15" i="2" s="1"/>
  <c r="Q29" i="2"/>
  <c r="P29" i="2"/>
  <c r="O29" i="2"/>
  <c r="N29" i="2"/>
  <c r="M29" i="2"/>
  <c r="L29" i="2"/>
  <c r="J29" i="2"/>
  <c r="I29" i="2"/>
  <c r="G29" i="2"/>
  <c r="D29" i="2"/>
  <c r="R28" i="2"/>
  <c r="O28" i="2"/>
  <c r="N28" i="2"/>
  <c r="M28" i="2"/>
  <c r="L28" i="2"/>
  <c r="K28" i="2"/>
  <c r="J28" i="2"/>
  <c r="G28" i="2"/>
  <c r="F13" i="2"/>
  <c r="H13" i="2" s="1"/>
  <c r="E28" i="2"/>
  <c r="D28" i="2"/>
  <c r="Q27" i="2"/>
  <c r="O27" i="2"/>
  <c r="M27" i="2"/>
  <c r="K27" i="2"/>
  <c r="J27" i="2"/>
  <c r="I27" i="2"/>
  <c r="E27" i="2"/>
  <c r="F11" i="2"/>
  <c r="H11" i="2" s="1"/>
  <c r="S11" i="2" s="1"/>
  <c r="L26" i="2"/>
  <c r="F10" i="2"/>
  <c r="H10" i="2" s="1"/>
  <c r="D26" i="2"/>
  <c r="E6" i="2"/>
  <c r="M33" i="2" l="1"/>
  <c r="S13" i="2"/>
  <c r="S28" i="2" s="1"/>
  <c r="H28" i="2"/>
  <c r="I33" i="2"/>
  <c r="S10" i="2"/>
  <c r="G43" i="1" s="1"/>
  <c r="H26" i="2"/>
  <c r="L33" i="2"/>
  <c r="F27" i="2"/>
  <c r="P33" i="2"/>
  <c r="D33" i="2"/>
  <c r="F28" i="2"/>
  <c r="S16" i="2"/>
  <c r="Q33" i="2"/>
  <c r="J26" i="2"/>
  <c r="J33" i="2" s="1"/>
  <c r="J23" i="2"/>
  <c r="N26" i="2"/>
  <c r="N23" i="2"/>
  <c r="R26" i="2"/>
  <c r="R23" i="2"/>
  <c r="P23" i="2"/>
  <c r="F30" i="2"/>
  <c r="F31" i="2"/>
  <c r="G26" i="2"/>
  <c r="G23" i="2"/>
  <c r="K26" i="2"/>
  <c r="K23" i="2"/>
  <c r="O26" i="2"/>
  <c r="O23" i="2"/>
  <c r="F12" i="2"/>
  <c r="H12" i="2" s="1"/>
  <c r="N27" i="2"/>
  <c r="R27" i="2"/>
  <c r="N31" i="2"/>
  <c r="S17" i="2"/>
  <c r="F19" i="2"/>
  <c r="H19" i="2" s="1"/>
  <c r="S19" i="2" s="1"/>
  <c r="I23" i="2"/>
  <c r="Q23" i="2"/>
  <c r="F32" i="2"/>
  <c r="G27" i="2"/>
  <c r="F14" i="2"/>
  <c r="H14" i="2" s="1"/>
  <c r="O31" i="2"/>
  <c r="F22" i="2"/>
  <c r="H22" i="2" s="1"/>
  <c r="D23" i="2"/>
  <c r="L23" i="2"/>
  <c r="K29" i="2"/>
  <c r="G31" i="2"/>
  <c r="F20" i="2"/>
  <c r="H20" i="2" s="1"/>
  <c r="S20" i="2" s="1"/>
  <c r="S30" i="2" s="1"/>
  <c r="F21" i="2"/>
  <c r="H21" i="2" s="1"/>
  <c r="S21" i="2" s="1"/>
  <c r="E23" i="2"/>
  <c r="F23" i="2" s="1"/>
  <c r="M23" i="2"/>
  <c r="F26" i="2"/>
  <c r="E29" i="2"/>
  <c r="F29" i="2" s="1"/>
  <c r="H30" i="2" l="1"/>
  <c r="R33" i="2"/>
  <c r="S12" i="2"/>
  <c r="H27" i="2"/>
  <c r="K33" i="2"/>
  <c r="S26" i="2"/>
  <c r="S14" i="2"/>
  <c r="S29" i="2" s="1"/>
  <c r="H29" i="2"/>
  <c r="O33" i="2"/>
  <c r="G33" i="2"/>
  <c r="N33" i="2"/>
  <c r="S31" i="2"/>
  <c r="H23" i="2"/>
  <c r="S22" i="2"/>
  <c r="S32" i="2" s="1"/>
  <c r="H32" i="2"/>
  <c r="H31" i="2"/>
  <c r="E33" i="2"/>
  <c r="F33" i="2" s="1"/>
  <c r="H33" i="2" l="1"/>
  <c r="S27" i="2"/>
  <c r="S33" i="2" s="1"/>
  <c r="G44" i="1"/>
  <c r="G45" i="1" s="1"/>
  <c r="S23" i="2"/>
  <c r="D21" i="1" l="1"/>
  <c r="E34" i="1" s="1"/>
  <c r="C21" i="1"/>
  <c r="D20" i="1"/>
  <c r="E35" i="1" s="1"/>
  <c r="C20" i="1"/>
  <c r="E16" i="1"/>
  <c r="E11" i="1"/>
  <c r="E21" i="1" l="1"/>
  <c r="F21" i="1" s="1"/>
  <c r="E20" i="1"/>
  <c r="F20" i="1" s="1"/>
  <c r="F35" i="1"/>
  <c r="F44" i="1"/>
  <c r="H44" i="1" s="1"/>
  <c r="F43" i="1"/>
  <c r="C34" i="1"/>
  <c r="D22" i="1"/>
  <c r="E36" i="1" s="1"/>
  <c r="F36" i="1" s="1"/>
  <c r="C22" i="1"/>
  <c r="C35" i="1"/>
  <c r="E17" i="1"/>
  <c r="H43" i="1" l="1"/>
  <c r="F45" i="1"/>
  <c r="H45" i="1" s="1"/>
  <c r="C43" i="1"/>
  <c r="D35" i="1"/>
  <c r="C44" i="1"/>
  <c r="E44" i="1" s="1"/>
  <c r="E22" i="1"/>
  <c r="F22" i="1" s="1"/>
  <c r="C36" i="1"/>
  <c r="D36" i="1" s="1"/>
  <c r="C45" i="1" l="1"/>
  <c r="E45" i="1" s="1"/>
</calcChain>
</file>

<file path=xl/sharedStrings.xml><?xml version="1.0" encoding="utf-8"?>
<sst xmlns="http://schemas.openxmlformats.org/spreadsheetml/2006/main" count="262" uniqueCount="159">
  <si>
    <t>Displays data for commercial/industrial and residential customers with past due balances &gt; $0.00</t>
  </si>
  <si>
    <t xml:space="preserve">*Blank fuel type is the result of missing fuel type data. </t>
  </si>
  <si>
    <t>DATE</t>
  </si>
  <si>
    <t>CUSTOMER TYPE</t>
  </si>
  <si>
    <t>FUEL TYPE</t>
  </si>
  <si>
    <t>TOTAL PAST DUE</t>
  </si>
  <si>
    <t>2023 - OCTOBER 31</t>
  </si>
  <si>
    <t>Commercial / Industrial</t>
  </si>
  <si>
    <t>Dual</t>
  </si>
  <si>
    <t>Electric</t>
  </si>
  <si>
    <t>Gas</t>
  </si>
  <si>
    <t>(Blank)*</t>
  </si>
  <si>
    <t>SUB-TOTAL</t>
  </si>
  <si>
    <t>Residential</t>
  </si>
  <si>
    <t>TOTAL</t>
  </si>
  <si>
    <t>Category</t>
  </si>
  <si>
    <t>Total</t>
  </si>
  <si>
    <t>C&amp;I</t>
  </si>
  <si>
    <r>
      <t>Reference:</t>
    </r>
    <r>
      <rPr>
        <b/>
        <sz val="12"/>
        <color theme="1"/>
        <rFont val="Arial"/>
        <family val="2"/>
      </rPr>
      <t xml:space="preserve"> </t>
    </r>
    <r>
      <rPr>
        <sz val="12"/>
        <color theme="1"/>
        <rFont val="Arial"/>
        <family val="2"/>
      </rPr>
      <t>Petition Testimony of Carol Wallace (November 17, 2023); UE-220066 et al.</t>
    </r>
  </si>
  <si>
    <t>Approximate rate impacts based on total annual projected revenue at rates effective November 1, 2023</t>
  </si>
  <si>
    <t>Arrearages data</t>
  </si>
  <si>
    <t>Category of customers</t>
  </si>
  <si>
    <t>Arrearages ($)</t>
  </si>
  <si>
    <t>Estimated rate impact* (%)</t>
  </si>
  <si>
    <r>
      <t>Residential</t>
    </r>
    <r>
      <rPr>
        <i/>
        <sz val="11.5"/>
        <rFont val="Times New Roman"/>
        <family val="1"/>
      </rPr>
      <t xml:space="preserve"> (Scenario 3)</t>
    </r>
  </si>
  <si>
    <r>
      <t xml:space="preserve">Commercial &amp; Industrial (C&amp;I)  </t>
    </r>
    <r>
      <rPr>
        <i/>
        <sz val="11.5"/>
        <rFont val="Times New Roman"/>
        <family val="1"/>
      </rPr>
      <t>(Modified scenario 4)</t>
    </r>
  </si>
  <si>
    <r>
      <t xml:space="preserve">Total </t>
    </r>
    <r>
      <rPr>
        <b/>
        <i/>
        <sz val="11.5"/>
        <rFont val="Times New Roman"/>
        <family val="1"/>
      </rPr>
      <t>(Scenario 5)</t>
    </r>
  </si>
  <si>
    <t>Assumption for Scenarios' Rate Impacts:</t>
  </si>
  <si>
    <t>*Based on Total Forecasted Revenue at rates effective November 1, 2023</t>
  </si>
  <si>
    <t>Puget Sound Energy</t>
  </si>
  <si>
    <t>CY 2024 Gas Forecasted Revenue at Rates Effective November 1, 2023</t>
  </si>
  <si>
    <t>TEP Data Request No. 121</t>
  </si>
  <si>
    <t>Forecasted</t>
  </si>
  <si>
    <t>UG-220067</t>
  </si>
  <si>
    <t>Base Sch.</t>
  </si>
  <si>
    <t>Therms</t>
  </si>
  <si>
    <t>12ME Dec. 2024</t>
  </si>
  <si>
    <t>Rate</t>
  </si>
  <si>
    <t>Volume</t>
  </si>
  <si>
    <t>Base Schedule</t>
  </si>
  <si>
    <t>Jan. 2024 -</t>
  </si>
  <si>
    <t>Sch. 101</t>
  </si>
  <si>
    <t>Sch. 106</t>
  </si>
  <si>
    <t>Sch. 111</t>
  </si>
  <si>
    <t>Sch. 120</t>
  </si>
  <si>
    <t>Sch. 129</t>
  </si>
  <si>
    <t>Sch. 140</t>
  </si>
  <si>
    <t>Sch. 141D</t>
  </si>
  <si>
    <t>Sch. 141N</t>
  </si>
  <si>
    <t>Sch. 141R</t>
  </si>
  <si>
    <t>Sch. 142</t>
  </si>
  <si>
    <t>Total Forecasted</t>
  </si>
  <si>
    <t>Rate Class</t>
  </si>
  <si>
    <t>Schedule</t>
  </si>
  <si>
    <r>
      <t>(Therms)</t>
    </r>
    <r>
      <rPr>
        <vertAlign val="superscript"/>
        <sz val="11"/>
        <color theme="1"/>
        <rFont val="Calibri"/>
        <family val="2"/>
      </rPr>
      <t xml:space="preserve"> (1)</t>
    </r>
  </si>
  <si>
    <r>
      <t>Revenue</t>
    </r>
    <r>
      <rPr>
        <vertAlign val="superscript"/>
        <sz val="11"/>
        <color theme="1"/>
        <rFont val="Calibri"/>
        <family val="2"/>
      </rPr>
      <t xml:space="preserve"> (1)</t>
    </r>
  </si>
  <si>
    <t>$/Therm</t>
  </si>
  <si>
    <t>Dec. 2024</t>
  </si>
  <si>
    <t>Revenue</t>
  </si>
  <si>
    <r>
      <t>Revenue</t>
    </r>
    <r>
      <rPr>
        <vertAlign val="superscript"/>
        <sz val="11"/>
        <color theme="1"/>
        <rFont val="Calibri"/>
        <family val="2"/>
        <scheme val="minor"/>
      </rPr>
      <t xml:space="preserve"> (2)</t>
    </r>
  </si>
  <si>
    <t>A</t>
  </si>
  <si>
    <t>B</t>
  </si>
  <si>
    <t>C</t>
  </si>
  <si>
    <t>D</t>
  </si>
  <si>
    <t>E=D/C</t>
  </si>
  <si>
    <t xml:space="preserve">F </t>
  </si>
  <si>
    <t xml:space="preserve">G=E*F </t>
  </si>
  <si>
    <t>H</t>
  </si>
  <si>
    <t>I</t>
  </si>
  <si>
    <t>J</t>
  </si>
  <si>
    <t>K</t>
  </si>
  <si>
    <t>L</t>
  </si>
  <si>
    <t>M</t>
  </si>
  <si>
    <t>N</t>
  </si>
  <si>
    <t>O</t>
  </si>
  <si>
    <t>P</t>
  </si>
  <si>
    <t>Q</t>
  </si>
  <si>
    <t>R = sum(G:Q)</t>
  </si>
  <si>
    <t>Residential Gas Lights</t>
  </si>
  <si>
    <t>Commercial &amp; Industrial</t>
  </si>
  <si>
    <t>Large Volume</t>
  </si>
  <si>
    <t>Interruptible</t>
  </si>
  <si>
    <t>Limited Interruptible</t>
  </si>
  <si>
    <t>Non-exclusive Interruptible</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</si>
  <si>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</si>
  <si>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</si>
  <si>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</si>
  <si>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</si>
  <si>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</si>
  <si>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</si>
  <si>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</si>
  <si>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</si>
  <si>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</si>
  <si>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</si>
  <si>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</si>
  <si>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By Customer Class:</t>
  </si>
  <si>
    <t>16,23,53</t>
  </si>
  <si>
    <t>Commercial &amp; industrial</t>
  </si>
  <si>
    <t>31,31T</t>
  </si>
  <si>
    <t>Large volume</t>
  </si>
  <si>
    <t>41,41T</t>
  </si>
  <si>
    <t>85,85T</t>
  </si>
  <si>
    <t>Limited interruptible</t>
  </si>
  <si>
    <t>86,86T</t>
  </si>
  <si>
    <t>Non-exclusive interruptible</t>
  </si>
  <si>
    <t>87,87T</t>
  </si>
  <si>
    <r>
      <rPr>
        <vertAlign val="superscript"/>
        <sz val="11"/>
        <color theme="1"/>
        <rFont val="Calibri"/>
        <family val="2"/>
      </rPr>
      <t xml:space="preserve">(1) </t>
    </r>
    <r>
      <rPr>
        <sz val="11"/>
        <color theme="1"/>
        <rFont val="Calibri"/>
        <family val="2"/>
        <scheme val="minor"/>
      </rPr>
      <t>Weather normalized volume and base schedule margin for 12 months ending June 2021, at approved rates from UG-220067 GRC compliance filing.</t>
    </r>
  </si>
  <si>
    <r>
      <rPr>
        <vertAlign val="superscript"/>
        <sz val="11"/>
        <color theme="1"/>
        <rFont val="Calibri"/>
        <family val="2"/>
      </rPr>
      <t xml:space="preserve">(2) </t>
    </r>
    <r>
      <rPr>
        <sz val="11"/>
        <color theme="1"/>
        <rFont val="Calibri"/>
        <family val="2"/>
        <scheme val="minor"/>
      </rPr>
      <t>Forecasted revenues at current rates effective November 1, 2023.</t>
    </r>
  </si>
  <si>
    <t>TEP DR No. 121</t>
  </si>
  <si>
    <t>Forecasted Annual Revenue</t>
  </si>
  <si>
    <t>Estimated rate impact (%)</t>
  </si>
  <si>
    <t>Rate Impacts</t>
  </si>
  <si>
    <t>Test Year Ended October 31, 2024</t>
  </si>
  <si>
    <t>Effective date November 1, 2023</t>
  </si>
  <si>
    <t>NOTE 1</t>
  </si>
  <si>
    <t>NOTE 2</t>
  </si>
  <si>
    <t>Line No.</t>
  </si>
  <si>
    <t>Tariff</t>
  </si>
  <si>
    <t>Annual kWh Delivered Sales  11/01/23 to 10/31/24 (F2023)</t>
  </si>
  <si>
    <t>Estimated Annual
Base Revenue
Rates Effective
01/11/23</t>
  </si>
  <si>
    <t>Schedule 95
PCA Supplemental</t>
  </si>
  <si>
    <t>Schedule 95
PCORC</t>
  </si>
  <si>
    <t>Schedule 95A
Federal Incentive Credit</t>
  </si>
  <si>
    <t>Schedule 120
Conservation</t>
  </si>
  <si>
    <t>Schedule 129
Low Income</t>
  </si>
  <si>
    <t xml:space="preserve">Schedule 129D
Bill Discount </t>
  </si>
  <si>
    <t xml:space="preserve">Schedule 139 Green Direct </t>
  </si>
  <si>
    <t>Schedule 139 Green Direct Supplemental</t>
  </si>
  <si>
    <t>Schedule 140
Property Tax</t>
  </si>
  <si>
    <t>Schedule 141A
Energy Charge Credit</t>
  </si>
  <si>
    <t>Schedule 141CEI Clean Energy Implementation Plan</t>
  </si>
  <si>
    <t>Schedule 141COL
Colstrip Adjustment</t>
  </si>
  <si>
    <t>Schedule 141N
Rates Not Subject to Refund</t>
  </si>
  <si>
    <t>Schedule 141R
Rates Subject to Refund</t>
  </si>
  <si>
    <t>Schedule 141TEP</t>
  </si>
  <si>
    <t>Schedule 141Z (Unprotected)
EDIT</t>
  </si>
  <si>
    <t>Schedule 142
 Deferral</t>
  </si>
  <si>
    <t>Schedule 142
Supplemental</t>
  </si>
  <si>
    <t>Schedule 194
BPA Res &amp; Farm Credit</t>
  </si>
  <si>
    <t>Subtotal
Rider
Rates</t>
  </si>
  <si>
    <t>Annual Estimated Revenue @ Rates Effective 11/01/23</t>
  </si>
  <si>
    <t>7, 7BDR, 307, 317, 327 *</t>
  </si>
  <si>
    <t>24, 324</t>
  </si>
  <si>
    <t>7A</t>
  </si>
  <si>
    <t>26 &amp; 26P</t>
  </si>
  <si>
    <t>Total Secondary</t>
  </si>
  <si>
    <t>Total Primary</t>
  </si>
  <si>
    <t>Total High Voltage</t>
  </si>
  <si>
    <t>50-59</t>
  </si>
  <si>
    <t>Transportation 449-459</t>
  </si>
  <si>
    <t>Special Contract</t>
  </si>
  <si>
    <t>Retail Sales</t>
  </si>
  <si>
    <t>Total Sales</t>
  </si>
  <si>
    <t>Check</t>
  </si>
  <si>
    <t xml:space="preserve">Note 1: Schedule 129 and SCH 129 were not approved by UTC at the time when November 1, 2023 Electric Rate Impacts were calculated, therefore using rates in effect as of September 1, 2023 </t>
  </si>
  <si>
    <t>Note 2: Schedule 194 Residential Energy Exchange Credit is excluded from Bill Discount Rate ("7BDR")</t>
  </si>
  <si>
    <t>Forecasted Annual Revenue*</t>
  </si>
  <si>
    <t>* Note: Does not Include Firm Sales under SCH 5</t>
  </si>
  <si>
    <t>Updated per TEP-117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</si>
</sst>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_(&quot;$&quot;* #,##0.00000_);_(&quot;$&quot;* \(#,##0.00000\);_(&quot;$&quot;* &quot;-&quot;??_);_(@_)"/>
  </numFmts>
  <fonts count="31" x14ac:knownFonts="1">
    <font>
      <sz val="11"/>
      <color theme="1"/>
      <name val="Calibri"/>
      <family val="2"/>
      <scheme val="minor"/>
    </font>
    <font>
      <sz val="11"/>
      <color theme="1"/>
      <name val="Calibri"/>
      <family val="2"/>
      <scheme val="minor"/>
    </font>
    <font>
      <sz val="10"/>
      <color theme="1"/>
      <name val="Calibri"/>
      <family val="2"/>
      <scheme val="minor"/>
    </font>
    <font>
      <b/>
      <sz val="10"/>
      <color theme="0"/>
      <name val="Calibri"/>
      <family val="2"/>
      <scheme val="minor"/>
    </font>
    <font>
      <sz val="10"/>
      <name val="Calibri"/>
      <family val="2"/>
      <scheme val="minor"/>
    </font>
    <font>
      <b/>
      <sz val="10"/>
      <color theme="1"/>
      <name val="Calibri"/>
      <family val="2"/>
      <scheme val="minor"/>
    </font>
    <font>
      <sz val="10"/>
      <color rgb="FFFF0000"/>
      <name val="Calibri"/>
      <family val="2"/>
      <scheme val="minor"/>
    </font>
    <font>
      <sz val="12"/>
      <color theme="1"/>
      <name val="Arial"/>
      <family val="2"/>
    </font>
    <font>
      <b/>
      <sz val="12"/>
      <color theme="1"/>
      <name val="Arial"/>
      <family val="2"/>
    </font>
    <font>
      <sz val="10"/>
      <color theme="1"/>
      <name val="Arial"/>
      <family val="2"/>
    </font>
    <font>
      <b/>
      <sz val="11.5"/>
      <color theme="1"/>
      <name val="Times New Roman"/>
      <family val="1"/>
    </font>
    <font>
      <sz val="11.5"/>
      <name val="Times New Roman"/>
      <family val="1"/>
    </font>
    <font>
      <i/>
      <sz val="11.5"/>
      <name val="Times New Roman"/>
      <family val="1"/>
    </font>
    <font>
      <b/>
      <sz val="11.5"/>
      <name val="Times New Roman"/>
      <family val="1"/>
    </font>
    <font>
      <b/>
      <i/>
      <sz val="11.5"/>
      <name val="Times New Roman"/>
      <family val="1"/>
    </font>
    <font>
      <b/>
      <sz val="11.5"/>
      <color rgb="FF0000FF"/>
      <name val="Times New Roman"/>
      <family val="1"/>
    </font>
    <font>
      <sz val="11"/>
      <name val="Calibri"/>
      <family val="2"/>
      <scheme val="minor"/>
    </font>
    <font>
      <sz val="11"/>
      <color rgb="FF0000FF"/>
      <name val="Calibri"/>
      <family val="2"/>
      <scheme val="minor"/>
    </font>
    <font>
      <vertAlign val="superscript"/>
      <sz val="11"/>
      <color theme="1"/>
      <name val="Calibri"/>
      <family val="2"/>
    </font>
    <font>
      <vertAlign val="superscript"/>
      <sz val="11"/>
      <color theme="1"/>
      <name val="Calibri"/>
      <family val="2"/>
      <scheme val="minor"/>
    </font>
    <font>
      <sz val="11"/>
      <color rgb="FF008080"/>
      <name val="Calibri"/>
      <family val="2"/>
      <scheme val="minor"/>
    </font>
    <font>
      <u/>
      <sz val="11"/>
      <name val="Calibri"/>
      <family val="2"/>
    </font>
    <font>
      <b/>
      <sz val="11"/>
      <name val="Calibri"/>
      <family val="2"/>
    </font>
    <font>
      <sz val="11"/>
      <name val="Calibri"/>
      <family val="2"/>
    </font>
    <font>
      <sz val="10"/>
      <name val="Arial"/>
      <family val="2"/>
    </font>
    <font>
      <b/>
      <sz val="8"/>
      <name val="Arial"/>
      <family val="2"/>
    </font>
    <font>
      <sz val="8"/>
      <name val="Arial"/>
      <family val="2"/>
    </font>
    <font>
      <b/>
      <sz val="8"/>
      <color rgb="FF0000FF"/>
      <name val="Arial"/>
      <family val="2"/>
    </font>
    <font>
      <sz val="8"/>
      <color rgb="FF0000FF"/>
      <name val="Arial"/>
      <family val="2"/>
    </font>
    <font>
      <sz val="8"/>
      <color rgb="FF008080"/>
      <name val="Arial"/>
      <family val="2"/>
    </font>
    <font>
      <sz val="8"/>
      <color rgb="FFFF0000"/>
      <name val="Arial"/>
      <family val="2"/>
    </font>
  </fonts>
  <fills count="7">
    <fill>
      <patternFill patternType="none"/>
    </fill>
    <fill>
      <patternFill patternType="gray125"/>
    </fill>
    <fill>
      <patternFill patternType="solid">
        <fgColor rgb="FF0099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indexed="64"/>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4" fillId="0" borderId="0"/>
    <xf numFmtId="44" fontId="24" fillId="0" borderId="0" applyFont="0" applyFill="0" applyBorder="0" applyAlignment="0" applyProtection="0"/>
  </cellStyleXfs>
  <cellXfs count="136">
    <xf numFmtId="0" fontId="0" fillId="0" borderId="0" xfId="0"/>
    <xf numFmtId="0" fontId="2"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3" borderId="4" xfId="0" applyFont="1" applyFill="1" applyBorder="1"/>
    <xf numFmtId="164" fontId="2" fillId="0" borderId="0" xfId="2" applyNumberFormat="1" applyFont="1"/>
    <xf numFmtId="165" fontId="2" fillId="0" borderId="0" xfId="0" applyNumberFormat="1" applyFont="1"/>
    <xf numFmtId="0" fontId="2" fillId="3" borderId="6" xfId="0" applyFont="1" applyFill="1" applyBorder="1"/>
    <xf numFmtId="0" fontId="5" fillId="4" borderId="8" xfId="0" applyFont="1" applyFill="1" applyBorder="1"/>
    <xf numFmtId="9" fontId="2" fillId="0" borderId="0" xfId="3" applyFont="1"/>
    <xf numFmtId="42" fontId="5" fillId="3" borderId="8" xfId="0" applyNumberFormat="1" applyFont="1" applyFill="1" applyBorder="1"/>
    <xf numFmtId="0" fontId="5" fillId="5" borderId="0" xfId="0" applyFont="1" applyFill="1" applyAlignment="1">
      <alignment horizontal="center"/>
    </xf>
    <xf numFmtId="0" fontId="2" fillId="5" borderId="0" xfId="0" applyFont="1" applyFill="1"/>
    <xf numFmtId="164" fontId="2" fillId="5" borderId="0" xfId="0" applyNumberFormat="1" applyFont="1" applyFill="1"/>
    <xf numFmtId="43" fontId="6" fillId="0" borderId="0" xfId="1" applyFont="1" applyAlignment="1">
      <alignment horizontal="left"/>
    </xf>
    <xf numFmtId="0" fontId="7" fillId="0" borderId="0" xfId="0" applyFont="1" applyAlignment="1">
      <alignment vertical="center"/>
    </xf>
    <xf numFmtId="0" fontId="9" fillId="0" borderId="0" xfId="0" applyFont="1"/>
    <xf numFmtId="0" fontId="10"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horizontal="left" wrapText="1"/>
    </xf>
    <xf numFmtId="0" fontId="10" fillId="0" borderId="3" xfId="0" applyFont="1" applyBorder="1" applyAlignment="1">
      <alignment horizontal="center" vertical="center" wrapText="1"/>
    </xf>
    <xf numFmtId="0" fontId="11" fillId="0" borderId="7" xfId="0" applyFont="1" applyBorder="1" applyAlignment="1">
      <alignment vertical="center" wrapText="1"/>
    </xf>
    <xf numFmtId="164" fontId="11" fillId="0" borderId="9" xfId="0" applyNumberFormat="1" applyFont="1" applyBorder="1" applyAlignment="1">
      <alignment vertical="center" wrapText="1"/>
    </xf>
    <xf numFmtId="166" fontId="11" fillId="0" borderId="9" xfId="0" applyNumberFormat="1" applyFont="1" applyBorder="1" applyAlignment="1">
      <alignment vertical="center" wrapText="1"/>
    </xf>
    <xf numFmtId="0" fontId="13" fillId="0" borderId="7" xfId="0" applyFont="1" applyBorder="1" applyAlignment="1">
      <alignment vertical="center" wrapText="1"/>
    </xf>
    <xf numFmtId="166" fontId="13" fillId="0" borderId="9" xfId="0" applyNumberFormat="1" applyFont="1" applyBorder="1" applyAlignment="1">
      <alignment vertical="center" wrapText="1"/>
    </xf>
    <xf numFmtId="6" fontId="11" fillId="0" borderId="9" xfId="0" applyNumberFormat="1" applyFont="1" applyBorder="1" applyAlignment="1">
      <alignment vertical="center" wrapText="1"/>
    </xf>
    <xf numFmtId="44" fontId="2" fillId="0" borderId="0" xfId="0" applyNumberFormat="1" applyFont="1"/>
    <xf numFmtId="0" fontId="0" fillId="0" borderId="0" xfId="0" applyAlignment="1">
      <alignment horizontal="center"/>
    </xf>
    <xf numFmtId="0" fontId="17" fillId="0" borderId="0" xfId="0" applyFont="1" applyAlignment="1">
      <alignment horizontal="center"/>
    </xf>
    <xf numFmtId="0" fontId="0" fillId="0" borderId="10" xfId="0" applyBorder="1" applyAlignment="1">
      <alignment horizontal="center"/>
    </xf>
    <xf numFmtId="0" fontId="17" fillId="0" borderId="10" xfId="0" quotePrefix="1" applyFont="1" applyBorder="1" applyAlignment="1">
      <alignment horizontal="center"/>
    </xf>
    <xf numFmtId="3" fontId="0" fillId="0" borderId="0" xfId="0" applyNumberFormat="1" applyAlignment="1">
      <alignment horizontal="center"/>
    </xf>
    <xf numFmtId="42" fontId="0" fillId="0" borderId="0" xfId="0" applyNumberFormat="1" applyAlignment="1">
      <alignment horizontal="center"/>
    </xf>
    <xf numFmtId="3" fontId="20" fillId="0" borderId="0" xfId="0" applyNumberFormat="1" applyFont="1"/>
    <xf numFmtId="42" fontId="20" fillId="0" borderId="0" xfId="0" applyNumberFormat="1" applyFont="1"/>
    <xf numFmtId="167" fontId="0" fillId="0" borderId="0" xfId="0" applyNumberFormat="1"/>
    <xf numFmtId="42" fontId="0" fillId="0" borderId="0" xfId="0" applyNumberFormat="1"/>
    <xf numFmtId="42" fontId="16" fillId="0" borderId="0" xfId="0" applyNumberFormat="1" applyFont="1"/>
    <xf numFmtId="42" fontId="17" fillId="0" borderId="0" xfId="0" applyNumberFormat="1" applyFont="1"/>
    <xf numFmtId="167" fontId="0" fillId="0" borderId="10" xfId="0" applyNumberFormat="1" applyBorder="1"/>
    <xf numFmtId="3" fontId="0" fillId="0" borderId="11" xfId="0" applyNumberFormat="1" applyBorder="1"/>
    <xf numFmtId="42" fontId="0" fillId="0" borderId="11" xfId="0" applyNumberFormat="1" applyBorder="1"/>
    <xf numFmtId="42" fontId="16" fillId="0" borderId="11" xfId="0" applyNumberFormat="1" applyFont="1" applyBorder="1"/>
    <xf numFmtId="3" fontId="0" fillId="0" borderId="0" xfId="0" applyNumberFormat="1"/>
    <xf numFmtId="0" fontId="21" fillId="0" borderId="0" xfId="0" applyFont="1" applyAlignment="1">
      <alignment horizontal="left"/>
    </xf>
    <xf numFmtId="0" fontId="22" fillId="0" borderId="0" xfId="0" applyFont="1" applyAlignment="1">
      <alignment horizontal="left"/>
    </xf>
    <xf numFmtId="3" fontId="23" fillId="0" borderId="0" xfId="0" applyNumberFormat="1" applyFont="1"/>
    <xf numFmtId="42" fontId="23" fillId="0" borderId="0" xfId="0" applyNumberFormat="1" applyFont="1"/>
    <xf numFmtId="0" fontId="23" fillId="0" borderId="0" xfId="0" applyFont="1"/>
    <xf numFmtId="0" fontId="23" fillId="0" borderId="0" xfId="0" applyFont="1" applyAlignment="1">
      <alignment horizontal="left"/>
    </xf>
    <xf numFmtId="0" fontId="23" fillId="0" borderId="0" xfId="0" applyFont="1" applyAlignment="1">
      <alignment horizontal="center"/>
    </xf>
    <xf numFmtId="165" fontId="23" fillId="0" borderId="0" xfId="0" applyNumberFormat="1" applyFont="1"/>
    <xf numFmtId="164" fontId="23" fillId="0" borderId="0" xfId="0" applyNumberFormat="1" applyFont="1"/>
    <xf numFmtId="165" fontId="23" fillId="0" borderId="11" xfId="0" applyNumberFormat="1" applyFont="1" applyBorder="1"/>
    <xf numFmtId="164" fontId="23" fillId="0" borderId="11" xfId="0" applyNumberFormat="1" applyFont="1" applyBorder="1"/>
    <xf numFmtId="167" fontId="0" fillId="0" borderId="11" xfId="0" applyNumberFormat="1" applyBorder="1"/>
    <xf numFmtId="0" fontId="10" fillId="0" borderId="2" xfId="0" applyFont="1" applyBorder="1" applyAlignment="1">
      <alignment vertical="center" wrapText="1"/>
    </xf>
    <xf numFmtId="166" fontId="11" fillId="0" borderId="9" xfId="3" applyNumberFormat="1" applyFont="1" applyFill="1" applyBorder="1" applyAlignment="1">
      <alignment vertical="center" wrapText="1"/>
    </xf>
    <xf numFmtId="0" fontId="11" fillId="0" borderId="0" xfId="0" applyFont="1" applyAlignment="1">
      <alignment horizontal="right" vertical="center" wrapText="1"/>
    </xf>
    <xf numFmtId="6" fontId="11" fillId="0" borderId="0" xfId="0" applyNumberFormat="1" applyFont="1" applyAlignment="1">
      <alignment vertical="center" wrapText="1"/>
    </xf>
    <xf numFmtId="164" fontId="11" fillId="0" borderId="0" xfId="0" applyNumberFormat="1" applyFont="1" applyAlignment="1">
      <alignment vertical="center" wrapText="1"/>
    </xf>
    <xf numFmtId="6" fontId="15" fillId="0" borderId="0" xfId="0" applyNumberFormat="1" applyFont="1" applyAlignment="1">
      <alignment vertical="center" wrapText="1"/>
    </xf>
    <xf numFmtId="0" fontId="11" fillId="0" borderId="8" xfId="0" applyFont="1" applyBorder="1" applyAlignment="1">
      <alignment horizontal="right" vertical="center" wrapText="1"/>
    </xf>
    <xf numFmtId="6" fontId="11" fillId="0" borderId="3" xfId="0" applyNumberFormat="1" applyFont="1" applyBorder="1" applyAlignment="1">
      <alignment vertical="center" wrapText="1"/>
    </xf>
    <xf numFmtId="164" fontId="11" fillId="0" borderId="3" xfId="0" applyNumberFormat="1" applyFont="1" applyBorder="1" applyAlignment="1">
      <alignment vertical="center" wrapText="1"/>
    </xf>
    <xf numFmtId="6" fontId="15" fillId="0" borderId="3" xfId="0" applyNumberFormat="1" applyFont="1" applyBorder="1" applyAlignment="1">
      <alignment vertical="center" wrapText="1"/>
    </xf>
    <xf numFmtId="0" fontId="11" fillId="0" borderId="7" xfId="0" applyFont="1" applyBorder="1" applyAlignment="1">
      <alignment horizontal="left" vertical="center" wrapText="1"/>
    </xf>
    <xf numFmtId="0" fontId="25" fillId="0" borderId="0" xfId="4" applyFont="1" applyAlignment="1">
      <alignment horizontal="centerContinuous" vertical="center"/>
    </xf>
    <xf numFmtId="0" fontId="25" fillId="0" borderId="0" xfId="4" applyFont="1" applyAlignment="1">
      <alignment horizontal="centerContinuous"/>
    </xf>
    <xf numFmtId="0" fontId="26" fillId="0" borderId="0" xfId="4" applyFont="1"/>
    <xf numFmtId="0" fontId="25" fillId="0" borderId="0" xfId="4" applyFont="1" applyAlignment="1">
      <alignment horizontal="centerContinuous" vertical="justify"/>
    </xf>
    <xf numFmtId="0" fontId="26" fillId="0" borderId="0" xfId="4" applyFont="1" applyAlignment="1">
      <alignment horizontal="centerContinuous" vertical="justify"/>
    </xf>
    <xf numFmtId="0" fontId="27" fillId="0" borderId="0" xfId="4" applyFont="1" applyAlignment="1">
      <alignment horizontal="centerContinuous" vertical="center"/>
    </xf>
    <xf numFmtId="0" fontId="28" fillId="0" borderId="0" xfId="4" applyFont="1" applyAlignment="1">
      <alignment horizontal="centerContinuous" vertical="center"/>
    </xf>
    <xf numFmtId="0" fontId="28" fillId="0" borderId="0" xfId="4" applyFont="1"/>
    <xf numFmtId="0" fontId="27" fillId="0" borderId="0" xfId="4" quotePrefix="1" applyFont="1" applyAlignment="1">
      <alignment horizontal="centerContinuous" vertical="center"/>
    </xf>
    <xf numFmtId="0" fontId="26" fillId="0" borderId="0" xfId="4" quotePrefix="1" applyFont="1" applyAlignment="1">
      <alignment horizontal="center"/>
    </xf>
    <xf numFmtId="0" fontId="26" fillId="0" borderId="0" xfId="4" applyFont="1" applyAlignment="1">
      <alignment horizontal="center"/>
    </xf>
    <xf numFmtId="14" fontId="26" fillId="0" borderId="0" xfId="4" applyNumberFormat="1" applyFont="1"/>
    <xf numFmtId="0" fontId="25" fillId="0" borderId="10" xfId="4" applyFont="1" applyBorder="1" applyAlignment="1">
      <alignment horizontal="center" wrapText="1"/>
    </xf>
    <xf numFmtId="0" fontId="25" fillId="0" borderId="10" xfId="4" quotePrefix="1" applyFont="1" applyBorder="1" applyAlignment="1">
      <alignment horizontal="center" wrapText="1"/>
    </xf>
    <xf numFmtId="17" fontId="25" fillId="0" borderId="10" xfId="4" quotePrefix="1" applyNumberFormat="1" applyFont="1" applyBorder="1" applyAlignment="1">
      <alignment horizontal="center" wrapText="1"/>
    </xf>
    <xf numFmtId="0" fontId="25" fillId="0" borderId="0" xfId="4" applyFont="1"/>
    <xf numFmtId="0" fontId="28" fillId="0" borderId="0" xfId="4" applyFont="1" applyAlignment="1">
      <alignment horizontal="center"/>
    </xf>
    <xf numFmtId="165" fontId="29" fillId="0" borderId="0" xfId="4" applyNumberFormat="1" applyFont="1"/>
    <xf numFmtId="164" fontId="29" fillId="0" borderId="0" xfId="4" applyNumberFormat="1" applyFont="1"/>
    <xf numFmtId="164" fontId="26" fillId="0" borderId="0" xfId="4" applyNumberFormat="1" applyFont="1"/>
    <xf numFmtId="165" fontId="26" fillId="0" borderId="12" xfId="4" applyNumberFormat="1" applyFont="1" applyBorder="1"/>
    <xf numFmtId="164" fontId="26" fillId="0" borderId="12" xfId="4" applyNumberFormat="1" applyFont="1" applyBorder="1"/>
    <xf numFmtId="0" fontId="28" fillId="0" borderId="0" xfId="4" quotePrefix="1" applyFont="1" applyAlignment="1">
      <alignment horizontal="center"/>
    </xf>
    <xf numFmtId="165" fontId="26" fillId="0" borderId="0" xfId="4" applyNumberFormat="1" applyFont="1"/>
    <xf numFmtId="165" fontId="26" fillId="0" borderId="13" xfId="4" applyNumberFormat="1" applyFont="1" applyBorder="1"/>
    <xf numFmtId="164" fontId="26" fillId="0" borderId="13" xfId="5" applyNumberFormat="1" applyFont="1" applyFill="1" applyBorder="1"/>
    <xf numFmtId="164" fontId="26" fillId="0" borderId="0" xfId="5" applyNumberFormat="1" applyFont="1" applyFill="1"/>
    <xf numFmtId="165" fontId="29" fillId="0" borderId="13" xfId="4" applyNumberFormat="1" applyFont="1" applyBorder="1"/>
    <xf numFmtId="164" fontId="29" fillId="0" borderId="13" xfId="5" applyNumberFormat="1" applyFont="1" applyFill="1" applyBorder="1"/>
    <xf numFmtId="0" fontId="30" fillId="0" borderId="0" xfId="4" applyFont="1" applyAlignment="1">
      <alignment horizontal="center"/>
    </xf>
    <xf numFmtId="0" fontId="30" fillId="0" borderId="0" xfId="4" applyFont="1"/>
    <xf numFmtId="165" fontId="30" fillId="0" borderId="0" xfId="4" applyNumberFormat="1" applyFont="1"/>
    <xf numFmtId="164" fontId="30" fillId="0" borderId="0" xfId="5" applyNumberFormat="1" applyFont="1" applyFill="1"/>
    <xf numFmtId="0" fontId="26" fillId="0" borderId="0" xfId="4" applyFont="1" applyAlignment="1">
      <alignment horizontal="left"/>
    </xf>
    <xf numFmtId="164" fontId="2" fillId="0" borderId="0" xfId="0" applyNumberFormat="1" applyFont="1"/>
    <xf numFmtId="0" fontId="2" fillId="6" borderId="0" xfId="0" applyFont="1" applyFill="1"/>
    <xf numFmtId="42" fontId="4" fillId="6" borderId="5" xfId="0" applyNumberFormat="1" applyFont="1" applyFill="1" applyBorder="1"/>
    <xf numFmtId="42" fontId="2" fillId="6" borderId="3" xfId="0" applyNumberFormat="1" applyFont="1" applyFill="1" applyBorder="1"/>
    <xf numFmtId="42" fontId="2" fillId="6" borderId="8" xfId="0" applyNumberFormat="1" applyFont="1" applyFill="1" applyBorder="1"/>
    <xf numFmtId="166" fontId="2" fillId="0" borderId="0" xfId="3" applyNumberFormat="1" applyFont="1"/>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3" borderId="4"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5" fillId="3" borderId="1" xfId="0" applyFont="1" applyFill="1" applyBorder="1" applyAlignment="1">
      <alignment horizontal="right"/>
    </xf>
    <xf numFmtId="0" fontId="5" fillId="3" borderId="3" xfId="0" applyFont="1" applyFill="1" applyBorder="1" applyAlignment="1">
      <alignment horizontal="right"/>
    </xf>
    <xf numFmtId="0" fontId="16" fillId="0" borderId="0" xfId="0" applyFont="1" applyAlignment="1">
      <alignment horizontal="center"/>
    </xf>
    <xf numFmtId="0" fontId="0" fillId="0" borderId="0" xfId="0" applyAlignment="1">
      <alignment horizontal="center"/>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 xfId="0" applyFont="1" applyFill="1" applyBorder="1" applyAlignment="1">
      <alignment vertical="center" wrapText="1"/>
    </xf>
    <xf numFmtId="0" fontId="10" fillId="6" borderId="2" xfId="0" applyFont="1" applyFill="1" applyBorder="1" applyAlignment="1">
      <alignment vertical="center" wrapText="1"/>
    </xf>
    <xf numFmtId="0" fontId="10" fillId="6" borderId="3" xfId="0" applyFont="1" applyFill="1" applyBorder="1" applyAlignment="1">
      <alignment vertical="center" wrapText="1"/>
    </xf>
    <xf numFmtId="0" fontId="10" fillId="6" borderId="8" xfId="0" applyFont="1" applyFill="1" applyBorder="1" applyAlignment="1">
      <alignment horizontal="left" wrapText="1"/>
    </xf>
    <xf numFmtId="0" fontId="10" fillId="6" borderId="3" xfId="0" applyFont="1" applyFill="1" applyBorder="1" applyAlignment="1">
      <alignment horizontal="center" vertical="center" wrapText="1"/>
    </xf>
    <xf numFmtId="0" fontId="11" fillId="6" borderId="7" xfId="0" applyFont="1" applyFill="1" applyBorder="1" applyAlignment="1">
      <alignment horizontal="left" vertical="center" wrapText="1"/>
    </xf>
    <xf numFmtId="164" fontId="11" fillId="6" borderId="9" xfId="0" applyNumberFormat="1" applyFont="1" applyFill="1" applyBorder="1" applyAlignment="1">
      <alignment vertical="center" wrapText="1"/>
    </xf>
    <xf numFmtId="6" fontId="11" fillId="6" borderId="9" xfId="0" applyNumberFormat="1" applyFont="1" applyFill="1" applyBorder="1" applyAlignment="1">
      <alignment vertical="center" wrapText="1"/>
    </xf>
    <xf numFmtId="166" fontId="11" fillId="6" borderId="9" xfId="3" applyNumberFormat="1" applyFont="1" applyFill="1" applyBorder="1" applyAlignment="1">
      <alignment vertical="center" wrapText="1"/>
    </xf>
  </cellXfs>
  <cellStyles count="6">
    <cellStyle name="Comma" xfId="1" builtinId="3"/>
    <cellStyle name="Currency" xfId="2" builtinId="4"/>
    <cellStyle name="Currency 2 12" xfId="5" xr:uid="{851ACB41-6B96-440C-B1A1-D54E50D1E87C}"/>
    <cellStyle name="Normal" xfId="0" builtinId="0"/>
    <cellStyle name="Normal 2 10" xfId="4" xr:uid="{8492955A-8294-415C-B2DF-678F51EDE428}"/>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7"/>
  <sheetViews>
    <sheetView topLeftCell="A9" zoomScaleNormal="100" workbookViewId="0">
      <selection activeCell="F19" sqref="F19"/>
    </sheetView>
  </sheetViews>
  <sheetFormatPr defaultColWidth="9.140625" defaultRowHeight="12.75" x14ac:dyDescent="0.2"/>
  <cols>
    <col min="1" max="1" width="9.140625" style="1"/>
    <col min="2" max="2" width="26.42578125" style="1" customWidth="1"/>
    <col min="3" max="3" width="20.85546875" style="1" customWidth="1"/>
    <col min="4" max="4" width="16.140625" style="1" customWidth="1"/>
    <col min="5" max="6" width="17.5703125" style="1" customWidth="1"/>
    <col min="7" max="7" width="16.140625" style="1" customWidth="1"/>
    <col min="8" max="8" width="17.42578125" style="1" customWidth="1"/>
    <col min="9" max="9" width="14.5703125" style="1" customWidth="1"/>
    <col min="10" max="10" width="15.140625" style="1" bestFit="1" customWidth="1"/>
    <col min="11" max="14" width="14.5703125" style="1" customWidth="1"/>
    <col min="15" max="16384" width="9.140625" style="1"/>
  </cols>
  <sheetData>
    <row r="1" spans="2:13" x14ac:dyDescent="0.2">
      <c r="B1" s="1" t="s">
        <v>0</v>
      </c>
    </row>
    <row r="3" spans="2:13" x14ac:dyDescent="0.2">
      <c r="B3" s="1" t="s">
        <v>1</v>
      </c>
    </row>
    <row r="5" spans="2:13" ht="13.5" thickBot="1" x14ac:dyDescent="0.25">
      <c r="E5" s="105" t="s">
        <v>158</v>
      </c>
    </row>
    <row r="6" spans="2:13" ht="13.5" thickBot="1" x14ac:dyDescent="0.25">
      <c r="B6" s="2" t="s">
        <v>2</v>
      </c>
      <c r="C6" s="3" t="s">
        <v>3</v>
      </c>
      <c r="D6" s="3" t="s">
        <v>4</v>
      </c>
      <c r="E6" s="4" t="s">
        <v>5</v>
      </c>
    </row>
    <row r="7" spans="2:13" x14ac:dyDescent="0.2">
      <c r="B7" s="113" t="s">
        <v>6</v>
      </c>
      <c r="C7" s="116" t="s">
        <v>7</v>
      </c>
      <c r="D7" s="5" t="s">
        <v>8</v>
      </c>
      <c r="E7" s="106">
        <v>342881</v>
      </c>
      <c r="K7" s="6"/>
      <c r="L7" s="6"/>
      <c r="M7" s="7"/>
    </row>
    <row r="8" spans="2:13" x14ac:dyDescent="0.2">
      <c r="B8" s="114"/>
      <c r="C8" s="117"/>
      <c r="D8" s="8" t="s">
        <v>9</v>
      </c>
      <c r="E8" s="106">
        <v>1468818</v>
      </c>
    </row>
    <row r="9" spans="2:13" x14ac:dyDescent="0.2">
      <c r="B9" s="114"/>
      <c r="C9" s="117"/>
      <c r="D9" s="8" t="s">
        <v>10</v>
      </c>
      <c r="E9" s="106">
        <v>665141</v>
      </c>
    </row>
    <row r="10" spans="2:13" ht="13.5" thickBot="1" x14ac:dyDescent="0.25">
      <c r="B10" s="114"/>
      <c r="C10" s="117"/>
      <c r="D10" s="8" t="s">
        <v>11</v>
      </c>
      <c r="E10" s="106">
        <v>737</v>
      </c>
    </row>
    <row r="11" spans="2:13" ht="13.5" thickBot="1" x14ac:dyDescent="0.25">
      <c r="B11" s="114"/>
      <c r="C11" s="118"/>
      <c r="D11" s="9" t="s">
        <v>12</v>
      </c>
      <c r="E11" s="107">
        <f>SUM(E7:E10)</f>
        <v>2477577</v>
      </c>
      <c r="F11" s="10"/>
    </row>
    <row r="12" spans="2:13" x14ac:dyDescent="0.2">
      <c r="B12" s="114"/>
      <c r="C12" s="116" t="s">
        <v>13</v>
      </c>
      <c r="D12" s="8" t="s">
        <v>8</v>
      </c>
      <c r="E12" s="106">
        <v>9124736</v>
      </c>
    </row>
    <row r="13" spans="2:13" x14ac:dyDescent="0.2">
      <c r="B13" s="114"/>
      <c r="C13" s="117"/>
      <c r="D13" s="8" t="s">
        <v>9</v>
      </c>
      <c r="E13" s="106">
        <v>25771668</v>
      </c>
    </row>
    <row r="14" spans="2:13" x14ac:dyDescent="0.2">
      <c r="B14" s="114"/>
      <c r="C14" s="117"/>
      <c r="D14" s="8" t="s">
        <v>10</v>
      </c>
      <c r="E14" s="106">
        <v>8080973</v>
      </c>
    </row>
    <row r="15" spans="2:13" ht="13.5" thickBot="1" x14ac:dyDescent="0.25">
      <c r="B15" s="114"/>
      <c r="C15" s="117"/>
      <c r="D15" s="8" t="s">
        <v>11</v>
      </c>
      <c r="E15" s="106">
        <v>1033</v>
      </c>
    </row>
    <row r="16" spans="2:13" ht="13.5" thickBot="1" x14ac:dyDescent="0.25">
      <c r="B16" s="114"/>
      <c r="C16" s="117"/>
      <c r="D16" s="9" t="s">
        <v>12</v>
      </c>
      <c r="E16" s="108">
        <f>SUM(E12:E15)</f>
        <v>42978410</v>
      </c>
    </row>
    <row r="17" spans="2:7" ht="13.5" thickBot="1" x14ac:dyDescent="0.25">
      <c r="B17" s="115"/>
      <c r="C17" s="119" t="s">
        <v>14</v>
      </c>
      <c r="D17" s="120"/>
      <c r="E17" s="11">
        <f>E16+E11</f>
        <v>45455987</v>
      </c>
      <c r="G17" s="109"/>
    </row>
    <row r="19" spans="2:7" x14ac:dyDescent="0.2">
      <c r="B19" s="12" t="s">
        <v>15</v>
      </c>
      <c r="C19" s="12" t="s">
        <v>9</v>
      </c>
      <c r="D19" s="12" t="s">
        <v>10</v>
      </c>
      <c r="E19" s="12" t="s">
        <v>16</v>
      </c>
    </row>
    <row r="20" spans="2:7" x14ac:dyDescent="0.2">
      <c r="B20" s="13" t="s">
        <v>17</v>
      </c>
      <c r="C20" s="14">
        <f>E8+(E7+E10)*0.66</f>
        <v>1695605.88</v>
      </c>
      <c r="D20" s="14">
        <f>E9+(E7+E10)*0.34</f>
        <v>781971.12</v>
      </c>
      <c r="E20" s="14">
        <f>SUM(C20:D20)</f>
        <v>2477577</v>
      </c>
      <c r="F20" s="15">
        <f>E20-E11</f>
        <v>0</v>
      </c>
    </row>
    <row r="21" spans="2:7" x14ac:dyDescent="0.2">
      <c r="B21" s="13" t="s">
        <v>13</v>
      </c>
      <c r="C21" s="14">
        <f>E13+(E12+E15)*0.66</f>
        <v>31794675.539999999</v>
      </c>
      <c r="D21" s="14">
        <f>E14+(E12+E15)*0.34</f>
        <v>11183734.460000001</v>
      </c>
      <c r="E21" s="14">
        <f>SUM(C21:D21)</f>
        <v>42978410</v>
      </c>
      <c r="F21" s="15">
        <f>E16-E21</f>
        <v>0</v>
      </c>
    </row>
    <row r="22" spans="2:7" x14ac:dyDescent="0.2">
      <c r="B22" s="13" t="s">
        <v>16</v>
      </c>
      <c r="C22" s="14">
        <f>SUM(C20:C21)</f>
        <v>33490281.419999998</v>
      </c>
      <c r="D22" s="14">
        <f>SUM(D20:D21)</f>
        <v>11965705.58</v>
      </c>
      <c r="E22" s="14">
        <f>SUM(C22:D22)</f>
        <v>45455987</v>
      </c>
      <c r="F22" s="15">
        <f>E17-E22</f>
        <v>0</v>
      </c>
    </row>
    <row r="24" spans="2:7" x14ac:dyDescent="0.2">
      <c r="C24" s="6"/>
      <c r="D24" s="6"/>
    </row>
    <row r="30" spans="2:7" ht="15.75" x14ac:dyDescent="0.2">
      <c r="B30" s="16" t="s">
        <v>18</v>
      </c>
    </row>
    <row r="31" spans="2:7" ht="13.5" thickBot="1" x14ac:dyDescent="0.25">
      <c r="B31" s="17" t="s">
        <v>19</v>
      </c>
    </row>
    <row r="32" spans="2:7" ht="15" thickBot="1" x14ac:dyDescent="0.25">
      <c r="B32" s="18" t="s">
        <v>20</v>
      </c>
      <c r="C32" s="19" t="s">
        <v>9</v>
      </c>
      <c r="D32" s="20"/>
      <c r="E32" s="19" t="s">
        <v>10</v>
      </c>
      <c r="F32" s="20"/>
    </row>
    <row r="33" spans="2:8" ht="29.25" thickBot="1" x14ac:dyDescent="0.25">
      <c r="B33" s="21" t="s">
        <v>21</v>
      </c>
      <c r="C33" s="22" t="s">
        <v>22</v>
      </c>
      <c r="D33" s="22" t="s">
        <v>23</v>
      </c>
      <c r="E33" s="22" t="s">
        <v>22</v>
      </c>
      <c r="F33" s="22" t="s">
        <v>23</v>
      </c>
    </row>
    <row r="34" spans="2:8" ht="15.75" thickBot="1" x14ac:dyDescent="0.25">
      <c r="B34" s="23" t="s">
        <v>24</v>
      </c>
      <c r="C34" s="24">
        <f>C21</f>
        <v>31794675.539999999</v>
      </c>
      <c r="D34" s="25">
        <f>C34/$D$38</f>
        <v>1.21396429930347E-2</v>
      </c>
      <c r="E34" s="24">
        <f>D21</f>
        <v>11183734.460000001</v>
      </c>
      <c r="F34" s="25">
        <f>E34/$F$38</f>
        <v>1.1426620089347677E-2</v>
      </c>
    </row>
    <row r="35" spans="2:8" ht="45.75" thickBot="1" x14ac:dyDescent="0.25">
      <c r="B35" s="23" t="s">
        <v>25</v>
      </c>
      <c r="C35" s="24">
        <f>C20</f>
        <v>1695605.88</v>
      </c>
      <c r="D35" s="25">
        <f t="shared" ref="D35:D36" si="0">C35/$D$38</f>
        <v>6.4740556997331875E-4</v>
      </c>
      <c r="E35" s="24">
        <f>D20</f>
        <v>781971.12</v>
      </c>
      <c r="F35" s="25">
        <f t="shared" ref="F35:F36" si="1">E35/$F$38</f>
        <v>7.9895377890452013E-4</v>
      </c>
    </row>
    <row r="36" spans="2:8" ht="15.75" thickBot="1" x14ac:dyDescent="0.25">
      <c r="B36" s="26" t="s">
        <v>26</v>
      </c>
      <c r="C36" s="24">
        <f>C22</f>
        <v>33490281.419999998</v>
      </c>
      <c r="D36" s="27">
        <f t="shared" si="0"/>
        <v>1.2787048563008019E-2</v>
      </c>
      <c r="E36" s="24">
        <f>D22</f>
        <v>11965705.58</v>
      </c>
      <c r="F36" s="27">
        <f t="shared" si="1"/>
        <v>1.2225573868252196E-2</v>
      </c>
    </row>
    <row r="37" spans="2:8" ht="29.45" customHeight="1" thickBot="1" x14ac:dyDescent="0.25">
      <c r="B37" s="110" t="s">
        <v>27</v>
      </c>
      <c r="C37" s="111"/>
      <c r="D37" s="111"/>
      <c r="E37" s="111"/>
      <c r="F37" s="112"/>
    </row>
    <row r="38" spans="2:8" ht="45.75" thickBot="1" x14ac:dyDescent="0.25">
      <c r="B38" s="65" t="s">
        <v>28</v>
      </c>
      <c r="C38" s="66"/>
      <c r="D38" s="67">
        <v>2619078300.5927491</v>
      </c>
      <c r="E38" s="68"/>
      <c r="F38" s="67">
        <v>978743878.11544526</v>
      </c>
      <c r="G38" s="29"/>
    </row>
    <row r="39" spans="2:8" ht="15.75" thickBot="1" x14ac:dyDescent="0.25">
      <c r="B39" s="61"/>
      <c r="C39" s="62"/>
      <c r="D39" s="63"/>
      <c r="E39" s="64"/>
      <c r="F39" s="63"/>
      <c r="G39" s="29"/>
    </row>
    <row r="40" spans="2:8" ht="15.75" customHeight="1" thickBot="1" x14ac:dyDescent="0.25">
      <c r="B40" s="110" t="s">
        <v>108</v>
      </c>
      <c r="C40" s="111"/>
      <c r="D40" s="111"/>
      <c r="E40" s="111"/>
      <c r="F40" s="111"/>
      <c r="G40" s="111"/>
      <c r="H40" s="112"/>
    </row>
    <row r="41" spans="2:8" ht="15" thickBot="1" x14ac:dyDescent="0.25">
      <c r="B41" s="18" t="s">
        <v>20</v>
      </c>
      <c r="C41" s="19" t="s">
        <v>9</v>
      </c>
      <c r="D41" s="59"/>
      <c r="E41" s="20"/>
      <c r="F41" s="19" t="s">
        <v>10</v>
      </c>
      <c r="G41" s="59"/>
      <c r="H41" s="20"/>
    </row>
    <row r="42" spans="2:8" ht="43.5" thickBot="1" x14ac:dyDescent="0.25">
      <c r="B42" s="21" t="s">
        <v>21</v>
      </c>
      <c r="C42" s="22" t="s">
        <v>22</v>
      </c>
      <c r="D42" s="22" t="s">
        <v>156</v>
      </c>
      <c r="E42" s="22" t="s">
        <v>110</v>
      </c>
      <c r="F42" s="22" t="s">
        <v>22</v>
      </c>
      <c r="G42" s="22" t="s">
        <v>109</v>
      </c>
      <c r="H42" s="22" t="s">
        <v>110</v>
      </c>
    </row>
    <row r="43" spans="2:8" ht="15.75" thickBot="1" x14ac:dyDescent="0.25">
      <c r="B43" s="69" t="s">
        <v>13</v>
      </c>
      <c r="C43" s="24">
        <f>C34</f>
        <v>31794675.539999999</v>
      </c>
      <c r="D43" s="28">
        <f>'Electric Forecasted Revenue'!Y9</f>
        <v>1438493401.0093582</v>
      </c>
      <c r="E43" s="60">
        <f>C43/D43</f>
        <v>2.210276078965006E-2</v>
      </c>
      <c r="F43" s="24">
        <f>E34</f>
        <v>11183734.460000001</v>
      </c>
      <c r="G43" s="24">
        <f>SUM('Gas Forecasted Revenue'!S10:S11)</f>
        <v>647301378.36039984</v>
      </c>
      <c r="H43" s="60">
        <f>F43/G43</f>
        <v>1.7277476665240779E-2</v>
      </c>
    </row>
    <row r="44" spans="2:8" ht="15.75" thickBot="1" x14ac:dyDescent="0.25">
      <c r="B44" s="69" t="s">
        <v>79</v>
      </c>
      <c r="C44" s="24">
        <f>C35</f>
        <v>1695605.88</v>
      </c>
      <c r="D44" s="28">
        <f>'Electric Forecasted Revenue'!Y35-D43</f>
        <v>1180169692.7044942</v>
      </c>
      <c r="E44" s="60">
        <f>C44/D44</f>
        <v>1.4367475207013023E-3</v>
      </c>
      <c r="F44" s="24">
        <f>E35</f>
        <v>781971.12</v>
      </c>
      <c r="G44" s="24">
        <f>SUM('Gas Forecasted Revenue'!S12:S22)</f>
        <v>331442499.75504541</v>
      </c>
      <c r="H44" s="60">
        <f>F44/G44</f>
        <v>2.3592964709653122E-3</v>
      </c>
    </row>
    <row r="45" spans="2:8" ht="15.75" thickBot="1" x14ac:dyDescent="0.25">
      <c r="B45" s="69" t="s">
        <v>16</v>
      </c>
      <c r="C45" s="24">
        <f>SUM(C43:C44)</f>
        <v>33490281.419999998</v>
      </c>
      <c r="D45" s="24">
        <f>SUM(D43:D44)</f>
        <v>2618663093.7138524</v>
      </c>
      <c r="E45" s="60">
        <f>C45/D45</f>
        <v>1.2789076036697511E-2</v>
      </c>
      <c r="F45" s="24">
        <f>SUM(F43:F44)</f>
        <v>11965705.58</v>
      </c>
      <c r="G45" s="24">
        <f>SUM(G43:G44)</f>
        <v>978743878.11544526</v>
      </c>
      <c r="H45" s="60">
        <f>F45/G45</f>
        <v>1.2225573868252196E-2</v>
      </c>
    </row>
    <row r="46" spans="2:8" x14ac:dyDescent="0.2">
      <c r="D46" s="104"/>
    </row>
    <row r="47" spans="2:8" x14ac:dyDescent="0.2">
      <c r="B47" s="1" t="s">
        <v>157</v>
      </c>
    </row>
  </sheetData>
  <mergeCells count="6">
    <mergeCell ref="B40:H40"/>
    <mergeCell ref="B7:B17"/>
    <mergeCell ref="C7:C11"/>
    <mergeCell ref="C12:C16"/>
    <mergeCell ref="C17:D17"/>
    <mergeCell ref="B37:F3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144B4-827E-4DD4-8AA9-CABE96778417}">
  <dimension ref="B1:M47"/>
  <sheetViews>
    <sheetView tabSelected="1" topLeftCell="A34" zoomScaleNormal="100" workbookViewId="0">
      <selection activeCell="J52" sqref="J52"/>
    </sheetView>
  </sheetViews>
  <sheetFormatPr defaultColWidth="9.140625" defaultRowHeight="12.75" x14ac:dyDescent="0.2"/>
  <cols>
    <col min="1" max="1" width="9.140625" style="1"/>
    <col min="2" max="2" width="26.42578125" style="1" customWidth="1"/>
    <col min="3" max="3" width="20.85546875" style="1" customWidth="1"/>
    <col min="4" max="4" width="16.140625" style="1" customWidth="1"/>
    <col min="5" max="6" width="17.5703125" style="1" customWidth="1"/>
    <col min="7" max="7" width="16.140625" style="1" customWidth="1"/>
    <col min="8" max="8" width="17.42578125" style="1" customWidth="1"/>
    <col min="9" max="9" width="14.5703125" style="1" customWidth="1"/>
    <col min="10" max="10" width="15.140625" style="1" bestFit="1" customWidth="1"/>
    <col min="11" max="14" width="14.5703125" style="1" customWidth="1"/>
    <col min="15" max="16384" width="9.140625" style="1"/>
  </cols>
  <sheetData>
    <row r="1" spans="2:13" x14ac:dyDescent="0.2">
      <c r="B1" s="1" t="s">
        <v>0</v>
      </c>
    </row>
    <row r="3" spans="2:13" x14ac:dyDescent="0.2">
      <c r="B3" s="1" t="s">
        <v>1</v>
      </c>
    </row>
    <row r="5" spans="2:13" ht="13.5" thickBot="1" x14ac:dyDescent="0.25">
      <c r="E5" s="105" t="s">
        <v>158</v>
      </c>
    </row>
    <row r="6" spans="2:13" ht="13.5" thickBot="1" x14ac:dyDescent="0.25">
      <c r="B6" s="2" t="s">
        <v>2</v>
      </c>
      <c r="C6" s="3" t="s">
        <v>3</v>
      </c>
      <c r="D6" s="3" t="s">
        <v>4</v>
      </c>
      <c r="E6" s="4" t="s">
        <v>5</v>
      </c>
    </row>
    <row r="7" spans="2:13" x14ac:dyDescent="0.2">
      <c r="B7" s="113" t="s">
        <v>6</v>
      </c>
      <c r="C7" s="116" t="s">
        <v>7</v>
      </c>
      <c r="D7" s="5" t="s">
        <v>8</v>
      </c>
      <c r="E7" s="106"/>
      <c r="K7" s="6"/>
      <c r="L7" s="6"/>
      <c r="M7" s="7"/>
    </row>
    <row r="8" spans="2:13" x14ac:dyDescent="0.2">
      <c r="B8" s="114"/>
      <c r="C8" s="117"/>
      <c r="D8" s="8" t="s">
        <v>9</v>
      </c>
      <c r="E8" s="106"/>
    </row>
    <row r="9" spans="2:13" x14ac:dyDescent="0.2">
      <c r="B9" s="114"/>
      <c r="C9" s="117"/>
      <c r="D9" s="8" t="s">
        <v>10</v>
      </c>
      <c r="E9" s="106"/>
    </row>
    <row r="10" spans="2:13" ht="13.5" thickBot="1" x14ac:dyDescent="0.25">
      <c r="B10" s="114"/>
      <c r="C10" s="117"/>
      <c r="D10" s="8" t="s">
        <v>11</v>
      </c>
      <c r="E10" s="106"/>
    </row>
    <row r="11" spans="2:13" ht="13.5" thickBot="1" x14ac:dyDescent="0.25">
      <c r="B11" s="114"/>
      <c r="C11" s="118"/>
      <c r="D11" s="9" t="s">
        <v>12</v>
      </c>
      <c r="E11" s="107">
        <f>SUM(E7:E10)</f>
        <v>0</v>
      </c>
      <c r="F11" s="10"/>
    </row>
    <row r="12" spans="2:13" x14ac:dyDescent="0.2">
      <c r="B12" s="114"/>
      <c r="C12" s="116" t="s">
        <v>13</v>
      </c>
      <c r="D12" s="8" t="s">
        <v>8</v>
      </c>
      <c r="E12" s="106">
        <v>3818557</v>
      </c>
    </row>
    <row r="13" spans="2:13" x14ac:dyDescent="0.2">
      <c r="B13" s="114"/>
      <c r="C13" s="117"/>
      <c r="D13" s="8" t="s">
        <v>9</v>
      </c>
      <c r="E13" s="106">
        <v>15279772</v>
      </c>
    </row>
    <row r="14" spans="2:13" x14ac:dyDescent="0.2">
      <c r="B14" s="114"/>
      <c r="C14" s="117"/>
      <c r="D14" s="8" t="s">
        <v>10</v>
      </c>
      <c r="E14" s="106">
        <v>3825737</v>
      </c>
    </row>
    <row r="15" spans="2:13" ht="13.5" thickBot="1" x14ac:dyDescent="0.25">
      <c r="B15" s="114"/>
      <c r="C15" s="117"/>
      <c r="D15" s="8" t="s">
        <v>11</v>
      </c>
      <c r="E15" s="106">
        <v>198</v>
      </c>
    </row>
    <row r="16" spans="2:13" ht="13.5" thickBot="1" x14ac:dyDescent="0.25">
      <c r="B16" s="114"/>
      <c r="C16" s="117"/>
      <c r="D16" s="9" t="s">
        <v>12</v>
      </c>
      <c r="E16" s="108">
        <f>SUM(E12:E15)</f>
        <v>22924264</v>
      </c>
    </row>
    <row r="17" spans="2:6" ht="13.5" thickBot="1" x14ac:dyDescent="0.25">
      <c r="B17" s="115"/>
      <c r="C17" s="119" t="s">
        <v>14</v>
      </c>
      <c r="D17" s="120"/>
      <c r="E17" s="11">
        <f>E16+E11</f>
        <v>22924264</v>
      </c>
    </row>
    <row r="19" spans="2:6" x14ac:dyDescent="0.2">
      <c r="B19" s="12" t="s">
        <v>15</v>
      </c>
      <c r="C19" s="12" t="s">
        <v>9</v>
      </c>
      <c r="D19" s="12" t="s">
        <v>10</v>
      </c>
      <c r="E19" s="12" t="s">
        <v>16</v>
      </c>
    </row>
    <row r="20" spans="2:6" x14ac:dyDescent="0.2">
      <c r="B20" s="13" t="s">
        <v>17</v>
      </c>
      <c r="C20" s="14">
        <f>E8+(E7+E10)*0.66</f>
        <v>0</v>
      </c>
      <c r="D20" s="14">
        <f>E9+(E7+E10)*0.34</f>
        <v>0</v>
      </c>
      <c r="E20" s="14">
        <f>SUM(C20:D20)</f>
        <v>0</v>
      </c>
      <c r="F20" s="15">
        <f>E20-E11</f>
        <v>0</v>
      </c>
    </row>
    <row r="21" spans="2:6" x14ac:dyDescent="0.2">
      <c r="B21" s="13" t="s">
        <v>13</v>
      </c>
      <c r="C21" s="14">
        <f>E13+(E12+E15)*0.66</f>
        <v>17800150.300000001</v>
      </c>
      <c r="D21" s="14">
        <f>E14+(E12+E15)*0.34</f>
        <v>5124113.7</v>
      </c>
      <c r="E21" s="14">
        <f>SUM(C21:D21)</f>
        <v>22924264</v>
      </c>
      <c r="F21" s="15">
        <f>E16-E21</f>
        <v>0</v>
      </c>
    </row>
    <row r="22" spans="2:6" x14ac:dyDescent="0.2">
      <c r="B22" s="13" t="s">
        <v>16</v>
      </c>
      <c r="C22" s="14">
        <f>SUM(C20:C21)</f>
        <v>17800150.300000001</v>
      </c>
      <c r="D22" s="14">
        <f>SUM(D20:D21)</f>
        <v>5124113.7</v>
      </c>
      <c r="E22" s="14">
        <f>SUM(C22:D22)</f>
        <v>22924264</v>
      </c>
      <c r="F22" s="15">
        <f>E17-E22</f>
        <v>0</v>
      </c>
    </row>
    <row r="24" spans="2:6" x14ac:dyDescent="0.2">
      <c r="C24" s="6"/>
      <c r="D24" s="6"/>
    </row>
    <row r="30" spans="2:6" ht="15.75" x14ac:dyDescent="0.2">
      <c r="B30" s="16" t="s">
        <v>18</v>
      </c>
    </row>
    <row r="31" spans="2:6" ht="13.5" thickBot="1" x14ac:dyDescent="0.25">
      <c r="B31" s="17" t="s">
        <v>19</v>
      </c>
    </row>
    <row r="32" spans="2:6" ht="15" thickBot="1" x14ac:dyDescent="0.25">
      <c r="B32" s="18" t="s">
        <v>20</v>
      </c>
      <c r="C32" s="19" t="s">
        <v>9</v>
      </c>
      <c r="D32" s="20"/>
      <c r="E32" s="19" t="s">
        <v>10</v>
      </c>
      <c r="F32" s="20"/>
    </row>
    <row r="33" spans="2:8" ht="29.25" thickBot="1" x14ac:dyDescent="0.25">
      <c r="B33" s="21" t="s">
        <v>21</v>
      </c>
      <c r="C33" s="22" t="s">
        <v>22</v>
      </c>
      <c r="D33" s="22" t="s">
        <v>23</v>
      </c>
      <c r="E33" s="22" t="s">
        <v>22</v>
      </c>
      <c r="F33" s="22" t="s">
        <v>23</v>
      </c>
    </row>
    <row r="34" spans="2:8" ht="15.75" thickBot="1" x14ac:dyDescent="0.25">
      <c r="B34" s="23" t="s">
        <v>24</v>
      </c>
      <c r="C34" s="24">
        <f>C21</f>
        <v>17800150.300000001</v>
      </c>
      <c r="D34" s="25">
        <f>C34/$D$38</f>
        <v>6.7963414060478742E-3</v>
      </c>
      <c r="E34" s="24">
        <f>D21</f>
        <v>5124113.7</v>
      </c>
      <c r="F34" s="25">
        <f>E34/$F$38</f>
        <v>5.2353979570900549E-3</v>
      </c>
    </row>
    <row r="35" spans="2:8" ht="45.75" thickBot="1" x14ac:dyDescent="0.25">
      <c r="B35" s="23" t="s">
        <v>25</v>
      </c>
      <c r="C35" s="24">
        <f>C20</f>
        <v>0</v>
      </c>
      <c r="D35" s="25">
        <f t="shared" ref="D35:D36" si="0">C35/$D$38</f>
        <v>0</v>
      </c>
      <c r="E35" s="24">
        <f>D20</f>
        <v>0</v>
      </c>
      <c r="F35" s="25">
        <f t="shared" ref="F35:F36" si="1">E35/$F$38</f>
        <v>0</v>
      </c>
    </row>
    <row r="36" spans="2:8" ht="15.75" thickBot="1" x14ac:dyDescent="0.25">
      <c r="B36" s="26" t="s">
        <v>26</v>
      </c>
      <c r="C36" s="24">
        <f>C22</f>
        <v>17800150.300000001</v>
      </c>
      <c r="D36" s="27">
        <f t="shared" si="0"/>
        <v>6.7963414060478742E-3</v>
      </c>
      <c r="E36" s="24">
        <f>D22</f>
        <v>5124113.7</v>
      </c>
      <c r="F36" s="27">
        <f t="shared" si="1"/>
        <v>5.2353979570900549E-3</v>
      </c>
    </row>
    <row r="37" spans="2:8" ht="29.45" customHeight="1" thickBot="1" x14ac:dyDescent="0.25">
      <c r="B37" s="110" t="s">
        <v>27</v>
      </c>
      <c r="C37" s="111"/>
      <c r="D37" s="111"/>
      <c r="E37" s="111"/>
      <c r="F37" s="112"/>
    </row>
    <row r="38" spans="2:8" ht="45.75" thickBot="1" x14ac:dyDescent="0.25">
      <c r="B38" s="65" t="s">
        <v>28</v>
      </c>
      <c r="C38" s="66"/>
      <c r="D38" s="67">
        <v>2619078300.5927491</v>
      </c>
      <c r="E38" s="68"/>
      <c r="F38" s="67">
        <v>978743878.11544526</v>
      </c>
      <c r="G38" s="29"/>
    </row>
    <row r="39" spans="2:8" ht="15.75" thickBot="1" x14ac:dyDescent="0.25">
      <c r="B39" s="61"/>
      <c r="C39" s="62"/>
      <c r="D39" s="63"/>
      <c r="E39" s="64"/>
      <c r="F39" s="63"/>
      <c r="G39" s="29"/>
    </row>
    <row r="40" spans="2:8" ht="15.75" customHeight="1" thickBot="1" x14ac:dyDescent="0.25">
      <c r="B40" s="123" t="s">
        <v>108</v>
      </c>
      <c r="C40" s="124"/>
      <c r="D40" s="124"/>
      <c r="E40" s="124"/>
      <c r="F40" s="124"/>
      <c r="G40" s="124"/>
      <c r="H40" s="125"/>
    </row>
    <row r="41" spans="2:8" ht="15" thickBot="1" x14ac:dyDescent="0.25">
      <c r="B41" s="126" t="s">
        <v>20</v>
      </c>
      <c r="C41" s="127" t="s">
        <v>9</v>
      </c>
      <c r="D41" s="128"/>
      <c r="E41" s="129"/>
      <c r="F41" s="127" t="s">
        <v>10</v>
      </c>
      <c r="G41" s="128"/>
      <c r="H41" s="129"/>
    </row>
    <row r="42" spans="2:8" ht="43.5" thickBot="1" x14ac:dyDescent="0.25">
      <c r="B42" s="130" t="s">
        <v>21</v>
      </c>
      <c r="C42" s="131" t="s">
        <v>22</v>
      </c>
      <c r="D42" s="131" t="s">
        <v>156</v>
      </c>
      <c r="E42" s="131" t="s">
        <v>110</v>
      </c>
      <c r="F42" s="131" t="s">
        <v>22</v>
      </c>
      <c r="G42" s="131" t="s">
        <v>109</v>
      </c>
      <c r="H42" s="131" t="s">
        <v>110</v>
      </c>
    </row>
    <row r="43" spans="2:8" ht="15.75" thickBot="1" x14ac:dyDescent="0.25">
      <c r="B43" s="132" t="s">
        <v>13</v>
      </c>
      <c r="C43" s="133">
        <f>C34</f>
        <v>17800150.300000001</v>
      </c>
      <c r="D43" s="134">
        <f>'Electric Forecasted Revenue'!Y9</f>
        <v>1438493401.0093582</v>
      </c>
      <c r="E43" s="135">
        <f>C43/D43</f>
        <v>1.2374161944371827E-2</v>
      </c>
      <c r="F43" s="133">
        <f>E34</f>
        <v>5124113.7</v>
      </c>
      <c r="G43" s="133">
        <f>SUM('Gas Forecasted Revenue'!S10:S11)</f>
        <v>647301378.36039984</v>
      </c>
      <c r="H43" s="135">
        <f>F43/G43</f>
        <v>7.916117393383694E-3</v>
      </c>
    </row>
    <row r="44" spans="2:8" ht="15.75" thickBot="1" x14ac:dyDescent="0.25">
      <c r="B44" s="132" t="s">
        <v>79</v>
      </c>
      <c r="C44" s="133">
        <f>C35</f>
        <v>0</v>
      </c>
      <c r="D44" s="134">
        <f>'Electric Forecasted Revenue'!Y35-D43</f>
        <v>1180169692.7044942</v>
      </c>
      <c r="E44" s="135">
        <f>C44/D44</f>
        <v>0</v>
      </c>
      <c r="F44" s="133">
        <f>E35</f>
        <v>0</v>
      </c>
      <c r="G44" s="133">
        <f>SUM('Gas Forecasted Revenue'!S12:S22)</f>
        <v>331442499.75504541</v>
      </c>
      <c r="H44" s="135">
        <f>F44/G44</f>
        <v>0</v>
      </c>
    </row>
    <row r="45" spans="2:8" ht="15.75" thickBot="1" x14ac:dyDescent="0.25">
      <c r="B45" s="132" t="s">
        <v>16</v>
      </c>
      <c r="C45" s="133">
        <f>SUM(C43:C44)</f>
        <v>17800150.300000001</v>
      </c>
      <c r="D45" s="133">
        <f>SUM(D43:D44)</f>
        <v>2618663093.7138524</v>
      </c>
      <c r="E45" s="135">
        <f>C45/D45</f>
        <v>6.7974190122927916E-3</v>
      </c>
      <c r="F45" s="133">
        <f>SUM(F43:F44)</f>
        <v>5124113.7</v>
      </c>
      <c r="G45" s="133">
        <f>SUM(G43:G44)</f>
        <v>978743878.11544526</v>
      </c>
      <c r="H45" s="135">
        <f>F45/G45</f>
        <v>5.2353979570900549E-3</v>
      </c>
    </row>
    <row r="46" spans="2:8" x14ac:dyDescent="0.2">
      <c r="D46" s="104"/>
    </row>
    <row r="47" spans="2:8" x14ac:dyDescent="0.2">
      <c r="B47" s="1" t="s">
        <v>157</v>
      </c>
    </row>
  </sheetData>
  <mergeCells count="6">
    <mergeCell ref="B40:H40"/>
    <mergeCell ref="B7:B17"/>
    <mergeCell ref="C7:C11"/>
    <mergeCell ref="C12:C16"/>
    <mergeCell ref="C17:D17"/>
    <mergeCell ref="B37:F3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36"/>
  <sheetViews>
    <sheetView zoomScale="85" zoomScaleNormal="85" workbookViewId="0">
      <pane xSplit="3" ySplit="8" topLeftCell="F9" activePane="bottomRight" state="frozenSplit"/>
      <selection activeCell="Q41" sqref="Q41"/>
      <selection pane="topRight" activeCell="Q41" sqref="Q41"/>
      <selection pane="bottomLeft" activeCell="Q41" sqref="Q41"/>
      <selection pane="bottomRight" activeCell="S12" sqref="S12:S22"/>
    </sheetView>
  </sheetViews>
  <sheetFormatPr defaultRowHeight="15" x14ac:dyDescent="0.25"/>
  <cols>
    <col min="1" max="1" width="2.85546875" customWidth="1"/>
    <col min="2" max="2" width="37.5703125" customWidth="1"/>
    <col min="3" max="3" width="8.42578125" bestFit="1" customWidth="1"/>
    <col min="4" max="4" width="15" bestFit="1" customWidth="1"/>
    <col min="5" max="5" width="14.5703125" bestFit="1" customWidth="1"/>
    <col min="6" max="6" width="10.5703125" bestFit="1" customWidth="1"/>
    <col min="7" max="7" width="15" customWidth="1"/>
    <col min="8" max="9" width="14.5703125" bestFit="1" customWidth="1"/>
    <col min="10" max="10" width="14.42578125" bestFit="1" customWidth="1"/>
    <col min="11" max="11" width="13.28515625" customWidth="1"/>
    <col min="12" max="12" width="13.28515625" bestFit="1" customWidth="1"/>
    <col min="13" max="13" width="12.140625" bestFit="1" customWidth="1"/>
    <col min="14" max="14" width="13.28515625" bestFit="1" customWidth="1"/>
    <col min="15" max="15" width="14" bestFit="1" customWidth="1"/>
    <col min="16" max="17" width="14" customWidth="1"/>
    <col min="18" max="18" width="13.28515625" bestFit="1" customWidth="1"/>
    <col min="19" max="19" width="16.140625" bestFit="1" customWidth="1"/>
  </cols>
  <sheetData>
    <row r="1" spans="2:19" x14ac:dyDescent="0.25">
      <c r="B1" s="121" t="s">
        <v>29</v>
      </c>
      <c r="C1" s="121"/>
      <c r="D1" s="121"/>
      <c r="E1" s="121"/>
      <c r="F1" s="121"/>
      <c r="G1" s="121"/>
      <c r="H1" s="121"/>
      <c r="I1" s="121"/>
      <c r="J1" s="121"/>
      <c r="K1" s="121"/>
      <c r="L1" s="121"/>
      <c r="M1" s="121"/>
      <c r="N1" s="121"/>
      <c r="O1" s="121"/>
      <c r="P1" s="121"/>
      <c r="Q1" s="121"/>
      <c r="R1" s="121"/>
      <c r="S1" s="121"/>
    </row>
    <row r="2" spans="2:19" x14ac:dyDescent="0.25">
      <c r="B2" s="121" t="s">
        <v>30</v>
      </c>
      <c r="C2" s="121"/>
      <c r="D2" s="121"/>
      <c r="E2" s="121"/>
      <c r="F2" s="121"/>
      <c r="G2" s="121"/>
      <c r="H2" s="121"/>
      <c r="I2" s="121"/>
      <c r="J2" s="121"/>
      <c r="K2" s="121"/>
      <c r="L2" s="121"/>
      <c r="M2" s="121"/>
      <c r="N2" s="121"/>
      <c r="O2" s="121"/>
      <c r="P2" s="121"/>
      <c r="Q2" s="121"/>
      <c r="R2" s="121"/>
      <c r="S2" s="121"/>
    </row>
    <row r="3" spans="2:19" x14ac:dyDescent="0.25">
      <c r="B3" s="122" t="s">
        <v>31</v>
      </c>
      <c r="C3" s="122"/>
      <c r="D3" s="122"/>
      <c r="E3" s="122"/>
      <c r="F3" s="122"/>
      <c r="G3" s="122"/>
      <c r="H3" s="122"/>
      <c r="I3" s="122"/>
      <c r="J3" s="122"/>
      <c r="K3" s="122"/>
      <c r="L3" s="122"/>
      <c r="M3" s="122"/>
      <c r="N3" s="122"/>
      <c r="O3" s="122"/>
      <c r="P3" s="122"/>
      <c r="Q3" s="122"/>
      <c r="R3" s="122"/>
      <c r="S3" s="122"/>
    </row>
    <row r="4" spans="2:19" x14ac:dyDescent="0.25">
      <c r="F4" s="30"/>
      <c r="O4" s="30"/>
      <c r="P4" s="30"/>
      <c r="Q4" s="30"/>
    </row>
    <row r="5" spans="2:19" x14ac:dyDescent="0.25">
      <c r="F5" s="30"/>
      <c r="G5" s="30" t="s">
        <v>32</v>
      </c>
      <c r="O5" s="30"/>
      <c r="P5" s="30"/>
      <c r="Q5" s="30"/>
    </row>
    <row r="6" spans="2:19" x14ac:dyDescent="0.25">
      <c r="B6" s="30"/>
      <c r="C6" s="30"/>
      <c r="D6" s="30" t="s">
        <v>33</v>
      </c>
      <c r="E6" s="30" t="str">
        <f>D6</f>
        <v>UG-220067</v>
      </c>
      <c r="F6" s="30" t="s">
        <v>34</v>
      </c>
      <c r="G6" s="30" t="s">
        <v>35</v>
      </c>
      <c r="H6" s="30"/>
      <c r="I6" s="30"/>
      <c r="J6" s="30"/>
      <c r="K6" s="30"/>
      <c r="L6" s="30"/>
      <c r="M6" s="30"/>
      <c r="N6" s="30"/>
      <c r="O6" s="30"/>
      <c r="P6" s="30"/>
      <c r="Q6" s="30"/>
      <c r="R6" s="30"/>
      <c r="S6" s="31" t="s">
        <v>36</v>
      </c>
    </row>
    <row r="7" spans="2:19" x14ac:dyDescent="0.25">
      <c r="B7" s="30"/>
      <c r="C7" s="30" t="s">
        <v>37</v>
      </c>
      <c r="D7" s="30" t="s">
        <v>38</v>
      </c>
      <c r="E7" s="30" t="s">
        <v>39</v>
      </c>
      <c r="F7" s="30" t="s">
        <v>37</v>
      </c>
      <c r="G7" s="31" t="s">
        <v>40</v>
      </c>
      <c r="H7" s="30" t="s">
        <v>39</v>
      </c>
      <c r="I7" s="30" t="s">
        <v>41</v>
      </c>
      <c r="J7" s="30" t="s">
        <v>42</v>
      </c>
      <c r="K7" s="30" t="s">
        <v>43</v>
      </c>
      <c r="L7" s="30" t="s">
        <v>44</v>
      </c>
      <c r="M7" s="30" t="s">
        <v>45</v>
      </c>
      <c r="N7" s="30" t="s">
        <v>46</v>
      </c>
      <c r="O7" s="30" t="s">
        <v>47</v>
      </c>
      <c r="P7" s="30" t="s">
        <v>48</v>
      </c>
      <c r="Q7" s="30" t="s">
        <v>49</v>
      </c>
      <c r="R7" s="30" t="s">
        <v>50</v>
      </c>
      <c r="S7" s="30" t="s">
        <v>51</v>
      </c>
    </row>
    <row r="8" spans="2:19" ht="17.25" x14ac:dyDescent="0.25">
      <c r="B8" s="32" t="s">
        <v>52</v>
      </c>
      <c r="C8" s="32" t="s">
        <v>53</v>
      </c>
      <c r="D8" s="32" t="s">
        <v>54</v>
      </c>
      <c r="E8" s="32" t="s">
        <v>55</v>
      </c>
      <c r="F8" s="32" t="s">
        <v>56</v>
      </c>
      <c r="G8" s="33" t="s">
        <v>57</v>
      </c>
      <c r="H8" s="32" t="s">
        <v>58</v>
      </c>
      <c r="I8" s="32" t="s">
        <v>58</v>
      </c>
      <c r="J8" s="32" t="s">
        <v>58</v>
      </c>
      <c r="K8" s="32" t="s">
        <v>58</v>
      </c>
      <c r="L8" s="32" t="s">
        <v>58</v>
      </c>
      <c r="M8" s="32" t="s">
        <v>58</v>
      </c>
      <c r="N8" s="32" t="s">
        <v>58</v>
      </c>
      <c r="O8" s="32" t="s">
        <v>58</v>
      </c>
      <c r="P8" s="32" t="s">
        <v>58</v>
      </c>
      <c r="Q8" s="32" t="s">
        <v>58</v>
      </c>
      <c r="R8" s="32" t="s">
        <v>58</v>
      </c>
      <c r="S8" s="32" t="s">
        <v>59</v>
      </c>
    </row>
    <row r="9" spans="2:19" x14ac:dyDescent="0.25">
      <c r="B9" s="30" t="s">
        <v>60</v>
      </c>
      <c r="C9" s="30" t="s">
        <v>61</v>
      </c>
      <c r="D9" s="34" t="s">
        <v>62</v>
      </c>
      <c r="E9" s="35" t="s">
        <v>63</v>
      </c>
      <c r="F9" s="30" t="s">
        <v>64</v>
      </c>
      <c r="G9" s="30" t="s">
        <v>65</v>
      </c>
      <c r="H9" s="30" t="s">
        <v>66</v>
      </c>
      <c r="I9" s="30" t="s">
        <v>67</v>
      </c>
      <c r="J9" s="30" t="s">
        <v>68</v>
      </c>
      <c r="K9" s="30" t="s">
        <v>69</v>
      </c>
      <c r="L9" s="30" t="s">
        <v>70</v>
      </c>
      <c r="M9" s="35" t="s">
        <v>71</v>
      </c>
      <c r="N9" s="35" t="s">
        <v>72</v>
      </c>
      <c r="O9" s="35" t="s">
        <v>73</v>
      </c>
      <c r="P9" s="35" t="s">
        <v>74</v>
      </c>
      <c r="Q9" s="35" t="s">
        <v>75</v>
      </c>
      <c r="R9" s="35" t="s">
        <v>76</v>
      </c>
      <c r="S9" s="35" t="s">
        <v>77</v>
      </c>
    </row>
    <row r="10" spans="2:19" x14ac:dyDescent="0.25">
      <c r="B10" t="s">
        <v>13</v>
      </c>
      <c r="C10" s="30">
        <v>23</v>
      </c>
      <c r="D10" s="36">
        <v>620836684.05687141</v>
      </c>
      <c r="E10" s="37">
        <v>403613457.09474093</v>
      </c>
      <c r="F10" s="38">
        <f t="shared" ref="F10:F15" si="0">(E10)/D10</f>
        <v>0.6501121268436002</v>
      </c>
      <c r="G10" s="36">
        <v>555750480</v>
      </c>
      <c r="H10" s="39">
        <f>F10*G10</f>
        <v>361300126.54715168</v>
      </c>
      <c r="I10" s="37">
        <v>309058399.43000001</v>
      </c>
      <c r="J10" s="37">
        <v>-112111544.33</v>
      </c>
      <c r="K10" s="37">
        <v>27657998.902113304</v>
      </c>
      <c r="L10" s="37">
        <v>15977826.300000001</v>
      </c>
      <c r="M10" s="37">
        <v>3056627.6399999997</v>
      </c>
      <c r="N10" s="37">
        <v>12698898.467999998</v>
      </c>
      <c r="O10" s="37">
        <v>1811746.5647999998</v>
      </c>
      <c r="P10" s="37">
        <v>13638116.779199999</v>
      </c>
      <c r="Q10" s="37">
        <v>11626300.041599998</v>
      </c>
      <c r="R10" s="37">
        <v>2578682.23</v>
      </c>
      <c r="S10" s="40">
        <f t="shared" ref="S10:S22" si="1">SUM(H10:R10)</f>
        <v>647293178.57286489</v>
      </c>
    </row>
    <row r="11" spans="2:19" x14ac:dyDescent="0.25">
      <c r="B11" t="s">
        <v>78</v>
      </c>
      <c r="C11" s="30">
        <v>16</v>
      </c>
      <c r="D11" s="36">
        <v>8190.2669999999998</v>
      </c>
      <c r="E11" s="37">
        <v>5233.1499999999996</v>
      </c>
      <c r="F11" s="38">
        <f t="shared" si="0"/>
        <v>0.63894742381414427</v>
      </c>
      <c r="G11" s="36">
        <v>6996</v>
      </c>
      <c r="H11" s="39">
        <f t="shared" ref="H11:H22" si="2">F11*G11</f>
        <v>4470.0761770037534</v>
      </c>
      <c r="I11" s="37">
        <v>3890.55</v>
      </c>
      <c r="J11" s="37">
        <v>-1411.3</v>
      </c>
      <c r="K11" s="37">
        <v>548.62263789473764</v>
      </c>
      <c r="L11" s="37">
        <v>201.13500000000002</v>
      </c>
      <c r="M11" s="37"/>
      <c r="N11" s="37">
        <v>159.8586</v>
      </c>
      <c r="O11" s="37">
        <v>22.80696</v>
      </c>
      <c r="P11" s="37">
        <v>171.68183999999999</v>
      </c>
      <c r="Q11" s="37">
        <v>146.35631999999998</v>
      </c>
      <c r="R11" s="37"/>
      <c r="S11" s="40">
        <f t="shared" si="1"/>
        <v>8199.7875348984908</v>
      </c>
    </row>
    <row r="12" spans="2:19" x14ac:dyDescent="0.25">
      <c r="B12" t="s">
        <v>79</v>
      </c>
      <c r="C12" s="30">
        <v>31</v>
      </c>
      <c r="D12" s="36">
        <v>222166912.14539161</v>
      </c>
      <c r="E12" s="37">
        <v>122121000.06</v>
      </c>
      <c r="F12" s="38">
        <f t="shared" si="0"/>
        <v>0.54968131339054194</v>
      </c>
      <c r="G12" s="36">
        <v>231048521</v>
      </c>
      <c r="H12" s="39">
        <f t="shared" si="2"/>
        <v>127003054.48022221</v>
      </c>
      <c r="I12" s="37">
        <v>126979646.17</v>
      </c>
      <c r="J12" s="37">
        <v>-46255913.899999999</v>
      </c>
      <c r="K12" s="37">
        <v>14697146.970019832</v>
      </c>
      <c r="L12" s="37">
        <v>6642644.9787500007</v>
      </c>
      <c r="M12" s="37">
        <v>1090549.0191200001</v>
      </c>
      <c r="N12" s="37">
        <v>5806249.3327299999</v>
      </c>
      <c r="O12" s="37">
        <v>695456.04821000004</v>
      </c>
      <c r="P12" s="37">
        <v>5233249.0006499998</v>
      </c>
      <c r="Q12" s="37">
        <v>4463857.4257199997</v>
      </c>
      <c r="R12" s="37">
        <v>-4114974.16</v>
      </c>
      <c r="S12" s="40">
        <f t="shared" si="1"/>
        <v>242240965.36542201</v>
      </c>
    </row>
    <row r="13" spans="2:19" x14ac:dyDescent="0.25">
      <c r="B13" t="s">
        <v>80</v>
      </c>
      <c r="C13" s="30">
        <v>41</v>
      </c>
      <c r="D13" s="36">
        <v>62517991.156948164</v>
      </c>
      <c r="E13" s="37">
        <v>17786398.291046247</v>
      </c>
      <c r="F13" s="38">
        <f t="shared" si="0"/>
        <v>0.28450047677306872</v>
      </c>
      <c r="G13" s="36">
        <v>61773302</v>
      </c>
      <c r="H13" s="39">
        <f t="shared" si="2"/>
        <v>17574533.87084676</v>
      </c>
      <c r="I13" s="37">
        <v>32922099.34</v>
      </c>
      <c r="J13" s="37">
        <v>-12121157.32</v>
      </c>
      <c r="K13" s="37">
        <v>3773434.8186734393</v>
      </c>
      <c r="L13" s="37">
        <v>1775982.4325000001</v>
      </c>
      <c r="M13" s="37">
        <v>142696.32762</v>
      </c>
      <c r="N13" s="37">
        <v>620203.95208000008</v>
      </c>
      <c r="O13" s="37">
        <v>140225.39554</v>
      </c>
      <c r="P13" s="37">
        <v>669004.86066000001</v>
      </c>
      <c r="Q13" s="37">
        <v>570167.57745999994</v>
      </c>
      <c r="R13" s="37">
        <v>-2207116.1999999997</v>
      </c>
      <c r="S13" s="40">
        <f t="shared" si="1"/>
        <v>43860075.055380188</v>
      </c>
    </row>
    <row r="14" spans="2:19" x14ac:dyDescent="0.25">
      <c r="B14" t="s">
        <v>81</v>
      </c>
      <c r="C14" s="30">
        <v>85</v>
      </c>
      <c r="D14" s="36">
        <v>19992939.502740219</v>
      </c>
      <c r="E14" s="37">
        <v>2272313.06</v>
      </c>
      <c r="F14" s="38">
        <f t="shared" si="0"/>
        <v>0.11365577631486147</v>
      </c>
      <c r="G14" s="36">
        <v>17169388</v>
      </c>
      <c r="H14" s="39">
        <f t="shared" si="2"/>
        <v>1951400.1219910667</v>
      </c>
      <c r="I14" s="37">
        <v>8554041.6300000008</v>
      </c>
      <c r="J14" s="37">
        <v>-3232480.68</v>
      </c>
      <c r="K14" s="37">
        <v>1738571.7648091172</v>
      </c>
      <c r="L14" s="37">
        <v>443656.98591999995</v>
      </c>
      <c r="M14" s="37">
        <v>19033.922933033897</v>
      </c>
      <c r="N14" s="37">
        <v>90826.062520000007</v>
      </c>
      <c r="O14" s="37">
        <v>31591.673920000001</v>
      </c>
      <c r="P14" s="37">
        <v>110570.85872</v>
      </c>
      <c r="Q14" s="37">
        <v>94088.246239999993</v>
      </c>
      <c r="R14" s="37"/>
      <c r="S14" s="40">
        <f t="shared" si="1"/>
        <v>9801300.5870532189</v>
      </c>
    </row>
    <row r="15" spans="2:19" x14ac:dyDescent="0.25">
      <c r="B15" t="s">
        <v>82</v>
      </c>
      <c r="C15" s="30">
        <v>86</v>
      </c>
      <c r="D15" s="36">
        <v>5773170.4876905456</v>
      </c>
      <c r="E15" s="37">
        <v>1192875.52</v>
      </c>
      <c r="F15" s="38">
        <f t="shared" si="0"/>
        <v>0.20662398980654192</v>
      </c>
      <c r="G15" s="36">
        <v>4872572</v>
      </c>
      <c r="H15" s="39">
        <f t="shared" si="2"/>
        <v>1006790.2672596416</v>
      </c>
      <c r="I15" s="37">
        <v>2464593.11</v>
      </c>
      <c r="J15" s="37">
        <v>-925886.13</v>
      </c>
      <c r="K15" s="37">
        <v>341719.44436000008</v>
      </c>
      <c r="L15" s="37">
        <v>125907.26048</v>
      </c>
      <c r="M15" s="37">
        <v>8332.0981200000006</v>
      </c>
      <c r="N15" s="37">
        <v>32792.40956</v>
      </c>
      <c r="O15" s="37">
        <v>2387.5602800000001</v>
      </c>
      <c r="P15" s="37">
        <v>25581.003000000001</v>
      </c>
      <c r="Q15" s="37">
        <v>21780.396840000001</v>
      </c>
      <c r="R15" s="37">
        <v>-129427.86</v>
      </c>
      <c r="S15" s="40">
        <f t="shared" si="1"/>
        <v>2974569.5598996421</v>
      </c>
    </row>
    <row r="16" spans="2:19" x14ac:dyDescent="0.25">
      <c r="B16" t="s">
        <v>83</v>
      </c>
      <c r="C16" s="30">
        <v>87</v>
      </c>
      <c r="D16" s="36">
        <v>21819455.762355208</v>
      </c>
      <c r="E16" s="37">
        <v>1509849.77</v>
      </c>
      <c r="F16" s="38">
        <f>(E16)/D16</f>
        <v>6.9197407416775353E-2</v>
      </c>
      <c r="G16" s="36">
        <v>20694880</v>
      </c>
      <c r="H16" s="39">
        <f t="shared" si="2"/>
        <v>1432032.0428012758</v>
      </c>
      <c r="I16" s="37">
        <v>10188917.220000001</v>
      </c>
      <c r="J16" s="37">
        <v>-3868080.02</v>
      </c>
      <c r="K16" s="37">
        <v>307480.52002900362</v>
      </c>
      <c r="L16" s="37">
        <v>534755.69919999992</v>
      </c>
      <c r="M16" s="37">
        <v>9506.2814735796965</v>
      </c>
      <c r="N16" s="37">
        <v>78019.6976</v>
      </c>
      <c r="O16" s="37">
        <v>16530.111245820917</v>
      </c>
      <c r="P16" s="37">
        <v>62820.646394285483</v>
      </c>
      <c r="Q16" s="37">
        <v>53674.341709535307</v>
      </c>
      <c r="R16" s="37"/>
      <c r="S16" s="40">
        <f t="shared" si="1"/>
        <v>8815656.540453501</v>
      </c>
    </row>
    <row r="17" spans="2:19" x14ac:dyDescent="0.25">
      <c r="B17" t="s">
        <v>84</v>
      </c>
      <c r="C17" s="30" t="s">
        <v>85</v>
      </c>
      <c r="D17" s="36">
        <v>36958.529999999992</v>
      </c>
      <c r="E17" s="37">
        <v>23981.98</v>
      </c>
      <c r="F17" s="38">
        <f>(E17)/D17</f>
        <v>0.64888890331947735</v>
      </c>
      <c r="G17" s="36">
        <v>952</v>
      </c>
      <c r="H17" s="41">
        <f>(0.41249*G17)+(364.04*12)</f>
        <v>4761.1704800000007</v>
      </c>
      <c r="I17" s="41"/>
      <c r="J17" s="41"/>
      <c r="K17" s="37">
        <v>-3439.0162399999999</v>
      </c>
      <c r="L17" s="37"/>
      <c r="M17" s="37">
        <v>4.4934400000000005</v>
      </c>
      <c r="N17" s="37">
        <v>23.923759999999998</v>
      </c>
      <c r="O17" s="37">
        <v>0</v>
      </c>
      <c r="P17" s="37">
        <v>21.562799999999999</v>
      </c>
      <c r="Q17" s="37">
        <v>18.39264</v>
      </c>
      <c r="R17" s="37">
        <v>-16.420000000000002</v>
      </c>
      <c r="S17" s="40">
        <f t="shared" si="1"/>
        <v>1374.1068800000005</v>
      </c>
    </row>
    <row r="18" spans="2:19" x14ac:dyDescent="0.25">
      <c r="B18" t="s">
        <v>86</v>
      </c>
      <c r="C18" s="30" t="s">
        <v>87</v>
      </c>
      <c r="D18" s="36">
        <v>19494505.608019032</v>
      </c>
      <c r="E18" s="37">
        <v>4475398.7622919884</v>
      </c>
      <c r="F18" s="38">
        <f t="shared" ref="F18:F23" si="3">(E18)/D18</f>
        <v>0.22957231397810063</v>
      </c>
      <c r="G18" s="36">
        <v>21477365</v>
      </c>
      <c r="H18" s="39">
        <f>F18*G18</f>
        <v>4930608.3812022693</v>
      </c>
      <c r="I18" s="41"/>
      <c r="J18" s="41"/>
      <c r="K18" s="37">
        <v>1754868.87995</v>
      </c>
      <c r="L18" s="37"/>
      <c r="M18" s="37">
        <v>49612.713150000003</v>
      </c>
      <c r="N18" s="37">
        <v>215632.74460000001</v>
      </c>
      <c r="O18" s="37">
        <v>0</v>
      </c>
      <c r="P18" s="37">
        <v>232599.86294999998</v>
      </c>
      <c r="Q18" s="37">
        <v>198236.07894999997</v>
      </c>
      <c r="R18" s="37">
        <v>-648372.76</v>
      </c>
      <c r="S18" s="40">
        <f t="shared" si="1"/>
        <v>6733185.9008022696</v>
      </c>
    </row>
    <row r="19" spans="2:19" x14ac:dyDescent="0.25">
      <c r="B19" t="s">
        <v>88</v>
      </c>
      <c r="C19" s="30" t="s">
        <v>89</v>
      </c>
      <c r="D19" s="36">
        <v>68886791.019958794</v>
      </c>
      <c r="E19" s="37">
        <v>7339677.3100000005</v>
      </c>
      <c r="F19" s="38">
        <f t="shared" si="3"/>
        <v>0.1065469475544804</v>
      </c>
      <c r="G19" s="36">
        <v>63566690</v>
      </c>
      <c r="H19" s="39">
        <f t="shared" si="2"/>
        <v>6772836.7856419133</v>
      </c>
      <c r="I19" s="41"/>
      <c r="J19" s="41"/>
      <c r="K19" s="37">
        <v>3820910.3944057971</v>
      </c>
      <c r="L19" s="37"/>
      <c r="M19" s="37">
        <v>67263.273240838462</v>
      </c>
      <c r="N19" s="37">
        <v>336267.79010000004</v>
      </c>
      <c r="O19" s="37">
        <v>0</v>
      </c>
      <c r="P19" s="37">
        <v>409369.48360000004</v>
      </c>
      <c r="Q19" s="37">
        <v>348345.46119999996</v>
      </c>
      <c r="R19" s="37"/>
      <c r="S19" s="40">
        <f t="shared" si="1"/>
        <v>11754993.188188549</v>
      </c>
    </row>
    <row r="20" spans="2:19" x14ac:dyDescent="0.25">
      <c r="B20" t="s">
        <v>90</v>
      </c>
      <c r="C20" s="30" t="s">
        <v>91</v>
      </c>
      <c r="D20" s="36">
        <v>1718484.3400000003</v>
      </c>
      <c r="E20" s="37">
        <v>367155.5</v>
      </c>
      <c r="F20" s="38">
        <f t="shared" si="3"/>
        <v>0.21365076856039314</v>
      </c>
      <c r="G20" s="36">
        <v>1198658</v>
      </c>
      <c r="H20" s="39">
        <f t="shared" si="2"/>
        <v>256094.20294106373</v>
      </c>
      <c r="I20" s="41"/>
      <c r="J20" s="41"/>
      <c r="K20" s="37">
        <v>23930.930539999914</v>
      </c>
      <c r="L20" s="37"/>
      <c r="M20" s="37">
        <v>2049.7051799999999</v>
      </c>
      <c r="N20" s="37">
        <v>8066.9683399999994</v>
      </c>
      <c r="O20" s="37">
        <v>0</v>
      </c>
      <c r="P20" s="37">
        <v>6292.9545000000007</v>
      </c>
      <c r="Q20" s="37">
        <v>5358.00126</v>
      </c>
      <c r="R20" s="37">
        <v>-28888.010000000002</v>
      </c>
      <c r="S20" s="40">
        <f t="shared" si="1"/>
        <v>272904.75276106363</v>
      </c>
    </row>
    <row r="21" spans="2:19" x14ac:dyDescent="0.25">
      <c r="B21" t="s">
        <v>92</v>
      </c>
      <c r="C21" s="30" t="s">
        <v>93</v>
      </c>
      <c r="D21" s="36">
        <v>97500425.645479575</v>
      </c>
      <c r="E21" s="37">
        <v>4790056.76</v>
      </c>
      <c r="F21" s="38">
        <f>(E21)/D21</f>
        <v>4.9128572806616068E-2</v>
      </c>
      <c r="G21" s="36">
        <v>123251717</v>
      </c>
      <c r="H21" s="39">
        <f t="shared" si="2"/>
        <v>6055180.9521749392</v>
      </c>
      <c r="I21" s="37"/>
      <c r="J21" s="37"/>
      <c r="K21" s="37">
        <v>-4621549.1414181516</v>
      </c>
      <c r="L21" s="37"/>
      <c r="M21" s="37">
        <v>44594.492112038715</v>
      </c>
      <c r="N21" s="37">
        <v>464658.97308999998</v>
      </c>
      <c r="O21" s="37">
        <v>0</v>
      </c>
      <c r="P21" s="37">
        <v>269270.88551125338</v>
      </c>
      <c r="Q21" s="37">
        <v>230107.36333163633</v>
      </c>
      <c r="R21" s="37"/>
      <c r="S21" s="40">
        <f t="shared" si="1"/>
        <v>2442263.5248017162</v>
      </c>
    </row>
    <row r="22" spans="2:19" x14ac:dyDescent="0.25">
      <c r="B22" t="s">
        <v>94</v>
      </c>
      <c r="D22" s="36">
        <v>32154478.538398605</v>
      </c>
      <c r="E22" s="37">
        <v>1699064.4523564125</v>
      </c>
      <c r="F22" s="42">
        <f t="shared" si="3"/>
        <v>5.2840678175744761E-2</v>
      </c>
      <c r="G22" s="36">
        <v>32287606</v>
      </c>
      <c r="H22" s="39">
        <f t="shared" si="2"/>
        <v>1706098.9977112457</v>
      </c>
      <c r="I22" s="37"/>
      <c r="J22" s="37"/>
      <c r="K22" s="37">
        <v>808761.82605200913</v>
      </c>
      <c r="L22" s="37"/>
      <c r="M22" s="37"/>
      <c r="N22" s="37">
        <v>30350.34964</v>
      </c>
      <c r="O22" s="37">
        <v>0</v>
      </c>
      <c r="P22" s="37">
        <v>0</v>
      </c>
      <c r="Q22" s="37">
        <v>0</v>
      </c>
      <c r="R22" s="37"/>
      <c r="S22" s="40">
        <f t="shared" si="1"/>
        <v>2545211.1734032552</v>
      </c>
    </row>
    <row r="23" spans="2:19" x14ac:dyDescent="0.25">
      <c r="B23" t="s">
        <v>16</v>
      </c>
      <c r="D23" s="43">
        <f>SUM(D10:D22)</f>
        <v>1172906987.060853</v>
      </c>
      <c r="E23" s="44">
        <f>SUM(E10:E22)</f>
        <v>567196461.71043551</v>
      </c>
      <c r="F23" s="38">
        <f t="shared" si="3"/>
        <v>0.48358179119706113</v>
      </c>
      <c r="G23" s="43">
        <f>SUM(G10:G22)</f>
        <v>1133099127</v>
      </c>
      <c r="H23" s="44">
        <f>SUM(H10:H22)</f>
        <v>529997987.89660108</v>
      </c>
      <c r="I23" s="44">
        <f t="shared" ref="I23:L23" si="4">SUM(I10:I22)</f>
        <v>490171587.45000005</v>
      </c>
      <c r="J23" s="44">
        <f t="shared" si="4"/>
        <v>-178516473.68000001</v>
      </c>
      <c r="K23" s="44">
        <f t="shared" si="4"/>
        <v>50300384.915932253</v>
      </c>
      <c r="L23" s="44">
        <f t="shared" si="4"/>
        <v>25500974.791850004</v>
      </c>
      <c r="M23" s="44">
        <f>SUM(M10:M22)</f>
        <v>4490269.9663894903</v>
      </c>
      <c r="N23" s="44">
        <f>SUM(N10:N22)</f>
        <v>20382150.530620001</v>
      </c>
      <c r="O23" s="44">
        <f>SUM(O10:O22)</f>
        <v>2697960.1609558202</v>
      </c>
      <c r="P23" s="44">
        <f t="shared" ref="P23:S23" si="5">SUM(P10:P22)</f>
        <v>20657069.579825547</v>
      </c>
      <c r="Q23" s="44">
        <f t="shared" si="5"/>
        <v>17612079.683271162</v>
      </c>
      <c r="R23" s="44">
        <f t="shared" si="5"/>
        <v>-4550113.18</v>
      </c>
      <c r="S23" s="45">
        <f t="shared" si="5"/>
        <v>978743878.11544526</v>
      </c>
    </row>
    <row r="24" spans="2:19" x14ac:dyDescent="0.25">
      <c r="D24" s="46"/>
      <c r="E24" s="39"/>
      <c r="G24" s="46"/>
      <c r="M24" s="39"/>
      <c r="R24" s="39"/>
      <c r="S24" s="39"/>
    </row>
    <row r="25" spans="2:19" s="51" customFormat="1" x14ac:dyDescent="0.25">
      <c r="B25" s="47" t="s">
        <v>95</v>
      </c>
      <c r="C25" s="48"/>
      <c r="D25" s="49"/>
      <c r="E25" s="50"/>
    </row>
    <row r="26" spans="2:19" s="51" customFormat="1" x14ac:dyDescent="0.25">
      <c r="B26" s="52" t="s">
        <v>13</v>
      </c>
      <c r="C26" s="53" t="s">
        <v>96</v>
      </c>
      <c r="D26" s="54">
        <f>D10+D11</f>
        <v>620844874.32387137</v>
      </c>
      <c r="E26" s="55">
        <f>E10+E11</f>
        <v>403618690.2447409</v>
      </c>
      <c r="F26" s="38">
        <f t="shared" ref="F26:F33" si="6">(E26)/D26</f>
        <v>0.65011197955737365</v>
      </c>
      <c r="G26" s="54">
        <f>G10+G11</f>
        <v>555757476</v>
      </c>
      <c r="H26" s="55">
        <f>H10+H11</f>
        <v>361304596.62332869</v>
      </c>
      <c r="I26" s="55">
        <f t="shared" ref="I26:R26" si="7">I10+I11</f>
        <v>309062289.98000002</v>
      </c>
      <c r="J26" s="55">
        <f t="shared" si="7"/>
        <v>-112112955.63</v>
      </c>
      <c r="K26" s="55">
        <f t="shared" si="7"/>
        <v>27658547.524751198</v>
      </c>
      <c r="L26" s="55">
        <f t="shared" si="7"/>
        <v>15978027.435000001</v>
      </c>
      <c r="M26" s="55">
        <f t="shared" si="7"/>
        <v>3056627.6399999997</v>
      </c>
      <c r="N26" s="55">
        <f t="shared" si="7"/>
        <v>12699058.326599998</v>
      </c>
      <c r="O26" s="55">
        <f t="shared" si="7"/>
        <v>1811769.3717599998</v>
      </c>
      <c r="P26" s="55">
        <f t="shared" si="7"/>
        <v>13638288.461039999</v>
      </c>
      <c r="Q26" s="55">
        <f t="shared" si="7"/>
        <v>11626446.397919998</v>
      </c>
      <c r="R26" s="55">
        <f t="shared" si="7"/>
        <v>2578682.23</v>
      </c>
      <c r="S26" s="55">
        <f>S10+S11</f>
        <v>647301378.36039984</v>
      </c>
    </row>
    <row r="27" spans="2:19" s="51" customFormat="1" x14ac:dyDescent="0.25">
      <c r="B27" s="52" t="s">
        <v>97</v>
      </c>
      <c r="C27" s="53" t="s">
        <v>98</v>
      </c>
      <c r="D27" s="54">
        <f>D12+D17</f>
        <v>222203870.67539161</v>
      </c>
      <c r="E27" s="55">
        <f>E12+E17</f>
        <v>122144982.04000001</v>
      </c>
      <c r="F27" s="38">
        <f t="shared" si="6"/>
        <v>0.54969781430331843</v>
      </c>
      <c r="G27" s="54">
        <f t="shared" ref="G27:R31" si="8">G12+G17</f>
        <v>231049473</v>
      </c>
      <c r="H27" s="55">
        <f t="shared" si="8"/>
        <v>127007815.65070221</v>
      </c>
      <c r="I27" s="55">
        <f t="shared" si="8"/>
        <v>126979646.17</v>
      </c>
      <c r="J27" s="55">
        <f t="shared" si="8"/>
        <v>-46255913.899999999</v>
      </c>
      <c r="K27" s="55">
        <f t="shared" si="8"/>
        <v>14693707.953779832</v>
      </c>
      <c r="L27" s="55">
        <f t="shared" si="8"/>
        <v>6642644.9787500007</v>
      </c>
      <c r="M27" s="55">
        <f t="shared" si="8"/>
        <v>1090553.5125600002</v>
      </c>
      <c r="N27" s="55">
        <f t="shared" si="8"/>
        <v>5806273.2564899996</v>
      </c>
      <c r="O27" s="55">
        <f t="shared" si="8"/>
        <v>695456.04821000004</v>
      </c>
      <c r="P27" s="55">
        <f t="shared" si="8"/>
        <v>5233270.5634500002</v>
      </c>
      <c r="Q27" s="55">
        <f t="shared" si="8"/>
        <v>4463875.8183599999</v>
      </c>
      <c r="R27" s="55">
        <f t="shared" si="8"/>
        <v>-4114990.58</v>
      </c>
      <c r="S27" s="55">
        <f>S12+S17</f>
        <v>242242339.47230202</v>
      </c>
    </row>
    <row r="28" spans="2:19" s="51" customFormat="1" x14ac:dyDescent="0.25">
      <c r="B28" s="52" t="s">
        <v>99</v>
      </c>
      <c r="C28" s="53" t="s">
        <v>100</v>
      </c>
      <c r="D28" s="54">
        <f t="shared" ref="D28:E31" si="9">D13+D18</f>
        <v>82012496.764967203</v>
      </c>
      <c r="E28" s="55">
        <f t="shared" si="9"/>
        <v>22261797.053338237</v>
      </c>
      <c r="F28" s="38">
        <f t="shared" si="6"/>
        <v>0.27144396197492282</v>
      </c>
      <c r="G28" s="54">
        <f t="shared" si="8"/>
        <v>83250667</v>
      </c>
      <c r="H28" s="55">
        <f t="shared" si="8"/>
        <v>22505142.252049029</v>
      </c>
      <c r="I28" s="55">
        <f t="shared" si="8"/>
        <v>32922099.34</v>
      </c>
      <c r="J28" s="55">
        <f t="shared" si="8"/>
        <v>-12121157.32</v>
      </c>
      <c r="K28" s="55">
        <f t="shared" si="8"/>
        <v>5528303.6986234393</v>
      </c>
      <c r="L28" s="55">
        <f t="shared" si="8"/>
        <v>1775982.4325000001</v>
      </c>
      <c r="M28" s="55">
        <f t="shared" si="8"/>
        <v>192309.04076999999</v>
      </c>
      <c r="N28" s="55">
        <f t="shared" si="8"/>
        <v>835836.69668000005</v>
      </c>
      <c r="O28" s="55">
        <f t="shared" si="8"/>
        <v>140225.39554</v>
      </c>
      <c r="P28" s="55">
        <f t="shared" si="8"/>
        <v>901604.72360999999</v>
      </c>
      <c r="Q28" s="55">
        <f t="shared" si="8"/>
        <v>768403.65640999994</v>
      </c>
      <c r="R28" s="55">
        <f t="shared" si="8"/>
        <v>-2855488.96</v>
      </c>
      <c r="S28" s="55">
        <f>S13+S18</f>
        <v>50593260.956182458</v>
      </c>
    </row>
    <row r="29" spans="2:19" s="51" customFormat="1" x14ac:dyDescent="0.25">
      <c r="B29" s="52" t="s">
        <v>81</v>
      </c>
      <c r="C29" s="53" t="s">
        <v>101</v>
      </c>
      <c r="D29" s="54">
        <f t="shared" si="9"/>
        <v>88879730.522699013</v>
      </c>
      <c r="E29" s="55">
        <f t="shared" si="9"/>
        <v>9611990.370000001</v>
      </c>
      <c r="F29" s="38">
        <f t="shared" si="6"/>
        <v>0.10814603412355298</v>
      </c>
      <c r="G29" s="54">
        <f t="shared" si="8"/>
        <v>80736078</v>
      </c>
      <c r="H29" s="55">
        <f t="shared" si="8"/>
        <v>8724236.9076329805</v>
      </c>
      <c r="I29" s="55">
        <f t="shared" si="8"/>
        <v>8554041.6300000008</v>
      </c>
      <c r="J29" s="55">
        <f t="shared" si="8"/>
        <v>-3232480.68</v>
      </c>
      <c r="K29" s="55">
        <f t="shared" si="8"/>
        <v>5559482.1592149138</v>
      </c>
      <c r="L29" s="55">
        <f t="shared" si="8"/>
        <v>443656.98591999995</v>
      </c>
      <c r="M29" s="55">
        <f t="shared" si="8"/>
        <v>86297.196173872362</v>
      </c>
      <c r="N29" s="55">
        <f t="shared" si="8"/>
        <v>427093.85262000002</v>
      </c>
      <c r="O29" s="55">
        <f t="shared" si="8"/>
        <v>31591.673920000001</v>
      </c>
      <c r="P29" s="55">
        <f t="shared" si="8"/>
        <v>519940.34232000005</v>
      </c>
      <c r="Q29" s="55">
        <f t="shared" si="8"/>
        <v>442433.70743999997</v>
      </c>
      <c r="R29" s="55">
        <f t="shared" si="8"/>
        <v>0</v>
      </c>
      <c r="S29" s="55">
        <f>S14+S19</f>
        <v>21556293.77524177</v>
      </c>
    </row>
    <row r="30" spans="2:19" s="51" customFormat="1" x14ac:dyDescent="0.25">
      <c r="B30" s="52" t="s">
        <v>102</v>
      </c>
      <c r="C30" s="53" t="s">
        <v>103</v>
      </c>
      <c r="D30" s="54">
        <f t="shared" si="9"/>
        <v>7491654.8276905455</v>
      </c>
      <c r="E30" s="55">
        <f t="shared" si="9"/>
        <v>1560031.02</v>
      </c>
      <c r="F30" s="38">
        <f t="shared" si="6"/>
        <v>0.20823583785972574</v>
      </c>
      <c r="G30" s="54">
        <f t="shared" si="8"/>
        <v>6071230</v>
      </c>
      <c r="H30" s="55">
        <f t="shared" si="8"/>
        <v>1262884.4702007053</v>
      </c>
      <c r="I30" s="55">
        <f t="shared" si="8"/>
        <v>2464593.11</v>
      </c>
      <c r="J30" s="55">
        <f t="shared" si="8"/>
        <v>-925886.13</v>
      </c>
      <c r="K30" s="55">
        <f t="shared" si="8"/>
        <v>365650.3749</v>
      </c>
      <c r="L30" s="55">
        <f t="shared" si="8"/>
        <v>125907.26048</v>
      </c>
      <c r="M30" s="55">
        <f t="shared" si="8"/>
        <v>10381.8033</v>
      </c>
      <c r="N30" s="55">
        <f t="shared" si="8"/>
        <v>40859.377899999999</v>
      </c>
      <c r="O30" s="55">
        <f t="shared" si="8"/>
        <v>2387.5602800000001</v>
      </c>
      <c r="P30" s="55">
        <f t="shared" si="8"/>
        <v>31873.9575</v>
      </c>
      <c r="Q30" s="55">
        <f t="shared" si="8"/>
        <v>27138.398100000002</v>
      </c>
      <c r="R30" s="55">
        <f t="shared" si="8"/>
        <v>-158315.87</v>
      </c>
      <c r="S30" s="55">
        <f>S15+S20</f>
        <v>3247474.3126607058</v>
      </c>
    </row>
    <row r="31" spans="2:19" s="51" customFormat="1" x14ac:dyDescent="0.25">
      <c r="B31" s="52" t="s">
        <v>104</v>
      </c>
      <c r="C31" s="53" t="s">
        <v>105</v>
      </c>
      <c r="D31" s="54">
        <f t="shared" si="9"/>
        <v>119319881.40783478</v>
      </c>
      <c r="E31" s="55">
        <f t="shared" si="9"/>
        <v>6299906.5299999993</v>
      </c>
      <c r="F31" s="38">
        <f t="shared" si="6"/>
        <v>5.2798464561550719E-2</v>
      </c>
      <c r="G31" s="54">
        <f t="shared" si="8"/>
        <v>143946597</v>
      </c>
      <c r="H31" s="55">
        <f t="shared" si="8"/>
        <v>7487212.9949762151</v>
      </c>
      <c r="I31" s="55">
        <f t="shared" si="8"/>
        <v>10188917.220000001</v>
      </c>
      <c r="J31" s="55">
        <f t="shared" si="8"/>
        <v>-3868080.02</v>
      </c>
      <c r="K31" s="55">
        <f t="shared" si="8"/>
        <v>-4314068.6213891478</v>
      </c>
      <c r="L31" s="55">
        <f t="shared" si="8"/>
        <v>534755.69919999992</v>
      </c>
      <c r="M31" s="55">
        <f t="shared" si="8"/>
        <v>54100.773585618415</v>
      </c>
      <c r="N31" s="55">
        <f t="shared" si="8"/>
        <v>542678.67068999994</v>
      </c>
      <c r="O31" s="55">
        <f t="shared" si="8"/>
        <v>16530.111245820917</v>
      </c>
      <c r="P31" s="55">
        <f t="shared" si="8"/>
        <v>332091.53190553887</v>
      </c>
      <c r="Q31" s="55">
        <f t="shared" si="8"/>
        <v>283781.70504117163</v>
      </c>
      <c r="R31" s="55">
        <f t="shared" si="8"/>
        <v>0</v>
      </c>
      <c r="S31" s="55">
        <f>S16+S21</f>
        <v>11257920.065255217</v>
      </c>
    </row>
    <row r="32" spans="2:19" s="51" customFormat="1" x14ac:dyDescent="0.25">
      <c r="B32" s="52" t="s">
        <v>94</v>
      </c>
      <c r="C32" s="52"/>
      <c r="D32" s="54">
        <f>D22</f>
        <v>32154478.538398605</v>
      </c>
      <c r="E32" s="55">
        <f>E22</f>
        <v>1699064.4523564125</v>
      </c>
      <c r="F32" s="38">
        <f t="shared" si="6"/>
        <v>5.2840678175744761E-2</v>
      </c>
      <c r="G32" s="54">
        <f>G22</f>
        <v>32287606</v>
      </c>
      <c r="H32" s="55">
        <f>H22</f>
        <v>1706098.9977112457</v>
      </c>
      <c r="I32" s="55">
        <f t="shared" ref="I32:R32" si="10">I22</f>
        <v>0</v>
      </c>
      <c r="J32" s="55">
        <f t="shared" si="10"/>
        <v>0</v>
      </c>
      <c r="K32" s="55">
        <f t="shared" si="10"/>
        <v>808761.82605200913</v>
      </c>
      <c r="L32" s="55">
        <f t="shared" si="10"/>
        <v>0</v>
      </c>
      <c r="M32" s="55">
        <f t="shared" si="10"/>
        <v>0</v>
      </c>
      <c r="N32" s="55">
        <f t="shared" si="10"/>
        <v>30350.34964</v>
      </c>
      <c r="O32" s="55">
        <f t="shared" si="10"/>
        <v>0</v>
      </c>
      <c r="P32" s="55">
        <f t="shared" si="10"/>
        <v>0</v>
      </c>
      <c r="Q32" s="55">
        <f t="shared" si="10"/>
        <v>0</v>
      </c>
      <c r="R32" s="55">
        <f t="shared" si="10"/>
        <v>0</v>
      </c>
      <c r="S32" s="55">
        <f>S22</f>
        <v>2545211.1734032552</v>
      </c>
    </row>
    <row r="33" spans="2:19" s="51" customFormat="1" x14ac:dyDescent="0.25">
      <c r="B33" s="52" t="s">
        <v>16</v>
      </c>
      <c r="C33" s="52"/>
      <c r="D33" s="56">
        <f>SUM(D26:D32)</f>
        <v>1172906987.0608532</v>
      </c>
      <c r="E33" s="57">
        <f>SUM(E26:E32)</f>
        <v>567196461.71043563</v>
      </c>
      <c r="F33" s="58">
        <f t="shared" si="6"/>
        <v>0.48358179119706113</v>
      </c>
      <c r="G33" s="56">
        <f>SUM(G26:G32)</f>
        <v>1133099127</v>
      </c>
      <c r="H33" s="57">
        <f>SUM(H26:H32)</f>
        <v>529997987.89660114</v>
      </c>
      <c r="I33" s="57">
        <f t="shared" ref="I33:R33" si="11">SUM(I26:I32)</f>
        <v>490171587.45000005</v>
      </c>
      <c r="J33" s="57">
        <f t="shared" si="11"/>
        <v>-178516473.68000001</v>
      </c>
      <c r="K33" s="57">
        <f t="shared" si="11"/>
        <v>50300384.915932246</v>
      </c>
      <c r="L33" s="57">
        <f t="shared" si="11"/>
        <v>25500974.791850004</v>
      </c>
      <c r="M33" s="57">
        <f t="shared" si="11"/>
        <v>4490269.9663894912</v>
      </c>
      <c r="N33" s="57">
        <f t="shared" si="11"/>
        <v>20382150.530620001</v>
      </c>
      <c r="O33" s="57">
        <f t="shared" si="11"/>
        <v>2697960.1609558202</v>
      </c>
      <c r="P33" s="57">
        <f t="shared" si="11"/>
        <v>20657069.579825535</v>
      </c>
      <c r="Q33" s="57">
        <f t="shared" si="11"/>
        <v>17612079.68327117</v>
      </c>
      <c r="R33" s="57">
        <f t="shared" si="11"/>
        <v>-4550113.1800000006</v>
      </c>
      <c r="S33" s="57">
        <f>SUM(S26:S32)</f>
        <v>978743878.11544526</v>
      </c>
    </row>
    <row r="34" spans="2:19" s="51" customFormat="1" x14ac:dyDescent="0.25"/>
    <row r="35" spans="2:19" ht="17.25" x14ac:dyDescent="0.25">
      <c r="B35" t="s">
        <v>106</v>
      </c>
    </row>
    <row r="36" spans="2:19" ht="17.25" x14ac:dyDescent="0.25">
      <c r="B36" t="s">
        <v>107</v>
      </c>
    </row>
  </sheetData>
  <mergeCells count="3">
    <mergeCell ref="B1:S1"/>
    <mergeCell ref="B2:S2"/>
    <mergeCell ref="B3:S3"/>
  </mergeCells>
  <printOptions horizontalCentered="1"/>
  <pageMargins left="0.45" right="0.45" top="0.75" bottom="0.75" header="0.3" footer="0.3"/>
  <pageSetup paperSize="5" scale="62" orientation="landscape" blackAndWhite="1" r:id="rId1"/>
  <headerFooter>
    <oddFooter>&amp;L&amp;F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4C73B-9A62-48F7-92B6-B5FE1D0F2D12}">
  <dimension ref="A1:Y45"/>
  <sheetViews>
    <sheetView zoomScaleNormal="100" workbookViewId="0">
      <pane xSplit="4" ySplit="7" topLeftCell="K14" activePane="bottomRight" state="frozen"/>
      <selection activeCell="H44" sqref="H44"/>
      <selection pane="topRight" activeCell="H44" sqref="H44"/>
      <selection pane="bottomLeft" activeCell="H44" sqref="H44"/>
      <selection pane="bottomRight" activeCell="L33" sqref="L33"/>
    </sheetView>
  </sheetViews>
  <sheetFormatPr defaultColWidth="6.28515625" defaultRowHeight="11.25" x14ac:dyDescent="0.2"/>
  <cols>
    <col min="1" max="1" width="4.42578125" style="72" bestFit="1" customWidth="1"/>
    <col min="2" max="2" width="17.42578125" style="72" bestFit="1" customWidth="1"/>
    <col min="3" max="3" width="13.28515625" style="72" bestFit="1" customWidth="1"/>
    <col min="4" max="4" width="14.85546875" style="72" bestFit="1" customWidth="1"/>
    <col min="5" max="5" width="11.85546875" style="72" bestFit="1" customWidth="1"/>
    <col min="6" max="6" width="8.28515625" style="72" bestFit="1" customWidth="1"/>
    <col min="7" max="7" width="9.85546875" style="72" bestFit="1" customWidth="1"/>
    <col min="8" max="8" width="11.5703125" style="72" bestFit="1" customWidth="1"/>
    <col min="9" max="9" width="11.28515625" style="72" bestFit="1" customWidth="1"/>
    <col min="10" max="10" width="12.28515625" style="72" bestFit="1" customWidth="1"/>
    <col min="11" max="11" width="11.28515625" style="72" customWidth="1"/>
    <col min="12" max="12" width="11.85546875" style="72" bestFit="1" customWidth="1"/>
    <col min="13" max="13" width="11.28515625" style="72" bestFit="1" customWidth="1"/>
    <col min="14" max="14" width="10.7109375" style="72" bestFit="1" customWidth="1"/>
    <col min="15" max="15" width="11.42578125" style="72" bestFit="1" customWidth="1"/>
    <col min="16" max="16" width="10.7109375" style="72" bestFit="1" customWidth="1"/>
    <col min="17" max="17" width="11.5703125" style="72" customWidth="1"/>
    <col min="18" max="18" width="10.7109375" style="72" bestFit="1" customWidth="1"/>
    <col min="19" max="19" width="9.85546875" style="72" bestFit="1" customWidth="1"/>
    <col min="20" max="20" width="11.85546875" style="72" customWidth="1"/>
    <col min="21" max="21" width="11.28515625" style="72" bestFit="1" customWidth="1"/>
    <col min="22" max="22" width="11.85546875" style="72" bestFit="1" customWidth="1"/>
    <col min="23" max="23" width="13.28515625" style="72" customWidth="1"/>
    <col min="24" max="24" width="11.5703125" style="72" bestFit="1" customWidth="1"/>
    <col min="25" max="25" width="12.85546875" style="72" bestFit="1" customWidth="1"/>
    <col min="26" max="16384" width="6.28515625" style="72"/>
  </cols>
  <sheetData>
    <row r="1" spans="1:25" x14ac:dyDescent="0.2">
      <c r="A1" s="70" t="s">
        <v>29</v>
      </c>
      <c r="B1" s="70"/>
      <c r="C1" s="70"/>
      <c r="D1" s="70"/>
      <c r="E1" s="70"/>
      <c r="F1" s="70"/>
      <c r="G1" s="70"/>
      <c r="H1" s="70"/>
      <c r="I1" s="70"/>
      <c r="J1" s="70"/>
      <c r="K1" s="71"/>
      <c r="L1" s="71"/>
      <c r="M1" s="70"/>
      <c r="N1" s="70"/>
      <c r="O1" s="70"/>
      <c r="P1" s="70"/>
      <c r="Q1" s="70"/>
      <c r="R1" s="70"/>
      <c r="S1" s="70"/>
      <c r="T1" s="70"/>
      <c r="U1" s="70"/>
      <c r="V1" s="70"/>
      <c r="W1" s="70"/>
      <c r="X1" s="70"/>
      <c r="Y1" s="70"/>
    </row>
    <row r="2" spans="1:25" x14ac:dyDescent="0.2">
      <c r="A2" s="70" t="s">
        <v>111</v>
      </c>
      <c r="B2" s="73"/>
      <c r="C2" s="73"/>
      <c r="D2" s="73"/>
      <c r="E2" s="73"/>
      <c r="F2" s="73"/>
      <c r="G2" s="73"/>
      <c r="H2" s="74"/>
      <c r="I2" s="74"/>
      <c r="J2" s="74"/>
      <c r="K2" s="74"/>
      <c r="L2" s="74"/>
      <c r="M2" s="74"/>
      <c r="N2" s="74"/>
      <c r="O2" s="74"/>
      <c r="P2" s="74"/>
      <c r="Q2" s="74"/>
      <c r="R2" s="74"/>
      <c r="S2" s="74"/>
      <c r="T2" s="74"/>
      <c r="U2" s="74"/>
      <c r="V2" s="74"/>
      <c r="W2" s="74"/>
      <c r="X2" s="74"/>
      <c r="Y2" s="74"/>
    </row>
    <row r="3" spans="1:25" s="77" customFormat="1" x14ac:dyDescent="0.2">
      <c r="A3" s="75" t="s">
        <v>112</v>
      </c>
      <c r="B3" s="75"/>
      <c r="C3" s="75"/>
      <c r="D3" s="75"/>
      <c r="E3" s="75"/>
      <c r="F3" s="75"/>
      <c r="G3" s="75"/>
      <c r="H3" s="76"/>
      <c r="I3" s="76"/>
      <c r="J3" s="76"/>
      <c r="K3" s="76"/>
      <c r="L3" s="76"/>
      <c r="M3" s="76"/>
      <c r="N3" s="76"/>
      <c r="O3" s="76"/>
      <c r="P3" s="76"/>
      <c r="Q3" s="76"/>
      <c r="R3" s="76"/>
      <c r="S3" s="76"/>
      <c r="T3" s="76"/>
      <c r="U3" s="76"/>
      <c r="V3" s="76"/>
      <c r="W3" s="76"/>
      <c r="X3" s="76"/>
      <c r="Y3" s="76"/>
    </row>
    <row r="4" spans="1:25" s="77" customFormat="1" x14ac:dyDescent="0.2">
      <c r="A4" s="78" t="s">
        <v>113</v>
      </c>
      <c r="B4" s="75"/>
      <c r="C4" s="75"/>
      <c r="D4" s="75"/>
      <c r="E4" s="75"/>
      <c r="F4" s="75"/>
      <c r="G4" s="75"/>
      <c r="H4" s="76"/>
      <c r="I4" s="76"/>
      <c r="J4" s="76"/>
      <c r="K4" s="76"/>
      <c r="L4" s="76"/>
      <c r="M4" s="76"/>
      <c r="N4" s="76"/>
      <c r="O4" s="76"/>
      <c r="P4" s="76"/>
      <c r="Q4" s="76"/>
      <c r="R4" s="76"/>
      <c r="S4" s="76"/>
      <c r="T4" s="76"/>
      <c r="U4" s="76"/>
      <c r="V4" s="76"/>
      <c r="W4" s="76"/>
      <c r="X4" s="76"/>
      <c r="Y4" s="76"/>
    </row>
    <row r="5" spans="1:25" x14ac:dyDescent="0.2">
      <c r="A5" s="79"/>
      <c r="B5" s="80"/>
      <c r="C5" s="80"/>
      <c r="D5" s="80"/>
      <c r="E5" s="80"/>
      <c r="F5" s="80"/>
      <c r="G5" s="80"/>
      <c r="H5" s="80"/>
      <c r="I5" s="80"/>
      <c r="J5" s="80"/>
      <c r="K5" s="80"/>
      <c r="L5" s="80"/>
      <c r="M5" s="80"/>
      <c r="N5" s="80"/>
      <c r="O5" s="80"/>
      <c r="P5" s="80"/>
      <c r="Q5" s="80"/>
      <c r="R5" s="80"/>
      <c r="S5" s="80"/>
      <c r="T5" s="80"/>
      <c r="U5" s="80"/>
      <c r="V5" s="80"/>
      <c r="W5" s="80"/>
      <c r="X5" s="80"/>
    </row>
    <row r="6" spans="1:25" ht="13.5" customHeight="1" x14ac:dyDescent="0.2">
      <c r="A6" s="79"/>
      <c r="B6" s="80"/>
      <c r="C6" s="80"/>
      <c r="D6" s="80"/>
      <c r="E6" s="80"/>
      <c r="F6" s="80"/>
      <c r="G6" s="80"/>
      <c r="H6" s="80"/>
      <c r="I6" s="80" t="s">
        <v>114</v>
      </c>
      <c r="J6" s="80" t="s">
        <v>114</v>
      </c>
      <c r="K6" s="80"/>
      <c r="L6" s="80"/>
      <c r="M6" s="80"/>
      <c r="N6" s="80"/>
      <c r="O6" s="80"/>
      <c r="P6" s="80"/>
      <c r="Q6" s="80"/>
      <c r="R6" s="80"/>
      <c r="S6" s="80"/>
      <c r="T6" s="80"/>
      <c r="U6" s="80"/>
      <c r="V6" s="80"/>
      <c r="W6" s="80" t="s">
        <v>115</v>
      </c>
      <c r="X6" s="80"/>
      <c r="Y6" s="81"/>
    </row>
    <row r="7" spans="1:25" s="85" customFormat="1" ht="56.25" x14ac:dyDescent="0.2">
      <c r="A7" s="82" t="s">
        <v>116</v>
      </c>
      <c r="B7" s="82" t="s">
        <v>117</v>
      </c>
      <c r="C7" s="83" t="s">
        <v>118</v>
      </c>
      <c r="D7" s="84" t="s">
        <v>119</v>
      </c>
      <c r="E7" s="84" t="s">
        <v>120</v>
      </c>
      <c r="F7" s="84" t="s">
        <v>121</v>
      </c>
      <c r="G7" s="84" t="s">
        <v>122</v>
      </c>
      <c r="H7" s="84" t="s">
        <v>123</v>
      </c>
      <c r="I7" s="84" t="s">
        <v>124</v>
      </c>
      <c r="J7" s="84" t="s">
        <v>125</v>
      </c>
      <c r="K7" s="84" t="s">
        <v>126</v>
      </c>
      <c r="L7" s="84" t="s">
        <v>127</v>
      </c>
      <c r="M7" s="84" t="s">
        <v>128</v>
      </c>
      <c r="N7" s="84" t="s">
        <v>129</v>
      </c>
      <c r="O7" s="84" t="s">
        <v>130</v>
      </c>
      <c r="P7" s="84" t="s">
        <v>131</v>
      </c>
      <c r="Q7" s="84" t="s">
        <v>132</v>
      </c>
      <c r="R7" s="84" t="s">
        <v>133</v>
      </c>
      <c r="S7" s="84" t="s">
        <v>134</v>
      </c>
      <c r="T7" s="84" t="s">
        <v>135</v>
      </c>
      <c r="U7" s="84" t="s">
        <v>136</v>
      </c>
      <c r="V7" s="84" t="s">
        <v>137</v>
      </c>
      <c r="W7" s="84" t="s">
        <v>138</v>
      </c>
      <c r="X7" s="84" t="s">
        <v>139</v>
      </c>
      <c r="Y7" s="84" t="s">
        <v>140</v>
      </c>
    </row>
    <row r="8" spans="1:25" x14ac:dyDescent="0.2">
      <c r="A8" s="80">
        <v>1</v>
      </c>
      <c r="B8" s="86" t="s">
        <v>141</v>
      </c>
      <c r="C8" s="87">
        <v>11219027142.827419</v>
      </c>
      <c r="D8" s="88">
        <v>1194629600.2881556</v>
      </c>
      <c r="E8" s="88">
        <v>23948430.667499453</v>
      </c>
      <c r="F8" s="88">
        <v>0</v>
      </c>
      <c r="G8" s="88">
        <v>572170.3842841984</v>
      </c>
      <c r="H8" s="88">
        <v>56588772.908421502</v>
      </c>
      <c r="I8" s="88">
        <v>30145525.932777278</v>
      </c>
      <c r="J8" s="88">
        <v>0</v>
      </c>
      <c r="K8" s="88">
        <v>0</v>
      </c>
      <c r="L8" s="88">
        <v>0</v>
      </c>
      <c r="M8" s="88">
        <v>29304098.897065222</v>
      </c>
      <c r="N8" s="88">
        <v>20508381.617088523</v>
      </c>
      <c r="O8" s="88">
        <v>14023783.928534275</v>
      </c>
      <c r="P8" s="88">
        <v>29943583.444206383</v>
      </c>
      <c r="Q8" s="88">
        <v>112268804.61827399</v>
      </c>
      <c r="R8" s="88">
        <v>56420487.501279086</v>
      </c>
      <c r="S8" s="88">
        <v>3578869.6585619468</v>
      </c>
      <c r="T8" s="88">
        <v>-9917619.9942594394</v>
      </c>
      <c r="U8" s="88">
        <v>-38997338.34846811</v>
      </c>
      <c r="V8" s="88">
        <v>0</v>
      </c>
      <c r="W8" s="88">
        <v>-84524150.494061783</v>
      </c>
      <c r="X8" s="89">
        <f>SUM(E8:W8)</f>
        <v>243863800.72120255</v>
      </c>
      <c r="Y8" s="89">
        <f>SUM(X8,D8)</f>
        <v>1438493401.0093582</v>
      </c>
    </row>
    <row r="9" spans="1:25" x14ac:dyDescent="0.2">
      <c r="A9" s="80">
        <f t="shared" ref="A9:A42" si="0">+A8+1</f>
        <v>2</v>
      </c>
      <c r="B9" s="80" t="s">
        <v>13</v>
      </c>
      <c r="C9" s="90">
        <f t="shared" ref="C9:Y9" si="1">SUM(C8:C8)</f>
        <v>11219027142.827419</v>
      </c>
      <c r="D9" s="91">
        <f t="shared" si="1"/>
        <v>1194629600.2881556</v>
      </c>
      <c r="E9" s="91">
        <f t="shared" si="1"/>
        <v>23948430.667499453</v>
      </c>
      <c r="F9" s="91">
        <f t="shared" si="1"/>
        <v>0</v>
      </c>
      <c r="G9" s="91">
        <f t="shared" si="1"/>
        <v>572170.3842841984</v>
      </c>
      <c r="H9" s="91">
        <f t="shared" si="1"/>
        <v>56588772.908421502</v>
      </c>
      <c r="I9" s="91">
        <f t="shared" si="1"/>
        <v>30145525.932777278</v>
      </c>
      <c r="J9" s="91">
        <f t="shared" si="1"/>
        <v>0</v>
      </c>
      <c r="K9" s="91">
        <f t="shared" si="1"/>
        <v>0</v>
      </c>
      <c r="L9" s="91">
        <f t="shared" si="1"/>
        <v>0</v>
      </c>
      <c r="M9" s="91">
        <f t="shared" si="1"/>
        <v>29304098.897065222</v>
      </c>
      <c r="N9" s="91">
        <f t="shared" si="1"/>
        <v>20508381.617088523</v>
      </c>
      <c r="O9" s="91">
        <f t="shared" si="1"/>
        <v>14023783.928534275</v>
      </c>
      <c r="P9" s="91">
        <f t="shared" si="1"/>
        <v>29943583.444206383</v>
      </c>
      <c r="Q9" s="91">
        <f t="shared" si="1"/>
        <v>112268804.61827399</v>
      </c>
      <c r="R9" s="91">
        <f t="shared" si="1"/>
        <v>56420487.501279086</v>
      </c>
      <c r="S9" s="91">
        <f t="shared" si="1"/>
        <v>3578869.6585619468</v>
      </c>
      <c r="T9" s="91">
        <f t="shared" si="1"/>
        <v>-9917619.9942594394</v>
      </c>
      <c r="U9" s="91">
        <f t="shared" si="1"/>
        <v>-38997338.34846811</v>
      </c>
      <c r="V9" s="91">
        <f t="shared" si="1"/>
        <v>0</v>
      </c>
      <c r="W9" s="91">
        <f t="shared" si="1"/>
        <v>-84524150.494061783</v>
      </c>
      <c r="X9" s="91">
        <f t="shared" si="1"/>
        <v>243863800.72120255</v>
      </c>
      <c r="Y9" s="91">
        <f t="shared" si="1"/>
        <v>1438493401.0093582</v>
      </c>
    </row>
    <row r="10" spans="1:25" x14ac:dyDescent="0.2">
      <c r="A10" s="80">
        <f t="shared" si="0"/>
        <v>3</v>
      </c>
      <c r="B10" s="80"/>
      <c r="C10" s="87"/>
      <c r="D10" s="88"/>
      <c r="E10" s="89"/>
      <c r="F10" s="89"/>
      <c r="G10" s="89"/>
      <c r="H10" s="89"/>
      <c r="I10" s="89"/>
      <c r="J10" s="89"/>
      <c r="K10" s="89"/>
      <c r="L10" s="89"/>
      <c r="M10" s="89"/>
      <c r="N10" s="89"/>
      <c r="O10" s="89"/>
      <c r="P10" s="89"/>
      <c r="Q10" s="89"/>
      <c r="R10" s="89"/>
      <c r="S10" s="89"/>
      <c r="T10" s="89"/>
      <c r="U10" s="89"/>
      <c r="V10" s="89"/>
      <c r="W10" s="89"/>
      <c r="X10" s="89"/>
      <c r="Y10" s="89"/>
    </row>
    <row r="11" spans="1:25" x14ac:dyDescent="0.2">
      <c r="A11" s="80">
        <f t="shared" si="0"/>
        <v>4</v>
      </c>
      <c r="B11" s="79">
        <v>8</v>
      </c>
      <c r="C11" s="87">
        <v>257233870.0169687</v>
      </c>
      <c r="D11" s="88">
        <v>29479417.78445163</v>
      </c>
      <c r="E11" s="88">
        <v>554293.14210105641</v>
      </c>
      <c r="F11" s="88">
        <v>0</v>
      </c>
      <c r="G11" s="88">
        <v>13118.927370865404</v>
      </c>
      <c r="H11" s="88">
        <v>1099932.0281925583</v>
      </c>
      <c r="I11" s="88">
        <v>678840.18297478033</v>
      </c>
      <c r="J11" s="88">
        <v>0</v>
      </c>
      <c r="K11" s="88">
        <v>0</v>
      </c>
      <c r="L11" s="88">
        <v>0</v>
      </c>
      <c r="M11" s="88">
        <v>538390.48994551552</v>
      </c>
      <c r="N11" s="88">
        <v>449644.80478966126</v>
      </c>
      <c r="O11" s="88">
        <v>254918.76518681596</v>
      </c>
      <c r="P11" s="88">
        <v>603470.65905980859</v>
      </c>
      <c r="Q11" s="88">
        <v>2007195.8877424067</v>
      </c>
      <c r="R11" s="88">
        <v>1008871.2382065513</v>
      </c>
      <c r="S11" s="88">
        <v>71253.78199470033</v>
      </c>
      <c r="T11" s="88">
        <v>-183407.74932209868</v>
      </c>
      <c r="U11" s="88">
        <v>-569773.02208758565</v>
      </c>
      <c r="V11" s="88">
        <v>0</v>
      </c>
      <c r="W11" s="88">
        <v>-1937999.9767078422</v>
      </c>
      <c r="X11" s="89">
        <f t="shared" ref="X11:X18" si="2">SUM(E11:W11)</f>
        <v>4588749.159447195</v>
      </c>
      <c r="Y11" s="89">
        <f t="shared" ref="Y11:Y18" si="3">SUM(X11,D11)</f>
        <v>34068166.943898827</v>
      </c>
    </row>
    <row r="12" spans="1:25" x14ac:dyDescent="0.2">
      <c r="A12" s="80">
        <f t="shared" si="0"/>
        <v>5</v>
      </c>
      <c r="B12" s="92" t="s">
        <v>142</v>
      </c>
      <c r="C12" s="87">
        <v>2499131824.0742149</v>
      </c>
      <c r="D12" s="88">
        <v>245815269.1430259</v>
      </c>
      <c r="E12" s="88">
        <v>5385183.6509689083</v>
      </c>
      <c r="F12" s="88">
        <v>0</v>
      </c>
      <c r="G12" s="88">
        <v>127455.72302778496</v>
      </c>
      <c r="H12" s="88">
        <v>10686287.679741343</v>
      </c>
      <c r="I12" s="88">
        <v>6595208.8837318532</v>
      </c>
      <c r="J12" s="88">
        <v>0</v>
      </c>
      <c r="K12" s="88">
        <v>-153669.61779083172</v>
      </c>
      <c r="L12" s="88">
        <v>-177663.167065938</v>
      </c>
      <c r="M12" s="88">
        <v>5230682.9077873323</v>
      </c>
      <c r="N12" s="88">
        <v>4368482.4284817278</v>
      </c>
      <c r="O12" s="88">
        <v>2476639.6376575469</v>
      </c>
      <c r="P12" s="88">
        <v>5862963.2592781084</v>
      </c>
      <c r="Q12" s="88">
        <v>19500725.623251099</v>
      </c>
      <c r="R12" s="88">
        <v>9801595.0140190721</v>
      </c>
      <c r="S12" s="88">
        <v>692259.51526855759</v>
      </c>
      <c r="T12" s="88">
        <v>-1781880.9905649151</v>
      </c>
      <c r="U12" s="88">
        <v>-5535576.9903243864</v>
      </c>
      <c r="V12" s="88">
        <v>0</v>
      </c>
      <c r="W12" s="88">
        <v>0</v>
      </c>
      <c r="X12" s="89">
        <f t="shared" si="2"/>
        <v>63078693.557467274</v>
      </c>
      <c r="Y12" s="89">
        <f t="shared" si="3"/>
        <v>308893962.70049316</v>
      </c>
    </row>
    <row r="13" spans="1:25" x14ac:dyDescent="0.2">
      <c r="A13" s="80">
        <f t="shared" si="0"/>
        <v>6</v>
      </c>
      <c r="B13" s="79">
        <v>11</v>
      </c>
      <c r="C13" s="87">
        <v>132249585.64413519</v>
      </c>
      <c r="D13" s="88">
        <v>11800921.428424023</v>
      </c>
      <c r="E13" s="88">
        <v>294057.21378246113</v>
      </c>
      <c r="F13" s="88">
        <v>0</v>
      </c>
      <c r="G13" s="88">
        <v>6876.9784534950295</v>
      </c>
      <c r="H13" s="88">
        <v>575021.19838069985</v>
      </c>
      <c r="I13" s="88">
        <v>317002.25678899203</v>
      </c>
      <c r="J13" s="88">
        <v>0</v>
      </c>
      <c r="K13" s="88">
        <v>0</v>
      </c>
      <c r="L13" s="88">
        <v>0</v>
      </c>
      <c r="M13" s="88">
        <v>261854.17957538768</v>
      </c>
      <c r="N13" s="88">
        <v>230378.77819208353</v>
      </c>
      <c r="O13" s="88">
        <v>133196.65816598365</v>
      </c>
      <c r="P13" s="88">
        <v>260390.84003008809</v>
      </c>
      <c r="Q13" s="88">
        <v>1039844.3232933831</v>
      </c>
      <c r="R13" s="88">
        <v>523196.40516250086</v>
      </c>
      <c r="S13" s="88">
        <v>37955.631079866798</v>
      </c>
      <c r="T13" s="88">
        <v>-88474.972795926442</v>
      </c>
      <c r="U13" s="88">
        <v>418040.94022111129</v>
      </c>
      <c r="V13" s="88">
        <v>0</v>
      </c>
      <c r="W13" s="88">
        <v>-996368.37824291456</v>
      </c>
      <c r="X13" s="89">
        <f t="shared" si="2"/>
        <v>3012972.052087212</v>
      </c>
      <c r="Y13" s="89">
        <f t="shared" si="3"/>
        <v>14813893.480511235</v>
      </c>
    </row>
    <row r="14" spans="1:25" x14ac:dyDescent="0.2">
      <c r="A14" s="80">
        <f t="shared" si="0"/>
        <v>7</v>
      </c>
      <c r="B14" s="79" t="s">
        <v>143</v>
      </c>
      <c r="C14" s="87">
        <v>2499149.8928571427</v>
      </c>
      <c r="D14" s="88">
        <v>232567.18723257486</v>
      </c>
      <c r="E14" s="88">
        <v>5556.8647019870459</v>
      </c>
      <c r="F14" s="88">
        <v>0</v>
      </c>
      <c r="G14" s="88">
        <v>129.95579442857141</v>
      </c>
      <c r="H14" s="88">
        <v>10866.303734142857</v>
      </c>
      <c r="I14" s="88">
        <v>5990.4622931785707</v>
      </c>
      <c r="J14" s="88">
        <v>0</v>
      </c>
      <c r="K14" s="88">
        <v>0</v>
      </c>
      <c r="L14" s="88">
        <v>0</v>
      </c>
      <c r="M14" s="88">
        <v>4948.3167878571421</v>
      </c>
      <c r="N14" s="88">
        <v>4353.5191133571425</v>
      </c>
      <c r="O14" s="88">
        <v>2673.4926830149211</v>
      </c>
      <c r="P14" s="88">
        <v>6798.0127301433404</v>
      </c>
      <c r="Q14" s="88">
        <v>20854.80218768632</v>
      </c>
      <c r="R14" s="88">
        <v>10497.097490736764</v>
      </c>
      <c r="S14" s="88">
        <v>717.25601924999989</v>
      </c>
      <c r="T14" s="88">
        <v>-1671.9312783214284</v>
      </c>
      <c r="U14" s="88">
        <v>7899.8128113214279</v>
      </c>
      <c r="V14" s="88">
        <v>0</v>
      </c>
      <c r="W14" s="88">
        <v>-18828.595292785714</v>
      </c>
      <c r="X14" s="89">
        <f t="shared" si="2"/>
        <v>60785.369775996965</v>
      </c>
      <c r="Y14" s="89">
        <f t="shared" si="3"/>
        <v>293352.55700857181</v>
      </c>
    </row>
    <row r="15" spans="1:25" x14ac:dyDescent="0.2">
      <c r="A15" s="80">
        <f t="shared" si="0"/>
        <v>8</v>
      </c>
      <c r="B15" s="79">
        <v>25</v>
      </c>
      <c r="C15" s="87">
        <v>2820128941.8006926</v>
      </c>
      <c r="D15" s="88">
        <v>258404720.64820716</v>
      </c>
      <c r="E15" s="88">
        <v>6270562.2486006459</v>
      </c>
      <c r="F15" s="88">
        <v>0</v>
      </c>
      <c r="G15" s="88">
        <v>146646.70497363599</v>
      </c>
      <c r="H15" s="88">
        <v>12261920.638949413</v>
      </c>
      <c r="I15" s="88">
        <v>6759849.0734962597</v>
      </c>
      <c r="J15" s="88">
        <v>0</v>
      </c>
      <c r="K15" s="88">
        <v>743341.87149714772</v>
      </c>
      <c r="L15" s="88">
        <v>-273140.04027007206</v>
      </c>
      <c r="M15" s="88">
        <v>5583855.3047653716</v>
      </c>
      <c r="N15" s="88">
        <v>4912664.6166168069</v>
      </c>
      <c r="O15" s="88">
        <v>2921475.440878144</v>
      </c>
      <c r="P15" s="88">
        <v>6526460.7863401221</v>
      </c>
      <c r="Q15" s="88">
        <v>22798806.768899463</v>
      </c>
      <c r="R15" s="88">
        <v>11473281.855583543</v>
      </c>
      <c r="S15" s="88">
        <v>809377.0062967987</v>
      </c>
      <c r="T15" s="88">
        <v>-1886666.2620646632</v>
      </c>
      <c r="U15" s="88">
        <v>8914427.5850319881</v>
      </c>
      <c r="V15" s="88">
        <v>0</v>
      </c>
      <c r="W15" s="88">
        <v>0</v>
      </c>
      <c r="X15" s="89">
        <f t="shared" si="2"/>
        <v>87962863.599594608</v>
      </c>
      <c r="Y15" s="89">
        <f t="shared" si="3"/>
        <v>346367584.24780178</v>
      </c>
    </row>
    <row r="16" spans="1:25" x14ac:dyDescent="0.2">
      <c r="A16" s="80">
        <f t="shared" si="0"/>
        <v>9</v>
      </c>
      <c r="B16" s="79">
        <v>12</v>
      </c>
      <c r="C16" s="87">
        <v>16975873.10363473</v>
      </c>
      <c r="D16" s="88">
        <v>1447329.9035309188</v>
      </c>
      <c r="E16" s="88">
        <v>39498.602882764746</v>
      </c>
      <c r="F16" s="88">
        <v>0</v>
      </c>
      <c r="G16" s="88">
        <v>865.76952828537117</v>
      </c>
      <c r="H16" s="88">
        <v>67580.95082556986</v>
      </c>
      <c r="I16" s="88">
        <v>37652.486543861829</v>
      </c>
      <c r="J16" s="88">
        <v>0</v>
      </c>
      <c r="K16" s="88">
        <v>0</v>
      </c>
      <c r="L16" s="88">
        <v>0</v>
      </c>
      <c r="M16" s="88">
        <v>29113.62237273356</v>
      </c>
      <c r="N16" s="88">
        <v>29198.501738251736</v>
      </c>
      <c r="O16" s="88">
        <v>15092.898604916763</v>
      </c>
      <c r="P16" s="88">
        <v>38738.379811780622</v>
      </c>
      <c r="Q16" s="88">
        <v>123391.42504350112</v>
      </c>
      <c r="R16" s="88">
        <v>61916.398872097816</v>
      </c>
      <c r="S16" s="88">
        <v>4125.1371641832393</v>
      </c>
      <c r="T16" s="88">
        <v>-9795.0787807972392</v>
      </c>
      <c r="U16" s="88">
        <v>32549.485818595222</v>
      </c>
      <c r="V16" s="88">
        <v>0</v>
      </c>
      <c r="W16" s="88">
        <v>-127896.22796278405</v>
      </c>
      <c r="X16" s="89">
        <f t="shared" si="2"/>
        <v>342032.35246296058</v>
      </c>
      <c r="Y16" s="89">
        <f t="shared" si="3"/>
        <v>1789362.2559938794</v>
      </c>
    </row>
    <row r="17" spans="1:25" x14ac:dyDescent="0.2">
      <c r="A17" s="80">
        <f t="shared" si="0"/>
        <v>10</v>
      </c>
      <c r="B17" s="79" t="s">
        <v>144</v>
      </c>
      <c r="C17" s="87">
        <v>1938169714.4533768</v>
      </c>
      <c r="D17" s="88">
        <v>161890890.28959361</v>
      </c>
      <c r="E17" s="88">
        <v>4509635.2572407108</v>
      </c>
      <c r="F17" s="88">
        <v>0</v>
      </c>
      <c r="G17" s="88">
        <v>98846.655437122216</v>
      </c>
      <c r="H17" s="88">
        <v>7715853.633238893</v>
      </c>
      <c r="I17" s="88">
        <v>4298860.4266575892</v>
      </c>
      <c r="J17" s="88">
        <v>0</v>
      </c>
      <c r="K17" s="88">
        <v>1280556.035166746</v>
      </c>
      <c r="L17" s="88">
        <v>-455534.03108758503</v>
      </c>
      <c r="M17" s="88">
        <v>3323961.0602875412</v>
      </c>
      <c r="N17" s="88">
        <v>3333651.908859808</v>
      </c>
      <c r="O17" s="88">
        <v>1690327.7575419624</v>
      </c>
      <c r="P17" s="88">
        <v>4210749.4302562345</v>
      </c>
      <c r="Q17" s="88">
        <v>13824976.535790427</v>
      </c>
      <c r="R17" s="88">
        <v>6937684.4741831068</v>
      </c>
      <c r="S17" s="88">
        <v>470975.24061217054</v>
      </c>
      <c r="T17" s="88">
        <v>-1118323.9252395984</v>
      </c>
      <c r="U17" s="88">
        <v>3551945.7495716754</v>
      </c>
      <c r="V17" s="88">
        <v>0</v>
      </c>
      <c r="W17" s="88">
        <v>0</v>
      </c>
      <c r="X17" s="89">
        <f t="shared" si="2"/>
        <v>53674166.208516799</v>
      </c>
      <c r="Y17" s="89">
        <f t="shared" si="3"/>
        <v>215565056.49811041</v>
      </c>
    </row>
    <row r="18" spans="1:25" x14ac:dyDescent="0.2">
      <c r="A18" s="80">
        <f t="shared" si="0"/>
        <v>11</v>
      </c>
      <c r="B18" s="80">
        <v>29</v>
      </c>
      <c r="C18" s="87">
        <v>15036282.699173195</v>
      </c>
      <c r="D18" s="88">
        <v>1290749.5539693143</v>
      </c>
      <c r="E18" s="88">
        <v>27854.515171797582</v>
      </c>
      <c r="F18" s="88">
        <v>0</v>
      </c>
      <c r="G18" s="88">
        <v>646.56015606444737</v>
      </c>
      <c r="H18" s="88">
        <v>68114.360627254573</v>
      </c>
      <c r="I18" s="88">
        <v>31681.447647157922</v>
      </c>
      <c r="J18" s="88">
        <v>0</v>
      </c>
      <c r="K18" s="88">
        <v>0</v>
      </c>
      <c r="L18" s="88">
        <v>0</v>
      </c>
      <c r="M18" s="88">
        <v>29771.839744362926</v>
      </c>
      <c r="N18" s="88">
        <v>26193.204461959707</v>
      </c>
      <c r="O18" s="88">
        <v>12958.636472070604</v>
      </c>
      <c r="P18" s="88">
        <v>37180.497027903795</v>
      </c>
      <c r="Q18" s="88">
        <v>121766.85779938848</v>
      </c>
      <c r="R18" s="88">
        <v>61191.672695027301</v>
      </c>
      <c r="S18" s="88">
        <v>5563.4245986940823</v>
      </c>
      <c r="T18" s="88">
        <v>-10059.273125746868</v>
      </c>
      <c r="U18" s="88">
        <v>47529.689612086469</v>
      </c>
      <c r="V18" s="88">
        <v>0</v>
      </c>
      <c r="W18" s="88">
        <v>-113283.35385557085</v>
      </c>
      <c r="X18" s="89">
        <f t="shared" si="2"/>
        <v>347110.07903245016</v>
      </c>
      <c r="Y18" s="89">
        <f t="shared" si="3"/>
        <v>1637859.6330017645</v>
      </c>
    </row>
    <row r="19" spans="1:25" x14ac:dyDescent="0.2">
      <c r="A19" s="80">
        <f t="shared" si="0"/>
        <v>12</v>
      </c>
      <c r="B19" s="79" t="s">
        <v>145</v>
      </c>
      <c r="C19" s="90">
        <f t="shared" ref="C19:Y19" si="4">SUM(C11:C18)</f>
        <v>7681425241.6850529</v>
      </c>
      <c r="D19" s="91">
        <f t="shared" si="4"/>
        <v>710361865.93843508</v>
      </c>
      <c r="E19" s="91">
        <f t="shared" si="4"/>
        <v>17086641.495450333</v>
      </c>
      <c r="F19" s="91">
        <f t="shared" si="4"/>
        <v>0</v>
      </c>
      <c r="G19" s="91">
        <f t="shared" si="4"/>
        <v>394587.27474168199</v>
      </c>
      <c r="H19" s="91">
        <f t="shared" si="4"/>
        <v>32485576.793689877</v>
      </c>
      <c r="I19" s="91">
        <f t="shared" si="4"/>
        <v>18725085.220133673</v>
      </c>
      <c r="J19" s="91">
        <f t="shared" si="4"/>
        <v>0</v>
      </c>
      <c r="K19" s="91">
        <f t="shared" si="4"/>
        <v>1870228.288873062</v>
      </c>
      <c r="L19" s="91">
        <f t="shared" si="4"/>
        <v>-906337.23842359509</v>
      </c>
      <c r="M19" s="91">
        <f t="shared" si="4"/>
        <v>15002577.721266102</v>
      </c>
      <c r="N19" s="91">
        <f t="shared" si="4"/>
        <v>13354567.762253657</v>
      </c>
      <c r="O19" s="91">
        <f t="shared" si="4"/>
        <v>7507283.2871904541</v>
      </c>
      <c r="P19" s="91">
        <f t="shared" si="4"/>
        <v>17546751.864534188</v>
      </c>
      <c r="Q19" s="91">
        <f t="shared" si="4"/>
        <v>59437562.224007353</v>
      </c>
      <c r="R19" s="91">
        <f t="shared" si="4"/>
        <v>29878234.156212635</v>
      </c>
      <c r="S19" s="91">
        <f t="shared" si="4"/>
        <v>2092226.993034221</v>
      </c>
      <c r="T19" s="91">
        <f t="shared" si="4"/>
        <v>-5080280.1831720676</v>
      </c>
      <c r="U19" s="91">
        <f t="shared" si="4"/>
        <v>6867043.2506548055</v>
      </c>
      <c r="V19" s="91">
        <f t="shared" si="4"/>
        <v>0</v>
      </c>
      <c r="W19" s="91">
        <f t="shared" si="4"/>
        <v>-3194376.5320618972</v>
      </c>
      <c r="X19" s="91">
        <f t="shared" si="4"/>
        <v>213067372.3783845</v>
      </c>
      <c r="Y19" s="91">
        <f t="shared" si="4"/>
        <v>923429238.31681967</v>
      </c>
    </row>
    <row r="20" spans="1:25" x14ac:dyDescent="0.2">
      <c r="A20" s="80">
        <f t="shared" si="0"/>
        <v>13</v>
      </c>
      <c r="B20" s="80"/>
      <c r="C20" s="93"/>
      <c r="D20" s="89"/>
      <c r="E20" s="89"/>
      <c r="F20" s="89"/>
      <c r="G20" s="89"/>
      <c r="H20" s="89"/>
      <c r="I20" s="89"/>
      <c r="J20" s="89"/>
      <c r="K20" s="89"/>
      <c r="L20" s="89"/>
      <c r="M20" s="89"/>
      <c r="N20" s="89"/>
      <c r="O20" s="89"/>
      <c r="P20" s="89"/>
      <c r="Q20" s="89"/>
      <c r="R20" s="89"/>
      <c r="S20" s="89"/>
      <c r="T20" s="89"/>
      <c r="U20" s="89"/>
      <c r="V20" s="89"/>
      <c r="W20" s="89"/>
      <c r="X20" s="89"/>
      <c r="Y20" s="89"/>
    </row>
    <row r="21" spans="1:25" x14ac:dyDescent="0.2">
      <c r="A21" s="80">
        <f t="shared" si="0"/>
        <v>14</v>
      </c>
      <c r="B21" s="80">
        <v>10</v>
      </c>
      <c r="C21" s="87">
        <v>23770361.674638279</v>
      </c>
      <c r="D21" s="88">
        <v>1946437.4325851547</v>
      </c>
      <c r="E21" s="88">
        <v>50614.430524165997</v>
      </c>
      <c r="F21" s="88">
        <v>0</v>
      </c>
      <c r="G21" s="88">
        <v>1164.7477220572757</v>
      </c>
      <c r="H21" s="88">
        <v>91230.648107261717</v>
      </c>
      <c r="I21" s="88">
        <v>52080.862429132467</v>
      </c>
      <c r="J21" s="88">
        <v>0</v>
      </c>
      <c r="K21" s="88">
        <v>0</v>
      </c>
      <c r="L21" s="88">
        <v>0</v>
      </c>
      <c r="M21" s="88">
        <v>41027.64425042567</v>
      </c>
      <c r="N21" s="88">
        <v>39506.341103248822</v>
      </c>
      <c r="O21" s="88">
        <v>20153.274604297272</v>
      </c>
      <c r="P21" s="88">
        <v>46978.333306065993</v>
      </c>
      <c r="Q21" s="88">
        <v>160702.1766889646</v>
      </c>
      <c r="R21" s="88">
        <v>80913.832268877319</v>
      </c>
      <c r="S21" s="88">
        <v>5990.1311420088459</v>
      </c>
      <c r="T21" s="88">
        <v>-14024.513388036585</v>
      </c>
      <c r="U21" s="88">
        <v>7515.2441718803821</v>
      </c>
      <c r="V21" s="88">
        <v>0</v>
      </c>
      <c r="W21" s="88">
        <v>-179085.90485672478</v>
      </c>
      <c r="X21" s="89">
        <f>SUM(E21:W21)</f>
        <v>404767.24807362491</v>
      </c>
      <c r="Y21" s="89">
        <f>SUM(X21,D21)</f>
        <v>2351204.6806587796</v>
      </c>
    </row>
    <row r="22" spans="1:25" x14ac:dyDescent="0.2">
      <c r="A22" s="80">
        <f t="shared" si="0"/>
        <v>15</v>
      </c>
      <c r="B22" s="80">
        <v>31</v>
      </c>
      <c r="C22" s="87">
        <v>1391174908.1148765</v>
      </c>
      <c r="D22" s="88">
        <v>113332745.18372358</v>
      </c>
      <c r="E22" s="88">
        <v>2962240.4024618166</v>
      </c>
      <c r="F22" s="88">
        <v>0</v>
      </c>
      <c r="G22" s="88">
        <v>68167.570497628942</v>
      </c>
      <c r="H22" s="88">
        <v>5339329.297344896</v>
      </c>
      <c r="I22" s="88">
        <v>3048064.2236796943</v>
      </c>
      <c r="J22" s="88">
        <v>0</v>
      </c>
      <c r="K22" s="88">
        <v>557156.35249099927</v>
      </c>
      <c r="L22" s="88">
        <v>-201374.64947077501</v>
      </c>
      <c r="M22" s="88">
        <v>2401167.8914062772</v>
      </c>
      <c r="N22" s="88">
        <v>2312132.6972869248</v>
      </c>
      <c r="O22" s="88">
        <v>1187203.4352273727</v>
      </c>
      <c r="P22" s="88">
        <v>2796462.0006532562</v>
      </c>
      <c r="Q22" s="88">
        <v>9464853.2234453633</v>
      </c>
      <c r="R22" s="88">
        <v>4765712.4862805819</v>
      </c>
      <c r="S22" s="88">
        <v>350576.07684494887</v>
      </c>
      <c r="T22" s="88">
        <v>-820793.19578777719</v>
      </c>
      <c r="U22" s="88">
        <v>478438.01160220266</v>
      </c>
      <c r="V22" s="88">
        <v>0</v>
      </c>
      <c r="W22" s="88">
        <v>0</v>
      </c>
      <c r="X22" s="89">
        <f>SUM(E22:W22)</f>
        <v>34709335.823963404</v>
      </c>
      <c r="Y22" s="89">
        <f>SUM(X22,D22)</f>
        <v>148042081.00768697</v>
      </c>
    </row>
    <row r="23" spans="1:25" x14ac:dyDescent="0.2">
      <c r="A23" s="80">
        <f t="shared" si="0"/>
        <v>16</v>
      </c>
      <c r="B23" s="80">
        <v>35</v>
      </c>
      <c r="C23" s="87">
        <v>4438120.8288705256</v>
      </c>
      <c r="D23" s="88">
        <v>273777.42327501648</v>
      </c>
      <c r="E23" s="88">
        <v>7051.4916143721939</v>
      </c>
      <c r="F23" s="88">
        <v>0</v>
      </c>
      <c r="G23" s="88">
        <v>155.33422901046839</v>
      </c>
      <c r="H23" s="88">
        <v>11645.62905495626</v>
      </c>
      <c r="I23" s="88">
        <v>7362.8424550962027</v>
      </c>
      <c r="J23" s="88">
        <v>0</v>
      </c>
      <c r="K23" s="88">
        <v>0</v>
      </c>
      <c r="L23" s="88">
        <v>0</v>
      </c>
      <c r="M23" s="88">
        <v>7660.1965506305278</v>
      </c>
      <c r="N23" s="88">
        <v>7056.6121179041356</v>
      </c>
      <c r="O23" s="88">
        <v>5524.3981733112478</v>
      </c>
      <c r="P23" s="88">
        <v>6372.6757173062852</v>
      </c>
      <c r="Q23" s="88">
        <v>43075.091006516457</v>
      </c>
      <c r="R23" s="88">
        <v>21635.184161493376</v>
      </c>
      <c r="S23" s="88">
        <v>2627.367530691351</v>
      </c>
      <c r="T23" s="88">
        <v>-4340.4821706353732</v>
      </c>
      <c r="U23" s="88">
        <v>14028.899940059729</v>
      </c>
      <c r="V23" s="88">
        <v>0</v>
      </c>
      <c r="W23" s="88">
        <v>-33436.802324710538</v>
      </c>
      <c r="X23" s="89">
        <f>SUM(E23:W23)</f>
        <v>96418.438056002342</v>
      </c>
      <c r="Y23" s="89">
        <f>SUM(X23,D23)</f>
        <v>370195.86133101885</v>
      </c>
    </row>
    <row r="24" spans="1:25" x14ac:dyDescent="0.2">
      <c r="A24" s="80">
        <f t="shared" si="0"/>
        <v>17</v>
      </c>
      <c r="B24" s="80">
        <v>43</v>
      </c>
      <c r="C24" s="87">
        <v>123068391.99987791</v>
      </c>
      <c r="D24" s="88">
        <v>10754317.563636173</v>
      </c>
      <c r="E24" s="88">
        <v>209252.97792271382</v>
      </c>
      <c r="F24" s="88">
        <v>0</v>
      </c>
      <c r="G24" s="88">
        <v>4676.5988959953611</v>
      </c>
      <c r="H24" s="88">
        <v>100300.7394799005</v>
      </c>
      <c r="I24" s="88">
        <v>284534.12230371771</v>
      </c>
      <c r="J24" s="88">
        <v>0</v>
      </c>
      <c r="K24" s="88">
        <v>43677.179999999993</v>
      </c>
      <c r="L24" s="88">
        <v>-14924.789999999999</v>
      </c>
      <c r="M24" s="88">
        <v>188171.57136781333</v>
      </c>
      <c r="N24" s="88">
        <v>196786.35880780479</v>
      </c>
      <c r="O24" s="88">
        <v>97076.772192321063</v>
      </c>
      <c r="P24" s="88">
        <v>51630.2462277331</v>
      </c>
      <c r="Q24" s="88">
        <v>752157.8568472258</v>
      </c>
      <c r="R24" s="88">
        <v>377432.68073561159</v>
      </c>
      <c r="S24" s="88">
        <v>52919.4085599475</v>
      </c>
      <c r="T24" s="88">
        <v>-100054.60269590074</v>
      </c>
      <c r="U24" s="88">
        <v>389019.18711161404</v>
      </c>
      <c r="V24" s="88">
        <v>0</v>
      </c>
      <c r="W24" s="88">
        <v>0</v>
      </c>
      <c r="X24" s="89">
        <f>SUM(E24:W24)</f>
        <v>2632656.3077564975</v>
      </c>
      <c r="Y24" s="89">
        <f>SUM(X24,D24)</f>
        <v>13386973.871392671</v>
      </c>
    </row>
    <row r="25" spans="1:25" x14ac:dyDescent="0.2">
      <c r="A25" s="80">
        <f t="shared" si="0"/>
        <v>18</v>
      </c>
      <c r="B25" s="79" t="s">
        <v>146</v>
      </c>
      <c r="C25" s="90">
        <f t="shared" ref="C25:Y25" si="5">SUM(C21:C24)</f>
        <v>1542451782.6182632</v>
      </c>
      <c r="D25" s="91">
        <f t="shared" si="5"/>
        <v>126307277.60321993</v>
      </c>
      <c r="E25" s="91">
        <f t="shared" si="5"/>
        <v>3229159.3025230686</v>
      </c>
      <c r="F25" s="91">
        <f t="shared" si="5"/>
        <v>0</v>
      </c>
      <c r="G25" s="91">
        <f t="shared" si="5"/>
        <v>74164.251344692049</v>
      </c>
      <c r="H25" s="91">
        <f t="shared" si="5"/>
        <v>5542506.3139870139</v>
      </c>
      <c r="I25" s="91">
        <f t="shared" si="5"/>
        <v>3392042.0508676409</v>
      </c>
      <c r="J25" s="91">
        <f t="shared" si="5"/>
        <v>0</v>
      </c>
      <c r="K25" s="91">
        <f t="shared" si="5"/>
        <v>600833.53249099921</v>
      </c>
      <c r="L25" s="91">
        <f t="shared" si="5"/>
        <v>-216299.43947077502</v>
      </c>
      <c r="M25" s="91">
        <f t="shared" si="5"/>
        <v>2638027.3035751465</v>
      </c>
      <c r="N25" s="91">
        <f t="shared" si="5"/>
        <v>2555482.0093158828</v>
      </c>
      <c r="O25" s="91">
        <f t="shared" si="5"/>
        <v>1309957.8801973022</v>
      </c>
      <c r="P25" s="91">
        <f t="shared" si="5"/>
        <v>2901443.2559043621</v>
      </c>
      <c r="Q25" s="91">
        <f t="shared" si="5"/>
        <v>10420788.347988071</v>
      </c>
      <c r="R25" s="91">
        <f t="shared" si="5"/>
        <v>5245694.1834465638</v>
      </c>
      <c r="S25" s="91">
        <f t="shared" si="5"/>
        <v>412112.98407759663</v>
      </c>
      <c r="T25" s="91">
        <f t="shared" si="5"/>
        <v>-939212.79404234991</v>
      </c>
      <c r="U25" s="91">
        <f t="shared" si="5"/>
        <v>889001.34282575687</v>
      </c>
      <c r="V25" s="91">
        <f t="shared" si="5"/>
        <v>0</v>
      </c>
      <c r="W25" s="91">
        <f t="shared" si="5"/>
        <v>-212522.70718143531</v>
      </c>
      <c r="X25" s="91">
        <f t="shared" si="5"/>
        <v>37843177.817849524</v>
      </c>
      <c r="Y25" s="91">
        <f t="shared" si="5"/>
        <v>164150455.42106944</v>
      </c>
    </row>
    <row r="26" spans="1:25" x14ac:dyDescent="0.2">
      <c r="A26" s="80">
        <f t="shared" si="0"/>
        <v>19</v>
      </c>
      <c r="B26" s="80"/>
      <c r="C26" s="93"/>
      <c r="D26" s="89"/>
      <c r="E26" s="89"/>
      <c r="F26" s="89"/>
      <c r="G26" s="89"/>
      <c r="H26" s="89"/>
      <c r="I26" s="89"/>
      <c r="J26" s="89"/>
      <c r="K26" s="89"/>
      <c r="L26" s="89"/>
      <c r="M26" s="89"/>
      <c r="N26" s="89"/>
      <c r="O26" s="89"/>
      <c r="P26" s="89"/>
      <c r="Q26" s="89"/>
      <c r="R26" s="89"/>
      <c r="S26" s="89"/>
      <c r="T26" s="89"/>
      <c r="U26" s="89"/>
      <c r="V26" s="89"/>
      <c r="W26" s="89"/>
      <c r="X26" s="89"/>
      <c r="Y26" s="89"/>
    </row>
    <row r="27" spans="1:25" x14ac:dyDescent="0.2">
      <c r="A27" s="80">
        <f t="shared" si="0"/>
        <v>20</v>
      </c>
      <c r="B27" s="80">
        <v>46</v>
      </c>
      <c r="C27" s="87">
        <v>97207342.781409889</v>
      </c>
      <c r="D27" s="88">
        <v>6288481.8789643869</v>
      </c>
      <c r="E27" s="88">
        <v>176677.7678474861</v>
      </c>
      <c r="F27" s="88">
        <v>0</v>
      </c>
      <c r="G27" s="88">
        <v>3013.4276262237067</v>
      </c>
      <c r="H27" s="88">
        <v>94582.744526311828</v>
      </c>
      <c r="I27" s="88">
        <v>166224.55615621089</v>
      </c>
      <c r="J27" s="88">
        <v>0</v>
      </c>
      <c r="K27" s="88">
        <v>66112.663426560059</v>
      </c>
      <c r="L27" s="88">
        <v>-26126.360827200006</v>
      </c>
      <c r="M27" s="88">
        <v>92346.975642339399</v>
      </c>
      <c r="N27" s="88">
        <v>168557.53238296477</v>
      </c>
      <c r="O27" s="88">
        <v>43731.427459393351</v>
      </c>
      <c r="P27" s="88">
        <v>55543.21610976095</v>
      </c>
      <c r="Q27" s="88">
        <v>372197.23172262998</v>
      </c>
      <c r="R27" s="88">
        <v>186876.27460356627</v>
      </c>
      <c r="S27" s="88">
        <v>30911.935004488343</v>
      </c>
      <c r="T27" s="88">
        <v>-43743.30425163445</v>
      </c>
      <c r="U27" s="88">
        <v>0</v>
      </c>
      <c r="V27" s="88">
        <v>0</v>
      </c>
      <c r="W27" s="88">
        <v>0</v>
      </c>
      <c r="X27" s="89">
        <f>SUM(E27:W27)</f>
        <v>1386906.0874291009</v>
      </c>
      <c r="Y27" s="89">
        <f>SUM(X27,D27)</f>
        <v>7675387.9663934875</v>
      </c>
    </row>
    <row r="28" spans="1:25" x14ac:dyDescent="0.2">
      <c r="A28" s="80">
        <f t="shared" si="0"/>
        <v>21</v>
      </c>
      <c r="B28" s="80">
        <v>49</v>
      </c>
      <c r="C28" s="87">
        <v>536312381.37077546</v>
      </c>
      <c r="D28" s="88">
        <v>34550660.194727682</v>
      </c>
      <c r="E28" s="88">
        <v>1054907.122928445</v>
      </c>
      <c r="F28" s="88">
        <v>0</v>
      </c>
      <c r="G28" s="88">
        <v>25742.994305797223</v>
      </c>
      <c r="H28" s="88">
        <v>1914098.8891122977</v>
      </c>
      <c r="I28" s="88">
        <v>902077.42546564422</v>
      </c>
      <c r="J28" s="88">
        <v>0</v>
      </c>
      <c r="K28" s="88">
        <v>726532.59202114865</v>
      </c>
      <c r="L28" s="88">
        <v>-268768.30364225997</v>
      </c>
      <c r="M28" s="88">
        <v>509496.76230223669</v>
      </c>
      <c r="N28" s="88">
        <v>929965.66929692472</v>
      </c>
      <c r="O28" s="88">
        <v>244086.26830782217</v>
      </c>
      <c r="P28" s="88">
        <v>1029909.3928136828</v>
      </c>
      <c r="Q28" s="88">
        <v>2007812.2773444548</v>
      </c>
      <c r="R28" s="88">
        <v>1001551.7551557152</v>
      </c>
      <c r="S28" s="88">
        <v>117988.7239015706</v>
      </c>
      <c r="T28" s="88">
        <v>-241340.57161684896</v>
      </c>
      <c r="U28" s="88">
        <v>0</v>
      </c>
      <c r="V28" s="88">
        <v>0</v>
      </c>
      <c r="W28" s="88">
        <v>0</v>
      </c>
      <c r="X28" s="89">
        <f>SUM(E28:W28)</f>
        <v>9954060.9976966288</v>
      </c>
      <c r="Y28" s="89">
        <f>SUM(X28,D28)</f>
        <v>44504721.192424312</v>
      </c>
    </row>
    <row r="29" spans="1:25" x14ac:dyDescent="0.2">
      <c r="A29" s="80">
        <f t="shared" si="0"/>
        <v>22</v>
      </c>
      <c r="B29" s="80" t="s">
        <v>147</v>
      </c>
      <c r="C29" s="90">
        <f t="shared" ref="C29:Y29" si="6">SUM(C27:C28)</f>
        <v>633519724.15218532</v>
      </c>
      <c r="D29" s="91">
        <f t="shared" si="6"/>
        <v>40839142.073692068</v>
      </c>
      <c r="E29" s="91">
        <f t="shared" si="6"/>
        <v>1231584.8907759311</v>
      </c>
      <c r="F29" s="91">
        <f t="shared" si="6"/>
        <v>0</v>
      </c>
      <c r="G29" s="91">
        <f t="shared" si="6"/>
        <v>28756.42193202093</v>
      </c>
      <c r="H29" s="91">
        <f t="shared" si="6"/>
        <v>2008681.6336386094</v>
      </c>
      <c r="I29" s="91">
        <f t="shared" si="6"/>
        <v>1068301.9816218552</v>
      </c>
      <c r="J29" s="91">
        <f t="shared" si="6"/>
        <v>0</v>
      </c>
      <c r="K29" s="91">
        <f t="shared" si="6"/>
        <v>792645.25544770877</v>
      </c>
      <c r="L29" s="91">
        <f t="shared" si="6"/>
        <v>-294894.66446945997</v>
      </c>
      <c r="M29" s="91">
        <f t="shared" si="6"/>
        <v>601843.73794457607</v>
      </c>
      <c r="N29" s="91">
        <f t="shared" si="6"/>
        <v>1098523.2016798896</v>
      </c>
      <c r="O29" s="91">
        <f t="shared" si="6"/>
        <v>287817.69576721551</v>
      </c>
      <c r="P29" s="91">
        <f t="shared" si="6"/>
        <v>1085452.6089234438</v>
      </c>
      <c r="Q29" s="91">
        <f t="shared" si="6"/>
        <v>2380009.5090670846</v>
      </c>
      <c r="R29" s="91">
        <f t="shared" si="6"/>
        <v>1188428.0297592813</v>
      </c>
      <c r="S29" s="91">
        <f t="shared" si="6"/>
        <v>148900.65890605893</v>
      </c>
      <c r="T29" s="91">
        <f t="shared" si="6"/>
        <v>-285083.87586848339</v>
      </c>
      <c r="U29" s="91">
        <f t="shared" si="6"/>
        <v>0</v>
      </c>
      <c r="V29" s="91">
        <f t="shared" si="6"/>
        <v>0</v>
      </c>
      <c r="W29" s="91">
        <f t="shared" si="6"/>
        <v>0</v>
      </c>
      <c r="X29" s="91">
        <f t="shared" si="6"/>
        <v>11340967.085125729</v>
      </c>
      <c r="Y29" s="91">
        <f t="shared" si="6"/>
        <v>52180109.158817798</v>
      </c>
    </row>
    <row r="30" spans="1:25" x14ac:dyDescent="0.2">
      <c r="A30" s="80">
        <f t="shared" si="0"/>
        <v>23</v>
      </c>
      <c r="B30" s="80"/>
      <c r="C30" s="93"/>
      <c r="D30" s="89"/>
      <c r="E30" s="89"/>
      <c r="F30" s="89"/>
      <c r="G30" s="89"/>
      <c r="H30" s="89"/>
      <c r="I30" s="89"/>
      <c r="J30" s="89"/>
      <c r="K30" s="89"/>
      <c r="L30" s="89"/>
      <c r="M30" s="89"/>
      <c r="N30" s="89"/>
      <c r="O30" s="89"/>
      <c r="P30" s="89"/>
      <c r="Q30" s="89"/>
      <c r="R30" s="89"/>
      <c r="S30" s="89"/>
      <c r="T30" s="89"/>
      <c r="U30" s="89"/>
      <c r="V30" s="89"/>
      <c r="W30" s="89"/>
      <c r="X30" s="89"/>
      <c r="Y30" s="89"/>
    </row>
    <row r="31" spans="1:25" x14ac:dyDescent="0.2">
      <c r="A31" s="80">
        <f t="shared" si="0"/>
        <v>24</v>
      </c>
      <c r="B31" s="80" t="s">
        <v>148</v>
      </c>
      <c r="C31" s="87">
        <v>67591591.906112835</v>
      </c>
      <c r="D31" s="88">
        <v>16867115.293096501</v>
      </c>
      <c r="E31" s="88">
        <v>143999.99020025702</v>
      </c>
      <c r="F31" s="88">
        <v>0</v>
      </c>
      <c r="G31" s="88">
        <v>3514.762779117867</v>
      </c>
      <c r="H31" s="88">
        <v>157015.26799790011</v>
      </c>
      <c r="I31" s="88">
        <v>399804.26612465741</v>
      </c>
      <c r="J31" s="88">
        <v>0</v>
      </c>
      <c r="K31" s="88">
        <v>0</v>
      </c>
      <c r="L31" s="88">
        <v>0</v>
      </c>
      <c r="M31" s="88">
        <v>580408.99969779095</v>
      </c>
      <c r="N31" s="88">
        <v>133831.35197410343</v>
      </c>
      <c r="O31" s="88">
        <v>283276.36167851894</v>
      </c>
      <c r="P31" s="88">
        <v>82664.516901175986</v>
      </c>
      <c r="Q31" s="88">
        <v>2377804.6116651436</v>
      </c>
      <c r="R31" s="88">
        <v>1195086.9364919809</v>
      </c>
      <c r="S31" s="88">
        <v>0</v>
      </c>
      <c r="T31" s="88">
        <v>-169181.75454100044</v>
      </c>
      <c r="U31" s="88">
        <v>0</v>
      </c>
      <c r="V31" s="88">
        <v>0</v>
      </c>
      <c r="W31" s="88">
        <v>-13293.934570682992</v>
      </c>
      <c r="X31" s="89">
        <f>SUM(E31:W31)</f>
        <v>5174931.3763989629</v>
      </c>
      <c r="Y31" s="89">
        <f>SUM(X31,D31)</f>
        <v>22042046.669495463</v>
      </c>
    </row>
    <row r="32" spans="1:25" x14ac:dyDescent="0.2">
      <c r="A32" s="80">
        <f t="shared" si="0"/>
        <v>25</v>
      </c>
      <c r="B32" s="80" t="s">
        <v>149</v>
      </c>
      <c r="C32" s="87">
        <v>1978910289.2706318</v>
      </c>
      <c r="D32" s="88">
        <v>9197506</v>
      </c>
      <c r="E32" s="88">
        <v>0</v>
      </c>
      <c r="F32" s="88">
        <v>0</v>
      </c>
      <c r="G32" s="88">
        <v>0</v>
      </c>
      <c r="H32" s="88">
        <v>2673507.8008046234</v>
      </c>
      <c r="I32" s="88">
        <v>233511.41413393454</v>
      </c>
      <c r="J32" s="88">
        <v>0</v>
      </c>
      <c r="K32" s="88">
        <v>0</v>
      </c>
      <c r="L32" s="88">
        <v>0</v>
      </c>
      <c r="M32" s="88">
        <v>33641.474917600739</v>
      </c>
      <c r="N32" s="88">
        <v>0</v>
      </c>
      <c r="O32" s="88">
        <v>0</v>
      </c>
      <c r="P32" s="88">
        <v>0</v>
      </c>
      <c r="Q32" s="88">
        <v>116160</v>
      </c>
      <c r="R32" s="88">
        <v>58320</v>
      </c>
      <c r="S32" s="88">
        <v>0</v>
      </c>
      <c r="T32" s="88">
        <v>0</v>
      </c>
      <c r="U32" s="88">
        <v>0</v>
      </c>
      <c r="V32" s="88">
        <v>0</v>
      </c>
      <c r="W32" s="88">
        <v>0</v>
      </c>
      <c r="X32" s="89">
        <f>SUM(E32:W32)</f>
        <v>3115140.6898561586</v>
      </c>
      <c r="Y32" s="89">
        <f>SUM(X32,D32)</f>
        <v>12312646.689856159</v>
      </c>
    </row>
    <row r="33" spans="1:25" x14ac:dyDescent="0.2">
      <c r="A33" s="80">
        <f t="shared" si="0"/>
        <v>26</v>
      </c>
      <c r="B33" s="79" t="s">
        <v>150</v>
      </c>
      <c r="C33" s="87">
        <v>304641655.46199995</v>
      </c>
      <c r="D33" s="88">
        <v>3315249.3992105001</v>
      </c>
      <c r="E33" s="88">
        <v>0</v>
      </c>
      <c r="F33" s="88">
        <v>0</v>
      </c>
      <c r="G33" s="88">
        <v>0</v>
      </c>
      <c r="H33" s="88">
        <v>1288938.8442597219</v>
      </c>
      <c r="I33" s="88">
        <v>187049.97645366797</v>
      </c>
      <c r="J33" s="88">
        <v>0</v>
      </c>
      <c r="K33" s="88">
        <v>0</v>
      </c>
      <c r="L33" s="88">
        <v>0</v>
      </c>
      <c r="M33" s="88">
        <v>156890.45256293</v>
      </c>
      <c r="N33" s="88">
        <v>0</v>
      </c>
      <c r="O33" s="88">
        <v>0</v>
      </c>
      <c r="P33" s="88">
        <v>0</v>
      </c>
      <c r="Q33" s="88">
        <v>549268.90479798592</v>
      </c>
      <c r="R33" s="88">
        <v>276005.33984857198</v>
      </c>
      <c r="S33" s="88">
        <v>0</v>
      </c>
      <c r="T33" s="88">
        <v>-85604.305184821991</v>
      </c>
      <c r="U33" s="88">
        <v>367397.83648717194</v>
      </c>
      <c r="V33" s="88">
        <v>0</v>
      </c>
      <c r="W33" s="88">
        <v>0</v>
      </c>
      <c r="X33" s="89">
        <f>SUM(E33:W33)</f>
        <v>2739947.0492252279</v>
      </c>
      <c r="Y33" s="89">
        <f>SUM(X33,D33)</f>
        <v>6055196.4484357275</v>
      </c>
    </row>
    <row r="34" spans="1:25" x14ac:dyDescent="0.2">
      <c r="A34" s="80">
        <f t="shared" si="0"/>
        <v>27</v>
      </c>
      <c r="B34" s="80"/>
      <c r="C34" s="93"/>
      <c r="D34" s="89"/>
      <c r="E34" s="89"/>
      <c r="F34" s="89"/>
      <c r="G34" s="89"/>
      <c r="H34" s="89"/>
      <c r="I34" s="89"/>
      <c r="J34" s="89"/>
      <c r="K34" s="89"/>
      <c r="L34" s="89"/>
      <c r="M34" s="89"/>
      <c r="N34" s="89"/>
      <c r="O34" s="89"/>
      <c r="P34" s="89"/>
      <c r="Q34" s="89"/>
      <c r="R34" s="89"/>
      <c r="S34" s="89"/>
      <c r="T34" s="89"/>
      <c r="U34" s="89"/>
      <c r="V34" s="89"/>
      <c r="W34" s="89"/>
      <c r="X34" s="89"/>
      <c r="Y34" s="89"/>
    </row>
    <row r="35" spans="1:25" x14ac:dyDescent="0.2">
      <c r="A35" s="80">
        <f t="shared" si="0"/>
        <v>28</v>
      </c>
      <c r="B35" s="80" t="s">
        <v>151</v>
      </c>
      <c r="C35" s="90">
        <f t="shared" ref="C35:Y35" si="7">SUM(C9,C19,C25,C29,C31:C33)</f>
        <v>23427567427.921665</v>
      </c>
      <c r="D35" s="91">
        <f t="shared" si="7"/>
        <v>2101517756.5958097</v>
      </c>
      <c r="E35" s="91">
        <f t="shared" si="7"/>
        <v>45639816.346449047</v>
      </c>
      <c r="F35" s="91">
        <f t="shared" si="7"/>
        <v>0</v>
      </c>
      <c r="G35" s="91">
        <f t="shared" si="7"/>
        <v>1073193.0950817112</v>
      </c>
      <c r="H35" s="91">
        <f t="shared" si="7"/>
        <v>100744999.56279926</v>
      </c>
      <c r="I35" s="91">
        <f t="shared" si="7"/>
        <v>54151320.842112705</v>
      </c>
      <c r="J35" s="91">
        <f t="shared" si="7"/>
        <v>0</v>
      </c>
      <c r="K35" s="91">
        <f t="shared" si="7"/>
        <v>3263707.07681177</v>
      </c>
      <c r="L35" s="91">
        <f t="shared" si="7"/>
        <v>-1417531.3423638302</v>
      </c>
      <c r="M35" s="91">
        <f t="shared" si="7"/>
        <v>48317488.58702936</v>
      </c>
      <c r="N35" s="91">
        <f t="shared" si="7"/>
        <v>37650785.942312062</v>
      </c>
      <c r="O35" s="91">
        <f t="shared" si="7"/>
        <v>23412119.153367765</v>
      </c>
      <c r="P35" s="91">
        <f t="shared" si="7"/>
        <v>51559895.690469548</v>
      </c>
      <c r="Q35" s="91">
        <f t="shared" si="7"/>
        <v>187550398.2157996</v>
      </c>
      <c r="R35" s="91">
        <f t="shared" si="7"/>
        <v>94262256.147038117</v>
      </c>
      <c r="S35" s="91">
        <f t="shared" si="7"/>
        <v>6232110.2945798244</v>
      </c>
      <c r="T35" s="91">
        <f t="shared" si="7"/>
        <v>-16476982.907068163</v>
      </c>
      <c r="U35" s="91">
        <f t="shared" si="7"/>
        <v>-30873895.918500379</v>
      </c>
      <c r="V35" s="91">
        <f t="shared" si="7"/>
        <v>0</v>
      </c>
      <c r="W35" s="91">
        <f t="shared" si="7"/>
        <v>-87944343.667875797</v>
      </c>
      <c r="X35" s="91">
        <f t="shared" si="7"/>
        <v>517145337.11804271</v>
      </c>
      <c r="Y35" s="91">
        <f t="shared" si="7"/>
        <v>2618663093.7138524</v>
      </c>
    </row>
    <row r="36" spans="1:25" x14ac:dyDescent="0.2">
      <c r="A36" s="80">
        <f t="shared" si="0"/>
        <v>29</v>
      </c>
      <c r="B36" s="80"/>
      <c r="C36" s="93"/>
      <c r="D36" s="89"/>
      <c r="E36" s="89"/>
      <c r="F36" s="89"/>
      <c r="G36" s="89"/>
      <c r="H36" s="89"/>
      <c r="I36" s="89"/>
      <c r="J36" s="89"/>
      <c r="K36" s="89"/>
      <c r="L36" s="89"/>
      <c r="M36" s="89"/>
      <c r="N36" s="89"/>
      <c r="O36" s="89"/>
      <c r="P36" s="89"/>
      <c r="Q36" s="89"/>
      <c r="R36" s="89"/>
      <c r="S36" s="89"/>
      <c r="T36" s="89"/>
      <c r="U36" s="89"/>
      <c r="V36" s="89"/>
      <c r="W36" s="89"/>
      <c r="X36" s="89"/>
      <c r="Y36" s="89"/>
    </row>
    <row r="37" spans="1:25" x14ac:dyDescent="0.2">
      <c r="A37" s="80">
        <f t="shared" si="0"/>
        <v>30</v>
      </c>
      <c r="B37" s="80">
        <v>5</v>
      </c>
      <c r="C37" s="87">
        <v>6789532.8187336121</v>
      </c>
      <c r="D37" s="88">
        <v>310254.59201566299</v>
      </c>
      <c r="E37" s="88">
        <v>13833.899373728984</v>
      </c>
      <c r="F37" s="88">
        <v>0</v>
      </c>
      <c r="G37" s="88">
        <v>346.26617375541423</v>
      </c>
      <c r="H37" s="88">
        <v>0</v>
      </c>
      <c r="I37" s="88">
        <v>0</v>
      </c>
      <c r="J37" s="88">
        <v>0</v>
      </c>
      <c r="K37" s="88">
        <v>0</v>
      </c>
      <c r="L37" s="88">
        <v>0</v>
      </c>
      <c r="M37" s="88">
        <v>0</v>
      </c>
      <c r="N37" s="88">
        <v>11107.67569144819</v>
      </c>
      <c r="O37" s="88">
        <v>6335.5028336206933</v>
      </c>
      <c r="P37" s="88">
        <v>12913.691421231331</v>
      </c>
      <c r="Q37" s="88">
        <v>43644.023191035609</v>
      </c>
      <c r="R37" s="88">
        <v>21910.275522161341</v>
      </c>
      <c r="S37" s="88">
        <v>0</v>
      </c>
      <c r="T37" s="88">
        <v>-5139.0473259869432</v>
      </c>
      <c r="U37" s="88">
        <v>0</v>
      </c>
      <c r="V37" s="88">
        <v>0</v>
      </c>
      <c r="W37" s="88">
        <v>0</v>
      </c>
      <c r="X37" s="89">
        <f>SUM(E37:W37)</f>
        <v>104952.28688099461</v>
      </c>
      <c r="Y37" s="89">
        <f>SUM(X37,D37)</f>
        <v>415206.87889665761</v>
      </c>
    </row>
    <row r="38" spans="1:25" x14ac:dyDescent="0.2">
      <c r="A38" s="80">
        <f t="shared" si="0"/>
        <v>31</v>
      </c>
      <c r="B38" s="80"/>
      <c r="C38" s="93"/>
      <c r="D38" s="89"/>
      <c r="E38" s="89"/>
      <c r="F38" s="89"/>
      <c r="G38" s="89"/>
      <c r="H38" s="89"/>
      <c r="I38" s="89"/>
      <c r="J38" s="89"/>
      <c r="K38" s="89"/>
      <c r="L38" s="89"/>
      <c r="M38" s="89"/>
      <c r="N38" s="89"/>
      <c r="O38" s="89"/>
      <c r="P38" s="89"/>
      <c r="Q38" s="89"/>
      <c r="R38" s="89"/>
      <c r="S38" s="89"/>
      <c r="T38" s="89"/>
      <c r="U38" s="89"/>
      <c r="V38" s="89"/>
      <c r="W38" s="89"/>
      <c r="X38" s="89"/>
      <c r="Y38" s="89"/>
    </row>
    <row r="39" spans="1:25" ht="12" thickBot="1" x14ac:dyDescent="0.25">
      <c r="A39" s="80">
        <f t="shared" si="0"/>
        <v>32</v>
      </c>
      <c r="B39" s="80" t="s">
        <v>152</v>
      </c>
      <c r="C39" s="94">
        <f t="shared" ref="C39:Y39" si="8">SUM(C35:C37)</f>
        <v>23434356960.740398</v>
      </c>
      <c r="D39" s="95">
        <f t="shared" si="8"/>
        <v>2101828011.1878254</v>
      </c>
      <c r="E39" s="95">
        <f t="shared" si="8"/>
        <v>45653650.24582278</v>
      </c>
      <c r="F39" s="95">
        <f t="shared" si="8"/>
        <v>0</v>
      </c>
      <c r="G39" s="95">
        <f t="shared" si="8"/>
        <v>1073539.3612554667</v>
      </c>
      <c r="H39" s="95">
        <f t="shared" si="8"/>
        <v>100744999.56279926</v>
      </c>
      <c r="I39" s="95">
        <f t="shared" si="8"/>
        <v>54151320.842112705</v>
      </c>
      <c r="J39" s="95">
        <f t="shared" si="8"/>
        <v>0</v>
      </c>
      <c r="K39" s="95">
        <f t="shared" si="8"/>
        <v>3263707.07681177</v>
      </c>
      <c r="L39" s="95">
        <f t="shared" si="8"/>
        <v>-1417531.3423638302</v>
      </c>
      <c r="M39" s="95">
        <f t="shared" si="8"/>
        <v>48317488.58702936</v>
      </c>
      <c r="N39" s="95">
        <f t="shared" si="8"/>
        <v>37661893.61800351</v>
      </c>
      <c r="O39" s="95">
        <f t="shared" si="8"/>
        <v>23418454.656201385</v>
      </c>
      <c r="P39" s="95">
        <f t="shared" si="8"/>
        <v>51572809.381890781</v>
      </c>
      <c r="Q39" s="95">
        <f t="shared" si="8"/>
        <v>187594042.23899063</v>
      </c>
      <c r="R39" s="95">
        <f t="shared" si="8"/>
        <v>94284166.422560275</v>
      </c>
      <c r="S39" s="95">
        <f t="shared" si="8"/>
        <v>6232110.2945798244</v>
      </c>
      <c r="T39" s="95">
        <f t="shared" si="8"/>
        <v>-16482121.954394151</v>
      </c>
      <c r="U39" s="95">
        <f t="shared" si="8"/>
        <v>-30873895.918500379</v>
      </c>
      <c r="V39" s="95">
        <f t="shared" si="8"/>
        <v>0</v>
      </c>
      <c r="W39" s="95">
        <f t="shared" si="8"/>
        <v>-87944343.667875797</v>
      </c>
      <c r="X39" s="95">
        <f t="shared" si="8"/>
        <v>517250289.40492368</v>
      </c>
      <c r="Y39" s="95">
        <f t="shared" si="8"/>
        <v>2619078300.5927491</v>
      </c>
    </row>
    <row r="40" spans="1:25" ht="12" thickTop="1" x14ac:dyDescent="0.2">
      <c r="A40" s="80">
        <f t="shared" si="0"/>
        <v>33</v>
      </c>
      <c r="D40" s="96"/>
      <c r="E40" s="96"/>
      <c r="F40" s="96"/>
      <c r="G40" s="96"/>
      <c r="H40" s="96"/>
      <c r="I40" s="96"/>
      <c r="J40" s="96"/>
      <c r="K40" s="96"/>
      <c r="L40" s="96"/>
      <c r="M40" s="96"/>
      <c r="N40" s="96"/>
      <c r="O40" s="96"/>
      <c r="P40" s="96"/>
      <c r="Q40" s="96"/>
      <c r="R40" s="96"/>
      <c r="S40" s="96"/>
      <c r="T40" s="96"/>
      <c r="U40" s="96"/>
      <c r="V40" s="96"/>
      <c r="W40" s="96"/>
      <c r="X40" s="96"/>
      <c r="Y40" s="96"/>
    </row>
    <row r="41" spans="1:25" ht="12" thickBot="1" x14ac:dyDescent="0.25">
      <c r="A41" s="80">
        <f t="shared" si="0"/>
        <v>34</v>
      </c>
      <c r="B41" s="72" t="s">
        <v>153</v>
      </c>
      <c r="C41" s="97">
        <v>23434356960.740398</v>
      </c>
      <c r="D41" s="98">
        <v>2101828011.1878257</v>
      </c>
      <c r="E41" s="98">
        <v>45653650.245822772</v>
      </c>
      <c r="F41" s="98">
        <v>0</v>
      </c>
      <c r="G41" s="98">
        <v>1073539.3612554667</v>
      </c>
      <c r="H41" s="98">
        <v>100744999.56279925</v>
      </c>
      <c r="I41" s="98">
        <v>54151320.842112705</v>
      </c>
      <c r="J41" s="98">
        <v>0</v>
      </c>
      <c r="K41" s="98">
        <v>3263707.07681177</v>
      </c>
      <c r="L41" s="98">
        <v>-1417531.3423638302</v>
      </c>
      <c r="M41" s="98">
        <v>48317488.587029368</v>
      </c>
      <c r="N41" s="98">
        <v>37661893.618003502</v>
      </c>
      <c r="O41" s="98">
        <v>23418454.656201389</v>
      </c>
      <c r="P41" s="98">
        <v>51572809.381890789</v>
      </c>
      <c r="Q41" s="98">
        <v>187594042.23899066</v>
      </c>
      <c r="R41" s="98">
        <v>94284166.422560275</v>
      </c>
      <c r="S41" s="98">
        <v>6232110.2945798235</v>
      </c>
      <c r="T41" s="98">
        <v>-16482121.954394151</v>
      </c>
      <c r="U41" s="98">
        <v>-30873895.918500375</v>
      </c>
      <c r="V41" s="98">
        <v>0</v>
      </c>
      <c r="W41" s="98">
        <v>-87944343.667875811</v>
      </c>
      <c r="X41" s="95">
        <f>SUM(E41:W41)</f>
        <v>517250289.4049235</v>
      </c>
      <c r="Y41" s="95">
        <f>+X41+D41</f>
        <v>2619078300.5927491</v>
      </c>
    </row>
    <row r="42" spans="1:25" s="100" customFormat="1" ht="12" thickTop="1" x14ac:dyDescent="0.2">
      <c r="A42" s="99">
        <f t="shared" si="0"/>
        <v>35</v>
      </c>
      <c r="B42" s="100" t="s">
        <v>153</v>
      </c>
      <c r="C42" s="101">
        <f t="shared" ref="C42:Y42" si="9">+C39-C41</f>
        <v>0</v>
      </c>
      <c r="D42" s="102">
        <f t="shared" si="9"/>
        <v>0</v>
      </c>
      <c r="E42" s="102">
        <f t="shared" si="9"/>
        <v>0</v>
      </c>
      <c r="F42" s="102">
        <f t="shared" si="9"/>
        <v>0</v>
      </c>
      <c r="G42" s="102">
        <f t="shared" si="9"/>
        <v>0</v>
      </c>
      <c r="H42" s="102">
        <f t="shared" si="9"/>
        <v>0</v>
      </c>
      <c r="I42" s="102">
        <f t="shared" si="9"/>
        <v>0</v>
      </c>
      <c r="J42" s="102">
        <f t="shared" si="9"/>
        <v>0</v>
      </c>
      <c r="K42" s="102">
        <f t="shared" si="9"/>
        <v>0</v>
      </c>
      <c r="L42" s="102">
        <f t="shared" si="9"/>
        <v>0</v>
      </c>
      <c r="M42" s="102">
        <f t="shared" si="9"/>
        <v>0</v>
      </c>
      <c r="N42" s="102">
        <f t="shared" si="9"/>
        <v>0</v>
      </c>
      <c r="O42" s="102">
        <f t="shared" si="9"/>
        <v>0</v>
      </c>
      <c r="P42" s="102">
        <f t="shared" si="9"/>
        <v>0</v>
      </c>
      <c r="Q42" s="102">
        <f t="shared" si="9"/>
        <v>0</v>
      </c>
      <c r="R42" s="102">
        <f t="shared" si="9"/>
        <v>0</v>
      </c>
      <c r="S42" s="102">
        <f t="shared" si="9"/>
        <v>0</v>
      </c>
      <c r="T42" s="102">
        <f t="shared" si="9"/>
        <v>0</v>
      </c>
      <c r="U42" s="102">
        <f t="shared" si="9"/>
        <v>0</v>
      </c>
      <c r="V42" s="102">
        <f t="shared" si="9"/>
        <v>0</v>
      </c>
      <c r="W42" s="102">
        <f t="shared" si="9"/>
        <v>0</v>
      </c>
      <c r="X42" s="102">
        <f t="shared" si="9"/>
        <v>0</v>
      </c>
      <c r="Y42" s="102">
        <f t="shared" si="9"/>
        <v>0</v>
      </c>
    </row>
    <row r="44" spans="1:25" x14ac:dyDescent="0.2">
      <c r="B44" s="103" t="s">
        <v>154</v>
      </c>
    </row>
    <row r="45" spans="1:25" x14ac:dyDescent="0.2">
      <c r="B45" s="103" t="s">
        <v>155</v>
      </c>
    </row>
  </sheetData>
  <printOptions horizontalCentered="1"/>
  <pageMargins left="0.25" right="0.25" top="0.75" bottom="0.75" header="0.3" footer="0.3"/>
  <pageSetup scale="65" orientation="landscape" r:id="rId1"/>
  <headerFooter>
    <oddFooter>&amp;L&amp;"Times New Roman,Regular"&amp;F
&amp;A&amp;R&amp;"Times New Roman,Regular"Page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2023-12-08T08:00:00+00:00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92E43B5C-3601-4603-9071-6AB51308E28A}">
  <ds:schemaRefs>
    <ds:schemaRef ds:uri="http://schemas.microsoft.com/sharepoint/v3/contenttype/forms"/>
  </ds:schemaRefs>
</ds:datastoreItem>
</file>

<file path=customXml/itemProps2.xml><?xml version="1.0" encoding="utf-8"?>
<ds:datastoreItem xmlns:ds="http://schemas.openxmlformats.org/officeDocument/2006/customXml" ds:itemID="{D88C2555-90D9-426F-846A-59964DD03E50}"/>
</file>

<file path=customXml/itemProps3.xml><?xml version="1.0" encoding="utf-8"?>
<ds:datastoreItem xmlns:ds="http://schemas.openxmlformats.org/officeDocument/2006/customXml" ds:itemID="{5AA5BFE2-1B2B-45DA-9310-FB9A760D5CDF}"/>
</file>

<file path=customXml/itemProps4.xml><?xml version="1.0" encoding="utf-8"?>
<ds:datastoreItem xmlns:ds="http://schemas.openxmlformats.org/officeDocument/2006/customXml" ds:itemID="{65BE7465-1D48-41F8-A67A-BE78766244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TEP DR 121 Attach C</vt:lpstr>
      <vt:lpstr>TEP DR 121 Attach C_StrategenLI</vt:lpstr>
      <vt:lpstr>Gas Forecasted Revenue</vt:lpstr>
      <vt:lpstr>Electric Forecasted Revenue</vt:lpstr>
      <vt:lpstr>'Electric Forecasted Revenue'!Print_Area</vt:lpstr>
      <vt:lpstr>'Gas Forecasted Revenue'!Print_Area</vt:lpstr>
      <vt:lpstr>'Electric Forecasted Revenue'!Print_Titles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 Pfeifer-Rosenblum</cp:lastModifiedBy>
  <dcterms:created xsi:type="dcterms:W3CDTF">1900-01-01T00:00:00Z</dcterms:created>
  <dcterms:modified xsi:type="dcterms:W3CDTF">2023-12-08T18:06:33Z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ies>
</file>