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uey\OneDrive - Washington State Executive Branch Agencies\2018\April 2018\30\UE-170033\"/>
    </mc:Choice>
  </mc:AlternateContent>
  <bookViews>
    <workbookView xWindow="0" yWindow="135" windowWidth="19440" windowHeight="10845" tabRatio="464"/>
  </bookViews>
  <sheets>
    <sheet name="One Time Request =&gt;" sheetId="20" r:id="rId1"/>
    <sheet name="2017 GRC Stlmt" sheetId="16" r:id="rId2"/>
    <sheet name="Electric" sheetId="17" r:id="rId3"/>
    <sheet name="Gas" sheetId="18" r:id="rId4"/>
    <sheet name="Future Costs Totals" sheetId="19" r:id="rId5"/>
    <sheet name="Deferred Bal =&gt;" sheetId="1" r:id="rId6"/>
    <sheet name="ELEC Actual Q4 2016 - 2017" sheetId="2" r:id="rId7"/>
    <sheet name="GAS Actual Q4 2016 -2017" sheetId="3" r:id="rId8"/>
    <sheet name="Deferred Activity=&gt;" sheetId="4" r:id="rId9"/>
    <sheet name="ELEC Activity Summary" sheetId="5" r:id="rId10"/>
    <sheet name="ELEC Activity Q4 16 - 2017" sheetId="6" r:id="rId11"/>
    <sheet name="GAS Activity Summary" sheetId="7" r:id="rId12"/>
    <sheet name="GAS Activity Q4 2016 -2017" sheetId="8" r:id="rId13"/>
    <sheet name="Def Transfers &amp; Amort=&gt;" sheetId="9" r:id="rId14"/>
    <sheet name="ELEC Amort " sheetId="10" r:id="rId15"/>
    <sheet name="GAS Amort" sheetId="11" r:id="rId16"/>
  </sheets>
  <externalReferences>
    <externalReference r:id="rId17"/>
    <externalReference r:id="rId18"/>
    <externalReference r:id="rId19"/>
  </externalReferences>
  <definedNames>
    <definedName name="__123Graph_D" localSheetId="10" hidden="1">#REF!</definedName>
    <definedName name="__123Graph_D" localSheetId="9" hidden="1">#REF!</definedName>
    <definedName name="__123Graph_D" localSheetId="14" hidden="1">#REF!</definedName>
    <definedName name="__123Graph_D" localSheetId="12" hidden="1">#REF!</definedName>
    <definedName name="__123Graph_D" localSheetId="11" hidden="1">#REF!</definedName>
    <definedName name="__123Graph_D" localSheetId="7" hidden="1">#REF!</definedName>
    <definedName name="__123Graph_D" localSheetId="15" hidden="1">#REF!</definedName>
    <definedName name="__123Graph_D" hidden="1">#REF!</definedName>
    <definedName name="__123Graph_ECURRENT" localSheetId="10" hidden="1">[1]ConsolidatingPL!#REF!</definedName>
    <definedName name="__123Graph_ECURRENT" localSheetId="9" hidden="1">[1]ConsolidatingPL!#REF!</definedName>
    <definedName name="__123Graph_ECURRENT" localSheetId="14" hidden="1">[1]ConsolidatingPL!#REF!</definedName>
    <definedName name="__123Graph_ECURRENT" localSheetId="12" hidden="1">[1]ConsolidatingPL!#REF!</definedName>
    <definedName name="__123Graph_ECURRENT" localSheetId="11" hidden="1">[1]ConsolidatingPL!#REF!</definedName>
    <definedName name="__123Graph_ECURRENT" localSheetId="7" hidden="1">[1]ConsolidatingPL!#REF!</definedName>
    <definedName name="__123Graph_ECURRENT" localSheetId="15" hidden="1">[1]ConsolidatingPL!#REF!</definedName>
    <definedName name="__123Graph_ECURRENT" hidden="1">[1]ConsolidatingPL!#REF!</definedName>
    <definedName name="_Apr10" localSheetId="10">'[2](DR 118) 182.3'!#REF!</definedName>
    <definedName name="_Apr10" localSheetId="9">'[2](DR 118) 182.3'!#REF!</definedName>
    <definedName name="_Apr10" localSheetId="14">'[2](DR 118) 182.3'!#REF!</definedName>
    <definedName name="_Apr10" localSheetId="12">'[2](DR 118) 182.3'!#REF!</definedName>
    <definedName name="_Apr10" localSheetId="11">'[2](DR 118) 182.3'!#REF!</definedName>
    <definedName name="_Apr10" localSheetId="7">'[2](DR 118) 182.3'!#REF!</definedName>
    <definedName name="_Apr10" localSheetId="15">'[2](DR 118) 182.3'!#REF!</definedName>
    <definedName name="_Apr10">'[2](DR 118) 182.3'!#REF!</definedName>
    <definedName name="_Apr11" localSheetId="10">'[2](DR 118) 182.3'!#REF!</definedName>
    <definedName name="_Apr11" localSheetId="9">'[2](DR 118) 182.3'!#REF!</definedName>
    <definedName name="_Apr11" localSheetId="14">'[2](DR 118) 182.3'!#REF!</definedName>
    <definedName name="_Apr11" localSheetId="12">'[2](DR 118) 182.3'!#REF!</definedName>
    <definedName name="_Apr11" localSheetId="11">'[2](DR 118) 182.3'!#REF!</definedName>
    <definedName name="_Apr11" localSheetId="7">'[2](DR 118) 182.3'!#REF!</definedName>
    <definedName name="_Apr11" localSheetId="15">'[2](DR 118) 182.3'!#REF!</definedName>
    <definedName name="_Apr11">'[2](DR 118) 182.3'!#REF!</definedName>
    <definedName name="_Apr12" localSheetId="10">'[2](DR 118) 182.3'!#REF!</definedName>
    <definedName name="_Apr12" localSheetId="9">'[2](DR 118) 182.3'!#REF!</definedName>
    <definedName name="_Apr12" localSheetId="14">'[2](DR 118) 182.3'!#REF!</definedName>
    <definedName name="_Apr12" localSheetId="12">'[2](DR 118) 182.3'!#REF!</definedName>
    <definedName name="_Apr12" localSheetId="11">'[2](DR 118) 182.3'!#REF!</definedName>
    <definedName name="_Apr12" localSheetId="7">'[2](DR 118) 182.3'!#REF!</definedName>
    <definedName name="_Apr12" localSheetId="15">'[2](DR 118) 182.3'!#REF!</definedName>
    <definedName name="_Apr12">'[2](DR 118) 182.3'!#REF!</definedName>
    <definedName name="_Aug10" localSheetId="10">'[2](DR 118) 182.3'!#REF!</definedName>
    <definedName name="_Aug10" localSheetId="9">'[2](DR 118) 182.3'!#REF!</definedName>
    <definedName name="_Aug10" localSheetId="14">'[2](DR 118) 182.3'!#REF!</definedName>
    <definedName name="_Aug10" localSheetId="12">'[2](DR 118) 182.3'!#REF!</definedName>
    <definedName name="_Aug10" localSheetId="11">'[2](DR 118) 182.3'!#REF!</definedName>
    <definedName name="_Aug10" localSheetId="7">'[2](DR 118) 182.3'!#REF!</definedName>
    <definedName name="_Aug10" localSheetId="15">'[2](DR 118) 182.3'!#REF!</definedName>
    <definedName name="_Aug10">'[2](DR 118) 182.3'!#REF!</definedName>
    <definedName name="_Aug11" localSheetId="10">'[2](DR 118) 182.3'!#REF!</definedName>
    <definedName name="_Aug11" localSheetId="9">'[2](DR 118) 182.3'!#REF!</definedName>
    <definedName name="_Aug11" localSheetId="14">'[2](DR 118) 182.3'!#REF!</definedName>
    <definedName name="_Aug11" localSheetId="12">'[2](DR 118) 182.3'!#REF!</definedName>
    <definedName name="_Aug11" localSheetId="11">'[2](DR 118) 182.3'!#REF!</definedName>
    <definedName name="_Aug11" localSheetId="7">'[2](DR 118) 182.3'!#REF!</definedName>
    <definedName name="_Aug11" localSheetId="15">'[2](DR 118) 182.3'!#REF!</definedName>
    <definedName name="_Aug11">'[2](DR 118) 182.3'!#REF!</definedName>
    <definedName name="_Aug12" localSheetId="10">'[2](DR 118) 182.3'!#REF!</definedName>
    <definedName name="_Aug12" localSheetId="9">'[2](DR 118) 182.3'!#REF!</definedName>
    <definedName name="_Aug12" localSheetId="14">'[2](DR 118) 182.3'!#REF!</definedName>
    <definedName name="_Aug12" localSheetId="12">'[2](DR 118) 182.3'!#REF!</definedName>
    <definedName name="_Aug12" localSheetId="11">'[2](DR 118) 182.3'!#REF!</definedName>
    <definedName name="_Aug12" localSheetId="7">'[2](DR 118) 182.3'!#REF!</definedName>
    <definedName name="_Aug12" localSheetId="15">'[2](DR 118) 182.3'!#REF!</definedName>
    <definedName name="_Aug12">'[2](DR 118) 182.3'!#REF!</definedName>
    <definedName name="_Dec09" localSheetId="10">'[2](DR 118) 182.3'!#REF!</definedName>
    <definedName name="_Dec09" localSheetId="9">'[2](DR 118) 182.3'!#REF!</definedName>
    <definedName name="_Dec09" localSheetId="14">'[2](DR 118) 182.3'!#REF!</definedName>
    <definedName name="_Dec09" localSheetId="12">'[2](DR 118) 182.3'!#REF!</definedName>
    <definedName name="_Dec09" localSheetId="11">'[2](DR 118) 182.3'!#REF!</definedName>
    <definedName name="_Dec09" localSheetId="7">'[2](DR 118) 182.3'!#REF!</definedName>
    <definedName name="_Dec09" localSheetId="15">'[2](DR 118) 182.3'!#REF!</definedName>
    <definedName name="_Dec09">'[2](DR 118) 182.3'!#REF!</definedName>
    <definedName name="_Dec10" localSheetId="10">'[2](DR 118) 182.3'!#REF!</definedName>
    <definedName name="_Dec10" localSheetId="9">'[2](DR 118) 182.3'!#REF!</definedName>
    <definedName name="_Dec10" localSheetId="14">'[2](DR 118) 182.3'!#REF!</definedName>
    <definedName name="_Dec10" localSheetId="12">'[2](DR 118) 182.3'!#REF!</definedName>
    <definedName name="_Dec10" localSheetId="11">'[2](DR 118) 182.3'!#REF!</definedName>
    <definedName name="_Dec10" localSheetId="7">'[2](DR 118) 182.3'!#REF!</definedName>
    <definedName name="_Dec10" localSheetId="15">'[2](DR 118) 182.3'!#REF!</definedName>
    <definedName name="_Dec10">'[2](DR 118) 182.3'!#REF!</definedName>
    <definedName name="_Dec11" localSheetId="10">'[2](DR 118) 182.3'!#REF!</definedName>
    <definedName name="_Dec11" localSheetId="9">'[2](DR 118) 182.3'!#REF!</definedName>
    <definedName name="_Dec11" localSheetId="14">'[2](DR 118) 182.3'!#REF!</definedName>
    <definedName name="_Dec11" localSheetId="12">'[2](DR 118) 182.3'!#REF!</definedName>
    <definedName name="_Dec11" localSheetId="11">'[2](DR 118) 182.3'!#REF!</definedName>
    <definedName name="_Dec11" localSheetId="7">'[2](DR 118) 182.3'!#REF!</definedName>
    <definedName name="_Dec11" localSheetId="15">'[2](DR 118) 182.3'!#REF!</definedName>
    <definedName name="_Dec11">'[2](DR 118) 182.3'!#REF!</definedName>
    <definedName name="_End" localSheetId="10">'[2](DR 118) 182.3'!#REF!</definedName>
    <definedName name="_End" localSheetId="9">'[2](DR 118) 182.3'!#REF!</definedName>
    <definedName name="_End" localSheetId="14">'[2](DR 118) 182.3'!#REF!</definedName>
    <definedName name="_End" localSheetId="12">'[2](DR 118) 182.3'!#REF!</definedName>
    <definedName name="_End" localSheetId="11">'[2](DR 118) 182.3'!#REF!</definedName>
    <definedName name="_End" localSheetId="7">'[2](DR 118) 182.3'!#REF!</definedName>
    <definedName name="_End" localSheetId="15">'[2](DR 118) 182.3'!#REF!</definedName>
    <definedName name="_End">'[2](DR 118) 182.3'!#REF!</definedName>
    <definedName name="_Feb10" localSheetId="10">'[2](DR 118) 182.3'!#REF!</definedName>
    <definedName name="_Feb10" localSheetId="9">'[2](DR 118) 182.3'!#REF!</definedName>
    <definedName name="_Feb10" localSheetId="14">'[2](DR 118) 182.3'!#REF!</definedName>
    <definedName name="_Feb10" localSheetId="12">'[2](DR 118) 182.3'!#REF!</definedName>
    <definedName name="_Feb10" localSheetId="11">'[2](DR 118) 182.3'!#REF!</definedName>
    <definedName name="_Feb10" localSheetId="7">'[2](DR 118) 182.3'!#REF!</definedName>
    <definedName name="_Feb10" localSheetId="15">'[2](DR 118) 182.3'!#REF!</definedName>
    <definedName name="_Feb10">'[2](DR 118) 182.3'!#REF!</definedName>
    <definedName name="_Feb11" localSheetId="10">'[2](DR 118) 182.3'!#REF!</definedName>
    <definedName name="_Feb11" localSheetId="9">'[2](DR 118) 182.3'!#REF!</definedName>
    <definedName name="_Feb11" localSheetId="14">'[2](DR 118) 182.3'!#REF!</definedName>
    <definedName name="_Feb11" localSheetId="12">'[2](DR 118) 182.3'!#REF!</definedName>
    <definedName name="_Feb11" localSheetId="11">'[2](DR 118) 182.3'!#REF!</definedName>
    <definedName name="_Feb11" localSheetId="7">'[2](DR 118) 182.3'!#REF!</definedName>
    <definedName name="_Feb11" localSheetId="15">'[2](DR 118) 182.3'!#REF!</definedName>
    <definedName name="_Feb11">'[2](DR 118) 182.3'!#REF!</definedName>
    <definedName name="_Feb12" localSheetId="10">'[2](DR 118) 182.3'!#REF!</definedName>
    <definedName name="_Feb12" localSheetId="9">'[2](DR 118) 182.3'!#REF!</definedName>
    <definedName name="_Feb12" localSheetId="14">'[2](DR 118) 182.3'!#REF!</definedName>
    <definedName name="_Feb12" localSheetId="12">'[2](DR 118) 182.3'!#REF!</definedName>
    <definedName name="_Feb12" localSheetId="11">'[2](DR 118) 182.3'!#REF!</definedName>
    <definedName name="_Feb12" localSheetId="7">'[2](DR 118) 182.3'!#REF!</definedName>
    <definedName name="_Feb12" localSheetId="15">'[2](DR 118) 182.3'!#REF!</definedName>
    <definedName name="_Feb12">'[2](DR 118) 182.3'!#REF!</definedName>
    <definedName name="_Fill" localSheetId="10" hidden="1">#REF!</definedName>
    <definedName name="_Fill" localSheetId="9" hidden="1">#REF!</definedName>
    <definedName name="_Fill" localSheetId="14" hidden="1">#REF!</definedName>
    <definedName name="_Fill" localSheetId="12" hidden="1">#REF!</definedName>
    <definedName name="_Fill" localSheetId="11" hidden="1">#REF!</definedName>
    <definedName name="_Fill" localSheetId="7" hidden="1">#REF!</definedName>
    <definedName name="_Fill" localSheetId="15" hidden="1">#REF!</definedName>
    <definedName name="_Fill" hidden="1">#REF!</definedName>
    <definedName name="_Jan10" localSheetId="10">'[2](DR 118) 182.3'!#REF!</definedName>
    <definedName name="_Jan10" localSheetId="9">'[2](DR 118) 182.3'!#REF!</definedName>
    <definedName name="_Jan10" localSheetId="14">'[2](DR 118) 182.3'!#REF!</definedName>
    <definedName name="_Jan10" localSheetId="12">'[2](DR 118) 182.3'!#REF!</definedName>
    <definedName name="_Jan10" localSheetId="11">'[2](DR 118) 182.3'!#REF!</definedName>
    <definedName name="_Jan10" localSheetId="7">'[2](DR 118) 182.3'!#REF!</definedName>
    <definedName name="_Jan10" localSheetId="15">'[2](DR 118) 182.3'!#REF!</definedName>
    <definedName name="_Jan10">'[2](DR 118) 182.3'!#REF!</definedName>
    <definedName name="_Jan11" localSheetId="10">'[2](DR 118) 182.3'!#REF!</definedName>
    <definedName name="_Jan11" localSheetId="9">'[2](DR 118) 182.3'!#REF!</definedName>
    <definedName name="_Jan11" localSheetId="14">'[2](DR 118) 182.3'!#REF!</definedName>
    <definedName name="_Jan11" localSheetId="12">'[2](DR 118) 182.3'!#REF!</definedName>
    <definedName name="_Jan11" localSheetId="11">'[2](DR 118) 182.3'!#REF!</definedName>
    <definedName name="_Jan11" localSheetId="7">'[2](DR 118) 182.3'!#REF!</definedName>
    <definedName name="_Jan11" localSheetId="15">'[2](DR 118) 182.3'!#REF!</definedName>
    <definedName name="_Jan11">'[2](DR 118) 182.3'!#REF!</definedName>
    <definedName name="_Jan12" localSheetId="10">'[2](DR 118) 182.3'!#REF!</definedName>
    <definedName name="_Jan12" localSheetId="9">'[2](DR 118) 182.3'!#REF!</definedName>
    <definedName name="_Jan12" localSheetId="14">'[2](DR 118) 182.3'!#REF!</definedName>
    <definedName name="_Jan12" localSheetId="12">'[2](DR 118) 182.3'!#REF!</definedName>
    <definedName name="_Jan12" localSheetId="11">'[2](DR 118) 182.3'!#REF!</definedName>
    <definedName name="_Jan12" localSheetId="7">'[2](DR 118) 182.3'!#REF!</definedName>
    <definedName name="_Jan12" localSheetId="15">'[2](DR 118) 182.3'!#REF!</definedName>
    <definedName name="_Jan12">'[2](DR 118) 182.3'!#REF!</definedName>
    <definedName name="_Jul10" localSheetId="10">'[2](DR 118) 182.3'!#REF!</definedName>
    <definedName name="_Jul10" localSheetId="9">'[2](DR 118) 182.3'!#REF!</definedName>
    <definedName name="_Jul10" localSheetId="14">'[2](DR 118) 182.3'!#REF!</definedName>
    <definedName name="_Jul10" localSheetId="12">'[2](DR 118) 182.3'!#REF!</definedName>
    <definedName name="_Jul10" localSheetId="11">'[2](DR 118) 182.3'!#REF!</definedName>
    <definedName name="_Jul10" localSheetId="7">'[2](DR 118) 182.3'!#REF!</definedName>
    <definedName name="_Jul10" localSheetId="15">'[2](DR 118) 182.3'!#REF!</definedName>
    <definedName name="_Jul10">'[2](DR 118) 182.3'!#REF!</definedName>
    <definedName name="_Jul11" localSheetId="10" xml:space="preserve"> '[2](DR 118) 182.3'!#REF!</definedName>
    <definedName name="_Jul11" localSheetId="9" xml:space="preserve"> '[2](DR 118) 182.3'!#REF!</definedName>
    <definedName name="_Jul11" localSheetId="14" xml:space="preserve"> '[2](DR 118) 182.3'!#REF!</definedName>
    <definedName name="_Jul11" localSheetId="12" xml:space="preserve"> '[2](DR 118) 182.3'!#REF!</definedName>
    <definedName name="_Jul11" localSheetId="11" xml:space="preserve"> '[2](DR 118) 182.3'!#REF!</definedName>
    <definedName name="_Jul11" localSheetId="7" xml:space="preserve"> '[2](DR 118) 182.3'!#REF!</definedName>
    <definedName name="_Jul11" localSheetId="15" xml:space="preserve"> '[2](DR 118) 182.3'!#REF!</definedName>
    <definedName name="_Jul11" xml:space="preserve"> '[2](DR 118) 182.3'!#REF!</definedName>
    <definedName name="_Jul12" localSheetId="10">'[2](DR 118) 182.3'!#REF!</definedName>
    <definedName name="_Jul12" localSheetId="9">'[2](DR 118) 182.3'!#REF!</definedName>
    <definedName name="_Jul12" localSheetId="14">'[2](DR 118) 182.3'!#REF!</definedName>
    <definedName name="_Jul12" localSheetId="12">'[2](DR 118) 182.3'!#REF!</definedName>
    <definedName name="_Jul12" localSheetId="11">'[2](DR 118) 182.3'!#REF!</definedName>
    <definedName name="_Jul12" localSheetId="7">'[2](DR 118) 182.3'!#REF!</definedName>
    <definedName name="_Jul12" localSheetId="15">'[2](DR 118) 182.3'!#REF!</definedName>
    <definedName name="_Jul12">'[2](DR 118) 182.3'!#REF!</definedName>
    <definedName name="_Jun09">" BS!$AI$7:$AI$1643"</definedName>
    <definedName name="_Jun10" localSheetId="10">'[2](DR 118) 182.3'!#REF!</definedName>
    <definedName name="_Jun10" localSheetId="9">'[2](DR 118) 182.3'!#REF!</definedName>
    <definedName name="_Jun10" localSheetId="14">'[2](DR 118) 182.3'!#REF!</definedName>
    <definedName name="_Jun10" localSheetId="12">'[2](DR 118) 182.3'!#REF!</definedName>
    <definedName name="_Jun10" localSheetId="11">'[2](DR 118) 182.3'!#REF!</definedName>
    <definedName name="_Jun10" localSheetId="7">'[2](DR 118) 182.3'!#REF!</definedName>
    <definedName name="_Jun10" localSheetId="15">'[2](DR 118) 182.3'!#REF!</definedName>
    <definedName name="_Jun10">'[2](DR 118) 182.3'!#REF!</definedName>
    <definedName name="_Jun11" localSheetId="10">'[2](DR 118) 182.3'!#REF!</definedName>
    <definedName name="_Jun11" localSheetId="9">'[2](DR 118) 182.3'!#REF!</definedName>
    <definedName name="_Jun11" localSheetId="14">'[2](DR 118) 182.3'!#REF!</definedName>
    <definedName name="_Jun11" localSheetId="12">'[2](DR 118) 182.3'!#REF!</definedName>
    <definedName name="_Jun11" localSheetId="11">'[2](DR 118) 182.3'!#REF!</definedName>
    <definedName name="_Jun11" localSheetId="7">'[2](DR 118) 182.3'!#REF!</definedName>
    <definedName name="_Jun11" localSheetId="15">'[2](DR 118) 182.3'!#REF!</definedName>
    <definedName name="_Jun11">'[2](DR 118) 182.3'!#REF!</definedName>
    <definedName name="_Jun12" localSheetId="10">'[2](DR 118) 182.3'!#REF!</definedName>
    <definedName name="_Jun12" localSheetId="9">'[2](DR 118) 182.3'!#REF!</definedName>
    <definedName name="_Jun12" localSheetId="14">'[2](DR 118) 182.3'!#REF!</definedName>
    <definedName name="_Jun12" localSheetId="12">'[2](DR 118) 182.3'!#REF!</definedName>
    <definedName name="_Jun12" localSheetId="11">'[2](DR 118) 182.3'!#REF!</definedName>
    <definedName name="_Jun12" localSheetId="7">'[2](DR 118) 182.3'!#REF!</definedName>
    <definedName name="_Jun12" localSheetId="15">'[2](DR 118) 182.3'!#REF!</definedName>
    <definedName name="_Jun12">'[2](DR 118) 182.3'!#REF!</definedName>
    <definedName name="_Key1" localSheetId="10" hidden="1">#REF!</definedName>
    <definedName name="_Key1" localSheetId="9" hidden="1">#REF!</definedName>
    <definedName name="_Key1" localSheetId="14" hidden="1">#REF!</definedName>
    <definedName name="_Key1" localSheetId="12" hidden="1">#REF!</definedName>
    <definedName name="_Key1" localSheetId="11" hidden="1">#REF!</definedName>
    <definedName name="_Key1" localSheetId="7" hidden="1">#REF!</definedName>
    <definedName name="_Key1" localSheetId="15" hidden="1">#REF!</definedName>
    <definedName name="_Key1" hidden="1">#REF!</definedName>
    <definedName name="_Key2" localSheetId="10" hidden="1">#REF!</definedName>
    <definedName name="_Key2" localSheetId="9" hidden="1">#REF!</definedName>
    <definedName name="_Key2" localSheetId="14" hidden="1">#REF!</definedName>
    <definedName name="_Key2" localSheetId="12" hidden="1">#REF!</definedName>
    <definedName name="_Key2" localSheetId="11" hidden="1">#REF!</definedName>
    <definedName name="_Key2" localSheetId="7" hidden="1">#REF!</definedName>
    <definedName name="_Key2" localSheetId="15" hidden="1">#REF!</definedName>
    <definedName name="_Key2" hidden="1">#REF!</definedName>
    <definedName name="_Mar10" localSheetId="10">'[2](DR 118) 182.3'!#REF!</definedName>
    <definedName name="_Mar10" localSheetId="9">'[2](DR 118) 182.3'!#REF!</definedName>
    <definedName name="_Mar10" localSheetId="14">'[2](DR 118) 182.3'!#REF!</definedName>
    <definedName name="_Mar10" localSheetId="12">'[2](DR 118) 182.3'!#REF!</definedName>
    <definedName name="_Mar10" localSheetId="11">'[2](DR 118) 182.3'!#REF!</definedName>
    <definedName name="_Mar10" localSheetId="7">'[2](DR 118) 182.3'!#REF!</definedName>
    <definedName name="_Mar10" localSheetId="15">'[2](DR 118) 182.3'!#REF!</definedName>
    <definedName name="_Mar10">'[2](DR 118) 182.3'!#REF!</definedName>
    <definedName name="_Mar11" localSheetId="10">'[2](DR 118) 182.3'!#REF!</definedName>
    <definedName name="_Mar11" localSheetId="9">'[2](DR 118) 182.3'!#REF!</definedName>
    <definedName name="_Mar11" localSheetId="14">'[2](DR 118) 182.3'!#REF!</definedName>
    <definedName name="_Mar11" localSheetId="12">'[2](DR 118) 182.3'!#REF!</definedName>
    <definedName name="_Mar11" localSheetId="11">'[2](DR 118) 182.3'!#REF!</definedName>
    <definedName name="_Mar11" localSheetId="7">'[2](DR 118) 182.3'!#REF!</definedName>
    <definedName name="_Mar11" localSheetId="15">'[2](DR 118) 182.3'!#REF!</definedName>
    <definedName name="_Mar11">'[2](DR 118) 182.3'!#REF!</definedName>
    <definedName name="_Mar12" localSheetId="10">'[2](DR 118) 182.3'!#REF!</definedName>
    <definedName name="_Mar12" localSheetId="9">'[2](DR 118) 182.3'!#REF!</definedName>
    <definedName name="_Mar12" localSheetId="14">'[2](DR 118) 182.3'!#REF!</definedName>
    <definedName name="_Mar12" localSheetId="12">'[2](DR 118) 182.3'!#REF!</definedName>
    <definedName name="_Mar12" localSheetId="11">'[2](DR 118) 182.3'!#REF!</definedName>
    <definedName name="_Mar12" localSheetId="7">'[2](DR 118) 182.3'!#REF!</definedName>
    <definedName name="_Mar12" localSheetId="15">'[2](DR 118) 182.3'!#REF!</definedName>
    <definedName name="_Mar12">'[2](DR 118) 182.3'!#REF!</definedName>
    <definedName name="_May10" localSheetId="10">'[2](DR 118) 182.3'!#REF!</definedName>
    <definedName name="_May10" localSheetId="9">'[2](DR 118) 182.3'!#REF!</definedName>
    <definedName name="_May10" localSheetId="14">'[2](DR 118) 182.3'!#REF!</definedName>
    <definedName name="_May10" localSheetId="12">'[2](DR 118) 182.3'!#REF!</definedName>
    <definedName name="_May10" localSheetId="11">'[2](DR 118) 182.3'!#REF!</definedName>
    <definedName name="_May10" localSheetId="7">'[2](DR 118) 182.3'!#REF!</definedName>
    <definedName name="_May10" localSheetId="15">'[2](DR 118) 182.3'!#REF!</definedName>
    <definedName name="_May10">'[2](DR 118) 182.3'!#REF!</definedName>
    <definedName name="_May11" localSheetId="10">'[2](DR 118) 182.3'!#REF!</definedName>
    <definedName name="_May11" localSheetId="9">'[2](DR 118) 182.3'!#REF!</definedName>
    <definedName name="_May11" localSheetId="14">'[2](DR 118) 182.3'!#REF!</definedName>
    <definedName name="_May11" localSheetId="12">'[2](DR 118) 182.3'!#REF!</definedName>
    <definedName name="_May11" localSheetId="11">'[2](DR 118) 182.3'!#REF!</definedName>
    <definedName name="_May11" localSheetId="7">'[2](DR 118) 182.3'!#REF!</definedName>
    <definedName name="_May11" localSheetId="15">'[2](DR 118) 182.3'!#REF!</definedName>
    <definedName name="_May11">'[2](DR 118) 182.3'!#REF!</definedName>
    <definedName name="_May12" localSheetId="10">'[2](DR 118) 182.3'!#REF!</definedName>
    <definedName name="_May12" localSheetId="9">'[2](DR 118) 182.3'!#REF!</definedName>
    <definedName name="_May12" localSheetId="14">'[2](DR 118) 182.3'!#REF!</definedName>
    <definedName name="_May12" localSheetId="12">'[2](DR 118) 182.3'!#REF!</definedName>
    <definedName name="_May12" localSheetId="11">'[2](DR 118) 182.3'!#REF!</definedName>
    <definedName name="_May12" localSheetId="7">'[2](DR 118) 182.3'!#REF!</definedName>
    <definedName name="_May12" localSheetId="15">'[2](DR 118) 182.3'!#REF!</definedName>
    <definedName name="_May12">'[2](DR 118) 182.3'!#REF!</definedName>
    <definedName name="_Nov10" localSheetId="10">'[2](DR 118) 182.3'!#REF!</definedName>
    <definedName name="_Nov10" localSheetId="9">'[2](DR 118) 182.3'!#REF!</definedName>
    <definedName name="_Nov10" localSheetId="14">'[2](DR 118) 182.3'!#REF!</definedName>
    <definedName name="_Nov10" localSheetId="12">'[2](DR 118) 182.3'!#REF!</definedName>
    <definedName name="_Nov10" localSheetId="11">'[2](DR 118) 182.3'!#REF!</definedName>
    <definedName name="_Nov10" localSheetId="7">'[2](DR 118) 182.3'!#REF!</definedName>
    <definedName name="_Nov10" localSheetId="15">'[2](DR 118) 182.3'!#REF!</definedName>
    <definedName name="_Nov10">'[2](DR 118) 182.3'!#REF!</definedName>
    <definedName name="_Nov11" localSheetId="10">'[2](DR 118) 182.3'!#REF!</definedName>
    <definedName name="_Nov11" localSheetId="9">'[2](DR 118) 182.3'!#REF!</definedName>
    <definedName name="_Nov11" localSheetId="14">'[2](DR 118) 182.3'!#REF!</definedName>
    <definedName name="_Nov11" localSheetId="12">'[2](DR 118) 182.3'!#REF!</definedName>
    <definedName name="_Nov11" localSheetId="11">'[2](DR 118) 182.3'!#REF!</definedName>
    <definedName name="_Nov11" localSheetId="7">'[2](DR 118) 182.3'!#REF!</definedName>
    <definedName name="_Nov11" localSheetId="15">'[2](DR 118) 182.3'!#REF!</definedName>
    <definedName name="_Nov11">'[2](DR 118) 182.3'!#REF!</definedName>
    <definedName name="_Nov12" localSheetId="10">'[2](DR 118) 182.3'!#REF!</definedName>
    <definedName name="_Nov12" localSheetId="9">'[2](DR 118) 182.3'!#REF!</definedName>
    <definedName name="_Nov12" localSheetId="14">'[2](DR 118) 182.3'!#REF!</definedName>
    <definedName name="_Nov12" localSheetId="12">'[2](DR 118) 182.3'!#REF!</definedName>
    <definedName name="_Nov12" localSheetId="11">'[2](DR 118) 182.3'!#REF!</definedName>
    <definedName name="_Nov12" localSheetId="7">'[2](DR 118) 182.3'!#REF!</definedName>
    <definedName name="_Nov12" localSheetId="15">'[2](DR 118) 182.3'!#REF!</definedName>
    <definedName name="_Nov12">'[2](DR 118) 182.3'!#REF!</definedName>
    <definedName name="_Oct10" localSheetId="10">'[2](DR 118) 182.3'!#REF!</definedName>
    <definedName name="_Oct10" localSheetId="9">'[2](DR 118) 182.3'!#REF!</definedName>
    <definedName name="_Oct10" localSheetId="14">'[2](DR 118) 182.3'!#REF!</definedName>
    <definedName name="_Oct10" localSheetId="12">'[2](DR 118) 182.3'!#REF!</definedName>
    <definedName name="_Oct10" localSheetId="11">'[2](DR 118) 182.3'!#REF!</definedName>
    <definedName name="_Oct10" localSheetId="7">'[2](DR 118) 182.3'!#REF!</definedName>
    <definedName name="_Oct10" localSheetId="15">'[2](DR 118) 182.3'!#REF!</definedName>
    <definedName name="_Oct10">'[2](DR 118) 182.3'!#REF!</definedName>
    <definedName name="_Oct11" localSheetId="10">'[2](DR 118) 182.3'!#REF!</definedName>
    <definedName name="_Oct11" localSheetId="9">'[2](DR 118) 182.3'!#REF!</definedName>
    <definedName name="_Oct11" localSheetId="14">'[2](DR 118) 182.3'!#REF!</definedName>
    <definedName name="_Oct11" localSheetId="12">'[2](DR 118) 182.3'!#REF!</definedName>
    <definedName name="_Oct11" localSheetId="11">'[2](DR 118) 182.3'!#REF!</definedName>
    <definedName name="_Oct11" localSheetId="7">'[2](DR 118) 182.3'!#REF!</definedName>
    <definedName name="_Oct11" localSheetId="15">'[2](DR 118) 182.3'!#REF!</definedName>
    <definedName name="_Oct11">'[2](DR 118) 182.3'!#REF!</definedName>
    <definedName name="_Oct12" localSheetId="10">'[2](DR 118) 182.3'!#REF!</definedName>
    <definedName name="_Oct12" localSheetId="9">'[2](DR 118) 182.3'!#REF!</definedName>
    <definedName name="_Oct12" localSheetId="14">'[2](DR 118) 182.3'!#REF!</definedName>
    <definedName name="_Oct12" localSheetId="12">'[2](DR 118) 182.3'!#REF!</definedName>
    <definedName name="_Oct12" localSheetId="11">'[2](DR 118) 182.3'!#REF!</definedName>
    <definedName name="_Oct12" localSheetId="7">'[2](DR 118) 182.3'!#REF!</definedName>
    <definedName name="_Oct12" localSheetId="15">'[2](DR 118) 182.3'!#REF!</definedName>
    <definedName name="_Oct12">'[2](DR 118) 182.3'!#REF!</definedName>
    <definedName name="_Order1" hidden="1">255</definedName>
    <definedName name="_Order2" hidden="1">255</definedName>
    <definedName name="_Sep10" localSheetId="10">'[2](DR 118) 182.3'!#REF!</definedName>
    <definedName name="_Sep10" localSheetId="9">'[2](DR 118) 182.3'!#REF!</definedName>
    <definedName name="_Sep10" localSheetId="14">'[2](DR 118) 182.3'!#REF!</definedName>
    <definedName name="_Sep10" localSheetId="12">'[2](DR 118) 182.3'!#REF!</definedName>
    <definedName name="_Sep10" localSheetId="11">'[2](DR 118) 182.3'!#REF!</definedName>
    <definedName name="_Sep10" localSheetId="7">'[2](DR 118) 182.3'!#REF!</definedName>
    <definedName name="_Sep10" localSheetId="15">'[2](DR 118) 182.3'!#REF!</definedName>
    <definedName name="_Sep10">'[2](DR 118) 182.3'!#REF!</definedName>
    <definedName name="_Sep11" localSheetId="10">'[2](DR 118) 182.3'!#REF!</definedName>
    <definedName name="_Sep11" localSheetId="9">'[2](DR 118) 182.3'!#REF!</definedName>
    <definedName name="_Sep11" localSheetId="14">'[2](DR 118) 182.3'!#REF!</definedName>
    <definedName name="_Sep11" localSheetId="12">'[2](DR 118) 182.3'!#REF!</definedName>
    <definedName name="_Sep11" localSheetId="11">'[2](DR 118) 182.3'!#REF!</definedName>
    <definedName name="_Sep11" localSheetId="7">'[2](DR 118) 182.3'!#REF!</definedName>
    <definedName name="_Sep11" localSheetId="15">'[2](DR 118) 182.3'!#REF!</definedName>
    <definedName name="_Sep11">'[2](DR 118) 182.3'!#REF!</definedName>
    <definedName name="_Sep12" localSheetId="10">'[2](DR 118) 182.3'!#REF!</definedName>
    <definedName name="_Sep12" localSheetId="9">'[2](DR 118) 182.3'!#REF!</definedName>
    <definedName name="_Sep12" localSheetId="14">'[2](DR 118) 182.3'!#REF!</definedName>
    <definedName name="_Sep12" localSheetId="12">'[2](DR 118) 182.3'!#REF!</definedName>
    <definedName name="_Sep12" localSheetId="11">'[2](DR 118) 182.3'!#REF!</definedName>
    <definedName name="_Sep12" localSheetId="7">'[2](DR 118) 182.3'!#REF!</definedName>
    <definedName name="_Sep12" localSheetId="15">'[2](DR 118) 182.3'!#REF!</definedName>
    <definedName name="_Sep12">'[2](DR 118) 182.3'!#REF!</definedName>
    <definedName name="_six6" hidden="1">{#N/A,#N/A,FALSE,"CRPT";#N/A,#N/A,FALSE,"TREND";#N/A,#N/A,FALSE,"%Curve"}</definedName>
    <definedName name="_Sort" localSheetId="10" hidden="1">#REF!</definedName>
    <definedName name="_Sort" localSheetId="9" hidden="1">#REF!</definedName>
    <definedName name="_Sort" localSheetId="14" hidden="1">#REF!</definedName>
    <definedName name="_Sort" localSheetId="12" hidden="1">#REF!</definedName>
    <definedName name="_Sort" localSheetId="11" hidden="1">#REF!</definedName>
    <definedName name="_Sort" localSheetId="7" hidden="1">#REF!</definedName>
    <definedName name="_Sort" localSheetId="15"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10">'[2](DR 118) 182.3'!#REF!</definedName>
    <definedName name="Apr11AMA" localSheetId="9">'[2](DR 118) 182.3'!#REF!</definedName>
    <definedName name="Apr11AMA" localSheetId="14">'[2](DR 118) 182.3'!#REF!</definedName>
    <definedName name="Apr11AMA" localSheetId="12">'[2](DR 118) 182.3'!#REF!</definedName>
    <definedName name="Apr11AMA" localSheetId="11">'[2](DR 118) 182.3'!#REF!</definedName>
    <definedName name="Apr11AMA" localSheetId="7">'[2](DR 118) 182.3'!#REF!</definedName>
    <definedName name="Apr11AMA" localSheetId="15">'[2](DR 118) 182.3'!#REF!</definedName>
    <definedName name="Apr11AMA">'[2](DR 118) 182.3'!#REF!</definedName>
    <definedName name="Apr12AMA" localSheetId="10">'[2](DR 118) 182.3'!#REF!</definedName>
    <definedName name="Apr12AMA" localSheetId="9">'[2](DR 118) 182.3'!#REF!</definedName>
    <definedName name="Apr12AMA" localSheetId="14">'[2](DR 118) 182.3'!#REF!</definedName>
    <definedName name="Apr12AMA" localSheetId="12">'[2](DR 118) 182.3'!#REF!</definedName>
    <definedName name="Apr12AMA" localSheetId="11">'[2](DR 118) 182.3'!#REF!</definedName>
    <definedName name="Apr12AMA" localSheetId="7">'[2](DR 118) 182.3'!#REF!</definedName>
    <definedName name="Apr12AMA" localSheetId="15">'[2](DR 118) 182.3'!#REF!</definedName>
    <definedName name="Apr12AMA">'[2](DR 118) 182.3'!#REF!</definedName>
    <definedName name="AS2DocOpenMode" hidden="1">"AS2DocumentEdit"</definedName>
    <definedName name="Aug11AMA" localSheetId="10">'[2](DR 118) 182.3'!#REF!</definedName>
    <definedName name="Aug11AMA" localSheetId="9">'[2](DR 118) 182.3'!#REF!</definedName>
    <definedName name="Aug11AMA" localSheetId="14">'[2](DR 118) 182.3'!#REF!</definedName>
    <definedName name="Aug11AMA" localSheetId="12">'[2](DR 118) 182.3'!#REF!</definedName>
    <definedName name="Aug11AMA" localSheetId="11">'[2](DR 118) 182.3'!#REF!</definedName>
    <definedName name="Aug11AMA" localSheetId="7">'[2](DR 118) 182.3'!#REF!</definedName>
    <definedName name="Aug11AMA" localSheetId="15">'[2](DR 118) 182.3'!#REF!</definedName>
    <definedName name="Aug11AMA">'[2](DR 118) 182.3'!#REF!</definedName>
    <definedName name="Aug12AMA" localSheetId="10">'[2](DR 118) 182.3'!#REF!</definedName>
    <definedName name="Aug12AMA" localSheetId="9">'[2](DR 118) 182.3'!#REF!</definedName>
    <definedName name="Aug12AMA" localSheetId="14">'[2](DR 118) 182.3'!#REF!</definedName>
    <definedName name="Aug12AMA" localSheetId="12">'[2](DR 118) 182.3'!#REF!</definedName>
    <definedName name="Aug12AMA" localSheetId="11">'[2](DR 118) 182.3'!#REF!</definedName>
    <definedName name="Aug12AMA" localSheetId="7">'[2](DR 118) 182.3'!#REF!</definedName>
    <definedName name="Aug12AMA" localSheetId="15">'[2](DR 118) 182.3'!#REF!</definedName>
    <definedName name="Aug12AMA">'[2](DR 118) 182.3'!#REF!</definedName>
    <definedName name="b" hidden="1">{#N/A,#N/A,FALSE,"Coversheet";#N/A,#N/A,FALSE,"QA"}</definedName>
    <definedName name="CBWorkbookPriority" hidden="1">-2060790043</definedName>
    <definedName name="CombWC_LineItem" localSheetId="10">'[2](DR 118) 182.3'!#REF!</definedName>
    <definedName name="CombWC_LineItem" localSheetId="9">'[2](DR 118) 182.3'!#REF!</definedName>
    <definedName name="CombWC_LineItem" localSheetId="14">'[2](DR 118) 182.3'!#REF!</definedName>
    <definedName name="CombWC_LineItem" localSheetId="12">'[2](DR 118) 182.3'!#REF!</definedName>
    <definedName name="CombWC_LineItem" localSheetId="11">'[2](DR 118) 182.3'!#REF!</definedName>
    <definedName name="CombWC_LineItem" localSheetId="7">'[2](DR 118) 182.3'!#REF!</definedName>
    <definedName name="CombWC_LineItem" localSheetId="15">'[2](DR 118) 182.3'!#REF!</definedName>
    <definedName name="CombWC_LineItem">'[2](DR 118) 182.3'!#REF!</definedName>
    <definedName name="Dec10AMA" localSheetId="10">'[2](DR 118) 182.3'!#REF!</definedName>
    <definedName name="Dec10AMA" localSheetId="9">'[2](DR 118) 182.3'!#REF!</definedName>
    <definedName name="Dec10AMA" localSheetId="14">'[2](DR 118) 182.3'!#REF!</definedName>
    <definedName name="Dec10AMA" localSheetId="12">'[2](DR 118) 182.3'!#REF!</definedName>
    <definedName name="Dec10AMA" localSheetId="11">'[2](DR 118) 182.3'!#REF!</definedName>
    <definedName name="Dec10AMA" localSheetId="7">'[2](DR 118) 182.3'!#REF!</definedName>
    <definedName name="Dec10AMA" localSheetId="15">'[2](DR 118) 182.3'!#REF!</definedName>
    <definedName name="Dec10AMA">'[2](DR 118) 182.3'!#REF!</definedName>
    <definedName name="Dec11AMA" localSheetId="10">'[2](DR 118) 182.3'!#REF!</definedName>
    <definedName name="Dec11AMA" localSheetId="9">'[2](DR 118) 182.3'!#REF!</definedName>
    <definedName name="Dec11AMA" localSheetId="14">'[2](DR 118) 182.3'!#REF!</definedName>
    <definedName name="Dec11AMA" localSheetId="12">'[2](DR 118) 182.3'!#REF!</definedName>
    <definedName name="Dec11AMA" localSheetId="11">'[2](DR 118) 182.3'!#REF!</definedName>
    <definedName name="Dec11AMA" localSheetId="7">'[2](DR 118) 182.3'!#REF!</definedName>
    <definedName name="Dec11AMA" localSheetId="15">'[2](DR 118) 182.3'!#REF!</definedName>
    <definedName name="Dec11AMA">'[2](DR 118) 182.3'!#REF!</definedName>
    <definedName name="Dec12AMA" localSheetId="10">'[2](DR 118) 182.3'!#REF!</definedName>
    <definedName name="Dec12AMA" localSheetId="9">'[2](DR 118) 182.3'!#REF!</definedName>
    <definedName name="Dec12AMA" localSheetId="14">'[2](DR 118) 182.3'!#REF!</definedName>
    <definedName name="Dec12AMA" localSheetId="12">'[2](DR 118) 182.3'!#REF!</definedName>
    <definedName name="Dec12AMA" localSheetId="11">'[2](DR 118) 182.3'!#REF!</definedName>
    <definedName name="Dec12AMA" localSheetId="7">'[2](DR 118) 182.3'!#REF!</definedName>
    <definedName name="Dec12AMA" localSheetId="15">'[2](DR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10">'[2](DR 118) 182.3'!#REF!</definedName>
    <definedName name="ElRBLine" localSheetId="9">'[2](DR 118) 182.3'!#REF!</definedName>
    <definedName name="ElRBLine" localSheetId="14">'[2](DR 118) 182.3'!#REF!</definedName>
    <definedName name="ElRBLine" localSheetId="12">'[2](DR 118) 182.3'!#REF!</definedName>
    <definedName name="ElRBLine" localSheetId="11">'[2](DR 118) 182.3'!#REF!</definedName>
    <definedName name="ElRBLine" localSheetId="7">'[2](DR 118) 182.3'!#REF!</definedName>
    <definedName name="ElRBLine" localSheetId="15">'[2](DR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10">'[2](DR 118) 182.3'!#REF!</definedName>
    <definedName name="Feb11AMA" localSheetId="9">'[2](DR 118) 182.3'!#REF!</definedName>
    <definedName name="Feb11AMA" localSheetId="14">'[2](DR 118) 182.3'!#REF!</definedName>
    <definedName name="Feb11AMA" localSheetId="12">'[2](DR 118) 182.3'!#REF!</definedName>
    <definedName name="Feb11AMA" localSheetId="11">'[2](DR 118) 182.3'!#REF!</definedName>
    <definedName name="Feb11AMA" localSheetId="7">'[2](DR 118) 182.3'!#REF!</definedName>
    <definedName name="Feb11AMA" localSheetId="15">'[2](DR 118) 182.3'!#REF!</definedName>
    <definedName name="Feb11AMA">'[2](DR 118) 182.3'!#REF!</definedName>
    <definedName name="Feb12AMA" localSheetId="10">'[2](DR 118) 182.3'!#REF!</definedName>
    <definedName name="Feb12AMA" localSheetId="9">'[2](DR 118) 182.3'!#REF!</definedName>
    <definedName name="Feb12AMA" localSheetId="14">'[2](DR 118) 182.3'!#REF!</definedName>
    <definedName name="Feb12AMA" localSheetId="12">'[2](DR 118) 182.3'!#REF!</definedName>
    <definedName name="Feb12AMA" localSheetId="11">'[2](DR 118) 182.3'!#REF!</definedName>
    <definedName name="Feb12AMA" localSheetId="7">'[2](DR 118) 182.3'!#REF!</definedName>
    <definedName name="Feb12AMA" localSheetId="15">'[2](DR 118) 182.3'!#REF!</definedName>
    <definedName name="Feb12AMA">'[2](DR 118) 182.3'!#REF!</definedName>
    <definedName name="GasRBLine" localSheetId="10">'[2](DR 118) 182.3'!#REF!</definedName>
    <definedName name="GasRBLine" localSheetId="9">'[2](DR 118) 182.3'!#REF!</definedName>
    <definedName name="GasRBLine" localSheetId="14">'[2](DR 118) 182.3'!#REF!</definedName>
    <definedName name="GasRBLine" localSheetId="12">'[2](DR 118) 182.3'!#REF!</definedName>
    <definedName name="GasRBLine" localSheetId="11">'[2](DR 118) 182.3'!#REF!</definedName>
    <definedName name="GasRBLine" localSheetId="7">'[2](DR 118) 182.3'!#REF!</definedName>
    <definedName name="GasRBLine" localSheetId="15">'[2](DR 118) 182.3'!#REF!</definedName>
    <definedName name="GasRBLine">'[2](DR 118) 182.3'!#REF!</definedName>
    <definedName name="Jan11AMA" localSheetId="10">'[2](DR 118) 182.3'!#REF!</definedName>
    <definedName name="Jan11AMA" localSheetId="9">'[2](DR 118) 182.3'!#REF!</definedName>
    <definedName name="Jan11AMA" localSheetId="14">'[2](DR 118) 182.3'!#REF!</definedName>
    <definedName name="Jan11AMA" localSheetId="12">'[2](DR 118) 182.3'!#REF!</definedName>
    <definedName name="Jan11AMA" localSheetId="11">'[2](DR 118) 182.3'!#REF!</definedName>
    <definedName name="Jan11AMA" localSheetId="7">'[2](DR 118) 182.3'!#REF!</definedName>
    <definedName name="Jan11AMA" localSheetId="15">'[2](DR 118) 182.3'!#REF!</definedName>
    <definedName name="Jan11AMA">'[2](DR 118) 182.3'!#REF!</definedName>
    <definedName name="Jan12AMA" localSheetId="10">'[2](DR 118) 182.3'!#REF!</definedName>
    <definedName name="Jan12AMA" localSheetId="9">'[2](DR 118) 182.3'!#REF!</definedName>
    <definedName name="Jan12AMA" localSheetId="14">'[2](DR 118) 182.3'!#REF!</definedName>
    <definedName name="Jan12AMA" localSheetId="12">'[2](DR 118) 182.3'!#REF!</definedName>
    <definedName name="Jan12AMA" localSheetId="11">'[2](DR 118) 182.3'!#REF!</definedName>
    <definedName name="Jan12AMA" localSheetId="7">'[2](DR 118) 182.3'!#REF!</definedName>
    <definedName name="Jan12AMA" localSheetId="15">'[2](DR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10">'[2](DR 118) 182.3'!#REF!</definedName>
    <definedName name="Jul11AMA" localSheetId="9">'[2](DR 118) 182.3'!#REF!</definedName>
    <definedName name="Jul11AMA" localSheetId="14">'[2](DR 118) 182.3'!#REF!</definedName>
    <definedName name="Jul11AMA" localSheetId="12">'[2](DR 118) 182.3'!#REF!</definedName>
    <definedName name="Jul11AMA" localSheetId="11">'[2](DR 118) 182.3'!#REF!</definedName>
    <definedName name="Jul11AMA" localSheetId="7">'[2](DR 118) 182.3'!#REF!</definedName>
    <definedName name="Jul11AMA" localSheetId="15">'[2](DR 118) 182.3'!#REF!</definedName>
    <definedName name="Jul11AMA">'[2](DR 118) 182.3'!#REF!</definedName>
    <definedName name="Jul12AMA" localSheetId="10">'[2](DR 118) 182.3'!#REF!</definedName>
    <definedName name="Jul12AMA" localSheetId="9">'[2](DR 118) 182.3'!#REF!</definedName>
    <definedName name="Jul12AMA" localSheetId="14">'[2](DR 118) 182.3'!#REF!</definedName>
    <definedName name="Jul12AMA" localSheetId="12">'[2](DR 118) 182.3'!#REF!</definedName>
    <definedName name="Jul12AMA" localSheetId="11">'[2](DR 118) 182.3'!#REF!</definedName>
    <definedName name="Jul12AMA" localSheetId="7">'[2](DR 118) 182.3'!#REF!</definedName>
    <definedName name="Jul12AMA" localSheetId="15">'[2](DR 118) 182.3'!#REF!</definedName>
    <definedName name="Jul12AMA">'[2](DR 118) 182.3'!#REF!</definedName>
    <definedName name="Jun11AMA" localSheetId="10">'[2](DR 118) 182.3'!#REF!</definedName>
    <definedName name="Jun11AMA" localSheetId="9">'[2](DR 118) 182.3'!#REF!</definedName>
    <definedName name="Jun11AMA" localSheetId="14">'[2](DR 118) 182.3'!#REF!</definedName>
    <definedName name="Jun11AMA" localSheetId="12">'[2](DR 118) 182.3'!#REF!</definedName>
    <definedName name="Jun11AMA" localSheetId="11">'[2](DR 118) 182.3'!#REF!</definedName>
    <definedName name="Jun11AMA" localSheetId="7">'[2](DR 118) 182.3'!#REF!</definedName>
    <definedName name="Jun11AMA" localSheetId="15">'[2](DR 118) 182.3'!#REF!</definedName>
    <definedName name="Jun11AMA">'[2](DR 118) 182.3'!#REF!</definedName>
    <definedName name="Jun12AMA" localSheetId="10">'[2](DR 118) 182.3'!#REF!</definedName>
    <definedName name="Jun12AMA" localSheetId="9">'[2](DR 118) 182.3'!#REF!</definedName>
    <definedName name="Jun12AMA" localSheetId="14">'[2](DR 118) 182.3'!#REF!</definedName>
    <definedName name="Jun12AMA" localSheetId="12">'[2](DR 118) 182.3'!#REF!</definedName>
    <definedName name="Jun12AMA" localSheetId="11">'[2](DR 118) 182.3'!#REF!</definedName>
    <definedName name="Jun12AMA" localSheetId="7">'[2](DR 118) 182.3'!#REF!</definedName>
    <definedName name="Jun12AMA" localSheetId="15">'[2](DR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10">'[2](DR 118) 182.3'!#REF!</definedName>
    <definedName name="Mar11AMA" localSheetId="9">'[2](DR 118) 182.3'!#REF!</definedName>
    <definedName name="Mar11AMA" localSheetId="14">'[2](DR 118) 182.3'!#REF!</definedName>
    <definedName name="Mar11AMA" localSheetId="12">'[2](DR 118) 182.3'!#REF!</definedName>
    <definedName name="Mar11AMA" localSheetId="11">'[2](DR 118) 182.3'!#REF!</definedName>
    <definedName name="Mar11AMA" localSheetId="7">'[2](DR 118) 182.3'!#REF!</definedName>
    <definedName name="Mar11AMA" localSheetId="15">'[2](DR 118) 182.3'!#REF!</definedName>
    <definedName name="Mar11AMA">'[2](DR 118) 182.3'!#REF!</definedName>
    <definedName name="Mar12AMA" localSheetId="10">'[2](DR 118) 182.3'!#REF!</definedName>
    <definedName name="Mar12AMA" localSheetId="9">'[2](DR 118) 182.3'!#REF!</definedName>
    <definedName name="Mar12AMA" localSheetId="14">'[2](DR 118) 182.3'!#REF!</definedName>
    <definedName name="Mar12AMA" localSheetId="12">'[2](DR 118) 182.3'!#REF!</definedName>
    <definedName name="Mar12AMA" localSheetId="11">'[2](DR 118) 182.3'!#REF!</definedName>
    <definedName name="Mar12AMA" localSheetId="7">'[2](DR 118) 182.3'!#REF!</definedName>
    <definedName name="Mar12AMA" localSheetId="15">'[2](DR 118) 182.3'!#REF!</definedName>
    <definedName name="Mar12AMA">'[2](DR 118) 182.3'!#REF!</definedName>
    <definedName name="May11AMA" localSheetId="10">'[2](DR 118) 182.3'!#REF!</definedName>
    <definedName name="May11AMA" localSheetId="9">'[2](DR 118) 182.3'!#REF!</definedName>
    <definedName name="May11AMA" localSheetId="14">'[2](DR 118) 182.3'!#REF!</definedName>
    <definedName name="May11AMA" localSheetId="12">'[2](DR 118) 182.3'!#REF!</definedName>
    <definedName name="May11AMA" localSheetId="11">'[2](DR 118) 182.3'!#REF!</definedName>
    <definedName name="May11AMA" localSheetId="7">'[2](DR 118) 182.3'!#REF!</definedName>
    <definedName name="May11AMA" localSheetId="15">'[2](DR 118) 182.3'!#REF!</definedName>
    <definedName name="May11AMA">'[2](DR 118) 182.3'!#REF!</definedName>
    <definedName name="May12AMA" localSheetId="10">'[2](DR 118) 182.3'!#REF!</definedName>
    <definedName name="May12AMA" localSheetId="9">'[2](DR 118) 182.3'!#REF!</definedName>
    <definedName name="May12AMA" localSheetId="14">'[2](DR 118) 182.3'!#REF!</definedName>
    <definedName name="May12AMA" localSheetId="12">'[2](DR 118) 182.3'!#REF!</definedName>
    <definedName name="May12AMA" localSheetId="11">'[2](DR 118) 182.3'!#REF!</definedName>
    <definedName name="May12AMA" localSheetId="7">'[2](DR 118) 182.3'!#REF!</definedName>
    <definedName name="May12AMA" localSheetId="15">'[2](DR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10">'[2](DR 118) 182.3'!#REF!</definedName>
    <definedName name="Nov11AMA" localSheetId="9">'[2](DR 118) 182.3'!#REF!</definedName>
    <definedName name="Nov11AMA" localSheetId="14">'[2](DR 118) 182.3'!#REF!</definedName>
    <definedName name="Nov11AMA" localSheetId="12">'[2](DR 118) 182.3'!#REF!</definedName>
    <definedName name="Nov11AMA" localSheetId="11">'[2](DR 118) 182.3'!#REF!</definedName>
    <definedName name="Nov11AMA" localSheetId="7">'[2](DR 118) 182.3'!#REF!</definedName>
    <definedName name="Nov11AMA" localSheetId="15">'[2](DR 118) 182.3'!#REF!</definedName>
    <definedName name="Nov11AMA">'[2](DR 118) 182.3'!#REF!</definedName>
    <definedName name="Nov12AMA" localSheetId="10">'[2](DR 118) 182.3'!#REF!</definedName>
    <definedName name="Nov12AMA" localSheetId="9">'[2](DR 118) 182.3'!#REF!</definedName>
    <definedName name="Nov12AMA" localSheetId="14">'[2](DR 118) 182.3'!#REF!</definedName>
    <definedName name="Nov12AMA" localSheetId="12">'[2](DR 118) 182.3'!#REF!</definedName>
    <definedName name="Nov12AMA" localSheetId="11">'[2](DR 118) 182.3'!#REF!</definedName>
    <definedName name="Nov12AMA" localSheetId="7">'[2](DR 118) 182.3'!#REF!</definedName>
    <definedName name="Nov12AMA" localSheetId="15">'[2](DR 118) 182.3'!#REF!</definedName>
    <definedName name="Nov12AMA">'[2](DR 118) 182.3'!#REF!</definedName>
    <definedName name="Oct11AMA" localSheetId="10">'[2](DR 118) 182.3'!#REF!</definedName>
    <definedName name="Oct11AMA" localSheetId="9">'[2](DR 118) 182.3'!#REF!</definedName>
    <definedName name="Oct11AMA" localSheetId="14">'[2](DR 118) 182.3'!#REF!</definedName>
    <definedName name="Oct11AMA" localSheetId="12">'[2](DR 118) 182.3'!#REF!</definedName>
    <definedName name="Oct11AMA" localSheetId="11">'[2](DR 118) 182.3'!#REF!</definedName>
    <definedName name="Oct11AMA" localSheetId="7">'[2](DR 118) 182.3'!#REF!</definedName>
    <definedName name="Oct11AMA" localSheetId="15">'[2](DR 118) 182.3'!#REF!</definedName>
    <definedName name="Oct11AMA">'[2](DR 118) 182.3'!#REF!</definedName>
    <definedName name="OCT12AMA" localSheetId="10">'[2](DR 118) 182.3'!#REF!</definedName>
    <definedName name="OCT12AMA" localSheetId="9">'[2](DR 118) 182.3'!#REF!</definedName>
    <definedName name="OCT12AMA" localSheetId="14">'[2](DR 118) 182.3'!#REF!</definedName>
    <definedName name="OCT12AMA" localSheetId="12">'[2](DR 118) 182.3'!#REF!</definedName>
    <definedName name="OCT12AMA" localSheetId="11">'[2](DR 118) 182.3'!#REF!</definedName>
    <definedName name="OCT12AMA" localSheetId="7">'[2](DR 118) 182.3'!#REF!</definedName>
    <definedName name="OCT12AMA" localSheetId="15">'[2](DR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0">'ELEC Activity Q4 16 - 2017'!$A$1:$W$74</definedName>
    <definedName name="_xlnm.Print_Area" localSheetId="6">'ELEC Actual Q4 2016 - 2017'!$A$1:$V$77</definedName>
    <definedName name="_xlnm.Print_Area" localSheetId="14">'ELEC Amort '!$A$1:$T$39</definedName>
    <definedName name="_xlnm.Print_Area" localSheetId="12">'GAS Activity Q4 2016 -2017'!$A$1:$W$92</definedName>
    <definedName name="_xlnm.Print_Area" localSheetId="7">'GAS Actual Q4 2016 -2017'!$A$1:$V$92</definedName>
    <definedName name="_xlnm.Print_Area" localSheetId="15">'GAS Amort'!$A$1:$S$15</definedName>
    <definedName name="_xlnm.Print_Area" localSheetId="0">'One Time Request =&gt;'!$A$1:$K$30</definedName>
    <definedName name="_xlnm.Print_Titles" localSheetId="10">'ELEC Activity Q4 16 - 2017'!$1:$5</definedName>
    <definedName name="_xlnm.Print_Titles" localSheetId="6">'ELEC Actual Q4 2016 - 2017'!$1:$5</definedName>
    <definedName name="_xlnm.Print_Titles" localSheetId="14">'ELEC Amort '!$1:$5</definedName>
    <definedName name="_xlnm.Print_Titles" localSheetId="12">'GAS Activity Q4 2016 -2017'!$1:$5</definedName>
    <definedName name="_xlnm.Print_Titles" localSheetId="7">'GAS Actual Q4 2016 -2017'!$1:$5</definedName>
    <definedName name="_xlnm.Print_Titles" localSheetId="15">'GAS Amort'!$1:$5</definedName>
    <definedName name="qqq" hidden="1">{#N/A,#N/A,FALSE,"schA"}</definedName>
    <definedName name="re" hidden="1">{#N/A,#N/A,FALSE,"Pg 6b CustCount_Gas";#N/A,#N/A,FALSE,"QA";#N/A,#N/A,FALSE,"Report";#N/A,#N/A,FALSE,"forecast"}</definedName>
    <definedName name="Sep11AMA" localSheetId="10">'[2](DR 118) 182.3'!#REF!</definedName>
    <definedName name="Sep11AMA" localSheetId="9">'[2](DR 118) 182.3'!#REF!</definedName>
    <definedName name="Sep11AMA" localSheetId="14">'[2](DR 118) 182.3'!#REF!</definedName>
    <definedName name="Sep11AMA" localSheetId="12">'[2](DR 118) 182.3'!#REF!</definedName>
    <definedName name="Sep11AMA" localSheetId="11">'[2](DR 118) 182.3'!#REF!</definedName>
    <definedName name="Sep11AMA" localSheetId="7">'[2](DR 118) 182.3'!#REF!</definedName>
    <definedName name="Sep11AMA" localSheetId="15">'[2](DR 118) 182.3'!#REF!</definedName>
    <definedName name="Sep11AMA">'[2](DR 118) 182.3'!#REF!</definedName>
    <definedName name="Sep12AMA" localSheetId="10">'[2](DR 118) 182.3'!#REF!</definedName>
    <definedName name="Sep12AMA" localSheetId="9">'[2](DR 118) 182.3'!#REF!</definedName>
    <definedName name="Sep12AMA" localSheetId="14">'[2](DR 118) 182.3'!#REF!</definedName>
    <definedName name="Sep12AMA" localSheetId="12">'[2](DR 118) 182.3'!#REF!</definedName>
    <definedName name="Sep12AMA" localSheetId="11">'[2](DR 118) 182.3'!#REF!</definedName>
    <definedName name="Sep12AMA" localSheetId="7">'[2](DR 118) 182.3'!#REF!</definedName>
    <definedName name="Sep12AMA" localSheetId="15">'[2](DR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10">#REF!</definedName>
    <definedName name="Therm_upload" localSheetId="9">#REF!</definedName>
    <definedName name="Therm_upload" localSheetId="14">#REF!</definedName>
    <definedName name="Therm_upload" localSheetId="12">#REF!</definedName>
    <definedName name="Therm_upload" localSheetId="11">#REF!</definedName>
    <definedName name="Therm_upload" localSheetId="7">#REF!</definedName>
    <definedName name="Therm_upload" localSheetId="15">#REF!</definedName>
    <definedName name="Therm_upload">#REF!</definedName>
    <definedName name="Transfer" localSheetId="10" hidden="1">#REF!</definedName>
    <definedName name="Transfer" localSheetId="9" hidden="1">#REF!</definedName>
    <definedName name="Transfer" localSheetId="14" hidden="1">#REF!</definedName>
    <definedName name="Transfer" localSheetId="12" hidden="1">#REF!</definedName>
    <definedName name="Transfer" localSheetId="11" hidden="1">#REF!</definedName>
    <definedName name="Transfer" localSheetId="7" hidden="1">#REF!</definedName>
    <definedName name="Transfer" localSheetId="15" hidden="1">#REF!</definedName>
    <definedName name="Transfer" hidden="1">#REF!</definedName>
    <definedName name="Transfers" localSheetId="10" hidden="1">#REF!</definedName>
    <definedName name="Transfers" localSheetId="9" hidden="1">#REF!</definedName>
    <definedName name="Transfers" localSheetId="14" hidden="1">#REF!</definedName>
    <definedName name="Transfers" localSheetId="12" hidden="1">#REF!</definedName>
    <definedName name="Transfers" localSheetId="11" hidden="1">#REF!</definedName>
    <definedName name="Transfers" localSheetId="7" hidden="1">#REF!</definedName>
    <definedName name="Transfers" localSheetId="15"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E34" i="17" l="1"/>
  <c r="D34" i="17"/>
  <c r="V86" i="3"/>
  <c r="H85" i="3"/>
  <c r="I85" i="3" s="1"/>
  <c r="K85" i="3"/>
  <c r="L85" i="3"/>
  <c r="M85" i="3"/>
  <c r="N85" i="3" s="1"/>
  <c r="G23" i="7" l="1"/>
  <c r="W86" i="8"/>
  <c r="D44" i="16" l="1"/>
  <c r="C44" i="16"/>
  <c r="D39" i="16" l="1"/>
  <c r="C38" i="16"/>
  <c r="C37" i="16"/>
  <c r="C36" i="16"/>
  <c r="H5" i="19"/>
  <c r="H6" i="19"/>
  <c r="H7" i="19" s="1"/>
  <c r="F7" i="19"/>
  <c r="G7" i="19"/>
  <c r="D47" i="18"/>
  <c r="D11" i="16"/>
  <c r="E47" i="18"/>
  <c r="D48" i="18"/>
  <c r="C14" i="16"/>
  <c r="D35" i="17"/>
  <c r="D14" i="16" l="1"/>
  <c r="C39" i="16"/>
  <c r="C10" i="16"/>
  <c r="D36" i="17"/>
  <c r="D38" i="17" s="1"/>
  <c r="D40" i="17" s="1"/>
  <c r="D51" i="18"/>
  <c r="D15" i="16" s="1"/>
  <c r="D16" i="16" s="1"/>
  <c r="D10" i="16"/>
  <c r="D12" i="16" s="1"/>
  <c r="D49" i="18"/>
  <c r="G34" i="2"/>
  <c r="J34" i="2"/>
  <c r="D29" i="16" l="1"/>
  <c r="D31" i="16" s="1"/>
  <c r="V87" i="8"/>
  <c r="R10" i="11"/>
  <c r="R12" i="11" s="1"/>
  <c r="R11" i="11"/>
  <c r="S11" i="11" s="1"/>
  <c r="D24" i="16"/>
  <c r="D26" i="16" s="1"/>
  <c r="R6" i="11"/>
  <c r="R7" i="11"/>
  <c r="R8" i="11" s="1"/>
  <c r="D53" i="18"/>
  <c r="C15" i="16"/>
  <c r="C16" i="16" s="1"/>
  <c r="C62" i="16"/>
  <c r="D63" i="16"/>
  <c r="D65" i="16"/>
  <c r="D64" i="16"/>
  <c r="C25" i="16"/>
  <c r="C30" i="16" s="1"/>
  <c r="C67" i="16" s="1"/>
  <c r="D33" i="16"/>
  <c r="C12" i="16"/>
  <c r="C17" i="16" s="1"/>
  <c r="C24" i="16"/>
  <c r="D17" i="16"/>
  <c r="D18" i="16" s="1"/>
  <c r="Q12" i="11"/>
  <c r="P12" i="11"/>
  <c r="P14" i="11" s="1"/>
  <c r="O12" i="11"/>
  <c r="N12" i="11"/>
  <c r="M12" i="11"/>
  <c r="L12" i="11"/>
  <c r="L14" i="11" s="1"/>
  <c r="K12" i="11"/>
  <c r="K14" i="11" s="1"/>
  <c r="J12" i="11"/>
  <c r="I12" i="11"/>
  <c r="H12" i="11"/>
  <c r="H14" i="11" s="1"/>
  <c r="G12" i="11"/>
  <c r="F12" i="11"/>
  <c r="E12" i="11"/>
  <c r="D12" i="11"/>
  <c r="D14" i="11" s="1"/>
  <c r="C12" i="11"/>
  <c r="C14" i="11" s="1"/>
  <c r="Q8" i="11"/>
  <c r="Q14" i="11" s="1"/>
  <c r="P8" i="11"/>
  <c r="O8" i="11"/>
  <c r="N8" i="11"/>
  <c r="M8" i="11"/>
  <c r="M14" i="11" s="1"/>
  <c r="L8" i="11"/>
  <c r="K8" i="11"/>
  <c r="J8" i="11"/>
  <c r="I8" i="11"/>
  <c r="I14" i="11" s="1"/>
  <c r="H8" i="11"/>
  <c r="G8" i="11"/>
  <c r="F8" i="11"/>
  <c r="E8" i="11"/>
  <c r="E14" i="11" s="1"/>
  <c r="D8" i="11"/>
  <c r="C8" i="11"/>
  <c r="S6" i="11"/>
  <c r="R12" i="10"/>
  <c r="Q12" i="10"/>
  <c r="P12" i="10"/>
  <c r="O12" i="10"/>
  <c r="O14" i="10" s="1"/>
  <c r="N12" i="10"/>
  <c r="M12" i="10"/>
  <c r="L12" i="10"/>
  <c r="K12" i="10"/>
  <c r="J12" i="10"/>
  <c r="I12" i="10"/>
  <c r="H12" i="10"/>
  <c r="G12" i="10"/>
  <c r="G14" i="10" s="1"/>
  <c r="F12" i="10"/>
  <c r="E12" i="10"/>
  <c r="D12" i="10"/>
  <c r="T10" i="10"/>
  <c r="R8" i="10"/>
  <c r="Q8" i="10"/>
  <c r="Q14" i="10" s="1"/>
  <c r="P8" i="10"/>
  <c r="O8" i="10"/>
  <c r="N8" i="10"/>
  <c r="M8" i="10"/>
  <c r="M14" i="10" s="1"/>
  <c r="L8" i="10"/>
  <c r="K8" i="10"/>
  <c r="K14" i="10" s="1"/>
  <c r="J8" i="10"/>
  <c r="I8" i="10"/>
  <c r="I14" i="10" s="1"/>
  <c r="H8" i="10"/>
  <c r="G8" i="10"/>
  <c r="F8" i="10"/>
  <c r="E8" i="10"/>
  <c r="E14" i="10" s="1"/>
  <c r="D8" i="10"/>
  <c r="J88" i="8"/>
  <c r="H88" i="8"/>
  <c r="O87" i="8"/>
  <c r="P87" i="8" s="1"/>
  <c r="Q87" i="8" s="1"/>
  <c r="K85" i="8"/>
  <c r="K88" i="8" s="1"/>
  <c r="I85" i="8"/>
  <c r="I88" i="8" s="1"/>
  <c r="G88" i="8"/>
  <c r="J83" i="8"/>
  <c r="H83" i="8"/>
  <c r="G83" i="8"/>
  <c r="W82" i="8"/>
  <c r="I22" i="7" s="1"/>
  <c r="K81" i="8"/>
  <c r="L81" i="8" s="1"/>
  <c r="I81" i="8"/>
  <c r="I83" i="8" s="1"/>
  <c r="J79" i="8"/>
  <c r="H79" i="8"/>
  <c r="G79" i="8"/>
  <c r="W78" i="8"/>
  <c r="K77" i="8"/>
  <c r="L77" i="8" s="1"/>
  <c r="I77" i="8"/>
  <c r="I79" i="8" s="1"/>
  <c r="J75" i="8"/>
  <c r="H75" i="8"/>
  <c r="G75" i="8"/>
  <c r="L74" i="8"/>
  <c r="K73" i="8"/>
  <c r="K75" i="8" s="1"/>
  <c r="I73" i="8"/>
  <c r="I75" i="8" s="1"/>
  <c r="J71" i="8"/>
  <c r="H71" i="8"/>
  <c r="L70" i="8"/>
  <c r="M70" i="8" s="1"/>
  <c r="N70" i="8" s="1"/>
  <c r="O70" i="8" s="1"/>
  <c r="P70" i="8" s="1"/>
  <c r="Q70" i="8" s="1"/>
  <c r="R70" i="8" s="1"/>
  <c r="S70" i="8" s="1"/>
  <c r="T70" i="8" s="1"/>
  <c r="U70" i="8" s="1"/>
  <c r="K69" i="8"/>
  <c r="I69" i="8"/>
  <c r="I71" i="8" s="1"/>
  <c r="G71" i="8"/>
  <c r="K67" i="8"/>
  <c r="J67" i="8"/>
  <c r="L66" i="8"/>
  <c r="M66" i="8" s="1"/>
  <c r="N66" i="8" s="1"/>
  <c r="L65" i="8"/>
  <c r="M65" i="8" s="1"/>
  <c r="I65" i="8"/>
  <c r="I67" i="8" s="1"/>
  <c r="H65" i="8"/>
  <c r="H67" i="8" s="1"/>
  <c r="G67" i="8"/>
  <c r="T63" i="8"/>
  <c r="N63" i="8"/>
  <c r="J63" i="8"/>
  <c r="I63" i="8"/>
  <c r="W62" i="8"/>
  <c r="I17" i="7" s="1"/>
  <c r="V62" i="8"/>
  <c r="V61" i="8"/>
  <c r="V63" i="8" s="1"/>
  <c r="U61" i="8"/>
  <c r="U63" i="8" s="1"/>
  <c r="S61" i="8"/>
  <c r="S63" i="8" s="1"/>
  <c r="R61" i="8"/>
  <c r="R63" i="8" s="1"/>
  <c r="Q61" i="8"/>
  <c r="Q63" i="8" s="1"/>
  <c r="P61" i="8"/>
  <c r="P63" i="8" s="1"/>
  <c r="O61" i="8"/>
  <c r="O63" i="8" s="1"/>
  <c r="M61" i="8"/>
  <c r="M63" i="8" s="1"/>
  <c r="L61" i="8"/>
  <c r="L63" i="8" s="1"/>
  <c r="K61" i="8"/>
  <c r="K63" i="8" s="1"/>
  <c r="H61" i="8"/>
  <c r="W61" i="8" s="1"/>
  <c r="J59" i="8"/>
  <c r="H59" i="8"/>
  <c r="W58" i="8"/>
  <c r="I16" i="7" s="1"/>
  <c r="K57" i="8"/>
  <c r="L57" i="8" s="1"/>
  <c r="M57" i="8" s="1"/>
  <c r="N57" i="8" s="1"/>
  <c r="O57" i="8" s="1"/>
  <c r="P57" i="8" s="1"/>
  <c r="Q57" i="8" s="1"/>
  <c r="R57" i="8" s="1"/>
  <c r="S57" i="8" s="1"/>
  <c r="T57" i="8" s="1"/>
  <c r="U57" i="8" s="1"/>
  <c r="V57" i="8" s="1"/>
  <c r="I57" i="8"/>
  <c r="K56" i="8"/>
  <c r="L56" i="8" s="1"/>
  <c r="I56" i="8"/>
  <c r="J54" i="8"/>
  <c r="H54" i="8"/>
  <c r="G54" i="8"/>
  <c r="W53" i="8"/>
  <c r="K52" i="8"/>
  <c r="L52" i="8" s="1"/>
  <c r="M52" i="8" s="1"/>
  <c r="N52" i="8" s="1"/>
  <c r="O52" i="8" s="1"/>
  <c r="P52" i="8" s="1"/>
  <c r="Q52" i="8" s="1"/>
  <c r="R52" i="8" s="1"/>
  <c r="S52" i="8" s="1"/>
  <c r="T52" i="8" s="1"/>
  <c r="U52" i="8" s="1"/>
  <c r="K51" i="8"/>
  <c r="L51" i="8" s="1"/>
  <c r="M51" i="8" s="1"/>
  <c r="N51" i="8" s="1"/>
  <c r="O51" i="8" s="1"/>
  <c r="P51" i="8" s="1"/>
  <c r="Q51" i="8" s="1"/>
  <c r="R51" i="8" s="1"/>
  <c r="S51" i="8" s="1"/>
  <c r="T51" i="8" s="1"/>
  <c r="U51" i="8" s="1"/>
  <c r="V51" i="8" s="1"/>
  <c r="I51" i="8"/>
  <c r="I54" i="8" s="1"/>
  <c r="L50" i="8"/>
  <c r="M50" i="8" s="1"/>
  <c r="N50" i="8" s="1"/>
  <c r="J48" i="8"/>
  <c r="W47" i="8"/>
  <c r="I14" i="7" s="1"/>
  <c r="V46" i="8"/>
  <c r="V48" i="8" s="1"/>
  <c r="U46" i="8"/>
  <c r="U48" i="8" s="1"/>
  <c r="T46" i="8"/>
  <c r="T48" i="8" s="1"/>
  <c r="S46" i="8"/>
  <c r="S48" i="8" s="1"/>
  <c r="R46" i="8"/>
  <c r="R48" i="8" s="1"/>
  <c r="Q46" i="8"/>
  <c r="Q48" i="8" s="1"/>
  <c r="P46" i="8"/>
  <c r="P48" i="8" s="1"/>
  <c r="O46" i="8"/>
  <c r="O48" i="8" s="1"/>
  <c r="N46" i="8"/>
  <c r="N48" i="8" s="1"/>
  <c r="M46" i="8"/>
  <c r="M48" i="8" s="1"/>
  <c r="L46" i="8"/>
  <c r="L48" i="8" s="1"/>
  <c r="K46" i="8"/>
  <c r="K48" i="8" s="1"/>
  <c r="I46" i="8"/>
  <c r="I48" i="8" s="1"/>
  <c r="H46" i="8"/>
  <c r="H48" i="8" s="1"/>
  <c r="J44" i="8"/>
  <c r="W43" i="8"/>
  <c r="K42" i="8"/>
  <c r="K44" i="8" s="1"/>
  <c r="I42" i="8"/>
  <c r="E13" i="7"/>
  <c r="V41" i="8"/>
  <c r="U41" i="8"/>
  <c r="T41" i="8"/>
  <c r="S41" i="8"/>
  <c r="R41" i="8"/>
  <c r="Q41" i="8"/>
  <c r="P41" i="8"/>
  <c r="N41" i="8"/>
  <c r="M41" i="8"/>
  <c r="I41" i="8"/>
  <c r="I44" i="8" s="1"/>
  <c r="H41" i="8"/>
  <c r="H44" i="8" s="1"/>
  <c r="G44" i="8"/>
  <c r="R39" i="8"/>
  <c r="L39" i="8"/>
  <c r="K39" i="8"/>
  <c r="J39" i="8"/>
  <c r="G39" i="8"/>
  <c r="W38" i="8"/>
  <c r="I12" i="7" s="1"/>
  <c r="S37" i="8"/>
  <c r="T37" i="8" s="1"/>
  <c r="U37" i="8" s="1"/>
  <c r="Q37" i="8"/>
  <c r="Q39" i="8" s="1"/>
  <c r="P37" i="8"/>
  <c r="P39" i="8" s="1"/>
  <c r="M37" i="8"/>
  <c r="N37" i="8" s="1"/>
  <c r="I37" i="8"/>
  <c r="I39" i="8" s="1"/>
  <c r="H37" i="8"/>
  <c r="H39" i="8" s="1"/>
  <c r="W34" i="8"/>
  <c r="W33" i="8"/>
  <c r="W32" i="8"/>
  <c r="V31" i="8"/>
  <c r="U31" i="8"/>
  <c r="S31" i="8"/>
  <c r="R31" i="8"/>
  <c r="P31" i="8"/>
  <c r="O31" i="8"/>
  <c r="J35" i="8"/>
  <c r="K30" i="8"/>
  <c r="I30" i="8"/>
  <c r="K29" i="8"/>
  <c r="L29" i="8" s="1"/>
  <c r="I29" i="8"/>
  <c r="G35" i="8"/>
  <c r="V28" i="8"/>
  <c r="U28" i="8"/>
  <c r="T28" i="8"/>
  <c r="S28" i="8"/>
  <c r="R28" i="8"/>
  <c r="Q28" i="8"/>
  <c r="P28" i="8"/>
  <c r="O28" i="8"/>
  <c r="M28" i="8"/>
  <c r="L28" i="8"/>
  <c r="K28" i="8"/>
  <c r="I28" i="8"/>
  <c r="H28" i="8"/>
  <c r="H35" i="8" s="1"/>
  <c r="U26" i="8"/>
  <c r="O26" i="8"/>
  <c r="L26" i="8"/>
  <c r="J26" i="8"/>
  <c r="H26" i="8"/>
  <c r="G26" i="8"/>
  <c r="W25" i="8"/>
  <c r="I10" i="7" s="1"/>
  <c r="V24" i="8"/>
  <c r="V26" i="8" s="1"/>
  <c r="T24" i="8"/>
  <c r="T26" i="8" s="1"/>
  <c r="S24" i="8"/>
  <c r="S26" i="8" s="1"/>
  <c r="P24" i="8"/>
  <c r="P26" i="8" s="1"/>
  <c r="N24" i="8"/>
  <c r="N26" i="8" s="1"/>
  <c r="M24" i="8"/>
  <c r="M26" i="8" s="1"/>
  <c r="K24" i="8"/>
  <c r="K26" i="8" s="1"/>
  <c r="I24" i="8"/>
  <c r="I26" i="8" s="1"/>
  <c r="J22" i="8"/>
  <c r="W21" i="8"/>
  <c r="W20" i="8"/>
  <c r="I9" i="7" s="1"/>
  <c r="K19" i="8"/>
  <c r="L19" i="8" s="1"/>
  <c r="M19" i="8" s="1"/>
  <c r="N19" i="8" s="1"/>
  <c r="O19" i="8" s="1"/>
  <c r="P19" i="8" s="1"/>
  <c r="Q19" i="8" s="1"/>
  <c r="R19" i="8" s="1"/>
  <c r="S19" i="8" s="1"/>
  <c r="T19" i="8" s="1"/>
  <c r="I19" i="8"/>
  <c r="V18" i="8"/>
  <c r="T18" i="8"/>
  <c r="S18" i="8"/>
  <c r="K18" i="8"/>
  <c r="I18" i="8"/>
  <c r="H18" i="8"/>
  <c r="H22" i="8" s="1"/>
  <c r="G22" i="8"/>
  <c r="J16" i="8"/>
  <c r="H16" i="8"/>
  <c r="G16" i="8"/>
  <c r="W15" i="8"/>
  <c r="W14" i="8"/>
  <c r="W13" i="8"/>
  <c r="K12" i="8"/>
  <c r="L12" i="8" s="1"/>
  <c r="M12" i="8" s="1"/>
  <c r="N12" i="8" s="1"/>
  <c r="O12" i="8" s="1"/>
  <c r="P12" i="8" s="1"/>
  <c r="Q12" i="8" s="1"/>
  <c r="R12" i="8" s="1"/>
  <c r="S12" i="8" s="1"/>
  <c r="T12" i="8" s="1"/>
  <c r="U12" i="8" s="1"/>
  <c r="V12" i="8" s="1"/>
  <c r="I12" i="8"/>
  <c r="L11" i="8"/>
  <c r="M11" i="8" s="1"/>
  <c r="K11" i="8"/>
  <c r="I11" i="8"/>
  <c r="V10" i="8"/>
  <c r="U10" i="8"/>
  <c r="S10" i="8"/>
  <c r="T10" i="8" s="1"/>
  <c r="Q10" i="8"/>
  <c r="P10" i="8"/>
  <c r="L10" i="8"/>
  <c r="I10" i="8"/>
  <c r="N8" i="8"/>
  <c r="L8" i="8"/>
  <c r="J8" i="8"/>
  <c r="I8" i="8"/>
  <c r="G8" i="8"/>
  <c r="W7" i="8"/>
  <c r="I7" i="7" s="1"/>
  <c r="V6" i="8"/>
  <c r="V8" i="8" s="1"/>
  <c r="U6" i="8"/>
  <c r="U8" i="8" s="1"/>
  <c r="T6" i="8"/>
  <c r="T8" i="8" s="1"/>
  <c r="S6" i="8"/>
  <c r="S8" i="8" s="1"/>
  <c r="R6" i="8"/>
  <c r="R8" i="8" s="1"/>
  <c r="Q6" i="8"/>
  <c r="Q8" i="8" s="1"/>
  <c r="P6" i="8"/>
  <c r="P8" i="8" s="1"/>
  <c r="O6" i="8"/>
  <c r="O8" i="8" s="1"/>
  <c r="N6" i="8"/>
  <c r="M6" i="8"/>
  <c r="M8" i="8" s="1"/>
  <c r="K6" i="8"/>
  <c r="K8" i="8" s="1"/>
  <c r="H6" i="8"/>
  <c r="H8" i="8" s="1"/>
  <c r="E23" i="7"/>
  <c r="E22" i="7"/>
  <c r="I21" i="7"/>
  <c r="E21" i="7"/>
  <c r="E20" i="7"/>
  <c r="E19" i="7"/>
  <c r="E18" i="7"/>
  <c r="E17" i="7"/>
  <c r="E16" i="7"/>
  <c r="E15" i="7"/>
  <c r="E14" i="7"/>
  <c r="I13" i="7"/>
  <c r="E12" i="7"/>
  <c r="E11" i="7"/>
  <c r="E10" i="7"/>
  <c r="E9" i="7"/>
  <c r="E8" i="7"/>
  <c r="E7" i="7"/>
  <c r="E25" i="7" s="1"/>
  <c r="J70" i="6"/>
  <c r="H70" i="6"/>
  <c r="O69" i="6"/>
  <c r="P69" i="6" s="1"/>
  <c r="Q69" i="6" s="1"/>
  <c r="R69" i="6" s="1"/>
  <c r="S69" i="6" s="1"/>
  <c r="T69" i="6" s="1"/>
  <c r="U69" i="6" s="1"/>
  <c r="K68" i="6"/>
  <c r="I68" i="6"/>
  <c r="I70" i="6" s="1"/>
  <c r="T66" i="6"/>
  <c r="R66" i="6"/>
  <c r="O66" i="6"/>
  <c r="N66" i="6"/>
  <c r="M66" i="6"/>
  <c r="L66" i="6"/>
  <c r="K66" i="6"/>
  <c r="J66" i="6"/>
  <c r="I66" i="6"/>
  <c r="H66" i="6"/>
  <c r="G66" i="6"/>
  <c r="V65" i="6"/>
  <c r="V66" i="6" s="1"/>
  <c r="U65" i="6"/>
  <c r="U66" i="6" s="1"/>
  <c r="S65" i="6"/>
  <c r="S66" i="6" s="1"/>
  <c r="Q65" i="6"/>
  <c r="Q66" i="6" s="1"/>
  <c r="P65" i="6"/>
  <c r="P66" i="6" s="1"/>
  <c r="J63" i="6"/>
  <c r="G63" i="6"/>
  <c r="V62" i="6"/>
  <c r="H62" i="6"/>
  <c r="K61" i="6"/>
  <c r="L61" i="6" s="1"/>
  <c r="I61" i="6"/>
  <c r="H59" i="6"/>
  <c r="G59" i="6"/>
  <c r="L58" i="6"/>
  <c r="M58" i="6" s="1"/>
  <c r="I57" i="6"/>
  <c r="J55" i="6"/>
  <c r="I55" i="6"/>
  <c r="H55" i="6"/>
  <c r="V54" i="6"/>
  <c r="L54" i="6"/>
  <c r="M54" i="6" s="1"/>
  <c r="N54" i="6" s="1"/>
  <c r="O54" i="6" s="1"/>
  <c r="P54" i="6" s="1"/>
  <c r="Q54" i="6" s="1"/>
  <c r="R54" i="6" s="1"/>
  <c r="S54" i="6" s="1"/>
  <c r="T54" i="6" s="1"/>
  <c r="U54" i="6" s="1"/>
  <c r="K53" i="6"/>
  <c r="K55" i="6" s="1"/>
  <c r="J51" i="6"/>
  <c r="H51" i="6"/>
  <c r="G51" i="6"/>
  <c r="L50" i="6"/>
  <c r="O49" i="6"/>
  <c r="P49" i="6" s="1"/>
  <c r="Q49" i="6" s="1"/>
  <c r="R49" i="6" s="1"/>
  <c r="S49" i="6" s="1"/>
  <c r="T49" i="6" s="1"/>
  <c r="U49" i="6" s="1"/>
  <c r="V48" i="6"/>
  <c r="T48" i="6"/>
  <c r="S48" i="6"/>
  <c r="R48" i="6"/>
  <c r="K48" i="6"/>
  <c r="K51" i="6" s="1"/>
  <c r="I48" i="6"/>
  <c r="I51" i="6" s="1"/>
  <c r="J46" i="6"/>
  <c r="H46" i="6"/>
  <c r="G46" i="6"/>
  <c r="L45" i="6"/>
  <c r="M45" i="6" s="1"/>
  <c r="N45" i="6" s="1"/>
  <c r="O45" i="6" s="1"/>
  <c r="P45" i="6" s="1"/>
  <c r="Q45" i="6" s="1"/>
  <c r="R45" i="6" s="1"/>
  <c r="S45" i="6" s="1"/>
  <c r="T45" i="6" s="1"/>
  <c r="U45" i="6" s="1"/>
  <c r="K44" i="6"/>
  <c r="L44" i="6" s="1"/>
  <c r="I44" i="6"/>
  <c r="T42" i="6"/>
  <c r="S42" i="6"/>
  <c r="R42" i="6"/>
  <c r="J42" i="6"/>
  <c r="H42" i="6"/>
  <c r="V41" i="6"/>
  <c r="W41" i="6" s="1"/>
  <c r="I15" i="5" s="1"/>
  <c r="U40" i="6"/>
  <c r="V40" i="6" s="1"/>
  <c r="Q40" i="6"/>
  <c r="Q42" i="6" s="1"/>
  <c r="K40" i="6"/>
  <c r="L40" i="6" s="1"/>
  <c r="I40" i="6"/>
  <c r="I42" i="6" s="1"/>
  <c r="K38" i="6"/>
  <c r="J38" i="6"/>
  <c r="I38" i="6"/>
  <c r="H38" i="6"/>
  <c r="V37" i="6"/>
  <c r="W37" i="6" s="1"/>
  <c r="I14" i="5" s="1"/>
  <c r="L36" i="6"/>
  <c r="M36" i="6" s="1"/>
  <c r="N36" i="6" s="1"/>
  <c r="N38" i="6" s="1"/>
  <c r="T34" i="6"/>
  <c r="J34" i="6"/>
  <c r="W33" i="6"/>
  <c r="I13" i="5" s="1"/>
  <c r="V32" i="6"/>
  <c r="U32" i="6"/>
  <c r="S32" i="6"/>
  <c r="S34" i="6" s="1"/>
  <c r="K32" i="6"/>
  <c r="L32" i="6" s="1"/>
  <c r="M32" i="6" s="1"/>
  <c r="N32" i="6" s="1"/>
  <c r="O32" i="6" s="1"/>
  <c r="P32" i="6" s="1"/>
  <c r="Q32" i="6" s="1"/>
  <c r="I32" i="6"/>
  <c r="V31" i="6"/>
  <c r="U31" i="6"/>
  <c r="R31" i="6"/>
  <c r="Q31" i="6"/>
  <c r="P31" i="6"/>
  <c r="O31" i="6"/>
  <c r="N31" i="6"/>
  <c r="M31" i="6"/>
  <c r="M34" i="6" s="1"/>
  <c r="L31" i="6"/>
  <c r="K31" i="6"/>
  <c r="I31" i="6"/>
  <c r="H31" i="6"/>
  <c r="H34" i="6" s="1"/>
  <c r="E13" i="5"/>
  <c r="J29" i="6"/>
  <c r="H29" i="6"/>
  <c r="G29" i="6"/>
  <c r="V28" i="6"/>
  <c r="W28" i="6" s="1"/>
  <c r="I12" i="5" s="1"/>
  <c r="K27" i="6"/>
  <c r="L27" i="6" s="1"/>
  <c r="I27" i="6"/>
  <c r="V25" i="6"/>
  <c r="U25" i="6"/>
  <c r="T25" i="6"/>
  <c r="S25" i="6"/>
  <c r="R25" i="6"/>
  <c r="Q25" i="6"/>
  <c r="P25" i="6"/>
  <c r="O25" i="6"/>
  <c r="N25" i="6"/>
  <c r="M25" i="6"/>
  <c r="L25" i="6"/>
  <c r="K25" i="6"/>
  <c r="J25" i="6"/>
  <c r="H25" i="6"/>
  <c r="W24" i="6"/>
  <c r="I11" i="5" s="1"/>
  <c r="I23" i="6"/>
  <c r="I25" i="6" s="1"/>
  <c r="G25" i="6"/>
  <c r="H21" i="6"/>
  <c r="W20" i="6"/>
  <c r="I10" i="5" s="1"/>
  <c r="I19" i="6"/>
  <c r="T17" i="6"/>
  <c r="Q17" i="6"/>
  <c r="J17" i="6"/>
  <c r="W16" i="6"/>
  <c r="V15" i="6"/>
  <c r="U15" i="6"/>
  <c r="S15" i="6"/>
  <c r="I15" i="6"/>
  <c r="V14" i="6"/>
  <c r="U14" i="6"/>
  <c r="U17" i="6" s="1"/>
  <c r="T14" i="6"/>
  <c r="S14" i="6"/>
  <c r="S17" i="6" s="1"/>
  <c r="R14" i="6"/>
  <c r="R17" i="6" s="1"/>
  <c r="P14" i="6"/>
  <c r="P17" i="6" s="1"/>
  <c r="O14" i="6"/>
  <c r="O17" i="6" s="1"/>
  <c r="N14" i="6"/>
  <c r="N17" i="6" s="1"/>
  <c r="M14" i="6"/>
  <c r="M17" i="6" s="1"/>
  <c r="L14" i="6"/>
  <c r="L17" i="6" s="1"/>
  <c r="K14" i="6"/>
  <c r="K17" i="6" s="1"/>
  <c r="I14" i="6"/>
  <c r="I17" i="6" s="1"/>
  <c r="H14" i="6"/>
  <c r="H17" i="6" s="1"/>
  <c r="V12" i="6"/>
  <c r="U12" i="6"/>
  <c r="T12" i="6"/>
  <c r="S12" i="6"/>
  <c r="R12" i="6"/>
  <c r="Q12" i="6"/>
  <c r="P12" i="6"/>
  <c r="O12" i="6"/>
  <c r="N12" i="6"/>
  <c r="M12" i="6"/>
  <c r="L12" i="6"/>
  <c r="K12" i="6"/>
  <c r="J12" i="6"/>
  <c r="I12" i="6"/>
  <c r="H12" i="6"/>
  <c r="W11" i="6"/>
  <c r="I8" i="5" s="1"/>
  <c r="V8" i="6"/>
  <c r="U8" i="6"/>
  <c r="T8" i="6"/>
  <c r="S8" i="6"/>
  <c r="R8" i="6"/>
  <c r="Q8" i="6"/>
  <c r="P8" i="6"/>
  <c r="O8" i="6"/>
  <c r="N8" i="6"/>
  <c r="M8" i="6"/>
  <c r="L8" i="6"/>
  <c r="K8" i="6"/>
  <c r="J8" i="6"/>
  <c r="I8" i="6"/>
  <c r="H8" i="6"/>
  <c r="G8" i="6"/>
  <c r="W7" i="6"/>
  <c r="W6" i="6"/>
  <c r="W8" i="6" s="1"/>
  <c r="E22" i="5"/>
  <c r="E21" i="5"/>
  <c r="E20" i="5"/>
  <c r="E19" i="5"/>
  <c r="E17" i="5"/>
  <c r="E16" i="5"/>
  <c r="E15" i="5"/>
  <c r="E12" i="5"/>
  <c r="E11" i="5"/>
  <c r="I9" i="5"/>
  <c r="I7" i="5"/>
  <c r="E7" i="5"/>
  <c r="O87" i="3"/>
  <c r="P87" i="3" s="1"/>
  <c r="Q87" i="3" s="1"/>
  <c r="R87" i="3" s="1"/>
  <c r="S87" i="3" s="1"/>
  <c r="T87" i="3" s="1"/>
  <c r="U87" i="3" s="1"/>
  <c r="K88" i="3"/>
  <c r="G88" i="3"/>
  <c r="J83" i="3"/>
  <c r="G83" i="3"/>
  <c r="K81" i="3"/>
  <c r="H81" i="3"/>
  <c r="K77" i="3"/>
  <c r="J79" i="3"/>
  <c r="L74" i="3"/>
  <c r="M74" i="3" s="1"/>
  <c r="N74" i="3" s="1"/>
  <c r="O74" i="3" s="1"/>
  <c r="P74" i="3" s="1"/>
  <c r="Q74" i="3" s="1"/>
  <c r="R74" i="3" s="1"/>
  <c r="S74" i="3" s="1"/>
  <c r="T74" i="3" s="1"/>
  <c r="U74" i="3" s="1"/>
  <c r="K73" i="3"/>
  <c r="K75" i="3" s="1"/>
  <c r="J75" i="3"/>
  <c r="H73" i="3"/>
  <c r="I73" i="3" s="1"/>
  <c r="I75" i="3" s="1"/>
  <c r="G75" i="3"/>
  <c r="J71" i="3"/>
  <c r="L70" i="3"/>
  <c r="M70" i="3" s="1"/>
  <c r="N70" i="3" s="1"/>
  <c r="O70" i="3" s="1"/>
  <c r="P70" i="3" s="1"/>
  <c r="Q70" i="3" s="1"/>
  <c r="R70" i="3" s="1"/>
  <c r="S70" i="3" s="1"/>
  <c r="T70" i="3" s="1"/>
  <c r="U70" i="3" s="1"/>
  <c r="K69" i="3"/>
  <c r="K71" i="3" s="1"/>
  <c r="H69" i="3"/>
  <c r="H71" i="3" s="1"/>
  <c r="G71" i="3"/>
  <c r="J67" i="3"/>
  <c r="L66" i="3"/>
  <c r="M66" i="3" s="1"/>
  <c r="N66" i="3" s="1"/>
  <c r="O66" i="3" s="1"/>
  <c r="P66" i="3" s="1"/>
  <c r="Q66" i="3" s="1"/>
  <c r="R66" i="3" s="1"/>
  <c r="S66" i="3" s="1"/>
  <c r="T66" i="3" s="1"/>
  <c r="U66" i="3" s="1"/>
  <c r="K65" i="3"/>
  <c r="J63" i="3"/>
  <c r="G63" i="3"/>
  <c r="V62" i="3"/>
  <c r="K61" i="3"/>
  <c r="K63" i="3" s="1"/>
  <c r="H61" i="3"/>
  <c r="K57" i="3"/>
  <c r="L57" i="3" s="1"/>
  <c r="M57" i="3" s="1"/>
  <c r="N57" i="3" s="1"/>
  <c r="O57" i="3" s="1"/>
  <c r="P57" i="3" s="1"/>
  <c r="Q57" i="3" s="1"/>
  <c r="R57" i="3" s="1"/>
  <c r="S57" i="3" s="1"/>
  <c r="T57" i="3" s="1"/>
  <c r="U57" i="3" s="1"/>
  <c r="V57" i="3" s="1"/>
  <c r="H57" i="3"/>
  <c r="I57" i="3" s="1"/>
  <c r="K52" i="3"/>
  <c r="L52" i="3" s="1"/>
  <c r="M52" i="3" s="1"/>
  <c r="N52" i="3" s="1"/>
  <c r="O52" i="3" s="1"/>
  <c r="P52" i="3" s="1"/>
  <c r="Q52" i="3" s="1"/>
  <c r="R52" i="3" s="1"/>
  <c r="S52" i="3" s="1"/>
  <c r="T52" i="3" s="1"/>
  <c r="U52" i="3" s="1"/>
  <c r="K51" i="3"/>
  <c r="L51" i="3" s="1"/>
  <c r="M51" i="3" s="1"/>
  <c r="N51" i="3" s="1"/>
  <c r="O51" i="3" s="1"/>
  <c r="P51" i="3" s="1"/>
  <c r="Q51" i="3" s="1"/>
  <c r="R51" i="3" s="1"/>
  <c r="S51" i="3" s="1"/>
  <c r="T51" i="3" s="1"/>
  <c r="U51" i="3" s="1"/>
  <c r="V51" i="3" s="1"/>
  <c r="H51" i="3"/>
  <c r="I51" i="3" s="1"/>
  <c r="K50" i="3"/>
  <c r="L50" i="3" s="1"/>
  <c r="J54" i="3"/>
  <c r="G48" i="3"/>
  <c r="H46" i="3"/>
  <c r="H48" i="3" s="1"/>
  <c r="G44" i="3"/>
  <c r="K42" i="3"/>
  <c r="L42" i="3" s="1"/>
  <c r="M42" i="3" s="1"/>
  <c r="N42" i="3" s="1"/>
  <c r="O42" i="3" s="1"/>
  <c r="P42" i="3" s="1"/>
  <c r="Q42" i="3" s="1"/>
  <c r="R42" i="3" s="1"/>
  <c r="S42" i="3" s="1"/>
  <c r="T42" i="3" s="1"/>
  <c r="U42" i="3" s="1"/>
  <c r="V42" i="3" s="1"/>
  <c r="H42" i="3"/>
  <c r="I42" i="3" s="1"/>
  <c r="K41" i="3"/>
  <c r="J44" i="3"/>
  <c r="H41" i="3"/>
  <c r="I41" i="3" s="1"/>
  <c r="J39" i="3"/>
  <c r="G39" i="3"/>
  <c r="K37" i="3"/>
  <c r="L37" i="3" s="1"/>
  <c r="H37" i="3"/>
  <c r="J35" i="3"/>
  <c r="N31" i="3"/>
  <c r="O31" i="3" s="1"/>
  <c r="P31" i="3" s="1"/>
  <c r="Q31" i="3" s="1"/>
  <c r="R31" i="3" s="1"/>
  <c r="S31" i="3" s="1"/>
  <c r="T31" i="3" s="1"/>
  <c r="U31" i="3" s="1"/>
  <c r="V31" i="3" s="1"/>
  <c r="K31" i="3"/>
  <c r="L31" i="3" s="1"/>
  <c r="K30" i="3"/>
  <c r="L30" i="3" s="1"/>
  <c r="M30" i="3" s="1"/>
  <c r="N30" i="3" s="1"/>
  <c r="O30" i="3" s="1"/>
  <c r="P30" i="3" s="1"/>
  <c r="Q30" i="3" s="1"/>
  <c r="R30" i="3" s="1"/>
  <c r="S30" i="3" s="1"/>
  <c r="T30" i="3" s="1"/>
  <c r="U30" i="3" s="1"/>
  <c r="V30" i="3" s="1"/>
  <c r="H30" i="3"/>
  <c r="I30" i="3" s="1"/>
  <c r="K29" i="3"/>
  <c r="L29" i="3" s="1"/>
  <c r="M29" i="3" s="1"/>
  <c r="N29" i="3" s="1"/>
  <c r="O29" i="3" s="1"/>
  <c r="P29" i="3" s="1"/>
  <c r="Q29" i="3" s="1"/>
  <c r="R29" i="3" s="1"/>
  <c r="S29" i="3" s="1"/>
  <c r="T29" i="3" s="1"/>
  <c r="U29" i="3" s="1"/>
  <c r="V29" i="3" s="1"/>
  <c r="H29" i="3"/>
  <c r="I29" i="3" s="1"/>
  <c r="K28" i="3"/>
  <c r="H28" i="3"/>
  <c r="G35" i="3"/>
  <c r="J26" i="3"/>
  <c r="G26" i="3"/>
  <c r="K24" i="3"/>
  <c r="L24" i="3" s="1"/>
  <c r="H24" i="3"/>
  <c r="J22" i="3"/>
  <c r="K19" i="3"/>
  <c r="L19" i="3" s="1"/>
  <c r="M19" i="3" s="1"/>
  <c r="N19" i="3" s="1"/>
  <c r="O19" i="3" s="1"/>
  <c r="P19" i="3" s="1"/>
  <c r="Q19" i="3" s="1"/>
  <c r="R19" i="3" s="1"/>
  <c r="S19" i="3" s="1"/>
  <c r="T19" i="3" s="1"/>
  <c r="U19" i="3" s="1"/>
  <c r="V19" i="3" s="1"/>
  <c r="H19" i="3"/>
  <c r="I19" i="3" s="1"/>
  <c r="K18" i="3"/>
  <c r="H18" i="3"/>
  <c r="G22" i="3"/>
  <c r="J16" i="3"/>
  <c r="K12" i="3"/>
  <c r="L12" i="3" s="1"/>
  <c r="M12" i="3" s="1"/>
  <c r="N12" i="3" s="1"/>
  <c r="O12" i="3" s="1"/>
  <c r="P12" i="3" s="1"/>
  <c r="Q12" i="3" s="1"/>
  <c r="R12" i="3" s="1"/>
  <c r="S12" i="3" s="1"/>
  <c r="T12" i="3" s="1"/>
  <c r="U12" i="3" s="1"/>
  <c r="V12" i="3" s="1"/>
  <c r="H12" i="3"/>
  <c r="I12" i="3" s="1"/>
  <c r="K11" i="3"/>
  <c r="L11" i="3" s="1"/>
  <c r="M11" i="3" s="1"/>
  <c r="N11" i="3" s="1"/>
  <c r="O11" i="3" s="1"/>
  <c r="P11" i="3" s="1"/>
  <c r="Q11" i="3" s="1"/>
  <c r="R11" i="3" s="1"/>
  <c r="S11" i="3" s="1"/>
  <c r="T11" i="3" s="1"/>
  <c r="U11" i="3" s="1"/>
  <c r="V11" i="3" s="1"/>
  <c r="H11" i="3"/>
  <c r="I11" i="3" s="1"/>
  <c r="K10" i="3"/>
  <c r="H10" i="3"/>
  <c r="I10" i="3" s="1"/>
  <c r="G16" i="3"/>
  <c r="J8" i="3"/>
  <c r="K6" i="3"/>
  <c r="H6" i="3"/>
  <c r="O72" i="2"/>
  <c r="P72" i="2" s="1"/>
  <c r="Q72" i="2" s="1"/>
  <c r="R72" i="2" s="1"/>
  <c r="S72" i="2" s="1"/>
  <c r="T72" i="2" s="1"/>
  <c r="U72" i="2" s="1"/>
  <c r="K71" i="2"/>
  <c r="H71" i="2"/>
  <c r="I71" i="2" s="1"/>
  <c r="I73" i="2" s="1"/>
  <c r="G73" i="2"/>
  <c r="N69" i="2"/>
  <c r="M69" i="2"/>
  <c r="L69" i="2"/>
  <c r="K69" i="2"/>
  <c r="J69" i="2"/>
  <c r="I69" i="2"/>
  <c r="H69" i="2"/>
  <c r="G69" i="2"/>
  <c r="O68" i="2"/>
  <c r="O69" i="2" s="1"/>
  <c r="O66" i="2"/>
  <c r="N66" i="2"/>
  <c r="M66" i="2"/>
  <c r="L66" i="2"/>
  <c r="K66" i="2"/>
  <c r="J66" i="2"/>
  <c r="I66" i="2"/>
  <c r="H66" i="2"/>
  <c r="G66" i="2"/>
  <c r="P65" i="2"/>
  <c r="Q65" i="2" s="1"/>
  <c r="Q66" i="2" s="1"/>
  <c r="G63" i="2"/>
  <c r="V62" i="2"/>
  <c r="H62" i="2"/>
  <c r="I62" i="2" s="1"/>
  <c r="H61" i="2"/>
  <c r="I61" i="2" s="1"/>
  <c r="L58" i="2"/>
  <c r="M58" i="2" s="1"/>
  <c r="N58" i="2" s="1"/>
  <c r="O58" i="2" s="1"/>
  <c r="P58" i="2" s="1"/>
  <c r="Q58" i="2" s="1"/>
  <c r="R58" i="2" s="1"/>
  <c r="S58" i="2" s="1"/>
  <c r="T58" i="2" s="1"/>
  <c r="U58" i="2" s="1"/>
  <c r="H57" i="2"/>
  <c r="I57" i="2" s="1"/>
  <c r="I59" i="2" s="1"/>
  <c r="G59" i="2"/>
  <c r="J55" i="2"/>
  <c r="I55" i="2"/>
  <c r="V54" i="2"/>
  <c r="L54" i="2"/>
  <c r="M54" i="2" s="1"/>
  <c r="N54" i="2" s="1"/>
  <c r="O54" i="2" s="1"/>
  <c r="P54" i="2" s="1"/>
  <c r="Q54" i="2" s="1"/>
  <c r="R54" i="2" s="1"/>
  <c r="S54" i="2" s="1"/>
  <c r="T54" i="2" s="1"/>
  <c r="U54" i="2" s="1"/>
  <c r="K53" i="2"/>
  <c r="H53" i="2"/>
  <c r="H55" i="2" s="1"/>
  <c r="G55" i="2"/>
  <c r="J51" i="2"/>
  <c r="L50" i="2"/>
  <c r="M50" i="2" s="1"/>
  <c r="N50" i="2" s="1"/>
  <c r="O50" i="2" s="1"/>
  <c r="P50" i="2" s="1"/>
  <c r="Q50" i="2" s="1"/>
  <c r="R50" i="2" s="1"/>
  <c r="S50" i="2" s="1"/>
  <c r="T50" i="2" s="1"/>
  <c r="U50" i="2" s="1"/>
  <c r="N49" i="2"/>
  <c r="O49" i="2" s="1"/>
  <c r="P49" i="2" s="1"/>
  <c r="Q49" i="2" s="1"/>
  <c r="R49" i="2" s="1"/>
  <c r="S49" i="2" s="1"/>
  <c r="T49" i="2" s="1"/>
  <c r="U49" i="2" s="1"/>
  <c r="V49" i="2" s="1"/>
  <c r="K48" i="2"/>
  <c r="J46" i="2"/>
  <c r="L45" i="2"/>
  <c r="M45" i="2" s="1"/>
  <c r="N45" i="2" s="1"/>
  <c r="O45" i="2" s="1"/>
  <c r="P45" i="2" s="1"/>
  <c r="Q45" i="2" s="1"/>
  <c r="R45" i="2" s="1"/>
  <c r="S45" i="2" s="1"/>
  <c r="T45" i="2" s="1"/>
  <c r="U45" i="2" s="1"/>
  <c r="K44" i="2"/>
  <c r="G42" i="2"/>
  <c r="V41" i="2"/>
  <c r="H40" i="2"/>
  <c r="H42" i="2" s="1"/>
  <c r="J38" i="2"/>
  <c r="V37" i="2"/>
  <c r="K36" i="2"/>
  <c r="K38" i="2" s="1"/>
  <c r="G38" i="2"/>
  <c r="K32" i="2"/>
  <c r="L32" i="2" s="1"/>
  <c r="M32" i="2" s="1"/>
  <c r="N32" i="2" s="1"/>
  <c r="O32" i="2" s="1"/>
  <c r="P32" i="2" s="1"/>
  <c r="Q32" i="2" s="1"/>
  <c r="R32" i="2" s="1"/>
  <c r="S32" i="2" s="1"/>
  <c r="T32" i="2" s="1"/>
  <c r="U32" i="2" s="1"/>
  <c r="V32" i="2" s="1"/>
  <c r="H32" i="2"/>
  <c r="I32" i="2" s="1"/>
  <c r="H31" i="2"/>
  <c r="J29" i="2"/>
  <c r="V28" i="2"/>
  <c r="K27" i="2"/>
  <c r="O25" i="2"/>
  <c r="N25" i="2"/>
  <c r="M25" i="2"/>
  <c r="L25" i="2"/>
  <c r="P23" i="2"/>
  <c r="P25" i="2" s="1"/>
  <c r="K23" i="2"/>
  <c r="K25" i="2" s="1"/>
  <c r="H23" i="2"/>
  <c r="H25" i="2" s="1"/>
  <c r="V21" i="2"/>
  <c r="G21" i="2"/>
  <c r="J21" i="2"/>
  <c r="H19" i="2"/>
  <c r="H21" i="2" s="1"/>
  <c r="G10" i="5"/>
  <c r="J17" i="2"/>
  <c r="S15" i="2"/>
  <c r="T15" i="2" s="1"/>
  <c r="U15" i="2" s="1"/>
  <c r="V15" i="2" s="1"/>
  <c r="H15" i="2"/>
  <c r="I15" i="2" s="1"/>
  <c r="K14" i="2"/>
  <c r="K17" i="2" s="1"/>
  <c r="G17" i="2"/>
  <c r="V12" i="2"/>
  <c r="U12" i="2"/>
  <c r="T12" i="2"/>
  <c r="S12" i="2"/>
  <c r="R12" i="2"/>
  <c r="Q12" i="2"/>
  <c r="O12" i="2"/>
  <c r="N12" i="2"/>
  <c r="M12" i="2"/>
  <c r="L12" i="2"/>
  <c r="K12" i="2"/>
  <c r="I12" i="2"/>
  <c r="H12" i="2"/>
  <c r="G12" i="2"/>
  <c r="P10" i="2"/>
  <c r="P12" i="2" s="1"/>
  <c r="J12" i="2"/>
  <c r="V8" i="2"/>
  <c r="U8" i="2"/>
  <c r="T8" i="2"/>
  <c r="S8" i="2"/>
  <c r="R8" i="2"/>
  <c r="Q8" i="2"/>
  <c r="P8" i="2"/>
  <c r="O8" i="2"/>
  <c r="N8" i="2"/>
  <c r="M8" i="2"/>
  <c r="L8" i="2"/>
  <c r="K8" i="2"/>
  <c r="I8" i="2"/>
  <c r="H8" i="2"/>
  <c r="J8" i="2"/>
  <c r="G8" i="2"/>
  <c r="F14" i="10" l="1"/>
  <c r="J14" i="10"/>
  <c r="N14" i="10"/>
  <c r="R14" i="10"/>
  <c r="S7" i="11"/>
  <c r="K79" i="8"/>
  <c r="G14" i="11"/>
  <c r="O14" i="11"/>
  <c r="S10" i="11"/>
  <c r="S12" i="11" s="1"/>
  <c r="Q24" i="8"/>
  <c r="R24" i="8" s="1"/>
  <c r="R26" i="8" s="1"/>
  <c r="D46" i="16"/>
  <c r="H35" i="3"/>
  <c r="K22" i="8"/>
  <c r="D14" i="10"/>
  <c r="H14" i="10"/>
  <c r="L14" i="10"/>
  <c r="P14" i="10"/>
  <c r="F14" i="11"/>
  <c r="J14" i="11"/>
  <c r="N14" i="11"/>
  <c r="C18" i="16"/>
  <c r="S7" i="10"/>
  <c r="C29" i="16"/>
  <c r="C31" i="16" s="1"/>
  <c r="S11" i="10"/>
  <c r="R65" i="2"/>
  <c r="S65" i="2" s="1"/>
  <c r="S66" i="2" s="1"/>
  <c r="I44" i="3"/>
  <c r="S8" i="11"/>
  <c r="R14" i="11"/>
  <c r="C26" i="16"/>
  <c r="C33" i="16" s="1"/>
  <c r="D19" i="16"/>
  <c r="D41" i="16"/>
  <c r="M39" i="8"/>
  <c r="K83" i="8"/>
  <c r="L85" i="8"/>
  <c r="M85" i="8" s="1"/>
  <c r="M88" i="8" s="1"/>
  <c r="I8" i="7"/>
  <c r="M67" i="8"/>
  <c r="K34" i="6"/>
  <c r="U34" i="6"/>
  <c r="W15" i="6"/>
  <c r="H9" i="5" s="1"/>
  <c r="W23" i="6"/>
  <c r="W25" i="6" s="1"/>
  <c r="G11" i="5" s="1"/>
  <c r="J11" i="5" s="1"/>
  <c r="L34" i="6"/>
  <c r="V42" i="6"/>
  <c r="L48" i="6"/>
  <c r="I34" i="6"/>
  <c r="K29" i="6"/>
  <c r="K22" i="3"/>
  <c r="K16" i="3"/>
  <c r="K35" i="3"/>
  <c r="K44" i="3"/>
  <c r="Q23" i="2"/>
  <c r="R23" i="2" s="1"/>
  <c r="H34" i="2"/>
  <c r="W63" i="8"/>
  <c r="G17" i="7"/>
  <c r="J17" i="7" s="1"/>
  <c r="O66" i="8"/>
  <c r="P66" i="8" s="1"/>
  <c r="Q66" i="8" s="1"/>
  <c r="R66" i="8" s="1"/>
  <c r="S66" i="8" s="1"/>
  <c r="T66" i="8" s="1"/>
  <c r="U66" i="8" s="1"/>
  <c r="R87" i="8"/>
  <c r="S87" i="8" s="1"/>
  <c r="T87" i="8" s="1"/>
  <c r="U87" i="8" s="1"/>
  <c r="L16" i="8"/>
  <c r="L67" i="8"/>
  <c r="V16" i="8"/>
  <c r="L30" i="8"/>
  <c r="M30" i="8" s="1"/>
  <c r="N30" i="8" s="1"/>
  <c r="O30" i="8" s="1"/>
  <c r="P30" i="8" s="1"/>
  <c r="Q30" i="8" s="1"/>
  <c r="R30" i="8" s="1"/>
  <c r="S30" i="8" s="1"/>
  <c r="T30" i="8" s="1"/>
  <c r="U30" i="8" s="1"/>
  <c r="V30" i="8" s="1"/>
  <c r="S39" i="8"/>
  <c r="H63" i="8"/>
  <c r="H91" i="8" s="1"/>
  <c r="I16" i="8"/>
  <c r="K16" i="8"/>
  <c r="I22" i="8"/>
  <c r="I59" i="8"/>
  <c r="L73" i="8"/>
  <c r="L75" i="8" s="1"/>
  <c r="W10" i="8"/>
  <c r="I35" i="8"/>
  <c r="K59" i="8"/>
  <c r="U42" i="6"/>
  <c r="O36" i="6"/>
  <c r="K63" i="6"/>
  <c r="L38" i="6"/>
  <c r="P34" i="6"/>
  <c r="V34" i="6"/>
  <c r="I16" i="3"/>
  <c r="K26" i="3"/>
  <c r="K39" i="3"/>
  <c r="L18" i="3"/>
  <c r="M18" i="3" s="1"/>
  <c r="L28" i="3"/>
  <c r="M28" i="3" s="1"/>
  <c r="N28" i="3" s="1"/>
  <c r="L41" i="3"/>
  <c r="H44" i="3"/>
  <c r="I46" i="3"/>
  <c r="I48" i="3" s="1"/>
  <c r="L61" i="3"/>
  <c r="M61" i="3" s="1"/>
  <c r="L69" i="3"/>
  <c r="L71" i="3" s="1"/>
  <c r="L73" i="3"/>
  <c r="M73" i="3" s="1"/>
  <c r="L10" i="3"/>
  <c r="M10" i="3" s="1"/>
  <c r="I28" i="3"/>
  <c r="I35" i="3" s="1"/>
  <c r="I69" i="3"/>
  <c r="I71" i="3" s="1"/>
  <c r="H75" i="3"/>
  <c r="I23" i="2"/>
  <c r="I25" i="2" s="1"/>
  <c r="H59" i="2"/>
  <c r="I63" i="2"/>
  <c r="J57" i="2"/>
  <c r="K57" i="2" s="1"/>
  <c r="P68" i="2"/>
  <c r="Q68" i="2" s="1"/>
  <c r="Q69" i="2" s="1"/>
  <c r="T65" i="2"/>
  <c r="H14" i="2"/>
  <c r="L14" i="2"/>
  <c r="K19" i="2"/>
  <c r="G29" i="2"/>
  <c r="H27" i="2"/>
  <c r="I31" i="2"/>
  <c r="I34" i="2" s="1"/>
  <c r="K46" i="2"/>
  <c r="L44" i="2"/>
  <c r="G51" i="2"/>
  <c r="H48" i="2"/>
  <c r="L71" i="2"/>
  <c r="K73" i="2"/>
  <c r="J73" i="2"/>
  <c r="J48" i="3"/>
  <c r="K46" i="3"/>
  <c r="J59" i="3"/>
  <c r="K56" i="3"/>
  <c r="I19" i="2"/>
  <c r="I21" i="2" s="1"/>
  <c r="S23" i="2"/>
  <c r="R25" i="2"/>
  <c r="K29" i="2"/>
  <c r="L27" i="2"/>
  <c r="G46" i="2"/>
  <c r="H44" i="2"/>
  <c r="K51" i="2"/>
  <c r="L48" i="2"/>
  <c r="K55" i="2"/>
  <c r="L53" i="2"/>
  <c r="P69" i="2"/>
  <c r="G54" i="3"/>
  <c r="H50" i="3"/>
  <c r="J42" i="2"/>
  <c r="K40" i="2"/>
  <c r="J63" i="2"/>
  <c r="K61" i="2"/>
  <c r="L6" i="3"/>
  <c r="K8" i="3"/>
  <c r="H39" i="3"/>
  <c r="I37" i="3"/>
  <c r="I39" i="3" s="1"/>
  <c r="V49" i="6"/>
  <c r="V51" i="6" s="1"/>
  <c r="J25" i="2"/>
  <c r="H63" i="2"/>
  <c r="I18" i="3"/>
  <c r="I22" i="3" s="1"/>
  <c r="H22" i="3"/>
  <c r="L26" i="3"/>
  <c r="M24" i="3"/>
  <c r="K67" i="3"/>
  <c r="L65" i="3"/>
  <c r="K79" i="3"/>
  <c r="L77" i="3"/>
  <c r="G38" i="6"/>
  <c r="E14" i="5"/>
  <c r="G25" i="2"/>
  <c r="P66" i="2"/>
  <c r="H73" i="2"/>
  <c r="H26" i="3"/>
  <c r="I24" i="3"/>
  <c r="I26" i="3" s="1"/>
  <c r="L54" i="3"/>
  <c r="M50" i="3"/>
  <c r="H63" i="3"/>
  <c r="I61" i="3"/>
  <c r="I63" i="3" s="1"/>
  <c r="H88" i="3"/>
  <c r="I88" i="3"/>
  <c r="M27" i="6"/>
  <c r="L29" i="6"/>
  <c r="Q34" i="6"/>
  <c r="R32" i="6"/>
  <c r="W32" i="6" s="1"/>
  <c r="H13" i="5" s="1"/>
  <c r="K31" i="2"/>
  <c r="K34" i="2" s="1"/>
  <c r="H36" i="2"/>
  <c r="L36" i="2"/>
  <c r="I40" i="2"/>
  <c r="I42" i="2" s="1"/>
  <c r="H8" i="3"/>
  <c r="I6" i="3"/>
  <c r="I8" i="3" s="1"/>
  <c r="G8" i="3"/>
  <c r="H16" i="3"/>
  <c r="L39" i="3"/>
  <c r="M37" i="3"/>
  <c r="K54" i="3"/>
  <c r="G67" i="3"/>
  <c r="H65" i="3"/>
  <c r="G21" i="6"/>
  <c r="E10" i="5"/>
  <c r="J10" i="5" s="1"/>
  <c r="W45" i="6"/>
  <c r="I16" i="5" s="1"/>
  <c r="G59" i="3"/>
  <c r="H56" i="3"/>
  <c r="I46" i="6"/>
  <c r="L63" i="3"/>
  <c r="E8" i="5"/>
  <c r="W10" i="6"/>
  <c r="W12" i="6" s="1"/>
  <c r="G8" i="5" s="1"/>
  <c r="G12" i="6"/>
  <c r="I29" i="6"/>
  <c r="G34" i="6"/>
  <c r="W31" i="6"/>
  <c r="L42" i="6"/>
  <c r="M40" i="6"/>
  <c r="M44" i="6"/>
  <c r="L46" i="6"/>
  <c r="G70" i="6"/>
  <c r="E23" i="5"/>
  <c r="T22" i="8"/>
  <c r="U19" i="8"/>
  <c r="N39" i="8"/>
  <c r="O37" i="8"/>
  <c r="O39" i="8" s="1"/>
  <c r="U39" i="8"/>
  <c r="V37" i="8"/>
  <c r="V39" i="8" s="1"/>
  <c r="K83" i="3"/>
  <c r="L81" i="3"/>
  <c r="V17" i="6"/>
  <c r="K46" i="6"/>
  <c r="J59" i="6"/>
  <c r="K57" i="6"/>
  <c r="G79" i="3"/>
  <c r="H77" i="3"/>
  <c r="H83" i="3"/>
  <c r="I81" i="3"/>
  <c r="I83" i="3" s="1"/>
  <c r="G17" i="6"/>
  <c r="W14" i="6"/>
  <c r="E9" i="5"/>
  <c r="O34" i="6"/>
  <c r="G42" i="6"/>
  <c r="M50" i="6"/>
  <c r="N50" i="6" s="1"/>
  <c r="O50" i="6" s="1"/>
  <c r="P50" i="6" s="1"/>
  <c r="Q50" i="6" s="1"/>
  <c r="R50" i="6" s="1"/>
  <c r="S50" i="6" s="1"/>
  <c r="T50" i="6" s="1"/>
  <c r="U50" i="6" s="1"/>
  <c r="U51" i="6" s="1"/>
  <c r="W54" i="6"/>
  <c r="I18" i="5" s="1"/>
  <c r="I59" i="6"/>
  <c r="W69" i="6"/>
  <c r="I23" i="5" s="1"/>
  <c r="M16" i="8"/>
  <c r="N11" i="8"/>
  <c r="S22" i="8"/>
  <c r="G7" i="5"/>
  <c r="I21" i="6"/>
  <c r="J19" i="6"/>
  <c r="N34" i="6"/>
  <c r="M38" i="6"/>
  <c r="G55" i="6"/>
  <c r="E18" i="5"/>
  <c r="N58" i="6"/>
  <c r="O58" i="6" s="1"/>
  <c r="P58" i="6" s="1"/>
  <c r="Q58" i="6" s="1"/>
  <c r="R58" i="6" s="1"/>
  <c r="S58" i="6" s="1"/>
  <c r="T58" i="6" s="1"/>
  <c r="U58" i="6" s="1"/>
  <c r="H63" i="6"/>
  <c r="H73" i="6" s="1"/>
  <c r="I62" i="6"/>
  <c r="I63" i="6" s="1"/>
  <c r="W62" i="6"/>
  <c r="I20" i="5" s="1"/>
  <c r="J88" i="3"/>
  <c r="J91" i="3" s="1"/>
  <c r="K42" i="6"/>
  <c r="W65" i="6"/>
  <c r="K70" i="6"/>
  <c r="L68" i="6"/>
  <c r="W12" i="8"/>
  <c r="L53" i="6"/>
  <c r="L63" i="6"/>
  <c r="M61" i="6"/>
  <c r="M29" i="8"/>
  <c r="I11" i="7"/>
  <c r="W6" i="8"/>
  <c r="W46" i="8"/>
  <c r="G48" i="8"/>
  <c r="N54" i="8"/>
  <c r="O50" i="8"/>
  <c r="W51" i="8"/>
  <c r="H15" i="7" s="1"/>
  <c r="W70" i="8"/>
  <c r="I19" i="7" s="1"/>
  <c r="J91" i="8"/>
  <c r="L18" i="8"/>
  <c r="W28" i="8"/>
  <c r="K31" i="8"/>
  <c r="L31" i="8" s="1"/>
  <c r="T39" i="8"/>
  <c r="W41" i="8"/>
  <c r="L42" i="8"/>
  <c r="W52" i="8"/>
  <c r="I15" i="7" s="1"/>
  <c r="W57" i="8"/>
  <c r="H16" i="7" s="1"/>
  <c r="L59" i="8"/>
  <c r="M56" i="8"/>
  <c r="M54" i="8"/>
  <c r="K54" i="8"/>
  <c r="K71" i="8"/>
  <c r="L69" i="8"/>
  <c r="L83" i="8"/>
  <c r="M81" i="8"/>
  <c r="L54" i="8"/>
  <c r="G59" i="8"/>
  <c r="G63" i="8"/>
  <c r="M73" i="8"/>
  <c r="N65" i="8"/>
  <c r="M74" i="8"/>
  <c r="N74" i="8" s="1"/>
  <c r="O74" i="8" s="1"/>
  <c r="P74" i="8" s="1"/>
  <c r="Q74" i="8" s="1"/>
  <c r="R74" i="8" s="1"/>
  <c r="S74" i="8" s="1"/>
  <c r="T74" i="8" s="1"/>
  <c r="U74" i="8" s="1"/>
  <c r="M77" i="8"/>
  <c r="L79" i="8"/>
  <c r="R34" i="6" l="1"/>
  <c r="C19" i="16"/>
  <c r="C41" i="16"/>
  <c r="C43" i="16" s="1"/>
  <c r="C45" i="16" s="1"/>
  <c r="Q26" i="8"/>
  <c r="W24" i="8"/>
  <c r="M35" i="3"/>
  <c r="R66" i="2"/>
  <c r="W31" i="8"/>
  <c r="H11" i="7" s="1"/>
  <c r="R51" i="6"/>
  <c r="D68" i="16"/>
  <c r="S6" i="10"/>
  <c r="S12" i="10"/>
  <c r="T11" i="10"/>
  <c r="T12" i="10" s="1"/>
  <c r="C46" i="16"/>
  <c r="T7" i="10"/>
  <c r="G8" i="7"/>
  <c r="J59" i="2"/>
  <c r="L16" i="3"/>
  <c r="S14" i="11"/>
  <c r="D43" i="16"/>
  <c r="D45" i="16" s="1"/>
  <c r="D47" i="16" s="1"/>
  <c r="W30" i="8"/>
  <c r="L88" i="8"/>
  <c r="L35" i="8"/>
  <c r="I91" i="8"/>
  <c r="N85" i="8"/>
  <c r="O85" i="8" s="1"/>
  <c r="G73" i="6"/>
  <c r="M48" i="6"/>
  <c r="N48" i="6" s="1"/>
  <c r="N51" i="6" s="1"/>
  <c r="L51" i="6"/>
  <c r="W49" i="6"/>
  <c r="H17" i="5" s="1"/>
  <c r="H25" i="5" s="1"/>
  <c r="I73" i="6"/>
  <c r="L75" i="3"/>
  <c r="M69" i="3"/>
  <c r="M71" i="3" s="1"/>
  <c r="L35" i="3"/>
  <c r="R68" i="2"/>
  <c r="S68" i="2" s="1"/>
  <c r="Q25" i="2"/>
  <c r="W37" i="8"/>
  <c r="W39" i="8" s="1"/>
  <c r="W66" i="8"/>
  <c r="I18" i="7" s="1"/>
  <c r="I25" i="7" s="1"/>
  <c r="W74" i="8"/>
  <c r="I20" i="7" s="1"/>
  <c r="G91" i="8"/>
  <c r="W87" i="8"/>
  <c r="I23" i="7" s="1"/>
  <c r="W58" i="6"/>
  <c r="I19" i="5" s="1"/>
  <c r="O38" i="6"/>
  <c r="P36" i="6"/>
  <c r="M51" i="6"/>
  <c r="L88" i="3"/>
  <c r="L22" i="3"/>
  <c r="L44" i="3"/>
  <c r="M41" i="3"/>
  <c r="M75" i="8"/>
  <c r="N73" i="8"/>
  <c r="M18" i="8"/>
  <c r="L22" i="8"/>
  <c r="M42" i="8"/>
  <c r="L44" i="8"/>
  <c r="W8" i="8"/>
  <c r="G7" i="7"/>
  <c r="G10" i="7"/>
  <c r="J10" i="7" s="1"/>
  <c r="W26" i="8"/>
  <c r="M63" i="6"/>
  <c r="N61" i="6"/>
  <c r="K35" i="8"/>
  <c r="K91" i="8" s="1"/>
  <c r="L70" i="6"/>
  <c r="M68" i="6"/>
  <c r="K19" i="6"/>
  <c r="J21" i="6"/>
  <c r="J73" i="6" s="1"/>
  <c r="O48" i="6"/>
  <c r="H79" i="3"/>
  <c r="I77" i="3"/>
  <c r="I79" i="3" s="1"/>
  <c r="N73" i="3"/>
  <c r="M75" i="3"/>
  <c r="U22" i="8"/>
  <c r="V19" i="8"/>
  <c r="M42" i="6"/>
  <c r="N40" i="6"/>
  <c r="W34" i="6"/>
  <c r="G13" i="5"/>
  <c r="J13" i="5" s="1"/>
  <c r="H59" i="3"/>
  <c r="I56" i="3"/>
  <c r="I59" i="3" s="1"/>
  <c r="O28" i="3"/>
  <c r="N35" i="3"/>
  <c r="L79" i="3"/>
  <c r="M77" i="3"/>
  <c r="K59" i="2"/>
  <c r="L57" i="2"/>
  <c r="M48" i="2"/>
  <c r="L51" i="2"/>
  <c r="L29" i="2"/>
  <c r="M27" i="2"/>
  <c r="K48" i="3"/>
  <c r="L46" i="3"/>
  <c r="M71" i="2"/>
  <c r="L73" i="2"/>
  <c r="I48" i="2"/>
  <c r="I51" i="2" s="1"/>
  <c r="H51" i="2"/>
  <c r="L19" i="2"/>
  <c r="K21" i="2"/>
  <c r="P50" i="8"/>
  <c r="O54" i="8"/>
  <c r="N29" i="8"/>
  <c r="M35" i="8"/>
  <c r="J7" i="5"/>
  <c r="N10" i="3"/>
  <c r="M16" i="3"/>
  <c r="H54" i="3"/>
  <c r="I50" i="3"/>
  <c r="I54" i="3" s="1"/>
  <c r="I91" i="3" s="1"/>
  <c r="L71" i="8"/>
  <c r="M69" i="8"/>
  <c r="W17" i="6"/>
  <c r="G9" i="5"/>
  <c r="J9" i="5" s="1"/>
  <c r="L83" i="3"/>
  <c r="M81" i="3"/>
  <c r="S51" i="6"/>
  <c r="M39" i="3"/>
  <c r="N37" i="3"/>
  <c r="G91" i="3"/>
  <c r="M36" i="2"/>
  <c r="L38" i="2"/>
  <c r="N50" i="3"/>
  <c r="M54" i="3"/>
  <c r="M26" i="3"/>
  <c r="N24" i="3"/>
  <c r="T51" i="6"/>
  <c r="L8" i="3"/>
  <c r="M6" i="3"/>
  <c r="L17" i="2"/>
  <c r="M14" i="2"/>
  <c r="M79" i="8"/>
  <c r="N77" i="8"/>
  <c r="M46" i="6"/>
  <c r="N44" i="6"/>
  <c r="L31" i="2"/>
  <c r="L34" i="2" s="1"/>
  <c r="M29" i="6"/>
  <c r="N27" i="6"/>
  <c r="M22" i="3"/>
  <c r="N18" i="3"/>
  <c r="T23" i="2"/>
  <c r="S25" i="2"/>
  <c r="N67" i="8"/>
  <c r="O65" i="8"/>
  <c r="N81" i="8"/>
  <c r="M83" i="8"/>
  <c r="M59" i="8"/>
  <c r="N56" i="8"/>
  <c r="W48" i="8"/>
  <c r="G14" i="7"/>
  <c r="J14" i="7" s="1"/>
  <c r="L55" i="6"/>
  <c r="M53" i="6"/>
  <c r="W66" i="6"/>
  <c r="G21" i="5"/>
  <c r="J21" i="5" s="1"/>
  <c r="N16" i="8"/>
  <c r="O11" i="8"/>
  <c r="W50" i="6"/>
  <c r="I17" i="5" s="1"/>
  <c r="L57" i="6"/>
  <c r="K59" i="6"/>
  <c r="J8" i="5"/>
  <c r="E25" i="5"/>
  <c r="N61" i="3"/>
  <c r="M63" i="3"/>
  <c r="H67" i="3"/>
  <c r="I65" i="3"/>
  <c r="I67" i="3" s="1"/>
  <c r="I36" i="2"/>
  <c r="I38" i="2" s="1"/>
  <c r="H38" i="2"/>
  <c r="L67" i="3"/>
  <c r="M65" i="3"/>
  <c r="L61" i="2"/>
  <c r="K63" i="2"/>
  <c r="K42" i="2"/>
  <c r="L40" i="2"/>
  <c r="M53" i="2"/>
  <c r="L55" i="2"/>
  <c r="H46" i="2"/>
  <c r="I44" i="2"/>
  <c r="I46" i="2" s="1"/>
  <c r="K59" i="3"/>
  <c r="L56" i="3"/>
  <c r="L46" i="2"/>
  <c r="M44" i="2"/>
  <c r="H29" i="2"/>
  <c r="I27" i="2"/>
  <c r="I29" i="2" s="1"/>
  <c r="H17" i="2"/>
  <c r="I14" i="2"/>
  <c r="I17" i="2" s="1"/>
  <c r="U65" i="2"/>
  <c r="T66" i="2"/>
  <c r="G76" i="2"/>
  <c r="J76" i="2"/>
  <c r="I25" i="5" l="1"/>
  <c r="N88" i="8"/>
  <c r="C47" i="16"/>
  <c r="S8" i="10"/>
  <c r="T6" i="10"/>
  <c r="T8" i="10" s="1"/>
  <c r="T14" i="10" s="1"/>
  <c r="S14" i="10"/>
  <c r="N69" i="3"/>
  <c r="O69" i="3" s="1"/>
  <c r="G12" i="7"/>
  <c r="J12" i="7" s="1"/>
  <c r="H91" i="3"/>
  <c r="R69" i="2"/>
  <c r="O88" i="8"/>
  <c r="P85" i="8"/>
  <c r="Q36" i="6"/>
  <c r="P38" i="6"/>
  <c r="M44" i="3"/>
  <c r="N41" i="3"/>
  <c r="M88" i="3"/>
  <c r="K91" i="3"/>
  <c r="L42" i="2"/>
  <c r="M40" i="2"/>
  <c r="N53" i="6"/>
  <c r="M55" i="6"/>
  <c r="M31" i="2"/>
  <c r="M34" i="2" s="1"/>
  <c r="N79" i="8"/>
  <c r="O77" i="8"/>
  <c r="N35" i="8"/>
  <c r="O29" i="8"/>
  <c r="L59" i="6"/>
  <c r="M57" i="6"/>
  <c r="N29" i="6"/>
  <c r="O27" i="6"/>
  <c r="N26" i="3"/>
  <c r="O24" i="3"/>
  <c r="N54" i="3"/>
  <c r="O50" i="3"/>
  <c r="K76" i="2"/>
  <c r="M29" i="2"/>
  <c r="N27" i="2"/>
  <c r="N42" i="8"/>
  <c r="M44" i="8"/>
  <c r="I76" i="2"/>
  <c r="L59" i="3"/>
  <c r="M56" i="3"/>
  <c r="O56" i="8"/>
  <c r="N59" i="8"/>
  <c r="N39" i="3"/>
  <c r="O37" i="3"/>
  <c r="O10" i="3"/>
  <c r="N16" i="3"/>
  <c r="Q50" i="8"/>
  <c r="P54" i="8"/>
  <c r="M19" i="2"/>
  <c r="L21" i="2"/>
  <c r="M73" i="2"/>
  <c r="N71" i="2"/>
  <c r="N75" i="3"/>
  <c r="O73" i="3"/>
  <c r="P48" i="6"/>
  <c r="O51" i="6"/>
  <c r="N63" i="6"/>
  <c r="O61" i="6"/>
  <c r="J7" i="7"/>
  <c r="L91" i="8"/>
  <c r="O16" i="8"/>
  <c r="P11" i="8"/>
  <c r="N48" i="2"/>
  <c r="M51" i="2"/>
  <c r="M79" i="3"/>
  <c r="N77" i="3"/>
  <c r="O35" i="3"/>
  <c r="P28" i="3"/>
  <c r="N75" i="8"/>
  <c r="O73" i="8"/>
  <c r="U66" i="2"/>
  <c r="V65" i="2"/>
  <c r="V66" i="2" s="1"/>
  <c r="S69" i="2"/>
  <c r="T68" i="2"/>
  <c r="M57" i="2"/>
  <c r="L59" i="2"/>
  <c r="O40" i="6"/>
  <c r="N42" i="6"/>
  <c r="L19" i="6"/>
  <c r="K21" i="6"/>
  <c r="K73" i="6" s="1"/>
  <c r="N44" i="2"/>
  <c r="M46" i="2"/>
  <c r="N65" i="3"/>
  <c r="M67" i="3"/>
  <c r="O81" i="8"/>
  <c r="N83" i="8"/>
  <c r="T25" i="2"/>
  <c r="U23" i="2"/>
  <c r="N46" i="6"/>
  <c r="O44" i="6"/>
  <c r="N14" i="2"/>
  <c r="M17" i="2"/>
  <c r="M8" i="3"/>
  <c r="N6" i="3"/>
  <c r="M83" i="3"/>
  <c r="N81" i="3"/>
  <c r="H76" i="2"/>
  <c r="N53" i="2"/>
  <c r="M55" i="2"/>
  <c r="M61" i="2"/>
  <c r="L63" i="2"/>
  <c r="N63" i="3"/>
  <c r="O61" i="3"/>
  <c r="O67" i="8"/>
  <c r="P65" i="8"/>
  <c r="O18" i="3"/>
  <c r="N22" i="3"/>
  <c r="M38" i="2"/>
  <c r="N36" i="2"/>
  <c r="M71" i="8"/>
  <c r="N69" i="8"/>
  <c r="L48" i="3"/>
  <c r="M46" i="3"/>
  <c r="V22" i="8"/>
  <c r="W19" i="8"/>
  <c r="H9" i="7" s="1"/>
  <c r="N68" i="6"/>
  <c r="M70" i="6"/>
  <c r="N18" i="8"/>
  <c r="M22" i="8"/>
  <c r="N71" i="3" l="1"/>
  <c r="L91" i="3"/>
  <c r="Q85" i="8"/>
  <c r="P88" i="8"/>
  <c r="R36" i="6"/>
  <c r="Q38" i="6"/>
  <c r="O85" i="3"/>
  <c r="N88" i="3"/>
  <c r="N44" i="3"/>
  <c r="O41" i="3"/>
  <c r="L76" i="2"/>
  <c r="N22" i="8"/>
  <c r="O18" i="8"/>
  <c r="N70" i="6"/>
  <c r="O68" i="6"/>
  <c r="P67" i="8"/>
  <c r="Q65" i="8"/>
  <c r="O65" i="3"/>
  <c r="N67" i="3"/>
  <c r="L21" i="6"/>
  <c r="L73" i="6" s="1"/>
  <c r="M19" i="6"/>
  <c r="M59" i="2"/>
  <c r="N57" i="2"/>
  <c r="Q11" i="8"/>
  <c r="P16" i="8"/>
  <c r="M21" i="2"/>
  <c r="N19" i="2"/>
  <c r="P50" i="3"/>
  <c r="O54" i="3"/>
  <c r="N71" i="8"/>
  <c r="O69" i="8"/>
  <c r="V23" i="2"/>
  <c r="V25" i="2" s="1"/>
  <c r="U25" i="2"/>
  <c r="P81" i="8"/>
  <c r="O83" i="8"/>
  <c r="P35" i="3"/>
  <c r="Q28" i="3"/>
  <c r="O71" i="2"/>
  <c r="N73" i="2"/>
  <c r="N38" i="2"/>
  <c r="O36" i="2"/>
  <c r="O14" i="2"/>
  <c r="N17" i="2"/>
  <c r="P40" i="6"/>
  <c r="O42" i="6"/>
  <c r="U68" i="2"/>
  <c r="T69" i="2"/>
  <c r="N51" i="2"/>
  <c r="O48" i="2"/>
  <c r="Q48" i="6"/>
  <c r="Q51" i="6" s="1"/>
  <c r="P51" i="6"/>
  <c r="Q54" i="8"/>
  <c r="R50" i="8"/>
  <c r="O16" i="3"/>
  <c r="P10" i="3"/>
  <c r="P24" i="3"/>
  <c r="O26" i="3"/>
  <c r="P27" i="6"/>
  <c r="O29" i="6"/>
  <c r="M59" i="6"/>
  <c r="N57" i="6"/>
  <c r="P77" i="8"/>
  <c r="O79" i="8"/>
  <c r="M42" i="2"/>
  <c r="N40" i="2"/>
  <c r="N29" i="2"/>
  <c r="O27" i="2"/>
  <c r="P29" i="8"/>
  <c r="O35" i="8"/>
  <c r="N31" i="2"/>
  <c r="N34" i="2" s="1"/>
  <c r="M63" i="2"/>
  <c r="N61" i="2"/>
  <c r="N83" i="3"/>
  <c r="O81" i="3"/>
  <c r="M59" i="3"/>
  <c r="N56" i="3"/>
  <c r="O71" i="3"/>
  <c r="P69" i="3"/>
  <c r="O63" i="3"/>
  <c r="P61" i="3"/>
  <c r="N46" i="2"/>
  <c r="O44" i="2"/>
  <c r="M91" i="8"/>
  <c r="N46" i="3"/>
  <c r="M48" i="3"/>
  <c r="O22" i="3"/>
  <c r="P18" i="3"/>
  <c r="N55" i="2"/>
  <c r="O53" i="2"/>
  <c r="O6" i="3"/>
  <c r="N8" i="3"/>
  <c r="P44" i="6"/>
  <c r="O46" i="6"/>
  <c r="O75" i="8"/>
  <c r="P73" i="8"/>
  <c r="N79" i="3"/>
  <c r="O77" i="3"/>
  <c r="O63" i="6"/>
  <c r="P61" i="6"/>
  <c r="O75" i="3"/>
  <c r="P73" i="3"/>
  <c r="O39" i="3"/>
  <c r="P37" i="3"/>
  <c r="O59" i="8"/>
  <c r="P56" i="8"/>
  <c r="N44" i="8"/>
  <c r="O42" i="8"/>
  <c r="N55" i="6"/>
  <c r="O53" i="6"/>
  <c r="Q88" i="8" l="1"/>
  <c r="R85" i="8"/>
  <c r="R38" i="6"/>
  <c r="S36" i="6"/>
  <c r="O88" i="3"/>
  <c r="P85" i="3"/>
  <c r="P41" i="3"/>
  <c r="O44" i="3"/>
  <c r="P75" i="8"/>
  <c r="Q73" i="8"/>
  <c r="O83" i="3"/>
  <c r="P81" i="3"/>
  <c r="P16" i="3"/>
  <c r="Q10" i="3"/>
  <c r="O79" i="3"/>
  <c r="P77" i="3"/>
  <c r="N59" i="3"/>
  <c r="O56" i="3"/>
  <c r="O44" i="8"/>
  <c r="P42" i="8"/>
  <c r="P39" i="3"/>
  <c r="Q37" i="3"/>
  <c r="P63" i="6"/>
  <c r="Q61" i="6"/>
  <c r="O55" i="2"/>
  <c r="P53" i="2"/>
  <c r="O46" i="2"/>
  <c r="P44" i="2"/>
  <c r="N42" i="2"/>
  <c r="O40" i="2"/>
  <c r="P26" i="3"/>
  <c r="Q24" i="3"/>
  <c r="R54" i="8"/>
  <c r="S50" i="8"/>
  <c r="V68" i="2"/>
  <c r="U69" i="2"/>
  <c r="O17" i="2"/>
  <c r="P14" i="2"/>
  <c r="O71" i="8"/>
  <c r="P69" i="8"/>
  <c r="N21" i="2"/>
  <c r="O19" i="2"/>
  <c r="N59" i="2"/>
  <c r="O57" i="2"/>
  <c r="M91" i="3"/>
  <c r="P71" i="3"/>
  <c r="Q69" i="3"/>
  <c r="O51" i="2"/>
  <c r="P48" i="2"/>
  <c r="O38" i="2"/>
  <c r="P36" i="2"/>
  <c r="P71" i="2"/>
  <c r="O73" i="2"/>
  <c r="M76" i="2"/>
  <c r="O22" i="8"/>
  <c r="O91" i="8" s="1"/>
  <c r="P18" i="8"/>
  <c r="O55" i="6"/>
  <c r="P53" i="6"/>
  <c r="P59" i="8"/>
  <c r="Q56" i="8"/>
  <c r="Q73" i="3"/>
  <c r="P75" i="3"/>
  <c r="Q18" i="3"/>
  <c r="P22" i="3"/>
  <c r="N48" i="3"/>
  <c r="O46" i="3"/>
  <c r="P63" i="3"/>
  <c r="Q61" i="3"/>
  <c r="O31" i="2"/>
  <c r="O34" i="2" s="1"/>
  <c r="O29" i="2"/>
  <c r="P27" i="2"/>
  <c r="Q27" i="6"/>
  <c r="P29" i="6"/>
  <c r="W48" i="6"/>
  <c r="P42" i="6"/>
  <c r="W40" i="6"/>
  <c r="P83" i="8"/>
  <c r="Q81" i="8"/>
  <c r="O67" i="3"/>
  <c r="P65" i="3"/>
  <c r="Q67" i="8"/>
  <c r="R65" i="8"/>
  <c r="O70" i="6"/>
  <c r="P68" i="6"/>
  <c r="N91" i="8"/>
  <c r="Q44" i="6"/>
  <c r="P46" i="6"/>
  <c r="Q29" i="8"/>
  <c r="P35" i="8"/>
  <c r="P6" i="3"/>
  <c r="O8" i="3"/>
  <c r="N63" i="2"/>
  <c r="O61" i="2"/>
  <c r="Q77" i="8"/>
  <c r="P79" i="8"/>
  <c r="N59" i="6"/>
  <c r="O57" i="6"/>
  <c r="R28" i="3"/>
  <c r="Q35" i="3"/>
  <c r="Q50" i="3"/>
  <c r="P54" i="3"/>
  <c r="Q16" i="8"/>
  <c r="R11" i="8"/>
  <c r="M21" i="6"/>
  <c r="M73" i="6" s="1"/>
  <c r="N19" i="6"/>
  <c r="N76" i="2" l="1"/>
  <c r="S85" i="8"/>
  <c r="R88" i="8"/>
  <c r="S38" i="6"/>
  <c r="T36" i="6"/>
  <c r="P88" i="3"/>
  <c r="Q85" i="3"/>
  <c r="N91" i="3"/>
  <c r="P44" i="3"/>
  <c r="Q41" i="3"/>
  <c r="S28" i="3"/>
  <c r="R35" i="3"/>
  <c r="G17" i="5"/>
  <c r="J17" i="5" s="1"/>
  <c r="W51" i="6"/>
  <c r="Q63" i="3"/>
  <c r="R61" i="3"/>
  <c r="P17" i="2"/>
  <c r="Q14" i="2"/>
  <c r="T50" i="8"/>
  <c r="S54" i="8"/>
  <c r="Q53" i="2"/>
  <c r="P55" i="2"/>
  <c r="Q39" i="3"/>
  <c r="R37" i="3"/>
  <c r="P61" i="2"/>
  <c r="O63" i="2"/>
  <c r="Q46" i="6"/>
  <c r="R44" i="6"/>
  <c r="Q22" i="3"/>
  <c r="R18" i="3"/>
  <c r="P55" i="6"/>
  <c r="Q53" i="6"/>
  <c r="R10" i="3"/>
  <c r="Q16" i="3"/>
  <c r="R16" i="8"/>
  <c r="S11" i="8"/>
  <c r="P57" i="6"/>
  <c r="O59" i="6"/>
  <c r="P70" i="6"/>
  <c r="Q68" i="6"/>
  <c r="P67" i="3"/>
  <c r="Q65" i="3"/>
  <c r="Q29" i="6"/>
  <c r="R27" i="6"/>
  <c r="Q18" i="8"/>
  <c r="P22" i="8"/>
  <c r="Q71" i="2"/>
  <c r="P73" i="2"/>
  <c r="R69" i="3"/>
  <c r="Q71" i="3"/>
  <c r="G22" i="5"/>
  <c r="J22" i="5" s="1"/>
  <c r="V69" i="2"/>
  <c r="Q42" i="8"/>
  <c r="P44" i="8"/>
  <c r="P79" i="3"/>
  <c r="Q77" i="3"/>
  <c r="P83" i="3"/>
  <c r="Q81" i="3"/>
  <c r="P8" i="3"/>
  <c r="Q6" i="3"/>
  <c r="R81" i="8"/>
  <c r="Q83" i="8"/>
  <c r="P29" i="2"/>
  <c r="Q27" i="2"/>
  <c r="R73" i="3"/>
  <c r="Q75" i="3"/>
  <c r="Q36" i="2"/>
  <c r="P38" i="2"/>
  <c r="P19" i="2"/>
  <c r="O21" i="2"/>
  <c r="O42" i="2"/>
  <c r="P40" i="2"/>
  <c r="O19" i="6"/>
  <c r="N21" i="6"/>
  <c r="N73" i="6" s="1"/>
  <c r="R67" i="8"/>
  <c r="S65" i="8"/>
  <c r="O59" i="3"/>
  <c r="P56" i="3"/>
  <c r="Q54" i="3"/>
  <c r="R50" i="3"/>
  <c r="R77" i="8"/>
  <c r="Q79" i="8"/>
  <c r="R29" i="8"/>
  <c r="Q35" i="8"/>
  <c r="W42" i="6"/>
  <c r="G15" i="5"/>
  <c r="J15" i="5" s="1"/>
  <c r="P31" i="2"/>
  <c r="P34" i="2" s="1"/>
  <c r="O48" i="3"/>
  <c r="P46" i="3"/>
  <c r="Q59" i="8"/>
  <c r="R56" i="8"/>
  <c r="Q48" i="2"/>
  <c r="P51" i="2"/>
  <c r="O59" i="2"/>
  <c r="P57" i="2"/>
  <c r="P71" i="8"/>
  <c r="Q69" i="8"/>
  <c r="Q26" i="3"/>
  <c r="R24" i="3"/>
  <c r="P46" i="2"/>
  <c r="Q44" i="2"/>
  <c r="R61" i="6"/>
  <c r="Q63" i="6"/>
  <c r="Q75" i="8"/>
  <c r="R73" i="8"/>
  <c r="O76" i="2" l="1"/>
  <c r="S88" i="8"/>
  <c r="T85" i="8"/>
  <c r="U36" i="6"/>
  <c r="T38" i="6"/>
  <c r="O91" i="3"/>
  <c r="R85" i="3"/>
  <c r="Q88" i="3"/>
  <c r="Q44" i="3"/>
  <c r="R41" i="3"/>
  <c r="P48" i="3"/>
  <c r="Q46" i="3"/>
  <c r="O21" i="6"/>
  <c r="O73" i="6" s="1"/>
  <c r="P19" i="6"/>
  <c r="Q19" i="2"/>
  <c r="P21" i="2"/>
  <c r="S69" i="3"/>
  <c r="R71" i="3"/>
  <c r="R18" i="8"/>
  <c r="Q22" i="8"/>
  <c r="Q55" i="6"/>
  <c r="R53" i="6"/>
  <c r="R48" i="2"/>
  <c r="Q51" i="2"/>
  <c r="S29" i="8"/>
  <c r="R35" i="8"/>
  <c r="R54" i="3"/>
  <c r="S50" i="3"/>
  <c r="S67" i="8"/>
  <c r="T65" i="8"/>
  <c r="R29" i="6"/>
  <c r="S27" i="6"/>
  <c r="T11" i="8"/>
  <c r="S16" i="8"/>
  <c r="S61" i="3"/>
  <c r="R63" i="3"/>
  <c r="R75" i="8"/>
  <c r="S73" i="8"/>
  <c r="R44" i="2"/>
  <c r="Q46" i="2"/>
  <c r="Q31" i="2"/>
  <c r="Q34" i="2" s="1"/>
  <c r="R79" i="8"/>
  <c r="S77" i="8"/>
  <c r="P59" i="3"/>
  <c r="Q56" i="3"/>
  <c r="Q29" i="2"/>
  <c r="R27" i="2"/>
  <c r="S81" i="8"/>
  <c r="R83" i="8"/>
  <c r="Q83" i="3"/>
  <c r="R81" i="3"/>
  <c r="P91" i="8"/>
  <c r="R65" i="3"/>
  <c r="Q67" i="3"/>
  <c r="P59" i="6"/>
  <c r="Q57" i="6"/>
  <c r="Q61" i="2"/>
  <c r="P63" i="2"/>
  <c r="R53" i="2"/>
  <c r="Q55" i="2"/>
  <c r="R14" i="2"/>
  <c r="Q17" i="2"/>
  <c r="R69" i="8"/>
  <c r="Q71" i="8"/>
  <c r="Q8" i="3"/>
  <c r="R6" i="3"/>
  <c r="R42" i="8"/>
  <c r="Q44" i="8"/>
  <c r="S10" i="3"/>
  <c r="R16" i="3"/>
  <c r="S44" i="6"/>
  <c r="R46" i="6"/>
  <c r="R39" i="3"/>
  <c r="S37" i="3"/>
  <c r="R26" i="3"/>
  <c r="S24" i="3"/>
  <c r="P42" i="2"/>
  <c r="Q40" i="2"/>
  <c r="R77" i="3"/>
  <c r="Q79" i="3"/>
  <c r="R63" i="6"/>
  <c r="S61" i="6"/>
  <c r="Q57" i="2"/>
  <c r="P59" i="2"/>
  <c r="S56" i="8"/>
  <c r="R59" i="8"/>
  <c r="Q38" i="2"/>
  <c r="R36" i="2"/>
  <c r="R75" i="3"/>
  <c r="S73" i="3"/>
  <c r="Q73" i="2"/>
  <c r="R71" i="2"/>
  <c r="R68" i="6"/>
  <c r="Q70" i="6"/>
  <c r="S18" i="3"/>
  <c r="R22" i="3"/>
  <c r="U50" i="8"/>
  <c r="T54" i="8"/>
  <c r="S35" i="3"/>
  <c r="T28" i="3"/>
  <c r="P76" i="2" l="1"/>
  <c r="U85" i="8"/>
  <c r="T88" i="8"/>
  <c r="V36" i="6"/>
  <c r="V38" i="6" s="1"/>
  <c r="U38" i="6"/>
  <c r="R88" i="3"/>
  <c r="S85" i="3"/>
  <c r="R44" i="3"/>
  <c r="S41" i="3"/>
  <c r="Q63" i="2"/>
  <c r="R61" i="2"/>
  <c r="S81" i="3"/>
  <c r="R83" i="3"/>
  <c r="T27" i="6"/>
  <c r="S29" i="6"/>
  <c r="R55" i="6"/>
  <c r="S53" i="6"/>
  <c r="R46" i="3"/>
  <c r="Q48" i="3"/>
  <c r="S75" i="3"/>
  <c r="T73" i="3"/>
  <c r="S59" i="8"/>
  <c r="T56" i="8"/>
  <c r="T44" i="6"/>
  <c r="S46" i="6"/>
  <c r="S22" i="3"/>
  <c r="T18" i="3"/>
  <c r="S71" i="2"/>
  <c r="R73" i="2"/>
  <c r="R38" i="2"/>
  <c r="S36" i="2"/>
  <c r="Q59" i="2"/>
  <c r="R57" i="2"/>
  <c r="R79" i="3"/>
  <c r="S77" i="3"/>
  <c r="S16" i="3"/>
  <c r="T10" i="3"/>
  <c r="S6" i="3"/>
  <c r="R8" i="3"/>
  <c r="R57" i="6"/>
  <c r="Q59" i="6"/>
  <c r="S83" i="8"/>
  <c r="T81" i="8"/>
  <c r="R46" i="2"/>
  <c r="S44" i="2"/>
  <c r="P91" i="3"/>
  <c r="R51" i="2"/>
  <c r="S48" i="2"/>
  <c r="R22" i="8"/>
  <c r="W18" i="8"/>
  <c r="T61" i="6"/>
  <c r="S63" i="6"/>
  <c r="Q42" i="2"/>
  <c r="R40" i="2"/>
  <c r="S14" i="2"/>
  <c r="R17" i="2"/>
  <c r="R29" i="2"/>
  <c r="S27" i="2"/>
  <c r="Q59" i="3"/>
  <c r="R56" i="3"/>
  <c r="R31" i="2"/>
  <c r="R34" i="2" s="1"/>
  <c r="S63" i="3"/>
  <c r="T61" i="3"/>
  <c r="T67" i="8"/>
  <c r="U65" i="8"/>
  <c r="U54" i="8"/>
  <c r="V50" i="8"/>
  <c r="S75" i="8"/>
  <c r="T73" i="8"/>
  <c r="T29" i="8"/>
  <c r="S35" i="8"/>
  <c r="S71" i="3"/>
  <c r="T69" i="3"/>
  <c r="Q21" i="2"/>
  <c r="R19" i="2"/>
  <c r="T35" i="3"/>
  <c r="U28" i="3"/>
  <c r="R70" i="6"/>
  <c r="S68" i="6"/>
  <c r="T24" i="3"/>
  <c r="S26" i="3"/>
  <c r="S39" i="3"/>
  <c r="T37" i="3"/>
  <c r="S42" i="8"/>
  <c r="R44" i="8"/>
  <c r="R71" i="8"/>
  <c r="S69" i="8"/>
  <c r="R55" i="2"/>
  <c r="S53" i="2"/>
  <c r="S65" i="3"/>
  <c r="R67" i="3"/>
  <c r="T77" i="8"/>
  <c r="S79" i="8"/>
  <c r="U11" i="8"/>
  <c r="U16" i="8" s="1"/>
  <c r="T16" i="8"/>
  <c r="T50" i="3"/>
  <c r="S54" i="3"/>
  <c r="Q91" i="8"/>
  <c r="P21" i="6"/>
  <c r="P73" i="6" s="1"/>
  <c r="Q19" i="6"/>
  <c r="U88" i="8" l="1"/>
  <c r="V85" i="8"/>
  <c r="W36" i="6"/>
  <c r="T41" i="3"/>
  <c r="S44" i="3"/>
  <c r="Q91" i="3"/>
  <c r="T85" i="3"/>
  <c r="S88" i="3"/>
  <c r="Q76" i="2"/>
  <c r="S17" i="2"/>
  <c r="T14" i="2"/>
  <c r="T83" i="8"/>
  <c r="U81" i="8"/>
  <c r="U27" i="6"/>
  <c r="T29" i="6"/>
  <c r="T75" i="8"/>
  <c r="U73" i="8"/>
  <c r="V54" i="8"/>
  <c r="W50" i="8"/>
  <c r="R91" i="8"/>
  <c r="S46" i="2"/>
  <c r="T44" i="2"/>
  <c r="T6" i="3"/>
  <c r="S8" i="3"/>
  <c r="U44" i="6"/>
  <c r="T46" i="6"/>
  <c r="S83" i="3"/>
  <c r="T81" i="3"/>
  <c r="U29" i="8"/>
  <c r="T35" i="8"/>
  <c r="T63" i="6"/>
  <c r="U61" i="6"/>
  <c r="T42" i="8"/>
  <c r="S44" i="8"/>
  <c r="T54" i="3"/>
  <c r="U50" i="3"/>
  <c r="S71" i="8"/>
  <c r="T69" i="8"/>
  <c r="T39" i="3"/>
  <c r="U37" i="3"/>
  <c r="W11" i="8"/>
  <c r="U77" i="8"/>
  <c r="T79" i="8"/>
  <c r="S67" i="3"/>
  <c r="T65" i="3"/>
  <c r="S70" i="6"/>
  <c r="T68" i="6"/>
  <c r="R21" i="2"/>
  <c r="S19" i="2"/>
  <c r="T63" i="3"/>
  <c r="U61" i="3"/>
  <c r="R59" i="3"/>
  <c r="S56" i="3"/>
  <c r="S51" i="2"/>
  <c r="T48" i="2"/>
  <c r="R59" i="6"/>
  <c r="S57" i="6"/>
  <c r="T16" i="3"/>
  <c r="U10" i="3"/>
  <c r="R59" i="2"/>
  <c r="S57" i="2"/>
  <c r="T59" i="8"/>
  <c r="U56" i="8"/>
  <c r="R63" i="2"/>
  <c r="S61" i="2"/>
  <c r="Q21" i="6"/>
  <c r="Q73" i="6" s="1"/>
  <c r="R19" i="6"/>
  <c r="S55" i="2"/>
  <c r="T53" i="2"/>
  <c r="T71" i="2"/>
  <c r="S73" i="2"/>
  <c r="R48" i="3"/>
  <c r="R91" i="3" s="1"/>
  <c r="S46" i="3"/>
  <c r="T26" i="3"/>
  <c r="U24" i="3"/>
  <c r="V28" i="3"/>
  <c r="V35" i="3" s="1"/>
  <c r="U35" i="3"/>
  <c r="T71" i="3"/>
  <c r="U69" i="3"/>
  <c r="U67" i="8"/>
  <c r="V65" i="8"/>
  <c r="S31" i="2"/>
  <c r="S34" i="2" s="1"/>
  <c r="S29" i="2"/>
  <c r="T27" i="2"/>
  <c r="R42" i="2"/>
  <c r="S40" i="2"/>
  <c r="W22" i="8"/>
  <c r="G9" i="7"/>
  <c r="S79" i="3"/>
  <c r="T77" i="3"/>
  <c r="S38" i="2"/>
  <c r="T36" i="2"/>
  <c r="U18" i="3"/>
  <c r="T22" i="3"/>
  <c r="U73" i="3"/>
  <c r="T75" i="3"/>
  <c r="S55" i="6"/>
  <c r="T53" i="6"/>
  <c r="R76" i="2" l="1"/>
  <c r="S91" i="8"/>
  <c r="V88" i="8"/>
  <c r="W85" i="8"/>
  <c r="W38" i="6"/>
  <c r="G14" i="5"/>
  <c r="J14" i="5" s="1"/>
  <c r="T88" i="3"/>
  <c r="U85" i="3"/>
  <c r="T44" i="3"/>
  <c r="U41" i="3"/>
  <c r="U63" i="3"/>
  <c r="V61" i="3"/>
  <c r="V63" i="3" s="1"/>
  <c r="V73" i="3"/>
  <c r="V75" i="3" s="1"/>
  <c r="U75" i="3"/>
  <c r="T29" i="2"/>
  <c r="U27" i="2"/>
  <c r="U71" i="2"/>
  <c r="T73" i="2"/>
  <c r="S19" i="6"/>
  <c r="R21" i="6"/>
  <c r="R73" i="6" s="1"/>
  <c r="S59" i="2"/>
  <c r="T57" i="2"/>
  <c r="T57" i="6"/>
  <c r="S59" i="6"/>
  <c r="U39" i="3"/>
  <c r="V37" i="3"/>
  <c r="V39" i="3" s="1"/>
  <c r="W54" i="8"/>
  <c r="G15" i="7"/>
  <c r="J15" i="7" s="1"/>
  <c r="U22" i="3"/>
  <c r="V18" i="3"/>
  <c r="V22" i="3" s="1"/>
  <c r="S42" i="2"/>
  <c r="T40" i="2"/>
  <c r="T31" i="2"/>
  <c r="T34" i="2" s="1"/>
  <c r="V69" i="3"/>
  <c r="V71" i="3" s="1"/>
  <c r="U71" i="3"/>
  <c r="U26" i="3"/>
  <c r="V24" i="3"/>
  <c r="V26" i="3" s="1"/>
  <c r="T61" i="2"/>
  <c r="S63" i="2"/>
  <c r="V10" i="3"/>
  <c r="V16" i="3" s="1"/>
  <c r="U16" i="3"/>
  <c r="U48" i="2"/>
  <c r="T51" i="2"/>
  <c r="T71" i="8"/>
  <c r="U69" i="8"/>
  <c r="V29" i="8"/>
  <c r="U35" i="8"/>
  <c r="U46" i="6"/>
  <c r="V44" i="6"/>
  <c r="U75" i="8"/>
  <c r="V73" i="8"/>
  <c r="V81" i="8"/>
  <c r="U83" i="8"/>
  <c r="T38" i="2"/>
  <c r="U36" i="2"/>
  <c r="T70" i="6"/>
  <c r="U68" i="6"/>
  <c r="T83" i="3"/>
  <c r="U81" i="3"/>
  <c r="V67" i="8"/>
  <c r="W65" i="8"/>
  <c r="U59" i="8"/>
  <c r="V56" i="8"/>
  <c r="U79" i="8"/>
  <c r="V77" i="8"/>
  <c r="V50" i="3"/>
  <c r="V54" i="3" s="1"/>
  <c r="U54" i="3"/>
  <c r="U42" i="8"/>
  <c r="T44" i="8"/>
  <c r="T8" i="3"/>
  <c r="U6" i="3"/>
  <c r="T17" i="2"/>
  <c r="U14" i="2"/>
  <c r="T55" i="6"/>
  <c r="U53" i="6"/>
  <c r="T79" i="3"/>
  <c r="U77" i="3"/>
  <c r="S48" i="3"/>
  <c r="T46" i="3"/>
  <c r="U53" i="2"/>
  <c r="T55" i="2"/>
  <c r="S59" i="3"/>
  <c r="T56" i="3"/>
  <c r="T19" i="2"/>
  <c r="S21" i="2"/>
  <c r="T67" i="3"/>
  <c r="U65" i="3"/>
  <c r="H8" i="7"/>
  <c r="H25" i="7" s="1"/>
  <c r="W16" i="8"/>
  <c r="U63" i="6"/>
  <c r="V61" i="6"/>
  <c r="T46" i="2"/>
  <c r="U44" i="2"/>
  <c r="U29" i="6"/>
  <c r="V27" i="6"/>
  <c r="S91" i="3" l="1"/>
  <c r="T91" i="8"/>
  <c r="S76" i="2"/>
  <c r="J23" i="7"/>
  <c r="W88" i="8"/>
  <c r="V41" i="3"/>
  <c r="V44" i="3" s="1"/>
  <c r="U44" i="3"/>
  <c r="U88" i="3"/>
  <c r="V85" i="3"/>
  <c r="V88" i="3" s="1"/>
  <c r="V83" i="8"/>
  <c r="W81" i="8"/>
  <c r="U19" i="2"/>
  <c r="U21" i="2" s="1"/>
  <c r="T21" i="2"/>
  <c r="V42" i="8"/>
  <c r="U44" i="8"/>
  <c r="U83" i="3"/>
  <c r="V81" i="3"/>
  <c r="V83" i="3" s="1"/>
  <c r="U38" i="2"/>
  <c r="V36" i="2"/>
  <c r="V38" i="2" s="1"/>
  <c r="V75" i="8"/>
  <c r="W73" i="8"/>
  <c r="V68" i="6"/>
  <c r="U70" i="6"/>
  <c r="V46" i="6"/>
  <c r="W44" i="6"/>
  <c r="V69" i="8"/>
  <c r="U71" i="8"/>
  <c r="U31" i="2"/>
  <c r="U34" i="2" s="1"/>
  <c r="J9" i="7"/>
  <c r="U57" i="2"/>
  <c r="T59" i="2"/>
  <c r="V44" i="2"/>
  <c r="V46" i="2" s="1"/>
  <c r="U46" i="2"/>
  <c r="U79" i="3"/>
  <c r="V77" i="3"/>
  <c r="V79" i="3" s="1"/>
  <c r="V14" i="2"/>
  <c r="V17" i="2" s="1"/>
  <c r="U17" i="2"/>
  <c r="V79" i="8"/>
  <c r="W77" i="8"/>
  <c r="W67" i="8"/>
  <c r="G18" i="7"/>
  <c r="J18" i="7" s="1"/>
  <c r="U73" i="2"/>
  <c r="V71" i="2"/>
  <c r="V73" i="2" s="1"/>
  <c r="J8" i="7"/>
  <c r="V53" i="2"/>
  <c r="V55" i="2" s="1"/>
  <c r="U55" i="2"/>
  <c r="T42" i="2"/>
  <c r="U40" i="2"/>
  <c r="U29" i="2"/>
  <c r="V27" i="2"/>
  <c r="V29" i="2" s="1"/>
  <c r="V29" i="6"/>
  <c r="W27" i="6"/>
  <c r="V63" i="6"/>
  <c r="W61" i="6"/>
  <c r="V65" i="3"/>
  <c r="V67" i="3" s="1"/>
  <c r="U67" i="3"/>
  <c r="T59" i="3"/>
  <c r="U56" i="3"/>
  <c r="T48" i="3"/>
  <c r="U46" i="3"/>
  <c r="U55" i="6"/>
  <c r="V53" i="6"/>
  <c r="U8" i="3"/>
  <c r="V6" i="3"/>
  <c r="V8" i="3" s="1"/>
  <c r="V59" i="8"/>
  <c r="W56" i="8"/>
  <c r="V35" i="8"/>
  <c r="W29" i="8"/>
  <c r="V48" i="2"/>
  <c r="V51" i="2" s="1"/>
  <c r="U51" i="2"/>
  <c r="U61" i="2"/>
  <c r="T63" i="2"/>
  <c r="T59" i="6"/>
  <c r="U57" i="6"/>
  <c r="T19" i="6"/>
  <c r="S21" i="6"/>
  <c r="S73" i="6" s="1"/>
  <c r="U91" i="8" l="1"/>
  <c r="T91" i="3"/>
  <c r="T76" i="2"/>
  <c r="W59" i="8"/>
  <c r="G16" i="7"/>
  <c r="J16" i="7" s="1"/>
  <c r="V55" i="6"/>
  <c r="W53" i="6"/>
  <c r="U59" i="3"/>
  <c r="V56" i="3"/>
  <c r="V59" i="3" s="1"/>
  <c r="G20" i="5"/>
  <c r="J20" i="5" s="1"/>
  <c r="W63" i="6"/>
  <c r="W79" i="8"/>
  <c r="G21" i="7"/>
  <c r="J21" i="7" s="1"/>
  <c r="V71" i="8"/>
  <c r="V91" i="8" s="1"/>
  <c r="W69" i="8"/>
  <c r="V70" i="6"/>
  <c r="W68" i="6"/>
  <c r="U59" i="6"/>
  <c r="V57" i="6"/>
  <c r="W35" i="8"/>
  <c r="G11" i="7"/>
  <c r="V46" i="3"/>
  <c r="V48" i="3" s="1"/>
  <c r="V91" i="3" s="1"/>
  <c r="U48" i="3"/>
  <c r="G12" i="5"/>
  <c r="W29" i="6"/>
  <c r="V40" i="2"/>
  <c r="V42" i="2" s="1"/>
  <c r="U42" i="2"/>
  <c r="V31" i="2"/>
  <c r="V34" i="2" s="1"/>
  <c r="G16" i="5"/>
  <c r="W46" i="6"/>
  <c r="V44" i="8"/>
  <c r="W42" i="8"/>
  <c r="W83" i="8"/>
  <c r="G22" i="7"/>
  <c r="J22" i="7" s="1"/>
  <c r="T21" i="6"/>
  <c r="T73" i="6" s="1"/>
  <c r="U19" i="6"/>
  <c r="U63" i="2"/>
  <c r="V61" i="2"/>
  <c r="V63" i="2" s="1"/>
  <c r="U59" i="2"/>
  <c r="V57" i="2"/>
  <c r="V59" i="2" s="1"/>
  <c r="W75" i="8"/>
  <c r="G20" i="7"/>
  <c r="J20" i="7" s="1"/>
  <c r="U91" i="3" l="1"/>
  <c r="J16" i="5"/>
  <c r="U76" i="2"/>
  <c r="W71" i="8"/>
  <c r="G19" i="7"/>
  <c r="J19" i="7" s="1"/>
  <c r="V76" i="2"/>
  <c r="J11" i="7"/>
  <c r="W70" i="6"/>
  <c r="G23" i="5"/>
  <c r="J23" i="5" s="1"/>
  <c r="G18" i="5"/>
  <c r="J18" i="5" s="1"/>
  <c r="W55" i="6"/>
  <c r="U21" i="6"/>
  <c r="U73" i="6" s="1"/>
  <c r="V19" i="6"/>
  <c r="W44" i="8"/>
  <c r="G13" i="7"/>
  <c r="J13" i="7" s="1"/>
  <c r="V59" i="6"/>
  <c r="W57" i="6"/>
  <c r="J12" i="5"/>
  <c r="J25" i="7" l="1"/>
  <c r="G25" i="7"/>
  <c r="W91" i="8"/>
  <c r="W59" i="6"/>
  <c r="G19" i="5"/>
  <c r="J19" i="5" s="1"/>
  <c r="V21" i="6"/>
  <c r="V73" i="6" s="1"/>
  <c r="W19" i="6"/>
  <c r="W21" i="6" s="1"/>
  <c r="J25" i="5" l="1"/>
  <c r="G25" i="5"/>
  <c r="W73" i="6"/>
</calcChain>
</file>

<file path=xl/comments1.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comments2.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sharedStrings.xml><?xml version="1.0" encoding="utf-8"?>
<sst xmlns="http://schemas.openxmlformats.org/spreadsheetml/2006/main" count="993" uniqueCount="408">
  <si>
    <t>PUGET SOUND ENERGY</t>
  </si>
  <si>
    <t>DEFERRED ENVIRONMENTAL REMEDIATION COST DETAIL FOR ELECTRIC</t>
  </si>
  <si>
    <t>Sept 2016 - December 2017</t>
  </si>
  <si>
    <t>SAP Order</t>
  </si>
  <si>
    <t>SAP Account</t>
  </si>
  <si>
    <t>Site Description</t>
  </si>
  <si>
    <t>Order in Docket #</t>
  </si>
  <si>
    <t xml:space="preserve">Year Established </t>
  </si>
  <si>
    <t>Amotization Period</t>
  </si>
  <si>
    <t>Ending Bal Sept-16</t>
  </si>
  <si>
    <t xml:space="preserve"> Dec-16</t>
  </si>
  <si>
    <t>18231251</t>
  </si>
  <si>
    <r>
      <t>White River/Buckley Phase I Headworks (</t>
    </r>
    <r>
      <rPr>
        <sz val="11"/>
        <color rgb="FF0000FF"/>
        <rFont val="Calibri"/>
        <family val="2"/>
      </rPr>
      <t>Remediation Cost</t>
    </r>
    <r>
      <rPr>
        <sz val="11"/>
        <color theme="1"/>
        <rFont val="Calibri"/>
        <family val="2"/>
        <scheme val="minor"/>
      </rPr>
      <t>)</t>
    </r>
  </si>
  <si>
    <t>UE-991796</t>
  </si>
  <si>
    <t>2017 GRC transfer for amortization based on 9/30/2016 balances</t>
  </si>
  <si>
    <t>UE-170033</t>
  </si>
  <si>
    <t>5 years</t>
  </si>
  <si>
    <t>Subtotal White River/Buckley Phase I Headworks Site</t>
  </si>
  <si>
    <t>18232251</t>
  </si>
  <si>
    <r>
      <t>White River/Buckley Phase II Burn Pile and Wood Debris (</t>
    </r>
    <r>
      <rPr>
        <sz val="11"/>
        <color rgb="FF0000FF"/>
        <rFont val="Calibri"/>
        <family val="2"/>
      </rPr>
      <t>Remediation Cost</t>
    </r>
    <r>
      <rPr>
        <sz val="11"/>
        <color theme="1"/>
        <rFont val="Calibri"/>
        <family val="2"/>
        <scheme val="minor"/>
      </rPr>
      <t>)</t>
    </r>
  </si>
  <si>
    <t>Subtotal White River/Buckley Phase II Burn Pile and Wood Debris Site</t>
  </si>
  <si>
    <t>18232271</t>
  </si>
  <si>
    <r>
      <t>Lower Duwamish Waterway  (</t>
    </r>
    <r>
      <rPr>
        <sz val="11"/>
        <color rgb="FF0000FF"/>
        <rFont val="Calibri"/>
        <family val="2"/>
      </rPr>
      <t>Remediation Cost</t>
    </r>
    <r>
      <rPr>
        <sz val="11"/>
        <color theme="1"/>
        <rFont val="Calibri"/>
        <family val="2"/>
        <scheme val="minor"/>
      </rPr>
      <t>)</t>
    </r>
  </si>
  <si>
    <t>UE-021537</t>
  </si>
  <si>
    <r>
      <t>Lower Duwamish Waterway   (</t>
    </r>
    <r>
      <rPr>
        <sz val="11"/>
        <color rgb="FFFF0000"/>
        <rFont val="Calibri"/>
        <family val="2"/>
        <scheme val="minor"/>
      </rPr>
      <t>Insurance Recoveries/3rd parties</t>
    </r>
    <r>
      <rPr>
        <sz val="11"/>
        <color theme="1"/>
        <rFont val="Calibri"/>
        <family val="2"/>
        <scheme val="minor"/>
      </rPr>
      <t>)</t>
    </r>
  </si>
  <si>
    <t>Subtotal Lower Duwamish Waterway Site</t>
  </si>
  <si>
    <t>18230041</t>
  </si>
  <si>
    <t>18233091</t>
  </si>
  <si>
    <r>
      <t>Tenino Service Center UST (</t>
    </r>
    <r>
      <rPr>
        <sz val="11"/>
        <color rgb="FF0000FF"/>
        <rFont val="Calibri"/>
        <family val="2"/>
      </rPr>
      <t>Remediation Cost</t>
    </r>
    <r>
      <rPr>
        <sz val="11"/>
        <color theme="1"/>
        <rFont val="Calibri"/>
        <family val="2"/>
        <scheme val="minor"/>
      </rPr>
      <t>)</t>
    </r>
  </si>
  <si>
    <t>UE-911476</t>
  </si>
  <si>
    <t>2017 GRC transfer for amortization; based on 9/30/2016 balances</t>
  </si>
  <si>
    <t>Subtotal Tenino Service Center UST</t>
  </si>
  <si>
    <t>18601120</t>
  </si>
  <si>
    <t>18608001</t>
  </si>
  <si>
    <r>
      <t>Lower Baker Power Plant (</t>
    </r>
    <r>
      <rPr>
        <sz val="11"/>
        <color rgb="FF0000FF"/>
        <rFont val="Calibri"/>
        <family val="2"/>
      </rPr>
      <t>Remediation Cost)</t>
    </r>
  </si>
  <si>
    <t>UE-070724</t>
  </si>
  <si>
    <t>Subtotal Lower Baker Power Plant Site</t>
  </si>
  <si>
    <t>18601121</t>
  </si>
  <si>
    <t>18608021</t>
  </si>
  <si>
    <r>
      <t>Snoqualmie Hydro Generation (</t>
    </r>
    <r>
      <rPr>
        <sz val="11"/>
        <color rgb="FF0000FF"/>
        <rFont val="Calibri"/>
        <family val="2"/>
      </rPr>
      <t>Remediation Cost</t>
    </r>
    <r>
      <rPr>
        <sz val="11"/>
        <color theme="1"/>
        <rFont val="Calibri"/>
        <family val="2"/>
        <scheme val="minor"/>
      </rPr>
      <t>)</t>
    </r>
  </si>
  <si>
    <t>UE-072060</t>
  </si>
  <si>
    <t>Subtotal Snoqualmie Hydro Generation Site</t>
  </si>
  <si>
    <t>18601122</t>
  </si>
  <si>
    <t>18608041</t>
  </si>
  <si>
    <r>
      <t>Bellingham South State Street MGP (former Blvd Park) (</t>
    </r>
    <r>
      <rPr>
        <sz val="11"/>
        <color rgb="FF0000FF"/>
        <rFont val="Calibri"/>
        <family val="2"/>
      </rPr>
      <t>Remediation Cost</t>
    </r>
    <r>
      <rPr>
        <sz val="11"/>
        <color theme="1"/>
        <rFont val="Calibri"/>
        <family val="2"/>
        <scheme val="minor"/>
      </rPr>
      <t>)</t>
    </r>
  </si>
  <si>
    <t>UE-081016</t>
  </si>
  <si>
    <r>
      <t>Bellingham South State Street MGP  (</t>
    </r>
    <r>
      <rPr>
        <sz val="11"/>
        <color rgb="FFFF0000"/>
        <rFont val="Calibri"/>
        <family val="2"/>
        <scheme val="minor"/>
      </rPr>
      <t>Insurance Recovery/3rd parties</t>
    </r>
    <r>
      <rPr>
        <sz val="11"/>
        <color theme="1"/>
        <rFont val="Calibri"/>
        <family val="2"/>
        <scheme val="minor"/>
      </rPr>
      <t>)</t>
    </r>
  </si>
  <si>
    <t>Subtotal Bellingham South State Street MGP (former Blvd Park) Site</t>
  </si>
  <si>
    <t>18601125</t>
  </si>
  <si>
    <t>18608081</t>
  </si>
  <si>
    <r>
      <t>Electron Flume  (</t>
    </r>
    <r>
      <rPr>
        <sz val="11"/>
        <color rgb="FF0000FF"/>
        <rFont val="Calibri"/>
        <family val="2"/>
      </rPr>
      <t>Remediation Cost)</t>
    </r>
  </si>
  <si>
    <t xml:space="preserve">Subtotal Electron Flume Site </t>
  </si>
  <si>
    <t>18601128</t>
  </si>
  <si>
    <t>18608141</t>
  </si>
  <si>
    <r>
      <t>Talbot Hill Substation and Switchyard (</t>
    </r>
    <r>
      <rPr>
        <sz val="11"/>
        <color rgb="FF0000FF"/>
        <rFont val="Calibri"/>
        <family val="2"/>
      </rPr>
      <t>Remediation Cost</t>
    </r>
    <r>
      <rPr>
        <sz val="11"/>
        <color theme="1"/>
        <rFont val="Calibri"/>
        <family val="2"/>
        <scheme val="minor"/>
      </rPr>
      <t>)</t>
    </r>
  </si>
  <si>
    <t>Blanket orders : UE-070724, UE-072060, UE-081016</t>
  </si>
  <si>
    <t>Subtotal Talbot Hill Substation &amp; Switchyard Site</t>
  </si>
  <si>
    <t>18608191</t>
  </si>
  <si>
    <r>
      <t>Sammamish Substation (</t>
    </r>
    <r>
      <rPr>
        <sz val="11"/>
        <color rgb="FF0000FF"/>
        <rFont val="Calibri"/>
        <family val="2"/>
      </rPr>
      <t>Remediation Cost</t>
    </r>
    <r>
      <rPr>
        <sz val="11"/>
        <color theme="1"/>
        <rFont val="Calibri"/>
        <family val="2"/>
        <scheme val="minor"/>
      </rPr>
      <t>)</t>
    </r>
  </si>
  <si>
    <t>Subtotal Sammamish Substation Site</t>
  </si>
  <si>
    <t>18601161</t>
  </si>
  <si>
    <t>18608231</t>
  </si>
  <si>
    <r>
      <t>City of Olympia v PSE Plum Street Station (</t>
    </r>
    <r>
      <rPr>
        <sz val="11"/>
        <color rgb="FF0000FF"/>
        <rFont val="Calibri"/>
        <family val="2"/>
      </rPr>
      <t>Remediation Cost</t>
    </r>
    <r>
      <rPr>
        <sz val="11"/>
        <color theme="1"/>
        <rFont val="Calibri"/>
        <family val="2"/>
        <scheme val="minor"/>
      </rPr>
      <t>)</t>
    </r>
  </si>
  <si>
    <t>18601162</t>
  </si>
  <si>
    <t>18608271</t>
  </si>
  <si>
    <r>
      <t>City of Olympia v PSE Plum Street Station (</t>
    </r>
    <r>
      <rPr>
        <sz val="11"/>
        <color rgb="FFFF0000"/>
        <rFont val="Calibri"/>
        <family val="2"/>
        <scheme val="minor"/>
      </rPr>
      <t>Insurance Recovery</t>
    </r>
    <r>
      <rPr>
        <sz val="11"/>
        <color theme="1"/>
        <rFont val="Calibri"/>
        <family val="2"/>
        <scheme val="minor"/>
      </rPr>
      <t>)</t>
    </r>
  </si>
  <si>
    <t>Subtotal City of Olympia v PSE Plum Street Station</t>
  </si>
  <si>
    <t>18601171</t>
  </si>
  <si>
    <t>18608251</t>
  </si>
  <si>
    <r>
      <t>Whitehorn UST (</t>
    </r>
    <r>
      <rPr>
        <sz val="11"/>
        <color rgb="FF0000FF"/>
        <rFont val="Calibri"/>
        <family val="2"/>
      </rPr>
      <t>Remediation Cost</t>
    </r>
    <r>
      <rPr>
        <sz val="11"/>
        <color theme="1"/>
        <rFont val="Calibri"/>
        <family val="2"/>
        <scheme val="minor"/>
      </rPr>
      <t>)</t>
    </r>
  </si>
  <si>
    <t>Subtotal Whitehorn UST</t>
  </si>
  <si>
    <t>18608171</t>
  </si>
  <si>
    <r>
      <t>Everett Asarco (</t>
    </r>
    <r>
      <rPr>
        <sz val="11"/>
        <color rgb="FF0000FF"/>
        <rFont val="Calibri"/>
        <family val="2"/>
      </rPr>
      <t>Remediation Cost</t>
    </r>
    <r>
      <rPr>
        <sz val="11"/>
        <color theme="1"/>
        <rFont val="Calibri"/>
        <family val="2"/>
        <scheme val="minor"/>
      </rPr>
      <t>)</t>
    </r>
  </si>
  <si>
    <t>Subtotal Everett Asarco Site</t>
  </si>
  <si>
    <t>18608211</t>
  </si>
  <si>
    <r>
      <t>Pt. Robinson Cable Station  (</t>
    </r>
    <r>
      <rPr>
        <sz val="11"/>
        <color rgb="FF0000FF"/>
        <rFont val="Calibri"/>
        <family val="2"/>
      </rPr>
      <t>Remediation Cost</t>
    </r>
    <r>
      <rPr>
        <sz val="11"/>
        <color theme="1"/>
        <rFont val="Calibri"/>
        <family val="2"/>
        <scheme val="minor"/>
      </rPr>
      <t>)</t>
    </r>
  </si>
  <si>
    <t>Subtotal Pt. Robinson Cable Station</t>
  </si>
  <si>
    <t>18608281</t>
  </si>
  <si>
    <r>
      <t>Shuffleton (</t>
    </r>
    <r>
      <rPr>
        <sz val="11"/>
        <color rgb="FF0000FF"/>
        <rFont val="Calibri"/>
        <family val="2"/>
      </rPr>
      <t>Remediation Cost</t>
    </r>
    <r>
      <rPr>
        <sz val="11"/>
        <color theme="1"/>
        <rFont val="Calibri"/>
        <family val="2"/>
        <scheme val="minor"/>
      </rPr>
      <t xml:space="preserve">) </t>
    </r>
    <r>
      <rPr>
        <b/>
        <sz val="11"/>
        <color rgb="FFFF0000"/>
        <rFont val="Calibri"/>
        <family val="2"/>
        <scheme val="minor"/>
      </rPr>
      <t>NEW</t>
    </r>
  </si>
  <si>
    <t>Subtotal Shuffleton Site</t>
  </si>
  <si>
    <t>18601152</t>
  </si>
  <si>
    <t>18608441</t>
  </si>
  <si>
    <r>
      <t>Central Waterfront (</t>
    </r>
    <r>
      <rPr>
        <sz val="11"/>
        <color rgb="FF0000FF"/>
        <rFont val="Calibri"/>
        <family val="2"/>
        <scheme val="minor"/>
      </rPr>
      <t xml:space="preserve">Remediation Cost) </t>
    </r>
    <r>
      <rPr>
        <b/>
        <sz val="11"/>
        <color rgb="FFFF0000"/>
        <rFont val="Calibri"/>
        <family val="2"/>
        <scheme val="minor"/>
      </rPr>
      <t>NEW</t>
    </r>
  </si>
  <si>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</si>
  <si>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</si>
  <si>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</si>
  <si>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</si>
  <si>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</si>
  <si>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</si>
  <si>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</si>
  <si>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</si>
  <si>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r>
      <t>Tacoma Gas Company (Upload Source Control) (</t>
    </r>
    <r>
      <rPr>
        <sz val="11"/>
        <color rgb="FF0000FF"/>
        <rFont val="Calibri"/>
        <family val="2"/>
      </rPr>
      <t>Remediation Cost</t>
    </r>
    <r>
      <rPr>
        <sz val="11"/>
        <color theme="1"/>
        <rFont val="Calibri"/>
        <family val="2"/>
        <scheme val="minor"/>
      </rPr>
      <t>)</t>
    </r>
  </si>
  <si>
    <t>UG-920840</t>
  </si>
  <si>
    <t>UG-170034</t>
  </si>
  <si>
    <t>Subtotal Tacoma Gas Company</t>
  </si>
  <si>
    <r>
      <t>Thea Foss Waterway (</t>
    </r>
    <r>
      <rPr>
        <sz val="11"/>
        <color rgb="FF0000FF"/>
        <rFont val="Calibri"/>
        <family val="2"/>
      </rPr>
      <t>Remediation Cost</t>
    </r>
    <r>
      <rPr>
        <sz val="11"/>
        <color theme="1"/>
        <rFont val="Calibri"/>
        <family val="2"/>
        <scheme val="minor"/>
      </rPr>
      <t>)</t>
    </r>
  </si>
  <si>
    <r>
      <t>Thea Foss Waterway (</t>
    </r>
    <r>
      <rPr>
        <sz val="11"/>
        <color rgb="FFFF0000"/>
        <rFont val="Calibri"/>
        <family val="2"/>
      </rPr>
      <t>WADOT Settlement</t>
    </r>
    <r>
      <rPr>
        <sz val="11"/>
        <rFont val="Calibri"/>
        <family val="2"/>
      </rPr>
      <t>)</t>
    </r>
  </si>
  <si>
    <t>Thea Foss Recovery</t>
  </si>
  <si>
    <t>Subtotal Thea Foss Waterway</t>
  </si>
  <si>
    <r>
      <t>Everett MGP (</t>
    </r>
    <r>
      <rPr>
        <sz val="11"/>
        <color rgb="FF0000FF"/>
        <rFont val="Calibri"/>
        <family val="2"/>
      </rPr>
      <t>Remediation Cost</t>
    </r>
    <r>
      <rPr>
        <sz val="11"/>
        <color theme="1"/>
        <rFont val="Calibri"/>
        <family val="2"/>
        <scheme val="minor"/>
      </rPr>
      <t>)</t>
    </r>
  </si>
  <si>
    <t>UG-920781</t>
  </si>
  <si>
    <r>
      <t>Everett MGP (</t>
    </r>
    <r>
      <rPr>
        <sz val="11"/>
        <color rgb="FFFF0000"/>
        <rFont val="Calibri"/>
        <family val="2"/>
      </rPr>
      <t>WADOT Settlement</t>
    </r>
    <r>
      <rPr>
        <sz val="11"/>
        <rFont val="Calibri"/>
        <family val="2"/>
      </rPr>
      <t>)</t>
    </r>
  </si>
  <si>
    <t>18608212</t>
  </si>
  <si>
    <t>Subtotal Everett MGP</t>
  </si>
  <si>
    <r>
      <t>Chehalis MGP (</t>
    </r>
    <r>
      <rPr>
        <sz val="11"/>
        <color rgb="FF0000FF"/>
        <rFont val="Calibri"/>
        <family val="2"/>
      </rPr>
      <t>Remediation Cost</t>
    </r>
    <r>
      <rPr>
        <sz val="11"/>
        <color theme="1"/>
        <rFont val="Calibri"/>
        <family val="2"/>
        <scheme val="minor"/>
      </rPr>
      <t>)</t>
    </r>
  </si>
  <si>
    <t>Subtotal Chehalis MGP</t>
  </si>
  <si>
    <r>
      <t>Post - Nov 2012 Gas Works Park  (</t>
    </r>
    <r>
      <rPr>
        <sz val="11"/>
        <color rgb="FF0000FF"/>
        <rFont val="Calibri"/>
        <family val="2"/>
        <scheme val="minor"/>
      </rPr>
      <t>Remediation Cost</t>
    </r>
    <r>
      <rPr>
        <sz val="11"/>
        <color theme="1"/>
        <rFont val="Calibri"/>
        <family val="2"/>
        <scheme val="minor"/>
      </rPr>
      <t>)</t>
    </r>
  </si>
  <si>
    <r>
      <t>Pre-Nov 2012 Gas Works Park  (</t>
    </r>
    <r>
      <rPr>
        <sz val="11"/>
        <color rgb="FF0000FF"/>
        <rFont val="Calibri"/>
        <family val="2"/>
      </rPr>
      <t>Remediation Cost</t>
    </r>
    <r>
      <rPr>
        <sz val="11"/>
        <color theme="1"/>
        <rFont val="Calibri"/>
        <family val="2"/>
        <scheme val="minor"/>
      </rPr>
      <t>)</t>
    </r>
  </si>
  <si>
    <r>
      <t>Pre-Nov 2012 Lake Union Sediments (</t>
    </r>
    <r>
      <rPr>
        <sz val="11"/>
        <color rgb="FF0000FF"/>
        <rFont val="Calibri"/>
        <family val="2"/>
      </rPr>
      <t>Remediation Cost</t>
    </r>
    <r>
      <rPr>
        <sz val="11"/>
        <color theme="1"/>
        <rFont val="Calibri"/>
        <family val="2"/>
        <scheme val="minor"/>
      </rPr>
      <t>)</t>
    </r>
  </si>
  <si>
    <r>
      <t>Gas Works Park (</t>
    </r>
    <r>
      <rPr>
        <sz val="11"/>
        <color rgb="FFFF0000"/>
        <rFont val="Calibri"/>
        <family val="2"/>
        <scheme val="minor"/>
      </rPr>
      <t>Insurance Recovery/3rd parties</t>
    </r>
    <r>
      <rPr>
        <sz val="11"/>
        <color theme="1"/>
        <rFont val="Calibri"/>
        <family val="2"/>
        <scheme val="minor"/>
      </rPr>
      <t>)</t>
    </r>
  </si>
  <si>
    <t>Subtotal Gas Works Park &amp; Lake Union</t>
  </si>
  <si>
    <r>
      <t>Quendall Terminal (</t>
    </r>
    <r>
      <rPr>
        <sz val="11"/>
        <color rgb="FF0000FF"/>
        <rFont val="Calibri"/>
        <family val="2"/>
      </rPr>
      <t>Remediation Cost</t>
    </r>
    <r>
      <rPr>
        <sz val="11"/>
        <color theme="1"/>
        <rFont val="Calibri"/>
        <family val="2"/>
        <scheme val="minor"/>
      </rPr>
      <t>)</t>
    </r>
  </si>
  <si>
    <t>Subtotal Quendall Terminal</t>
  </si>
  <si>
    <r>
      <t>Post-June 1999 Tacoma Tar Pits (</t>
    </r>
    <r>
      <rPr>
        <sz val="11"/>
        <color rgb="FF0000FF"/>
        <rFont val="Calibri"/>
        <family val="2"/>
      </rPr>
      <t>Remediation Cost)</t>
    </r>
  </si>
  <si>
    <r>
      <t>Pre-June 1999 Tacoma Tar Pits (</t>
    </r>
    <r>
      <rPr>
        <sz val="11"/>
        <color rgb="FF0000FF"/>
        <rFont val="Calibri"/>
        <family val="2"/>
      </rPr>
      <t>Remediation Cost)</t>
    </r>
  </si>
  <si>
    <t>Subtotal Tacoma Tar Pits</t>
  </si>
  <si>
    <r>
      <t>Bay Station (</t>
    </r>
    <r>
      <rPr>
        <sz val="11"/>
        <color rgb="FF0000FF"/>
        <rFont val="Calibri"/>
        <family val="2"/>
      </rPr>
      <t>Remediation Cost</t>
    </r>
    <r>
      <rPr>
        <sz val="11"/>
        <color theme="1"/>
        <rFont val="Calibri"/>
        <family val="2"/>
        <scheme val="minor"/>
      </rPr>
      <t>)</t>
    </r>
  </si>
  <si>
    <t>Subtotal Bay Station</t>
  </si>
  <si>
    <r>
      <t>Olympia Columbia Street MGP (</t>
    </r>
    <r>
      <rPr>
        <sz val="11"/>
        <color rgb="FF0000FF"/>
        <rFont val="Calibri"/>
        <family val="2"/>
      </rPr>
      <t>Remediation Cost</t>
    </r>
    <r>
      <rPr>
        <sz val="11"/>
        <color theme="1"/>
        <rFont val="Calibri"/>
        <family val="2"/>
        <scheme val="minor"/>
      </rPr>
      <t>)</t>
    </r>
  </si>
  <si>
    <r>
      <t>Olympia Columbia Street MGP (</t>
    </r>
    <r>
      <rPr>
        <sz val="11"/>
        <color rgb="FFFF0000"/>
        <rFont val="Calibri"/>
        <family val="2"/>
      </rPr>
      <t>WADOT Settlement</t>
    </r>
    <r>
      <rPr>
        <sz val="11"/>
        <rFont val="Calibri"/>
        <family val="2"/>
      </rPr>
      <t>)</t>
    </r>
  </si>
  <si>
    <t>Subtotal Olympia Columbia Street MGP</t>
  </si>
  <si>
    <r>
      <t>Verbeek Autowrecking (</t>
    </r>
    <r>
      <rPr>
        <sz val="11"/>
        <color rgb="FF0000FF"/>
        <rFont val="Calibri"/>
        <family val="2"/>
      </rPr>
      <t>Remediation Cost)</t>
    </r>
  </si>
  <si>
    <r>
      <t>Verbeek Autowrecking (</t>
    </r>
    <r>
      <rPr>
        <sz val="11"/>
        <color rgb="FFFF0000"/>
        <rFont val="Calibri"/>
        <family val="2"/>
        <scheme val="minor"/>
      </rPr>
      <t>Insurance Recovery/3rd parties</t>
    </r>
    <r>
      <rPr>
        <sz val="11"/>
        <color rgb="FF0000FF"/>
        <rFont val="Calibri"/>
        <family val="2"/>
      </rPr>
      <t>)</t>
    </r>
  </si>
  <si>
    <t>Subtotal Verbeek Autowrecking</t>
  </si>
  <si>
    <r>
      <t>Downtowner Property (</t>
    </r>
    <r>
      <rPr>
        <sz val="11"/>
        <color rgb="FF0000FF"/>
        <rFont val="Calibri"/>
        <family val="2"/>
      </rPr>
      <t>Remediation Cost</t>
    </r>
    <r>
      <rPr>
        <sz val="11"/>
        <color theme="1"/>
        <rFont val="Calibri"/>
        <family val="2"/>
        <scheme val="minor"/>
      </rPr>
      <t>)</t>
    </r>
  </si>
  <si>
    <t>Subtotal Downtowner Property</t>
  </si>
  <si>
    <r>
      <t>Swarr Station (</t>
    </r>
    <r>
      <rPr>
        <sz val="11"/>
        <color rgb="FF0000FF"/>
        <rFont val="Calibri"/>
        <family val="2"/>
      </rPr>
      <t>Remediation Cost</t>
    </r>
    <r>
      <rPr>
        <sz val="11"/>
        <color theme="1"/>
        <rFont val="Calibri"/>
        <family val="2"/>
        <scheme val="minor"/>
      </rPr>
      <t>)</t>
    </r>
  </si>
  <si>
    <t>Subtotal Swarr Station</t>
  </si>
  <si>
    <r>
      <t>South Seattle Gate Station (</t>
    </r>
    <r>
      <rPr>
        <sz val="11"/>
        <color rgb="FF0000FF"/>
        <rFont val="Calibri"/>
        <family val="2"/>
      </rPr>
      <t>Remediation Cost</t>
    </r>
    <r>
      <rPr>
        <sz val="11"/>
        <color theme="1"/>
        <rFont val="Calibri"/>
        <family val="2"/>
        <scheme val="minor"/>
      </rPr>
      <t>)</t>
    </r>
  </si>
  <si>
    <t>Prior to 1998</t>
  </si>
  <si>
    <t>Subtotal South Seattle Gate Station</t>
  </si>
  <si>
    <r>
      <t>North Tacoma Gate Station (</t>
    </r>
    <r>
      <rPr>
        <sz val="11"/>
        <color rgb="FF0000FF"/>
        <rFont val="Calibri"/>
        <family val="2"/>
      </rPr>
      <t>Remediation Cost</t>
    </r>
    <r>
      <rPr>
        <sz val="11"/>
        <color theme="1"/>
        <rFont val="Calibri"/>
        <family val="2"/>
        <scheme val="minor"/>
      </rPr>
      <t>)</t>
    </r>
  </si>
  <si>
    <t>Subtotal North Tacoma Gate Station</t>
  </si>
  <si>
    <r>
      <t>North Seattle Gate Station (</t>
    </r>
    <r>
      <rPr>
        <sz val="11"/>
        <color rgb="FF0000FF"/>
        <rFont val="Calibri"/>
        <family val="2"/>
      </rPr>
      <t>Remediation Cost</t>
    </r>
    <r>
      <rPr>
        <sz val="11"/>
        <color theme="1"/>
        <rFont val="Calibri"/>
        <family val="2"/>
        <scheme val="minor"/>
      </rPr>
      <t>)</t>
    </r>
  </si>
  <si>
    <t>Subtotal North Seattle Gate Station</t>
  </si>
  <si>
    <r>
      <t>Covington Gate Station (</t>
    </r>
    <r>
      <rPr>
        <sz val="11"/>
        <color rgb="FF0000FF"/>
        <rFont val="Calibri"/>
        <family val="2"/>
      </rPr>
      <t>Remediation Cost</t>
    </r>
    <r>
      <rPr>
        <sz val="11"/>
        <color theme="1"/>
        <rFont val="Calibri"/>
        <family val="2"/>
        <scheme val="minor"/>
      </rPr>
      <t>)</t>
    </r>
  </si>
  <si>
    <t>Subtotal Covington Gate Station</t>
  </si>
  <si>
    <t>Unallocated Insurance and Third Parties Recoveries</t>
  </si>
  <si>
    <t>Subtotal Unallocated Gas Recoveries</t>
  </si>
  <si>
    <t>DEFERRED ACTUAL ENVIRONMENTAL REMEDIATION COST SUMMARY FOR ELECTRIC</t>
  </si>
  <si>
    <t>SEPTEMBER 2016 - DECEMBER 2017</t>
  </si>
  <si>
    <t>Sept 2016 - Dec 2017 ACTUAL COST</t>
  </si>
  <si>
    <r>
      <t xml:space="preserve">Order in Docket # </t>
    </r>
    <r>
      <rPr>
        <b/>
        <sz val="9"/>
        <color rgb="FF0000FF"/>
        <rFont val="Calibri"/>
        <family val="2"/>
      </rPr>
      <t>(a)</t>
    </r>
  </si>
  <si>
    <t>Cummulative Ending Bal. Sept-16</t>
  </si>
  <si>
    <t>Sept 2016 - Dec 2017 Activity</t>
  </si>
  <si>
    <t xml:space="preserve">Insurance/3rd Party Recoveries </t>
  </si>
  <si>
    <t xml:space="preserve">Bal. authorized to transfer for amortization </t>
  </si>
  <si>
    <t>Ending Bal. Dec-17</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</si>
  <si>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</si>
  <si>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</si>
  <si>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</si>
  <si>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</si>
  <si>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</si>
  <si>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</si>
  <si>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</si>
  <si>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</si>
  <si>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</si>
  <si>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</si>
  <si>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</si>
  <si>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</si>
  <si>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</si>
  <si>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</si>
  <si>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</si>
  <si>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</si>
  <si>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</si>
  <si>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</si>
  <si>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</si>
  <si>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</si>
  <si>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</si>
  <si>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</si>
  <si>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</si>
  <si>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r>
      <t>Shuffleton (</t>
    </r>
    <r>
      <rPr>
        <sz val="11"/>
        <color rgb="FF0000FF"/>
        <rFont val="Calibri"/>
        <family val="2"/>
        <scheme val="minor"/>
      </rPr>
      <t>NEW</t>
    </r>
    <r>
      <rPr>
        <sz val="11"/>
        <color theme="1"/>
        <rFont val="Calibri"/>
        <family val="2"/>
        <scheme val="minor"/>
      </rPr>
      <t>)</t>
    </r>
  </si>
  <si>
    <r>
      <t>Central Waterfront (</t>
    </r>
    <r>
      <rPr>
        <sz val="11"/>
        <color rgb="FF0000FF"/>
        <rFont val="Calibri"/>
        <family val="2"/>
      </rPr>
      <t>NEW</t>
    </r>
    <r>
      <rPr>
        <sz val="11"/>
        <color theme="1"/>
        <rFont val="Calibri"/>
        <family val="2"/>
        <scheme val="minor"/>
      </rPr>
      <t>)</t>
    </r>
  </si>
  <si>
    <t>Unallocated Def Elec Env Rem Recoveries</t>
  </si>
  <si>
    <t>Grand Total</t>
  </si>
  <si>
    <t>DEFERRED ENVIRONMENTAL REMEDIATION COST DEFFERED ACTIVITY FOR ELECTRIC</t>
  </si>
  <si>
    <t xml:space="preserve"> Cummulative Bal. Sept-16</t>
  </si>
  <si>
    <t xml:space="preserve"> Cummulative Bal. Dec-17</t>
  </si>
  <si>
    <r>
      <t>City of Olympia v PSE Plum Street Station (</t>
    </r>
    <r>
      <rPr>
        <sz val="11"/>
        <color rgb="FFFF0000"/>
        <rFont val="Calibri"/>
        <family val="2"/>
        <scheme val="minor"/>
      </rPr>
      <t>Insurance Recovery/3rd parties</t>
    </r>
    <r>
      <rPr>
        <sz val="11"/>
        <color theme="1"/>
        <rFont val="Calibri"/>
        <family val="2"/>
        <scheme val="minor"/>
      </rPr>
      <t>)</t>
    </r>
  </si>
  <si>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</si>
  <si>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</si>
  <si>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</si>
  <si>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</si>
  <si>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</si>
  <si>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</si>
  <si>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</si>
  <si>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</si>
  <si>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</si>
  <si>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</si>
  <si>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</si>
  <si>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</si>
  <si>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</si>
  <si>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</si>
  <si>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</si>
  <si>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</si>
  <si>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</si>
  <si>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</si>
  <si>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</si>
  <si>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</si>
  <si>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r>
      <t>Verbeek Autowrecking (</t>
    </r>
    <r>
      <rPr>
        <sz val="11"/>
        <color rgb="FFFF0000"/>
        <rFont val="Calibri"/>
        <family val="2"/>
        <scheme val="minor"/>
      </rPr>
      <t>Insurance Recovery</t>
    </r>
    <r>
      <rPr>
        <sz val="11"/>
        <color theme="1"/>
        <rFont val="Calibri"/>
        <family val="2"/>
        <scheme val="minor"/>
      </rPr>
      <t>/</t>
    </r>
    <r>
      <rPr>
        <sz val="11"/>
        <color rgb="FFFF0000"/>
        <rFont val="Calibri"/>
        <family val="2"/>
        <scheme val="minor"/>
      </rPr>
      <t>3rd Parties</t>
    </r>
    <r>
      <rPr>
        <sz val="11"/>
        <color rgb="FF0000FF"/>
        <rFont val="Calibri"/>
        <family val="2"/>
      </rPr>
      <t>)</t>
    </r>
  </si>
  <si>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</si>
  <si>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</si>
  <si>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</si>
  <si>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</si>
  <si>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</si>
  <si>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</si>
  <si>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</si>
  <si>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</si>
  <si>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</si>
  <si>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</si>
  <si>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</si>
  <si>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</si>
  <si>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</si>
  <si>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Accounts for the period September 2016 through December 31, 2017 consistent with </t>
  </si>
  <si>
    <t xml:space="preserve">reporting requirements outlined in the Settlement (paragraph 55 subpart D--Monthly &amp; Year </t>
  </si>
  <si>
    <t>end deferred balance for the reporting year)</t>
  </si>
  <si>
    <t>The 2017 Report filed in April 2018 will be the only year that includes a 15 month period.</t>
  </si>
  <si>
    <t>Future reports will be calendar year only.</t>
  </si>
  <si>
    <t>The 15 month period is used in the initial report so as to agree to amounts</t>
  </si>
  <si>
    <t xml:space="preserve">that were included in the 2017 GRC UE-170033 and UG-170034, the rate case in which the </t>
  </si>
  <si>
    <t>new reporting requirements were adopted by settlement.</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</si>
  <si>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</si>
  <si>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</si>
  <si>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</si>
  <si>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</si>
  <si>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</si>
  <si>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</si>
  <si>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</si>
  <si>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</si>
  <si>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</si>
  <si>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</si>
  <si>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</si>
  <si>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</si>
  <si>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</si>
  <si>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</si>
  <si>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</si>
  <si>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</si>
  <si>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</si>
  <si>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</si>
  <si>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</si>
  <si>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</si>
  <si>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</si>
  <si>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</si>
  <si>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</si>
  <si>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</si>
  <si>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</si>
  <si>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</si>
  <si>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consistent with Settlement Agreement paragraph 55 g</t>
  </si>
  <si>
    <r>
      <t>Env Rem Costs - Elec UE - 170033 (</t>
    </r>
    <r>
      <rPr>
        <sz val="10"/>
        <color rgb="FF0000FF"/>
        <rFont val="Calibri"/>
        <family val="2"/>
      </rPr>
      <t>Amortization Dec 19 - 31, 2017</t>
    </r>
    <r>
      <rPr>
        <sz val="11"/>
        <color theme="1"/>
        <rFont val="Calibri"/>
        <family val="2"/>
        <scheme val="minor"/>
      </rPr>
      <t>)</t>
    </r>
  </si>
  <si>
    <r>
      <t>Env Rem Recovery - Elec UE 170033  (</t>
    </r>
    <r>
      <rPr>
        <sz val="10"/>
        <color rgb="FF0000FF"/>
        <rFont val="Calibri"/>
        <family val="2"/>
      </rPr>
      <t>Amortization Dec 19 - 31, 2017</t>
    </r>
    <r>
      <rPr>
        <sz val="11"/>
        <color theme="1"/>
        <rFont val="Calibri"/>
        <family val="2"/>
        <scheme val="minor"/>
      </rPr>
      <t>)</t>
    </r>
  </si>
  <si>
    <r>
      <t>Env Rem Costs - Gas UG - 170034 (</t>
    </r>
    <r>
      <rPr>
        <sz val="10"/>
        <color rgb="FF0000FF"/>
        <rFont val="Calibri"/>
        <family val="2"/>
      </rPr>
      <t>Amortization Dec 19 - 31, 2017</t>
    </r>
    <r>
      <rPr>
        <sz val="11"/>
        <color theme="1"/>
        <rFont val="Calibri"/>
        <family val="2"/>
        <scheme val="minor"/>
      </rPr>
      <t>)</t>
    </r>
  </si>
  <si>
    <r>
      <t>Env Rem Recovery - Gas UG - 170034 (</t>
    </r>
    <r>
      <rPr>
        <sz val="10"/>
        <color rgb="FF0000FF"/>
        <rFont val="Calibri"/>
        <family val="2"/>
      </rPr>
      <t>Amortization Dec 19 - 31, 2017</t>
    </r>
    <r>
      <rPr>
        <sz val="11"/>
        <color theme="1"/>
        <rFont val="Calibri"/>
        <family val="2"/>
        <scheme val="minor"/>
      </rPr>
      <t>)</t>
    </r>
  </si>
  <si>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</si>
  <si>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</si>
  <si>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</si>
  <si>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</si>
  <si>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</si>
  <si>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</si>
  <si>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</si>
  <si>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</si>
  <si>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</si>
  <si>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NOI impact at 65%</t>
  </si>
  <si>
    <t>Amortization Over a Five Year Period</t>
  </si>
  <si>
    <t>Total Net Deferral Requested</t>
  </si>
  <si>
    <t>Unassigned Recoveries to Include</t>
  </si>
  <si>
    <t>Portion of Actual to Total Expected Costs</t>
  </si>
  <si>
    <t>Total Unassigned Recoveries</t>
  </si>
  <si>
    <t>Subtotal Net Deferred Costs</t>
  </si>
  <si>
    <t xml:space="preserve">Less Site Specific Recoveries </t>
  </si>
  <si>
    <t>Actual Costs through September 30, 2016</t>
  </si>
  <si>
    <t>Gas</t>
  </si>
  <si>
    <t>Electric</t>
  </si>
  <si>
    <t>Description</t>
  </si>
  <si>
    <t>One-Time Submission for April 2018 Report Only</t>
  </si>
  <si>
    <t>Summary of Amounts Approved for Recovery in UE-170033/UG-170034</t>
  </si>
  <si>
    <t>Filed Pursuant to UE-170033/UG-170034</t>
  </si>
  <si>
    <t>Annual Environmental Report</t>
  </si>
  <si>
    <t>Percent of Costs Spent</t>
  </si>
  <si>
    <t>Total Actual and Future Costs</t>
  </si>
  <si>
    <t>Future Costs</t>
  </si>
  <si>
    <t>TOTAL ELECTRIC SITES</t>
  </si>
  <si>
    <t xml:space="preserve">Env Rem - Pt. Robinson Cable Station </t>
  </si>
  <si>
    <t xml:space="preserve">Env Rem - Everett Asarco </t>
  </si>
  <si>
    <t>Env Rem - Whitehorn UST Remediation</t>
  </si>
  <si>
    <t xml:space="preserve">Env Rem - City of Olympia v PSE Plum Street Station </t>
  </si>
  <si>
    <t>Env Rem - Sammamish Substation</t>
  </si>
  <si>
    <t xml:space="preserve">Env Rem - Talbot Hill Substation and Switchyard </t>
  </si>
  <si>
    <t xml:space="preserve">Env Rem - Electron Flume </t>
  </si>
  <si>
    <t>Env Rem - Bellingham South State Street MGP (former Blvd Park)</t>
  </si>
  <si>
    <t xml:space="preserve">Env Rem - Snoqualmie Hydro Generation (Power Plant) </t>
  </si>
  <si>
    <t xml:space="preserve">Env Rem - Lower Baker Power Plant </t>
  </si>
  <si>
    <t xml:space="preserve">Env Rem - Tenino Service Center UST </t>
  </si>
  <si>
    <t xml:space="preserve">Env Rem - Lower Duwamish Waterway  </t>
  </si>
  <si>
    <t>Env Rem - White River/Buckley Phase II Burn Pile and Wood Debris</t>
  </si>
  <si>
    <t>Env Rem - White River/Buckley Phase I Headworks (Remediation Cost)</t>
  </si>
  <si>
    <t>Recoveries from Insurance or Third PartiesThrough Sept 2016</t>
  </si>
  <si>
    <t>Actual Costs thru Sept 2016</t>
  </si>
  <si>
    <t>TOTAL GAS SITES</t>
  </si>
  <si>
    <t>18608452 Env Rem Gas Work Part - Internal Cost</t>
  </si>
  <si>
    <t xml:space="preserve">18608152 Env Rem Tacoma Tar Pits - Internal Cost </t>
  </si>
  <si>
    <t>ADJUSTMENT</t>
  </si>
  <si>
    <t>Unallocated Insurance and Third Party Recoveries***</t>
  </si>
  <si>
    <t>COVINGTON GATE STATION</t>
  </si>
  <si>
    <t>NORTH SEATTLE GATE STATION</t>
  </si>
  <si>
    <t>NORTH TACOMA GATE STATION</t>
  </si>
  <si>
    <t>SOUTH SEATTLE GATE STATION</t>
  </si>
  <si>
    <t>SWARR STATION</t>
  </si>
  <si>
    <t>Gas Underground Storage Tanks and Other Sites</t>
  </si>
  <si>
    <t>Downtowner Property (Remediation Costs)</t>
  </si>
  <si>
    <t>Verbeek Autowrecking (Reimbursement of Remed Cost from 3rd Party)</t>
  </si>
  <si>
    <t>Verbeek Autowrecking (Remediation Costs)</t>
  </si>
  <si>
    <t>Olympia Columbia Street MGP (WADOT Settlement)</t>
  </si>
  <si>
    <t>Olympia Columbia Street MGP (Remediation Costs)</t>
  </si>
  <si>
    <t>Bay Station (Remediation Costs)</t>
  </si>
  <si>
    <t>Pre June 1999 Tacoma Tar Pits (Remediation Costs)**</t>
  </si>
  <si>
    <t>Post-June 1999 Tacoma Tar Pits (Remediation Costs)</t>
  </si>
  <si>
    <t>Quendall Terminal (Remediation Costs)</t>
  </si>
  <si>
    <t>Pre-Nov 2012 Lake Union Sediments (Remediation Costs)</t>
  </si>
  <si>
    <t>Pre-Nov 2012 Gas Works Park (Remediation Costs)</t>
  </si>
  <si>
    <t>Post - Nov 2012 Gas Works Park  (Remediation Costs)*</t>
  </si>
  <si>
    <t>Chehalis Washington (Remediation Costs)</t>
  </si>
  <si>
    <t>Everett Washington (WADOT Settlement)</t>
  </si>
  <si>
    <t>Everett Washington (Remediation Costs)</t>
  </si>
  <si>
    <t>Thea Foss Waterway (WADOT Settlement)</t>
  </si>
  <si>
    <t>Thea Foss Waterway (Remediation Costs)</t>
  </si>
  <si>
    <t>Tacoma Gas Company (Upload Source Control) (Remediation Costs)</t>
  </si>
  <si>
    <t>Total 2015 ELEC and GAS Future Cost Estimate</t>
  </si>
  <si>
    <t>ELECTRIC</t>
  </si>
  <si>
    <t>GAS</t>
  </si>
  <si>
    <t>Average (a) - (b) = (c )</t>
  </si>
  <si>
    <t>(b)</t>
  </si>
  <si>
    <t>(a)</t>
  </si>
  <si>
    <t>2016 Mid Range Future Costs</t>
  </si>
  <si>
    <t>2016 High Future Costs</t>
  </si>
  <si>
    <t>2016 Low Future Costs</t>
  </si>
  <si>
    <t xml:space="preserve">ENVIRONMENTAL REMEDIATION FUTURE COST ESTIMATE </t>
  </si>
  <si>
    <t>N/A</t>
  </si>
  <si>
    <t>Remove Site Specific Recoveries from Costs</t>
  </si>
  <si>
    <t>Amount Transferred</t>
  </si>
  <si>
    <t>Costs:</t>
  </si>
  <si>
    <t>Recoveries:</t>
  </si>
  <si>
    <t>From GRC work papers</t>
  </si>
  <si>
    <t>Line</t>
  </si>
  <si>
    <t>Amounts per Settlement in UE-170033/UG-170034:</t>
  </si>
  <si>
    <t>Line 11 = Line 25 - Same Overall Result (((18 + 23) ÷ 5) x -65%)</t>
  </si>
  <si>
    <t xml:space="preserve">18232271 Env Rem - Lower Duwamish Waterway  </t>
  </si>
  <si>
    <t>18608041 Env Rem - Bellingham South State Street MGP (former Blvd Park)</t>
  </si>
  <si>
    <t xml:space="preserve">18608231 Env Rem - City of Olympia v PSE Plum Street Station </t>
  </si>
  <si>
    <t>Site Specific Recoveries included in allocation percentage</t>
  </si>
  <si>
    <t>amortization.  When preparing the journal entries to transfer the environmental deferrals for</t>
  </si>
  <si>
    <t>13 days of amortization from GRC effective date of 12/19/2017 - 12/31/2017</t>
  </si>
  <si>
    <t>Approved Amortization for December 2017</t>
  </si>
  <si>
    <t>Amount booked in December 2017</t>
  </si>
  <si>
    <t>Convert to Monthly</t>
  </si>
  <si>
    <t>Approved Monthly Amortization</t>
  </si>
  <si>
    <t>Approved Annual Amortization from Line 10</t>
  </si>
  <si>
    <t>Verification of correct amortization booked</t>
  </si>
  <si>
    <t>22841001 - Accum Misc Oper Provi – Unallocated Def Elec Env Rem Recoveries</t>
  </si>
  <si>
    <t>Dr.</t>
  </si>
  <si>
    <t>Cr.</t>
  </si>
  <si>
    <t>18230431 - Env Rem Recovery - Elec UE 170033</t>
  </si>
  <si>
    <t xml:space="preserve">specific recoveries shown on lines 28 through 30 as well as all of the deferred costs for those sites. </t>
  </si>
  <si>
    <t>And that amount of the site specific recoveries ($826,665) was used to change the amount of</t>
  </si>
  <si>
    <t>unassigned recoveries that were transferred so that the overall result from the GRC was maintained</t>
  </si>
  <si>
    <t>(see line 25). PSE posted the correct amount of amortization based on the GRC settlement (see lines</t>
  </si>
  <si>
    <t>33 - 39) and so this deviation does not have an income statement impact, it has a balance sheet only</t>
  </si>
  <si>
    <t>impact. PSE has posted a correcting entry in the 1st quarter of 2018 to transfer the 53% of these site</t>
  </si>
  <si>
    <t>specific recoveries that were not included in the approved amortization back to their originiating</t>
  </si>
  <si>
    <t xml:space="preserve">accounts as follows: </t>
  </si>
  <si>
    <t>18239171 - Env Rem Costs - Elec UE - 170033</t>
  </si>
  <si>
    <r>
      <rPr>
        <b/>
        <sz val="11"/>
        <color theme="1"/>
        <rFont val="Calibri"/>
        <family val="2"/>
      </rPr>
      <t xml:space="preserve">(Note 1)       </t>
    </r>
    <r>
      <rPr>
        <sz val="11"/>
        <color theme="1"/>
        <rFont val="Calibri"/>
        <family val="2"/>
      </rPr>
      <t xml:space="preserve">In the 2017 GRC settlement, the 3 site specific recoveries for electric were included in the </t>
    </r>
  </si>
  <si>
    <r>
      <t xml:space="preserve">Env Rem Costs - Elec UE - 170033 (Transfer) </t>
    </r>
    <r>
      <rPr>
        <sz val="10"/>
        <color rgb="FFFF0000"/>
        <rFont val="Calibri"/>
        <family val="2"/>
      </rPr>
      <t>(See Note 1)</t>
    </r>
  </si>
  <si>
    <r>
      <t xml:space="preserve">Env Rem Recovery - Elec UE 170033  (Transfer) </t>
    </r>
    <r>
      <rPr>
        <sz val="10"/>
        <color rgb="FFFF0000"/>
        <rFont val="Calibri"/>
        <family val="2"/>
      </rPr>
      <t>(See Note 1)</t>
    </r>
  </si>
  <si>
    <t>Amortization Period</t>
  </si>
  <si>
    <t>12/19/2017 -</t>
  </si>
  <si>
    <t>Blanket orders: UE-070724, UE-072060, UE-081016</t>
  </si>
  <si>
    <t>Site Specific Recoveries included in same account as Costs</t>
  </si>
  <si>
    <t>Amounts Transferred in December 2017 Business (Note 1):</t>
  </si>
  <si>
    <t>Write-off internal costs per 2017 GRC settment</t>
  </si>
  <si>
    <t>amortization, the entire balance in those accounts was transferred which contained all of the site</t>
  </si>
  <si>
    <t>(Note 1)  See related note on the "2017 GRC Stlmt" tab in the One Time Request section.</t>
  </si>
  <si>
    <t>unassigned recoveries and as a result only 47% of these amounts were included in the approved</t>
  </si>
  <si>
    <t>Type A</t>
  </si>
  <si>
    <r>
      <t>Type Category</t>
    </r>
    <r>
      <rPr>
        <b/>
        <sz val="9"/>
        <color theme="1"/>
        <rFont val="Calibri"/>
        <family val="2"/>
        <scheme val="minor"/>
      </rPr>
      <t xml:space="preserve"> </t>
    </r>
    <r>
      <rPr>
        <b/>
        <sz val="9"/>
        <color rgb="FF0000CC"/>
        <rFont val="Calibri"/>
        <family val="2"/>
      </rPr>
      <t>(b)</t>
    </r>
  </si>
  <si>
    <r>
      <t>Lower Duwamish Waterway   (</t>
    </r>
    <r>
      <rPr>
        <sz val="11"/>
        <color rgb="FFFF0000"/>
        <rFont val="Calibri"/>
        <family val="2"/>
        <scheme val="minor"/>
      </rPr>
      <t>Insurance Recovery/3rd parties</t>
    </r>
    <r>
      <rPr>
        <sz val="11"/>
        <color theme="1"/>
        <rFont val="Calibri"/>
        <family val="2"/>
        <scheme val="minor"/>
      </rPr>
      <t>)</t>
    </r>
  </si>
  <si>
    <t>Type B</t>
  </si>
  <si>
    <t>Type C</t>
  </si>
  <si>
    <r>
      <t xml:space="preserve"> (b)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</si>
  <si>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(b)</t>
    </r>
    <r>
      <rPr>
        <u val="singleAccounting"/>
        <sz val="9"/>
        <color rgb="FF0000FF"/>
        <rFont val="Calibri"/>
        <family val="2"/>
        <scheme val="minor"/>
      </rPr>
      <t xml:space="preserve">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</si>
  <si>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t>
    </r>
    <r>
      <rPr>
        <u val="singleAccounting"/>
        <sz val="9"/>
        <color rgb="FF0000FF"/>
        <rFont val="Calibri"/>
        <family val="2"/>
      </rPr>
      <t xml:space="preserve"> 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</si>
  <si>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New projects that cannot be tied to prior recoveries that may or may not have new recoveries specific to the project.</t>
    </r>
  </si>
  <si>
    <r>
      <t xml:space="preserve">         </t>
    </r>
    <r>
      <rPr>
        <u val="singleAccounting"/>
        <sz val="9"/>
        <color rgb="FF0000FF"/>
        <rFont val="Calibri"/>
        <family val="2"/>
      </rPr>
      <t>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</si>
  <si>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xml:space="preserve">:  New projects that cannot be tied to prior recoveries that may or may not have new recoveries specific to the project.  </t>
    </r>
  </si>
  <si>
    <t>most recent GRC, UE-170033/UG-170034.</t>
  </si>
  <si>
    <t>DEFERRED BALANCE</t>
  </si>
  <si>
    <t>DEFERRED ACTIVITY</t>
  </si>
  <si>
    <t xml:space="preserve">The following 2 pages reflect the balances in each of the deferred Environmental Remediation </t>
  </si>
  <si>
    <t xml:space="preserve">The following 4 pages represent the deferral activity by month in each Environmental </t>
  </si>
  <si>
    <t xml:space="preserve">during the reporting period by month and are associated with the project for which they were </t>
  </si>
  <si>
    <t xml:space="preserve">The following two pages represent the amounts transferred to accounts for amortization </t>
  </si>
  <si>
    <t>The following 3 pages provide a summary of the amounts that were approved for amortization in the</t>
  </si>
  <si>
    <t>Remediation Account for the September 2016 through December 31, 2017.</t>
  </si>
  <si>
    <t xml:space="preserve">The pages 16 through 20 provide overviews of activity within each </t>
  </si>
  <si>
    <t>SUMMARY OF ENVIRONMENTAL ACCOUNTS</t>
  </si>
  <si>
    <t>INCLUDED IN UE -170033 AND UG-170034</t>
  </si>
  <si>
    <t xml:space="preserve">as well as include the amount of 3rd party and insurance recoveries received </t>
  </si>
  <si>
    <t>Electric/Gas subaccount and the 'Activity' tabs reflect the monthly entries to each account</t>
  </si>
  <si>
    <t>ACCOUNT TRANSFERS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</si>
</sst>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quot;$&quot;* #,##0_);_(&quot;$&quot;* \(#,##0\);_(&quot;$&quot;* &quot;-&quot;??_);_(@_)"/>
    <numFmt numFmtId="185" formatCode="#\ ???/???"/>
  </numFmts>
  <fonts count="1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0"/>
      <name val="Arial"/>
      <family val="2"/>
    </font>
    <font>
      <i/>
      <sz val="10"/>
      <name val="Arial"/>
      <family val="2"/>
    </font>
    <font>
      <sz val="11"/>
      <color rgb="FF0000FF"/>
      <name val="Calibri"/>
      <family val="2"/>
    </font>
    <font>
      <sz val="10"/>
      <name val="Courier"/>
      <family val="3"/>
    </font>
    <font>
      <b/>
      <sz val="11"/>
      <color indexed="8"/>
      <name val="Calibri"/>
      <family val="2"/>
      <scheme val="minor"/>
    </font>
    <font>
      <i/>
      <sz val="8"/>
      <color rgb="FFFF0000"/>
      <name val="Arial"/>
      <family val="2"/>
    </font>
    <font>
      <sz val="8"/>
      <color rgb="FFFF0000"/>
      <name val="Calibri"/>
      <family val="2"/>
      <scheme val="minor"/>
    </font>
    <font>
      <b/>
      <sz val="8"/>
      <color rgb="FFFF0000"/>
      <name val="Calibri"/>
      <family val="2"/>
      <scheme val="minor"/>
    </font>
    <font>
      <sz val="8"/>
      <color theme="1"/>
      <name val="Calibri"/>
      <family val="2"/>
      <scheme val="minor"/>
    </font>
    <font>
      <b/>
      <sz val="8"/>
      <color theme="1"/>
      <name val="Calibri"/>
      <family val="2"/>
      <scheme val="minor"/>
    </font>
    <font>
      <sz val="10"/>
      <color indexed="8"/>
      <name val="Arial"/>
      <family val="2"/>
    </font>
    <font>
      <sz val="11"/>
      <color rgb="FF0000FF"/>
      <name val="Calibri"/>
      <family val="2"/>
      <scheme val="minor"/>
    </font>
    <font>
      <sz val="9"/>
      <color indexed="81"/>
      <name val="Tahoma"/>
      <family val="2"/>
    </font>
    <font>
      <sz val="11"/>
      <color rgb="FFFF0000"/>
      <name val="Calibri"/>
      <family val="2"/>
    </font>
    <font>
      <sz val="11"/>
      <name val="Calibri"/>
      <family val="2"/>
    </font>
    <font>
      <b/>
      <sz val="12"/>
      <color theme="1"/>
      <name val="Calibri"/>
      <family val="2"/>
      <scheme val="minor"/>
    </font>
    <font>
      <b/>
      <sz val="14"/>
      <color theme="1"/>
      <name val="Calibri"/>
      <family val="2"/>
      <scheme val="minor"/>
    </font>
    <font>
      <b/>
      <sz val="9"/>
      <color rgb="FF0000FF"/>
      <name val="Calibri"/>
      <family val="2"/>
    </font>
    <font>
      <sz val="9"/>
      <color rgb="FF0000FF"/>
      <name val="Calibri"/>
      <family val="2"/>
      <scheme val="minor"/>
    </font>
    <font>
      <u/>
      <sz val="9"/>
      <color rgb="FFFF0000"/>
      <name val="Calibri"/>
      <family val="2"/>
      <scheme val="minor"/>
    </font>
    <font>
      <u val="singleAccounting"/>
      <sz val="8"/>
      <color rgb="FFFF0000"/>
      <name val="Calibri"/>
      <family val="2"/>
      <scheme val="minor"/>
    </font>
    <font>
      <sz val="10"/>
      <color rgb="FF0000FF"/>
      <name val="Calibri"/>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1"/>
      <color theme="1"/>
      <name val="Calibri"/>
      <family val="2"/>
    </font>
    <font>
      <b/>
      <sz val="11"/>
      <color theme="1"/>
      <name val="Calibri"/>
      <family val="2"/>
    </font>
    <font>
      <sz val="11"/>
      <name val="Calibri"/>
      <family val="2"/>
      <scheme val="minor"/>
    </font>
    <font>
      <sz val="8"/>
      <color rgb="FF0000CC"/>
      <name val="Calibri"/>
      <family val="2"/>
      <scheme val="minor"/>
    </font>
    <font>
      <b/>
      <u/>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0"/>
      <name val="Arial"/>
      <family val="2"/>
    </font>
    <font>
      <sz val="10"/>
      <color rgb="FF0000CC"/>
      <name val="Arial"/>
      <family val="2"/>
    </font>
    <font>
      <b/>
      <u/>
      <sz val="10"/>
      <name val="Arial"/>
      <family val="2"/>
    </font>
    <font>
      <i/>
      <sz val="9"/>
      <name val="Arial"/>
      <family val="2"/>
    </font>
    <font>
      <b/>
      <sz val="11"/>
      <color rgb="FF0000CC"/>
      <name val="Calibri"/>
      <family val="2"/>
      <scheme val="minor"/>
    </font>
    <font>
      <sz val="11"/>
      <color rgb="FF000000"/>
      <name val="Calibri"/>
      <family val="2"/>
    </font>
    <font>
      <b/>
      <sz val="11"/>
      <color rgb="FF000000"/>
      <name val="Calibri"/>
      <family val="2"/>
    </font>
    <font>
      <sz val="10"/>
      <color rgb="FFFF0000"/>
      <name val="Calibri"/>
      <family val="2"/>
    </font>
    <font>
      <u val="singleAccounting"/>
      <sz val="11"/>
      <name val="Calibri"/>
      <family val="2"/>
      <scheme val="minor"/>
    </font>
    <font>
      <b/>
      <u/>
      <sz val="11"/>
      <color rgb="FF000000"/>
      <name val="Calibri"/>
      <family val="2"/>
    </font>
    <font>
      <b/>
      <sz val="9"/>
      <color theme="1"/>
      <name val="Calibri"/>
      <family val="2"/>
      <scheme val="minor"/>
    </font>
    <font>
      <b/>
      <sz val="9"/>
      <color rgb="FF0000CC"/>
      <name val="Calibri"/>
      <family val="2"/>
    </font>
    <font>
      <u val="singleAccounting"/>
      <sz val="9"/>
      <color rgb="FF0000FF"/>
      <name val="Calibri"/>
      <family val="2"/>
    </font>
    <font>
      <u val="singleAccounting"/>
      <sz val="9"/>
      <color rgb="FF0000FF"/>
      <name val="Calibri"/>
      <family val="2"/>
      <scheme val="minor"/>
    </font>
    <font>
      <sz val="22"/>
      <color theme="1"/>
      <name val="Calibri"/>
      <family val="2"/>
      <scheme val="minor"/>
    </font>
    <font>
      <b/>
      <u/>
      <sz val="22"/>
      <color theme="1"/>
      <name val="Calibri"/>
      <family val="2"/>
      <scheme val="minor"/>
    </font>
    <font>
      <sz val="12"/>
      <color theme="1"/>
      <name val="Calibri"/>
      <family val="2"/>
      <scheme val="minor"/>
    </font>
  </fonts>
  <fills count="8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s>
  <borders count="11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277">
    <xf numFmtId="0" fontId="0" fillId="0" borderId="0"/>
    <xf numFmtId="43" fontId="1" fillId="0" borderId="0" applyFont="0" applyFill="0" applyBorder="0" applyAlignment="0" applyProtection="0"/>
    <xf numFmtId="43" fontId="6" fillId="0" borderId="0" applyFont="0" applyFill="0" applyBorder="0" applyAlignment="0" applyProtection="0"/>
    <xf numFmtId="39" fontId="9" fillId="0" borderId="0"/>
    <xf numFmtId="39" fontId="9"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0" fontId="28" fillId="0" borderId="0"/>
    <xf numFmtId="0" fontId="28" fillId="0" borderId="0"/>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169" fontId="29" fillId="0" borderId="0">
      <alignment horizontal="left"/>
    </xf>
    <xf numFmtId="170" fontId="30" fillId="0" borderId="0">
      <alignment horizontal="left"/>
    </xf>
    <xf numFmtId="0" fontId="16" fillId="17" borderId="0" applyNumberFormat="0" applyBorder="0" applyAlignment="0" applyProtection="0"/>
    <xf numFmtId="0" fontId="1" fillId="3" borderId="0" applyNumberFormat="0" applyBorder="0" applyAlignment="0" applyProtection="0"/>
    <xf numFmtId="0" fontId="16" fillId="18" borderId="0" applyNumberFormat="0" applyBorder="0" applyAlignment="0" applyProtection="0"/>
    <xf numFmtId="0" fontId="1" fillId="5" borderId="0" applyNumberFormat="0" applyBorder="0" applyAlignment="0" applyProtection="0"/>
    <xf numFmtId="0" fontId="16" fillId="19" borderId="0" applyNumberFormat="0" applyBorder="0" applyAlignment="0" applyProtection="0"/>
    <xf numFmtId="0" fontId="1" fillId="7" borderId="0" applyNumberFormat="0" applyBorder="0" applyAlignment="0" applyProtection="0"/>
    <xf numFmtId="0" fontId="16" fillId="20" borderId="0" applyNumberFormat="0" applyBorder="0" applyAlignment="0" applyProtection="0"/>
    <xf numFmtId="0" fontId="1" fillId="9" borderId="0" applyNumberFormat="0" applyBorder="0" applyAlignment="0" applyProtection="0"/>
    <xf numFmtId="0" fontId="16" fillId="21" borderId="0" applyNumberFormat="0" applyBorder="0" applyAlignment="0" applyProtection="0"/>
    <xf numFmtId="0" fontId="1" fillId="11" borderId="0" applyNumberFormat="0" applyBorder="0" applyAlignment="0" applyProtection="0"/>
    <xf numFmtId="0" fontId="16" fillId="22" borderId="0" applyNumberFormat="0" applyBorder="0" applyAlignment="0" applyProtection="0"/>
    <xf numFmtId="0" fontId="1" fillId="13" borderId="0" applyNumberFormat="0" applyBorder="0" applyAlignment="0" applyProtection="0"/>
    <xf numFmtId="0" fontId="16" fillId="23" borderId="0" applyNumberFormat="0" applyBorder="0" applyAlignment="0" applyProtection="0"/>
    <xf numFmtId="0" fontId="1" fillId="4" borderId="0" applyNumberFormat="0" applyBorder="0" applyAlignment="0" applyProtection="0"/>
    <xf numFmtId="0" fontId="16" fillId="18" borderId="0" applyNumberFormat="0" applyBorder="0" applyAlignment="0" applyProtection="0"/>
    <xf numFmtId="0" fontId="1" fillId="6"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6" fillId="25" borderId="0" applyNumberFormat="0" applyBorder="0" applyAlignment="0" applyProtection="0"/>
    <xf numFmtId="0" fontId="1" fillId="10" borderId="0" applyNumberFormat="0" applyBorder="0" applyAlignment="0" applyProtection="0"/>
    <xf numFmtId="0" fontId="16" fillId="23" borderId="0" applyNumberFormat="0" applyBorder="0" applyAlignment="0" applyProtection="0"/>
    <xf numFmtId="0" fontId="1" fillId="12" borderId="0" applyNumberFormat="0" applyBorder="0" applyAlignment="0" applyProtection="0"/>
    <xf numFmtId="0" fontId="16" fillId="26" borderId="0" applyNumberFormat="0" applyBorder="0" applyAlignment="0" applyProtection="0"/>
    <xf numFmtId="0" fontId="1" fillId="14" borderId="0" applyNumberFormat="0" applyBorder="0" applyAlignment="0" applyProtection="0"/>
    <xf numFmtId="0" fontId="31" fillId="23"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0" borderId="0" applyNumberFormat="0" applyBorder="0" applyAlignment="0" applyProtection="0"/>
    <xf numFmtId="0" fontId="32" fillId="38" borderId="0" applyNumberFormat="0" applyBorder="0" applyAlignment="0" applyProtection="0"/>
    <xf numFmtId="0" fontId="33" fillId="30" borderId="0" applyNumberFormat="0" applyBorder="0" applyAlignment="0" applyProtection="0"/>
    <xf numFmtId="0" fontId="33" fillId="37"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2" fillId="27" borderId="0" applyNumberFormat="0" applyBorder="0" applyAlignment="0" applyProtection="0"/>
    <xf numFmtId="0" fontId="32" fillId="40"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2" fillId="48" borderId="0" applyNumberFormat="0" applyBorder="0" applyAlignment="0" applyProtection="0"/>
    <xf numFmtId="0" fontId="32" fillId="36" borderId="0" applyNumberFormat="0" applyBorder="0" applyAlignment="0" applyProtection="0"/>
    <xf numFmtId="0" fontId="32" fillId="49"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36" borderId="0" applyNumberFormat="0" applyBorder="0" applyAlignment="0" applyProtection="0"/>
    <xf numFmtId="0" fontId="35" fillId="48" borderId="0" applyNumberFormat="0" applyBorder="0" applyAlignment="0" applyProtection="0"/>
    <xf numFmtId="0" fontId="30" fillId="0" borderId="0" applyFont="0" applyFill="0" applyBorder="0" applyAlignment="0" applyProtection="0">
      <alignment horizontal="right"/>
    </xf>
    <xf numFmtId="171" fontId="36" fillId="0" borderId="0" applyFill="0" applyBorder="0" applyAlignment="0"/>
    <xf numFmtId="0" fontId="37" fillId="53" borderId="81" applyNumberFormat="0" applyAlignment="0" applyProtection="0"/>
    <xf numFmtId="0" fontId="38" fillId="54" borderId="82" applyNumberFormat="0" applyAlignment="0" applyProtection="0"/>
    <xf numFmtId="0" fontId="39" fillId="38" borderId="83" applyNumberFormat="0" applyAlignment="0" applyProtection="0"/>
    <xf numFmtId="0" fontId="39" fillId="46" borderId="83" applyNumberFormat="0" applyAlignment="0" applyProtection="0"/>
    <xf numFmtId="41" fontId="6" fillId="5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40" fillId="0" borderId="0" applyFont="0" applyFill="0" applyBorder="0" applyAlignment="0" applyProtection="0"/>
    <xf numFmtId="0" fontId="41" fillId="0" borderId="0"/>
    <xf numFmtId="0" fontId="41" fillId="0" borderId="0"/>
    <xf numFmtId="0" fontId="42"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2" fontId="44" fillId="0" borderId="0">
      <protection locked="0"/>
    </xf>
    <xf numFmtId="0" fontId="42" fillId="0" borderId="0"/>
    <xf numFmtId="0" fontId="45" fillId="0" borderId="0" applyNumberFormat="0" applyAlignment="0">
      <alignment horizontal="left"/>
    </xf>
    <xf numFmtId="0" fontId="9" fillId="0" borderId="0" applyNumberFormat="0" applyAlignment="0"/>
    <xf numFmtId="0" fontId="41" fillId="0" borderId="0"/>
    <xf numFmtId="0" fontId="42" fillId="0" borderId="0"/>
    <xf numFmtId="0" fontId="41" fillId="0" borderId="0"/>
    <xf numFmtId="0" fontId="4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2" fillId="0" borderId="0" applyFont="0" applyFill="0" applyBorder="0" applyAlignment="0" applyProtection="0"/>
    <xf numFmtId="44" fontId="4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3" fontId="6" fillId="0" borderId="0" applyFont="0" applyFill="0" applyBorder="0" applyAlignment="0" applyProtection="0"/>
    <xf numFmtId="0" fontId="40"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7"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7" fillId="60" borderId="0" applyNumberFormat="0" applyBorder="0" applyAlignment="0" applyProtection="0"/>
    <xf numFmtId="174" fontId="6" fillId="0" borderId="0"/>
    <xf numFmtId="175" fontId="6" fillId="0" borderId="0" applyFont="0" applyFill="0" applyBorder="0" applyAlignment="0" applyProtection="0">
      <alignment horizontal="left" wrapText="1"/>
    </xf>
    <xf numFmtId="0" fontId="48" fillId="0" borderId="0" applyNumberFormat="0" applyFill="0" applyBorder="0" applyAlignment="0" applyProtection="0"/>
    <xf numFmtId="2" fontId="40" fillId="0" borderId="0" applyFont="0" applyFill="0" applyBorder="0" applyAlignment="0" applyProtection="0"/>
    <xf numFmtId="0" fontId="41" fillId="0" borderId="0"/>
    <xf numFmtId="0" fontId="49" fillId="61" borderId="0" applyNumberFormat="0" applyBorder="0" applyAlignment="0" applyProtection="0"/>
    <xf numFmtId="0" fontId="32" fillId="42"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176" fontId="51" fillId="0" borderId="0" applyNumberFormat="0" applyFill="0" applyBorder="0" applyProtection="0">
      <alignment horizontal="right"/>
    </xf>
    <xf numFmtId="0" fontId="52" fillId="0" borderId="3" applyNumberFormat="0" applyAlignment="0" applyProtection="0">
      <alignment horizontal="left"/>
    </xf>
    <xf numFmtId="0" fontId="52" fillId="0" borderId="80">
      <alignment horizontal="left"/>
    </xf>
    <xf numFmtId="14" fontId="53" fillId="62" borderId="41">
      <alignment horizontal="center" vertical="center" wrapText="1"/>
    </xf>
    <xf numFmtId="0" fontId="54" fillId="0" borderId="84" applyNumberFormat="0" applyFill="0" applyAlignment="0" applyProtection="0"/>
    <xf numFmtId="0" fontId="55" fillId="0" borderId="85" applyNumberFormat="0" applyFill="0" applyAlignment="0" applyProtection="0"/>
    <xf numFmtId="0" fontId="55" fillId="0" borderId="86" applyNumberFormat="0" applyFill="0" applyAlignment="0" applyProtection="0"/>
    <xf numFmtId="0" fontId="56" fillId="0" borderId="87" applyNumberFormat="0" applyFill="0" applyAlignment="0" applyProtection="0"/>
    <xf numFmtId="0" fontId="56" fillId="0" borderId="88" applyNumberFormat="0" applyFill="0" applyAlignment="0" applyProtection="0"/>
    <xf numFmtId="0" fontId="56" fillId="0" borderId="0" applyNumberFormat="0" applyFill="0" applyBorder="0" applyAlignment="0" applyProtection="0"/>
    <xf numFmtId="38" fontId="57" fillId="0" borderId="0"/>
    <xf numFmtId="40" fontId="57" fillId="0" borderId="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2"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41" fontId="59" fillId="64" borderId="90">
      <alignment horizontal="left"/>
      <protection locked="0"/>
    </xf>
    <xf numFmtId="10" fontId="59" fillId="64" borderId="90">
      <alignment horizontal="right"/>
      <protection locked="0"/>
    </xf>
    <xf numFmtId="41" fontId="59" fillId="64" borderId="90">
      <alignment horizontal="left"/>
      <protection locked="0"/>
    </xf>
    <xf numFmtId="0" fontId="50" fillId="55" borderId="0"/>
    <xf numFmtId="3" fontId="60" fillId="0" borderId="0" applyFill="0" applyBorder="0" applyAlignment="0" applyProtection="0"/>
    <xf numFmtId="0" fontId="61" fillId="0" borderId="91" applyNumberFormat="0" applyFill="0" applyAlignment="0" applyProtection="0"/>
    <xf numFmtId="0" fontId="49" fillId="0" borderId="92" applyNumberFormat="0" applyFill="0" applyAlignment="0" applyProtection="0"/>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0" fontId="62" fillId="49" borderId="0" applyNumberFormat="0" applyBorder="0" applyAlignment="0" applyProtection="0"/>
    <xf numFmtId="0" fontId="49" fillId="49" borderId="0" applyNumberFormat="0" applyBorder="0" applyAlignment="0" applyProtection="0"/>
    <xf numFmtId="37" fontId="63" fillId="0" borderId="0"/>
    <xf numFmtId="177" fontId="64" fillId="0" borderId="0"/>
    <xf numFmtId="178" fontId="6" fillId="0" borderId="0"/>
    <xf numFmtId="178" fontId="6" fillId="0" borderId="0"/>
    <xf numFmtId="178" fontId="6" fillId="0" borderId="0"/>
    <xf numFmtId="0" fontId="6" fillId="0" borderId="0"/>
    <xf numFmtId="0" fontId="1"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46" fillId="0" borderId="0"/>
    <xf numFmtId="39" fontId="9" fillId="0" borderId="0"/>
    <xf numFmtId="0" fontId="4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65" fillId="0" borderId="0"/>
    <xf numFmtId="0" fontId="65" fillId="0" borderId="0"/>
    <xf numFmtId="0" fontId="65" fillId="0" borderId="0"/>
    <xf numFmtId="0" fontId="6" fillId="0" borderId="0"/>
    <xf numFmtId="0" fontId="65" fillId="0" borderId="0"/>
    <xf numFmtId="0" fontId="65"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0" fontId="6" fillId="0" borderId="0"/>
    <xf numFmtId="0" fontId="6" fillId="0" borderId="0"/>
    <xf numFmtId="0" fontId="6" fillId="0" borderId="0"/>
    <xf numFmtId="0" fontId="6"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167" fontId="6" fillId="0" borderId="0">
      <alignment horizontal="left" wrapText="1"/>
    </xf>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9" fontId="9" fillId="0" borderId="0"/>
    <xf numFmtId="0" fontId="1" fillId="0" borderId="0"/>
    <xf numFmtId="0" fontId="6" fillId="0" borderId="0"/>
    <xf numFmtId="0" fontId="6" fillId="0" borderId="0"/>
    <xf numFmtId="167" fontId="6" fillId="0" borderId="0">
      <alignment horizontal="left" wrapText="1"/>
    </xf>
    <xf numFmtId="0" fontId="6" fillId="0" borderId="0"/>
    <xf numFmtId="0" fontId="1"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39" fontId="9" fillId="0" borderId="0"/>
    <xf numFmtId="0" fontId="1" fillId="0" borderId="0"/>
    <xf numFmtId="39" fontId="9" fillId="0" borderId="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48" borderId="95"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6" fillId="53" borderId="96" applyNumberFormat="0" applyAlignment="0" applyProtection="0"/>
    <xf numFmtId="0" fontId="66" fillId="54" borderId="96" applyNumberFormat="0" applyAlignment="0" applyProtection="0"/>
    <xf numFmtId="0" fontId="41" fillId="0" borderId="0"/>
    <xf numFmtId="0" fontId="41" fillId="0" borderId="0"/>
    <xf numFmtId="0" fontId="42" fillId="0" borderId="0"/>
    <xf numFmtId="17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41" fontId="6" fillId="65" borderId="9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69" fillId="0" borderId="41">
      <alignment horizontal="center"/>
    </xf>
    <xf numFmtId="3" fontId="67" fillId="0" borderId="0" applyFont="0" applyFill="0" applyBorder="0" applyAlignment="0" applyProtection="0"/>
    <xf numFmtId="0" fontId="67" fillId="66" borderId="0" applyNumberFormat="0" applyFont="0" applyBorder="0" applyAlignment="0" applyProtection="0"/>
    <xf numFmtId="0" fontId="42" fillId="0" borderId="0"/>
    <xf numFmtId="3" fontId="70" fillId="0" borderId="0" applyFill="0" applyBorder="0" applyAlignment="0" applyProtection="0"/>
    <xf numFmtId="0" fontId="71" fillId="0" borderId="0"/>
    <xf numFmtId="3" fontId="70" fillId="0" borderId="0" applyFill="0" applyBorder="0" applyAlignment="0" applyProtection="0"/>
    <xf numFmtId="42" fontId="6" fillId="63" borderId="0"/>
    <xf numFmtId="42" fontId="6" fillId="63" borderId="37">
      <alignment vertical="center"/>
    </xf>
    <xf numFmtId="0" fontId="53" fillId="63" borderId="23" applyNumberFormat="0">
      <alignment horizontal="center" vertical="center" wrapText="1"/>
    </xf>
    <xf numFmtId="10" fontId="6" fillId="63" borderId="0"/>
    <xf numFmtId="180" fontId="6" fillId="63" borderId="0"/>
    <xf numFmtId="164" fontId="57" fillId="0" borderId="0" applyBorder="0" applyAlignment="0"/>
    <xf numFmtId="42" fontId="6" fillId="63" borderId="79">
      <alignment horizontal="left"/>
    </xf>
    <xf numFmtId="180" fontId="7" fillId="63" borderId="79">
      <alignment horizontal="left"/>
    </xf>
    <xf numFmtId="164" fontId="57" fillId="0" borderId="0" applyBorder="0" applyAlignment="0"/>
    <xf numFmtId="14" fontId="68" fillId="0" borderId="0" applyNumberFormat="0" applyFill="0" applyBorder="0" applyAlignment="0" applyProtection="0">
      <alignment horizontal="left"/>
    </xf>
    <xf numFmtId="181" fontId="6" fillId="0" borderId="0" applyFont="0" applyFill="0" applyAlignment="0">
      <alignment horizontal="right"/>
    </xf>
    <xf numFmtId="4" fontId="72" fillId="67" borderId="97" applyNumberFormat="0" applyProtection="0">
      <alignment vertical="center"/>
    </xf>
    <xf numFmtId="4" fontId="50" fillId="67" borderId="82" applyNumberFormat="0" applyProtection="0">
      <alignment vertical="center"/>
    </xf>
    <xf numFmtId="4" fontId="73" fillId="67" borderId="97" applyNumberFormat="0" applyProtection="0">
      <alignment vertical="center"/>
    </xf>
    <xf numFmtId="4" fontId="74" fillId="64" borderId="82" applyNumberFormat="0" applyProtection="0">
      <alignment vertical="center"/>
    </xf>
    <xf numFmtId="4" fontId="72" fillId="67" borderId="97" applyNumberFormat="0" applyProtection="0">
      <alignment horizontal="left" vertical="center" indent="1"/>
    </xf>
    <xf numFmtId="4" fontId="50" fillId="64" borderId="82" applyNumberFormat="0" applyProtection="0">
      <alignment horizontal="left" vertical="center" indent="1"/>
    </xf>
    <xf numFmtId="0" fontId="72" fillId="67" borderId="97" applyNumberFormat="0" applyProtection="0">
      <alignment horizontal="left" vertical="top" indent="1"/>
    </xf>
    <xf numFmtId="0" fontId="75" fillId="67" borderId="97" applyNumberFormat="0" applyProtection="0">
      <alignment horizontal="left" vertical="top" indent="1"/>
    </xf>
    <xf numFmtId="4" fontId="72" fillId="17"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4" fontId="16" fillId="22" borderId="97" applyNumberFormat="0" applyProtection="0">
      <alignment horizontal="right" vertical="center"/>
    </xf>
    <xf numFmtId="4" fontId="50" fillId="22" borderId="82" applyNumberFormat="0" applyProtection="0">
      <alignment horizontal="right" vertical="center"/>
    </xf>
    <xf numFmtId="4" fontId="16" fillId="18" borderId="97" applyNumberFormat="0" applyProtection="0">
      <alignment horizontal="right" vertical="center"/>
    </xf>
    <xf numFmtId="4" fontId="50" fillId="68" borderId="82" applyNumberFormat="0" applyProtection="0">
      <alignment horizontal="right" vertical="center"/>
    </xf>
    <xf numFmtId="4" fontId="16" fillId="69" borderId="97" applyNumberFormat="0" applyProtection="0">
      <alignment horizontal="right" vertical="center"/>
    </xf>
    <xf numFmtId="4" fontId="50" fillId="69" borderId="98" applyNumberFormat="0" applyProtection="0">
      <alignment horizontal="right" vertical="center"/>
    </xf>
    <xf numFmtId="4" fontId="16" fillId="70" borderId="97" applyNumberFormat="0" applyProtection="0">
      <alignment horizontal="right" vertical="center"/>
    </xf>
    <xf numFmtId="4" fontId="50" fillId="70" borderId="82" applyNumberFormat="0" applyProtection="0">
      <alignment horizontal="right" vertical="center"/>
    </xf>
    <xf numFmtId="4" fontId="16" fillId="71" borderId="97" applyNumberFormat="0" applyProtection="0">
      <alignment horizontal="right" vertical="center"/>
    </xf>
    <xf numFmtId="4" fontId="50" fillId="71" borderId="82" applyNumberFormat="0" applyProtection="0">
      <alignment horizontal="right" vertical="center"/>
    </xf>
    <xf numFmtId="4" fontId="16" fillId="72" borderId="97" applyNumberFormat="0" applyProtection="0">
      <alignment horizontal="right" vertical="center"/>
    </xf>
    <xf numFmtId="4" fontId="50" fillId="72" borderId="82" applyNumberFormat="0" applyProtection="0">
      <alignment horizontal="right" vertical="center"/>
    </xf>
    <xf numFmtId="4" fontId="16" fillId="24" borderId="97" applyNumberFormat="0" applyProtection="0">
      <alignment horizontal="right" vertical="center"/>
    </xf>
    <xf numFmtId="4" fontId="50" fillId="24" borderId="82" applyNumberFormat="0" applyProtection="0">
      <alignment horizontal="right" vertical="center"/>
    </xf>
    <xf numFmtId="4" fontId="16" fillId="73" borderId="97" applyNumberFormat="0" applyProtection="0">
      <alignment horizontal="right" vertical="center"/>
    </xf>
    <xf numFmtId="4" fontId="50" fillId="73" borderId="82" applyNumberFormat="0" applyProtection="0">
      <alignment horizontal="right" vertical="center"/>
    </xf>
    <xf numFmtId="4" fontId="16" fillId="74" borderId="97" applyNumberFormat="0" applyProtection="0">
      <alignment horizontal="right" vertical="center"/>
    </xf>
    <xf numFmtId="4" fontId="50" fillId="74" borderId="82" applyNumberFormat="0" applyProtection="0">
      <alignment horizontal="right" vertical="center"/>
    </xf>
    <xf numFmtId="4" fontId="72" fillId="75" borderId="99" applyNumberFormat="0" applyProtection="0">
      <alignment horizontal="left" vertical="center" indent="1"/>
    </xf>
    <xf numFmtId="4" fontId="50" fillId="75" borderId="98" applyNumberFormat="0" applyProtection="0">
      <alignment horizontal="left" vertical="center" indent="1"/>
    </xf>
    <xf numFmtId="4" fontId="16" fillId="76" borderId="0" applyNumberFormat="0" applyProtection="0">
      <alignment horizontal="left" vertical="center" indent="1"/>
    </xf>
    <xf numFmtId="4" fontId="6" fillId="23" borderId="98" applyNumberFormat="0" applyProtection="0">
      <alignment horizontal="left" vertical="center" indent="1"/>
    </xf>
    <xf numFmtId="4" fontId="76" fillId="23" borderId="0" applyNumberFormat="0" applyProtection="0">
      <alignment horizontal="left" vertical="center" indent="1"/>
    </xf>
    <xf numFmtId="4" fontId="6" fillId="23" borderId="98" applyNumberFormat="0" applyProtection="0">
      <alignment horizontal="left" vertical="center" indent="1"/>
    </xf>
    <xf numFmtId="4" fontId="16" fillId="17" borderId="97" applyNumberFormat="0" applyProtection="0">
      <alignment horizontal="right" vertical="center"/>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16" fillId="76" borderId="0" applyNumberFormat="0" applyProtection="0">
      <alignment horizontal="left" vertical="center" indent="1"/>
    </xf>
    <xf numFmtId="4" fontId="16" fillId="76" borderId="0" applyNumberFormat="0" applyProtection="0">
      <alignment horizontal="left" vertical="center" indent="1"/>
    </xf>
    <xf numFmtId="4" fontId="50" fillId="76" borderId="98" applyNumberFormat="0" applyProtection="0">
      <alignment horizontal="left" vertical="center" indent="1"/>
    </xf>
    <xf numFmtId="4" fontId="16" fillId="17" borderId="0" applyNumberFormat="0" applyProtection="0">
      <alignment horizontal="left" vertical="center" indent="1"/>
    </xf>
    <xf numFmtId="4" fontId="16" fillId="17" borderId="0" applyNumberFormat="0" applyProtection="0">
      <alignment horizontal="left" vertical="center" indent="1"/>
    </xf>
    <xf numFmtId="4" fontId="50" fillId="17" borderId="98" applyNumberFormat="0" applyProtection="0">
      <alignment horizontal="left" vertical="center" indent="1"/>
    </xf>
    <xf numFmtId="0" fontId="6" fillId="23" borderId="97"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23" borderId="97" applyNumberFormat="0" applyProtection="0">
      <alignment horizontal="left" vertical="top"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17" borderId="97"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17" borderId="97" applyNumberFormat="0" applyProtection="0">
      <alignment horizontal="left" vertical="top"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21" borderId="97"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21" borderId="97" applyNumberFormat="0" applyProtection="0">
      <alignment horizontal="left" vertical="top"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76"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6"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20" borderId="89" applyNumberFormat="0">
      <protection locked="0"/>
    </xf>
    <xf numFmtId="0" fontId="50" fillId="20" borderId="100" applyNumberFormat="0">
      <protection locked="0"/>
    </xf>
    <xf numFmtId="0" fontId="57" fillId="23" borderId="101" applyBorder="0"/>
    <xf numFmtId="4" fontId="16" fillId="19" borderId="97" applyNumberFormat="0" applyProtection="0">
      <alignment vertical="center"/>
    </xf>
    <xf numFmtId="4" fontId="77" fillId="19" borderId="97" applyNumberFormat="0" applyProtection="0">
      <alignment vertical="center"/>
    </xf>
    <xf numFmtId="4" fontId="78" fillId="19" borderId="97" applyNumberFormat="0" applyProtection="0">
      <alignment vertical="center"/>
    </xf>
    <xf numFmtId="4" fontId="74" fillId="80" borderId="89" applyNumberFormat="0" applyProtection="0">
      <alignment vertical="center"/>
    </xf>
    <xf numFmtId="4" fontId="16" fillId="19" borderId="97" applyNumberFormat="0" applyProtection="0">
      <alignment horizontal="left" vertical="center" indent="1"/>
    </xf>
    <xf numFmtId="4" fontId="77" fillId="25" borderId="97" applyNumberFormat="0" applyProtection="0">
      <alignment horizontal="left" vertical="center" indent="1"/>
    </xf>
    <xf numFmtId="0" fontId="16" fillId="19" borderId="97" applyNumberFormat="0" applyProtection="0">
      <alignment horizontal="left" vertical="top" indent="1"/>
    </xf>
    <xf numFmtId="0" fontId="77" fillId="19" borderId="97" applyNumberFormat="0" applyProtection="0">
      <alignment horizontal="left" vertical="top" indent="1"/>
    </xf>
    <xf numFmtId="4" fontId="16" fillId="76" borderId="97" applyNumberFormat="0" applyProtection="0">
      <alignment horizontal="right" vertical="center"/>
    </xf>
    <xf numFmtId="4" fontId="50" fillId="0" borderId="82" applyNumberFormat="0" applyProtection="0">
      <alignment horizontal="right" vertical="center"/>
    </xf>
    <xf numFmtId="4" fontId="78" fillId="76" borderId="97" applyNumberFormat="0" applyProtection="0">
      <alignment horizontal="right" vertical="center"/>
    </xf>
    <xf numFmtId="4" fontId="74" fillId="63" borderId="82" applyNumberFormat="0" applyProtection="0">
      <alignment horizontal="right" vertical="center"/>
    </xf>
    <xf numFmtId="4" fontId="16" fillId="17"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16" fillId="17"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79" fillId="81" borderId="0" applyNumberFormat="0" applyProtection="0">
      <alignment horizontal="left" vertical="center" indent="1"/>
    </xf>
    <xf numFmtId="4" fontId="80" fillId="81" borderId="98" applyNumberFormat="0" applyProtection="0">
      <alignment horizontal="left" vertical="center" indent="1"/>
    </xf>
    <xf numFmtId="0" fontId="50" fillId="82" borderId="89"/>
    <xf numFmtId="4" fontId="81" fillId="76" borderId="97" applyNumberFormat="0" applyProtection="0">
      <alignment horizontal="right" vertical="center"/>
    </xf>
    <xf numFmtId="4" fontId="82" fillId="20" borderId="82" applyNumberFormat="0" applyProtection="0">
      <alignment horizontal="right" vertical="center"/>
    </xf>
    <xf numFmtId="39" fontId="6" fillId="83" borderId="0"/>
    <xf numFmtId="0" fontId="83" fillId="0" borderId="0" applyNumberFormat="0" applyFill="0" applyBorder="0" applyAlignment="0" applyProtection="0"/>
    <xf numFmtId="38" fontId="50" fillId="0" borderId="102"/>
    <xf numFmtId="38" fontId="50" fillId="0" borderId="102"/>
    <xf numFmtId="38" fontId="50" fillId="0" borderId="102"/>
    <xf numFmtId="38" fontId="50" fillId="0" borderId="102"/>
    <xf numFmtId="38" fontId="57" fillId="0" borderId="79"/>
    <xf numFmtId="39" fontId="68" fillId="84" borderId="0"/>
    <xf numFmtId="182"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40" fontId="84" fillId="0" borderId="0" applyBorder="0">
      <alignment horizontal="right"/>
    </xf>
    <xf numFmtId="41" fontId="85" fillId="63" borderId="0">
      <alignment horizontal="left"/>
    </xf>
    <xf numFmtId="0" fontId="86" fillId="0" borderId="0"/>
    <xf numFmtId="0" fontId="87" fillId="0" borderId="0" applyFill="0" applyBorder="0" applyProtection="0">
      <alignment horizontal="left" vertical="top"/>
    </xf>
    <xf numFmtId="0" fontId="83" fillId="0" borderId="0" applyNumberFormat="0" applyFill="0" applyBorder="0" applyAlignment="0" applyProtection="0"/>
    <xf numFmtId="183" fontId="88" fillId="63" borderId="0">
      <alignment horizontal="left" vertical="center"/>
    </xf>
    <xf numFmtId="0" fontId="53" fillId="63" borderId="0">
      <alignment horizontal="left" wrapText="1"/>
    </xf>
    <xf numFmtId="0" fontId="89" fillId="0" borderId="0">
      <alignment horizontal="left" vertical="center"/>
    </xf>
    <xf numFmtId="0" fontId="47" fillId="0" borderId="103" applyNumberFormat="0" applyFill="0" applyAlignment="0" applyProtection="0"/>
    <xf numFmtId="0" fontId="42" fillId="0" borderId="104"/>
    <xf numFmtId="0" fontId="90" fillId="0" borderId="0" applyNumberFormat="0" applyFill="0" applyBorder="0" applyAlignment="0" applyProtection="0"/>
    <xf numFmtId="0" fontId="9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0" fontId="0" fillId="0" borderId="0" xfId="0" applyAlignment="1">
      <alignment horizontal="left"/>
    </xf>
    <xf numFmtId="0" fontId="0" fillId="0" borderId="0" xfId="0" applyFill="1"/>
    <xf numFmtId="0" fontId="3" fillId="15" borderId="2" xfId="0" applyFont="1" applyFill="1" applyBorder="1" applyAlignment="1">
      <alignment horizontal="center" wrapText="1"/>
    </xf>
    <xf numFmtId="0" fontId="3" fillId="15" borderId="3" xfId="0" applyFont="1" applyFill="1" applyBorder="1" applyAlignment="1">
      <alignment horizontal="center" wrapText="1"/>
    </xf>
    <xf numFmtId="0" fontId="3" fillId="15" borderId="3" xfId="0" applyFont="1" applyFill="1" applyBorder="1" applyAlignment="1">
      <alignment horizontal="center"/>
    </xf>
    <xf numFmtId="17" fontId="3" fillId="15" borderId="3" xfId="0" applyNumberFormat="1" applyFont="1" applyFill="1" applyBorder="1" applyAlignment="1">
      <alignment horizontal="center" wrapText="1"/>
    </xf>
    <xf numFmtId="17" fontId="3" fillId="15" borderId="4" xfId="0" applyNumberFormat="1" applyFont="1" applyFill="1" applyBorder="1" applyAlignment="1">
      <alignment horizontal="center" wrapText="1"/>
    </xf>
    <xf numFmtId="0" fontId="0" fillId="0" borderId="0" xfId="0" applyAlignment="1">
      <alignment horizontal="center" vertical="center" wrapText="1"/>
    </xf>
    <xf numFmtId="49" fontId="0" fillId="0" borderId="6" xfId="0" applyNumberFormat="1" applyFill="1" applyBorder="1" applyAlignment="1">
      <alignment horizontal="center"/>
    </xf>
    <xf numFmtId="0" fontId="0" fillId="0" borderId="6" xfId="0" applyFill="1" applyBorder="1"/>
    <xf numFmtId="0" fontId="0" fillId="0" borderId="8" xfId="0" applyFill="1" applyBorder="1" applyAlignment="1">
      <alignment horizontal="center"/>
    </xf>
    <xf numFmtId="164" fontId="0" fillId="0" borderId="6" xfId="0" applyNumberFormat="1" applyFill="1" applyBorder="1"/>
    <xf numFmtId="164" fontId="0" fillId="0" borderId="6" xfId="1" applyNumberFormat="1" applyFont="1" applyFill="1" applyBorder="1" applyAlignment="1">
      <alignment horizontal="center"/>
    </xf>
    <xf numFmtId="164" fontId="0" fillId="0" borderId="9" xfId="0" applyNumberFormat="1" applyFill="1" applyBorder="1"/>
    <xf numFmtId="43" fontId="7" fillId="0" borderId="5" xfId="2" applyFont="1" applyFill="1" applyBorder="1" applyAlignment="1" applyProtection="1">
      <alignment horizontal="justify"/>
    </xf>
    <xf numFmtId="17" fontId="0" fillId="0" borderId="12" xfId="0" applyNumberFormat="1" applyFill="1" applyBorder="1" applyAlignment="1">
      <alignment horizontal="center"/>
    </xf>
    <xf numFmtId="164" fontId="0" fillId="0" borderId="11" xfId="0" applyNumberFormat="1" applyFill="1" applyBorder="1"/>
    <xf numFmtId="164" fontId="0" fillId="0" borderId="13" xfId="0" applyNumberFormat="1" applyFill="1" applyBorder="1"/>
    <xf numFmtId="39" fontId="10" fillId="0" borderId="6" xfId="3" applyFont="1" applyFill="1" applyBorder="1" applyAlignment="1" applyProtection="1">
      <alignment horizontal="left"/>
    </xf>
    <xf numFmtId="165" fontId="0" fillId="0" borderId="16" xfId="0" applyNumberFormat="1" applyFill="1" applyBorder="1" applyAlignment="1">
      <alignment horizontal="center"/>
    </xf>
    <xf numFmtId="164" fontId="3" fillId="0" borderId="15" xfId="0" applyNumberFormat="1" applyFont="1" applyFill="1" applyBorder="1"/>
    <xf numFmtId="164" fontId="3" fillId="0" borderId="17" xfId="0" applyNumberFormat="1" applyFont="1" applyFill="1" applyBorder="1"/>
    <xf numFmtId="43" fontId="11" fillId="0" borderId="18" xfId="2" applyFont="1" applyFill="1" applyBorder="1" applyAlignment="1" applyProtection="1">
      <alignment horizontal="justify"/>
    </xf>
    <xf numFmtId="49" fontId="12" fillId="0" borderId="0" xfId="0" applyNumberFormat="1" applyFont="1" applyFill="1" applyBorder="1" applyAlignment="1">
      <alignment horizontal="center"/>
    </xf>
    <xf numFmtId="39" fontId="13" fillId="0" borderId="0" xfId="3" applyFont="1" applyFill="1" applyBorder="1" applyAlignment="1" applyProtection="1">
      <alignment horizontal="right"/>
    </xf>
    <xf numFmtId="0" fontId="14" fillId="16" borderId="19" xfId="0" applyFont="1" applyFill="1" applyBorder="1" applyAlignment="1">
      <alignment horizontal="center"/>
    </xf>
    <xf numFmtId="165" fontId="12" fillId="16" borderId="20" xfId="0" applyNumberFormat="1" applyFont="1" applyFill="1" applyBorder="1" applyAlignment="1">
      <alignment horizontal="center"/>
    </xf>
    <xf numFmtId="164" fontId="13" fillId="16" borderId="0" xfId="0" applyNumberFormat="1" applyFont="1" applyFill="1" applyBorder="1"/>
    <xf numFmtId="165" fontId="12" fillId="16" borderId="0" xfId="0" applyNumberFormat="1" applyFont="1" applyFill="1" applyBorder="1" applyAlignment="1">
      <alignment horizontal="center"/>
    </xf>
    <xf numFmtId="164" fontId="13" fillId="16" borderId="21" xfId="0" applyNumberFormat="1" applyFont="1" applyFill="1" applyBorder="1"/>
    <xf numFmtId="0" fontId="12" fillId="0" borderId="0" xfId="0" applyFont="1"/>
    <xf numFmtId="49" fontId="0" fillId="0" borderId="5" xfId="0" applyNumberFormat="1" applyFill="1" applyBorder="1" applyAlignment="1">
      <alignment horizontal="center"/>
    </xf>
    <xf numFmtId="164" fontId="0" fillId="0" borderId="6" xfId="1" applyNumberFormat="1" applyFont="1" applyFill="1" applyBorder="1"/>
    <xf numFmtId="164" fontId="0" fillId="0" borderId="9" xfId="1" applyNumberFormat="1" applyFont="1" applyFill="1" applyBorder="1"/>
    <xf numFmtId="0" fontId="0" fillId="0" borderId="0" xfId="0" applyBorder="1"/>
    <xf numFmtId="0" fontId="0" fillId="0" borderId="22" xfId="0" applyBorder="1" applyAlignment="1">
      <alignment horizontal="center"/>
    </xf>
    <xf numFmtId="164" fontId="0" fillId="0" borderId="23" xfId="0" applyNumberFormat="1" applyFill="1" applyBorder="1"/>
    <xf numFmtId="164" fontId="0" fillId="0" borderId="24" xfId="1" applyNumberFormat="1" applyFont="1" applyFill="1" applyBorder="1"/>
    <xf numFmtId="49" fontId="0" fillId="0" borderId="25" xfId="0" applyNumberFormat="1" applyFill="1" applyBorder="1" applyAlignment="1">
      <alignment horizontal="center"/>
    </xf>
    <xf numFmtId="49" fontId="0" fillId="0" borderId="15" xfId="0" applyNumberFormat="1" applyFill="1" applyBorder="1" applyAlignment="1">
      <alignment horizontal="center"/>
    </xf>
    <xf numFmtId="39" fontId="10" fillId="0" borderId="15" xfId="3" applyFont="1" applyFill="1" applyBorder="1" applyAlignment="1" applyProtection="1">
      <alignment horizontal="left"/>
    </xf>
    <xf numFmtId="0" fontId="0" fillId="0" borderId="16" xfId="0" applyFill="1" applyBorder="1" applyAlignment="1">
      <alignment horizontal="center"/>
    </xf>
    <xf numFmtId="49" fontId="14" fillId="0" borderId="18"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16" borderId="26" xfId="0" applyFont="1" applyFill="1" applyBorder="1" applyAlignment="1">
      <alignment horizontal="center"/>
    </xf>
    <xf numFmtId="0" fontId="14" fillId="16" borderId="20" xfId="0" applyFont="1" applyFill="1" applyBorder="1" applyAlignment="1">
      <alignment horizontal="center"/>
    </xf>
    <xf numFmtId="43" fontId="12" fillId="16" borderId="0" xfId="0" applyNumberFormat="1" applyFont="1" applyFill="1" applyBorder="1" applyAlignment="1">
      <alignment horizontal="center"/>
    </xf>
    <xf numFmtId="0" fontId="14" fillId="16" borderId="0" xfId="0" applyFont="1" applyFill="1" applyBorder="1" applyAlignment="1">
      <alignment horizontal="center"/>
    </xf>
    <xf numFmtId="164" fontId="15" fillId="16" borderId="0" xfId="0" applyNumberFormat="1" applyFont="1" applyFill="1" applyBorder="1"/>
    <xf numFmtId="0" fontId="14" fillId="0" borderId="0" xfId="0" applyFont="1"/>
    <xf numFmtId="164" fontId="0" fillId="0" borderId="6" xfId="0" applyNumberFormat="1" applyFill="1" applyBorder="1" applyAlignment="1">
      <alignment horizontal="center"/>
    </xf>
    <xf numFmtId="164" fontId="0" fillId="0" borderId="6" xfId="0" applyNumberFormat="1" applyFont="1" applyFill="1" applyBorder="1"/>
    <xf numFmtId="164" fontId="0" fillId="0" borderId="9" xfId="0" applyNumberFormat="1" applyFont="1" applyFill="1" applyBorder="1"/>
    <xf numFmtId="0" fontId="0" fillId="0" borderId="27" xfId="0" applyFill="1" applyBorder="1"/>
    <xf numFmtId="0" fontId="0" fillId="0" borderId="29" xfId="0" applyFill="1" applyBorder="1"/>
    <xf numFmtId="164" fontId="3" fillId="0" borderId="28" xfId="0" applyNumberFormat="1" applyFont="1" applyFill="1" applyBorder="1"/>
    <xf numFmtId="164" fontId="3" fillId="0" borderId="30" xfId="0" applyNumberFormat="1" applyFont="1" applyFill="1" applyBorder="1"/>
    <xf numFmtId="0" fontId="3" fillId="0" borderId="15" xfId="0" applyFont="1" applyFill="1" applyBorder="1"/>
    <xf numFmtId="0" fontId="0" fillId="0" borderId="14" xfId="0" applyFill="1" applyBorder="1"/>
    <xf numFmtId="0" fontId="0" fillId="0" borderId="16" xfId="0" applyFill="1" applyBorder="1"/>
    <xf numFmtId="49" fontId="16" fillId="0" borderId="6" xfId="3" applyNumberFormat="1" applyFont="1" applyFill="1" applyBorder="1" applyAlignment="1">
      <alignment horizontal="center"/>
    </xf>
    <xf numFmtId="164" fontId="0" fillId="0" borderId="0" xfId="0" applyNumberFormat="1"/>
    <xf numFmtId="164" fontId="0" fillId="0" borderId="0" xfId="1" applyNumberFormat="1" applyFont="1" applyFill="1" applyBorder="1"/>
    <xf numFmtId="0" fontId="0" fillId="0" borderId="14" xfId="0" applyFill="1" applyBorder="1" applyAlignment="1">
      <alignment horizontal="center"/>
    </xf>
    <xf numFmtId="0" fontId="0" fillId="0" borderId="31" xfId="0" applyFill="1" applyBorder="1" applyAlignment="1">
      <alignment wrapText="1"/>
    </xf>
    <xf numFmtId="0" fontId="0" fillId="0" borderId="0" xfId="0" applyFill="1" applyBorder="1"/>
    <xf numFmtId="41" fontId="13" fillId="16" borderId="0" xfId="0" applyNumberFormat="1" applyFont="1" applyFill="1" applyBorder="1"/>
    <xf numFmtId="0" fontId="0" fillId="0" borderId="6" xfId="0" applyFont="1" applyFill="1" applyBorder="1"/>
    <xf numFmtId="0" fontId="3" fillId="0" borderId="6" xfId="0" applyFont="1" applyFill="1" applyBorder="1"/>
    <xf numFmtId="0" fontId="14" fillId="16" borderId="8" xfId="0" applyFont="1" applyFill="1" applyBorder="1" applyAlignment="1">
      <alignment horizontal="center"/>
    </xf>
    <xf numFmtId="0" fontId="14" fillId="16" borderId="6" xfId="0" applyFont="1" applyFill="1" applyBorder="1" applyAlignment="1">
      <alignment horizontal="center"/>
    </xf>
    <xf numFmtId="164" fontId="0" fillId="0" borderId="19" xfId="0" applyNumberFormat="1" applyFill="1" applyBorder="1"/>
    <xf numFmtId="164" fontId="13" fillId="16" borderId="6" xfId="0" applyNumberFormat="1" applyFont="1" applyFill="1" applyBorder="1"/>
    <xf numFmtId="0" fontId="0" fillId="0" borderId="14" xfId="0" applyFill="1" applyBorder="1" applyAlignment="1">
      <alignment wrapText="1"/>
    </xf>
    <xf numFmtId="164" fontId="3" fillId="0" borderId="0" xfId="0" applyNumberFormat="1" applyFont="1" applyFill="1" applyBorder="1"/>
    <xf numFmtId="0" fontId="0" fillId="0" borderId="5" xfId="0" applyBorder="1" applyAlignment="1">
      <alignment horizontal="left"/>
    </xf>
    <xf numFmtId="0" fontId="0" fillId="0" borderId="6" xfId="0" applyBorder="1" applyAlignment="1">
      <alignment horizontal="left"/>
    </xf>
    <xf numFmtId="164" fontId="0" fillId="0" borderId="24" xfId="0" applyNumberFormat="1" applyFill="1" applyBorder="1"/>
    <xf numFmtId="0" fontId="0" fillId="0" borderId="5" xfId="0" applyBorder="1"/>
    <xf numFmtId="0" fontId="0" fillId="0" borderId="6" xfId="0" applyBorder="1"/>
    <xf numFmtId="0" fontId="0" fillId="0" borderId="8" xfId="0" applyBorder="1"/>
    <xf numFmtId="164" fontId="0" fillId="0" borderId="6" xfId="0" quotePrefix="1" applyNumberFormat="1" applyFill="1" applyBorder="1" applyAlignment="1">
      <alignment horizontal="center"/>
    </xf>
    <xf numFmtId="0" fontId="0" fillId="0" borderId="33" xfId="0" applyBorder="1"/>
    <xf numFmtId="0" fontId="0" fillId="0" borderId="33" xfId="0" applyFill="1" applyBorder="1"/>
    <xf numFmtId="0" fontId="3" fillId="0" borderId="6" xfId="0" applyFont="1" applyBorder="1"/>
    <xf numFmtId="164" fontId="3" fillId="0" borderId="37" xfId="0" applyNumberFormat="1" applyFont="1" applyBorder="1"/>
    <xf numFmtId="164" fontId="3" fillId="0" borderId="39" xfId="0" applyNumberFormat="1" applyFont="1" applyBorder="1"/>
    <xf numFmtId="49" fontId="14" fillId="0" borderId="40" xfId="0" applyNumberFormat="1" applyFont="1" applyFill="1" applyBorder="1" applyAlignment="1">
      <alignment horizontal="center"/>
    </xf>
    <xf numFmtId="49" fontId="14" fillId="0" borderId="41" xfId="0" applyNumberFormat="1" applyFont="1" applyFill="1" applyBorder="1" applyAlignment="1">
      <alignment horizontal="center"/>
    </xf>
    <xf numFmtId="39" fontId="13" fillId="0" borderId="41" xfId="3" applyFont="1" applyFill="1" applyBorder="1" applyAlignment="1" applyProtection="1">
      <alignment horizontal="right"/>
    </xf>
    <xf numFmtId="0" fontId="14" fillId="16" borderId="41" xfId="0" applyFont="1" applyFill="1" applyBorder="1" applyAlignment="1">
      <alignment horizontal="center"/>
    </xf>
    <xf numFmtId="164" fontId="13" fillId="16" borderId="41" xfId="0" applyNumberFormat="1" applyFont="1" applyFill="1" applyBorder="1"/>
    <xf numFmtId="164" fontId="15" fillId="16" borderId="41" xfId="0" applyNumberFormat="1" applyFont="1" applyFill="1" applyBorder="1"/>
    <xf numFmtId="43" fontId="0" fillId="0" borderId="0" xfId="0" applyNumberFormat="1"/>
    <xf numFmtId="0" fontId="0" fillId="0" borderId="7" xfId="0" applyFill="1" applyBorder="1" applyAlignment="1">
      <alignment horizontal="center"/>
    </xf>
    <xf numFmtId="0" fontId="0" fillId="0" borderId="42" xfId="0" applyFill="1" applyBorder="1" applyAlignment="1">
      <alignment horizontal="center"/>
    </xf>
    <xf numFmtId="164" fontId="0" fillId="0" borderId="15" xfId="0" applyNumberFormat="1" applyFill="1" applyBorder="1" applyAlignment="1">
      <alignment horizontal="center"/>
    </xf>
    <xf numFmtId="0" fontId="0" fillId="0" borderId="10" xfId="0" applyFill="1" applyBorder="1" applyAlignment="1">
      <alignment horizontal="center"/>
    </xf>
    <xf numFmtId="17" fontId="0" fillId="0" borderId="43" xfId="0" applyNumberFormat="1" applyFill="1" applyBorder="1" applyAlignment="1">
      <alignment horizontal="center"/>
    </xf>
    <xf numFmtId="165" fontId="0" fillId="0" borderId="42" xfId="0" applyNumberFormat="1" applyFill="1" applyBorder="1" applyAlignment="1">
      <alignment horizontal="center"/>
    </xf>
    <xf numFmtId="0" fontId="12" fillId="16" borderId="19" xfId="0" applyFont="1" applyFill="1" applyBorder="1" applyAlignment="1">
      <alignment horizontal="center"/>
    </xf>
    <xf numFmtId="165" fontId="12" fillId="16" borderId="8" xfId="0" applyNumberFormat="1" applyFont="1" applyFill="1" applyBorder="1" applyAlignment="1">
      <alignment horizontal="center"/>
    </xf>
    <xf numFmtId="43" fontId="12" fillId="16" borderId="6" xfId="0" applyNumberFormat="1" applyFont="1" applyFill="1" applyBorder="1" applyAlignment="1">
      <alignment horizontal="center"/>
    </xf>
    <xf numFmtId="0" fontId="0" fillId="0" borderId="31" xfId="0" applyFill="1" applyBorder="1" applyAlignment="1">
      <alignment horizontal="center"/>
    </xf>
    <xf numFmtId="164" fontId="0" fillId="0" borderId="0" xfId="0" applyNumberFormat="1" applyFill="1" applyBorder="1" applyAlignment="1">
      <alignment horizontal="center"/>
    </xf>
    <xf numFmtId="0" fontId="0" fillId="0" borderId="14" xfId="0" applyFill="1" applyBorder="1" applyAlignment="1"/>
    <xf numFmtId="0" fontId="0" fillId="0" borderId="34" xfId="0" applyFill="1" applyBorder="1" applyAlignment="1">
      <alignment horizontal="center"/>
    </xf>
    <xf numFmtId="0" fontId="0" fillId="0" borderId="44" xfId="0" applyFill="1" applyBorder="1" applyAlignment="1">
      <alignment horizontal="center"/>
    </xf>
    <xf numFmtId="0" fontId="0" fillId="0" borderId="47" xfId="0" applyFill="1" applyBorder="1"/>
    <xf numFmtId="43" fontId="12" fillId="16" borderId="19" xfId="0" applyNumberFormat="1" applyFont="1" applyFill="1" applyBorder="1" applyAlignment="1">
      <alignment horizontal="center"/>
    </xf>
    <xf numFmtId="164" fontId="15" fillId="16" borderId="6" xfId="0" applyNumberFormat="1" applyFont="1" applyFill="1" applyBorder="1"/>
    <xf numFmtId="164" fontId="13" fillId="16" borderId="9" xfId="0" applyNumberFormat="1" applyFont="1" applyFill="1" applyBorder="1"/>
    <xf numFmtId="17" fontId="0" fillId="0" borderId="20" xfId="0" applyNumberFormat="1" applyFill="1" applyBorder="1" applyAlignment="1">
      <alignment horizontal="center"/>
    </xf>
    <xf numFmtId="164" fontId="0" fillId="0" borderId="0" xfId="0" applyNumberFormat="1" applyFont="1" applyFill="1" applyBorder="1"/>
    <xf numFmtId="164" fontId="0" fillId="0" borderId="10" xfId="0" applyNumberFormat="1" applyFont="1" applyFill="1" applyBorder="1"/>
    <xf numFmtId="164" fontId="0" fillId="0" borderId="11" xfId="0" applyNumberFormat="1" applyFont="1" applyFill="1" applyBorder="1"/>
    <xf numFmtId="164" fontId="0" fillId="0" borderId="13" xfId="0" applyNumberFormat="1" applyFont="1" applyFill="1" applyBorder="1"/>
    <xf numFmtId="0" fontId="0" fillId="0" borderId="8" xfId="0" applyFill="1" applyBorder="1"/>
    <xf numFmtId="49" fontId="14" fillId="0" borderId="5" xfId="0" applyNumberFormat="1" applyFont="1" applyFill="1" applyBorder="1" applyAlignment="1">
      <alignment horizontal="center"/>
    </xf>
    <xf numFmtId="49" fontId="14" fillId="0" borderId="6" xfId="0" applyNumberFormat="1" applyFont="1" applyFill="1" applyBorder="1" applyAlignment="1">
      <alignment horizontal="center"/>
    </xf>
    <xf numFmtId="39" fontId="13" fillId="0" borderId="48" xfId="3" applyFont="1" applyFill="1" applyBorder="1" applyAlignment="1" applyProtection="1">
      <alignment horizontal="right"/>
    </xf>
    <xf numFmtId="0" fontId="14" fillId="16" borderId="48" xfId="0" applyFont="1" applyFill="1" applyBorder="1" applyAlignment="1">
      <alignment horizontal="center"/>
    </xf>
    <xf numFmtId="0" fontId="14" fillId="0" borderId="0" xfId="0" applyFont="1" applyFill="1"/>
    <xf numFmtId="164" fontId="15" fillId="0" borderId="6" xfId="0" applyNumberFormat="1" applyFont="1" applyFill="1" applyBorder="1"/>
    <xf numFmtId="43" fontId="13" fillId="16" borderId="0" xfId="0" applyNumberFormat="1" applyFont="1" applyFill="1" applyBorder="1"/>
    <xf numFmtId="0" fontId="0" fillId="0" borderId="22" xfId="0" applyFill="1" applyBorder="1" applyAlignment="1">
      <alignment horizontal="center"/>
    </xf>
    <xf numFmtId="0" fontId="0" fillId="0" borderId="42" xfId="0" applyFill="1" applyBorder="1"/>
    <xf numFmtId="0" fontId="14" fillId="16" borderId="44" xfId="0" applyFont="1" applyFill="1" applyBorder="1" applyAlignment="1">
      <alignment horizontal="center"/>
    </xf>
    <xf numFmtId="0" fontId="0" fillId="0" borderId="19" xfId="0" applyFill="1" applyBorder="1" applyAlignment="1">
      <alignment horizontal="center"/>
    </xf>
    <xf numFmtId="17" fontId="0" fillId="0" borderId="8" xfId="0" applyNumberFormat="1" applyFill="1" applyBorder="1" applyAlignment="1">
      <alignment horizontal="center"/>
    </xf>
    <xf numFmtId="17" fontId="0" fillId="0" borderId="48" xfId="0" applyNumberFormat="1" applyFill="1" applyBorder="1" applyAlignment="1">
      <alignment horizontal="center"/>
    </xf>
    <xf numFmtId="17" fontId="0" fillId="0" borderId="32" xfId="0" applyNumberFormat="1" applyFill="1" applyBorder="1" applyAlignment="1">
      <alignment horizontal="center"/>
    </xf>
    <xf numFmtId="17" fontId="0" fillId="0" borderId="46" xfId="0" applyNumberFormat="1" applyFill="1" applyBorder="1" applyAlignment="1">
      <alignment horizontal="center"/>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Fill="1" applyBorder="1"/>
    <xf numFmtId="164" fontId="0" fillId="0" borderId="21" xfId="0" applyNumberFormat="1" applyFill="1" applyBorder="1"/>
    <xf numFmtId="0" fontId="0" fillId="0" borderId="19" xfId="0" applyFill="1" applyBorder="1"/>
    <xf numFmtId="0" fontId="0" fillId="0" borderId="8" xfId="0" quotePrefix="1" applyFill="1" applyBorder="1" applyAlignment="1">
      <alignment horizontal="center"/>
    </xf>
    <xf numFmtId="0" fontId="0" fillId="0" borderId="48" xfId="0" quotePrefix="1" applyFill="1" applyBorder="1" applyAlignment="1">
      <alignment horizontal="center"/>
    </xf>
    <xf numFmtId="0" fontId="0" fillId="0" borderId="31" xfId="0" applyFill="1" applyBorder="1"/>
    <xf numFmtId="0" fontId="0" fillId="0" borderId="12" xfId="0" applyFill="1" applyBorder="1"/>
    <xf numFmtId="0" fontId="0" fillId="0" borderId="34" xfId="0" applyFill="1" applyBorder="1"/>
    <xf numFmtId="0" fontId="0" fillId="0" borderId="35" xfId="0" applyFill="1" applyBorder="1"/>
    <xf numFmtId="0" fontId="0" fillId="0" borderId="36" xfId="0" applyFill="1" applyBorder="1"/>
    <xf numFmtId="0" fontId="0" fillId="0" borderId="49" xfId="0" applyFill="1" applyBorder="1"/>
    <xf numFmtId="0" fontId="0" fillId="0" borderId="38" xfId="0" applyFill="1" applyBorder="1"/>
    <xf numFmtId="164" fontId="3" fillId="0" borderId="37" xfId="0" applyNumberFormat="1" applyFont="1" applyFill="1" applyBorder="1"/>
    <xf numFmtId="164" fontId="3" fillId="0" borderId="39" xfId="0" applyNumberFormat="1" applyFont="1" applyFill="1" applyBorder="1"/>
    <xf numFmtId="164" fontId="13" fillId="16" borderId="50" xfId="0" applyNumberFormat="1" applyFont="1" applyFill="1" applyBorder="1"/>
    <xf numFmtId="0" fontId="0" fillId="0" borderId="0" xfId="0" applyFill="1" applyAlignment="1">
      <alignment horizontal="left"/>
    </xf>
    <xf numFmtId="0" fontId="21" fillId="0" borderId="0" xfId="0" applyFont="1"/>
    <xf numFmtId="0" fontId="3" fillId="0" borderId="0" xfId="0" applyFont="1"/>
    <xf numFmtId="0" fontId="0" fillId="0" borderId="41" xfId="0" applyBorder="1"/>
    <xf numFmtId="0" fontId="3" fillId="15" borderId="54" xfId="0" applyFont="1" applyFill="1" applyBorder="1" applyAlignment="1">
      <alignment horizontal="center" wrapText="1"/>
    </xf>
    <xf numFmtId="17" fontId="3" fillId="15" borderId="55" xfId="0" applyNumberFormat="1" applyFont="1" applyFill="1" applyBorder="1" applyAlignment="1">
      <alignment horizontal="center" wrapText="1"/>
    </xf>
    <xf numFmtId="0" fontId="0" fillId="0" borderId="63" xfId="0" applyFill="1" applyBorder="1"/>
    <xf numFmtId="0" fontId="0" fillId="0" borderId="63" xfId="0" applyBorder="1"/>
    <xf numFmtId="0" fontId="0" fillId="0" borderId="48" xfId="0" applyBorder="1"/>
    <xf numFmtId="164" fontId="0" fillId="0" borderId="65" xfId="1" applyNumberFormat="1" applyFont="1" applyBorder="1"/>
    <xf numFmtId="0" fontId="3" fillId="0" borderId="8" xfId="0" applyFont="1" applyBorder="1"/>
    <xf numFmtId="164" fontId="3" fillId="0" borderId="38" xfId="0" applyNumberFormat="1" applyFont="1" applyFill="1" applyBorder="1"/>
    <xf numFmtId="0" fontId="3" fillId="0" borderId="38" xfId="0" applyFont="1" applyFill="1" applyBorder="1"/>
    <xf numFmtId="164" fontId="3" fillId="0" borderId="66" xfId="0" applyNumberFormat="1" applyFont="1" applyBorder="1"/>
    <xf numFmtId="0" fontId="0" fillId="0" borderId="67" xfId="0" applyBorder="1"/>
    <xf numFmtId="0" fontId="0" fillId="0" borderId="68" xfId="0" applyBorder="1"/>
    <xf numFmtId="0" fontId="12" fillId="0" borderId="69" xfId="0" applyFont="1" applyBorder="1" applyAlignment="1">
      <alignment horizontal="right"/>
    </xf>
    <xf numFmtId="164" fontId="12" fillId="0" borderId="69" xfId="0" applyNumberFormat="1" applyFont="1" applyFill="1" applyBorder="1"/>
    <xf numFmtId="0" fontId="14" fillId="0" borderId="69" xfId="0" applyFont="1" applyFill="1" applyBorder="1"/>
    <xf numFmtId="164" fontId="12" fillId="0" borderId="69" xfId="0" applyNumberFormat="1" applyFont="1" applyFill="1" applyBorder="1" applyAlignment="1">
      <alignment horizontal="right"/>
    </xf>
    <xf numFmtId="164" fontId="0" fillId="0" borderId="0" xfId="0" applyNumberFormat="1" applyFill="1"/>
    <xf numFmtId="41" fontId="24" fillId="0" borderId="0" xfId="0" applyNumberFormat="1" applyFont="1" applyFill="1" applyAlignment="1">
      <alignment horizontal="left"/>
    </xf>
    <xf numFmtId="41" fontId="24" fillId="0" borderId="0" xfId="0" applyNumberFormat="1" applyFont="1" applyAlignment="1">
      <alignment horizontal="left"/>
    </xf>
    <xf numFmtId="164" fontId="0" fillId="0" borderId="71" xfId="0" applyNumberFormat="1" applyFill="1" applyBorder="1"/>
    <xf numFmtId="164" fontId="0" fillId="0" borderId="23" xfId="1" applyNumberFormat="1" applyFont="1" applyFill="1" applyBorder="1"/>
    <xf numFmtId="0" fontId="0" fillId="0" borderId="21" xfId="0" applyBorder="1"/>
    <xf numFmtId="0" fontId="2" fillId="0" borderId="0" xfId="0" applyFont="1"/>
    <xf numFmtId="17" fontId="25" fillId="0" borderId="0" xfId="0" applyNumberFormat="1" applyFont="1" applyFill="1" applyBorder="1" applyAlignment="1">
      <alignment horizontal="center" wrapText="1"/>
    </xf>
    <xf numFmtId="164" fontId="12" fillId="0" borderId="0" xfId="0" applyNumberFormat="1" applyFont="1" applyFill="1" applyAlignment="1">
      <alignment horizontal="right"/>
    </xf>
    <xf numFmtId="0" fontId="0" fillId="0" borderId="48" xfId="0" applyFill="1" applyBorder="1"/>
    <xf numFmtId="164" fontId="0" fillId="0" borderId="65" xfId="1" applyNumberFormat="1" applyFont="1" applyFill="1" applyBorder="1"/>
    <xf numFmtId="164" fontId="26" fillId="0" borderId="0" xfId="0" applyNumberFormat="1" applyFont="1" applyFill="1" applyAlignment="1">
      <alignment horizontal="right"/>
    </xf>
    <xf numFmtId="0" fontId="3" fillId="0" borderId="8" xfId="0" applyFont="1" applyFill="1" applyBorder="1"/>
    <xf numFmtId="164" fontId="3" fillId="0" borderId="66" xfId="0" applyNumberFormat="1" applyFont="1" applyFill="1" applyBorder="1"/>
    <xf numFmtId="164" fontId="13" fillId="0" borderId="0" xfId="0" applyNumberFormat="1" applyFont="1" applyFill="1"/>
    <xf numFmtId="0" fontId="0" fillId="0" borderId="67" xfId="0" applyFill="1" applyBorder="1"/>
    <xf numFmtId="0" fontId="0" fillId="0" borderId="68" xfId="0" applyFill="1" applyBorder="1"/>
    <xf numFmtId="0" fontId="12" fillId="0" borderId="69" xfId="0" applyFont="1" applyFill="1" applyBorder="1" applyAlignment="1">
      <alignment horizontal="right"/>
    </xf>
    <xf numFmtId="164" fontId="2" fillId="0" borderId="69" xfId="0" applyNumberFormat="1" applyFont="1" applyFill="1" applyBorder="1"/>
    <xf numFmtId="0" fontId="2" fillId="0" borderId="69" xfId="0" applyFont="1" applyFill="1" applyBorder="1"/>
    <xf numFmtId="164" fontId="2" fillId="0" borderId="70" xfId="0" applyNumberFormat="1" applyFont="1" applyFill="1" applyBorder="1"/>
    <xf numFmtId="164" fontId="13" fillId="16" borderId="35" xfId="0" applyNumberFormat="1" applyFont="1" applyFill="1" applyBorder="1"/>
    <xf numFmtId="164" fontId="0" fillId="0" borderId="19" xfId="0" applyNumberFormat="1" applyFill="1" applyBorder="1" applyAlignment="1">
      <alignment horizontal="center"/>
    </xf>
    <xf numFmtId="164" fontId="0" fillId="0" borderId="0" xfId="0" applyNumberFormat="1" applyFill="1" applyBorder="1"/>
    <xf numFmtId="0" fontId="0" fillId="0" borderId="21" xfId="0" applyFill="1" applyBorder="1"/>
    <xf numFmtId="0" fontId="14" fillId="16" borderId="50" xfId="0" applyFont="1" applyFill="1" applyBorder="1"/>
    <xf numFmtId="0" fontId="0" fillId="0" borderId="52" xfId="0" applyFill="1" applyBorder="1" applyAlignment="1">
      <alignment horizontal="left"/>
    </xf>
    <xf numFmtId="0" fontId="0" fillId="0" borderId="15" xfId="0" applyFill="1" applyBorder="1" applyAlignment="1">
      <alignment horizontal="left"/>
    </xf>
    <xf numFmtId="0" fontId="3" fillId="0" borderId="6" xfId="0" applyFont="1" applyFill="1" applyBorder="1" applyAlignment="1">
      <alignment horizontal="left"/>
    </xf>
    <xf numFmtId="164" fontId="3" fillId="0" borderId="21" xfId="0" applyNumberFormat="1" applyFont="1" applyFill="1" applyBorder="1"/>
    <xf numFmtId="164" fontId="0" fillId="0" borderId="33" xfId="0" applyNumberFormat="1" applyFill="1" applyBorder="1"/>
    <xf numFmtId="164" fontId="0" fillId="0" borderId="33" xfId="1" applyNumberFormat="1" applyFont="1" applyFill="1" applyBorder="1" applyAlignment="1">
      <alignment horizontal="center"/>
    </xf>
    <xf numFmtId="0" fontId="0" fillId="0" borderId="0" xfId="0" applyNumberFormat="1" applyFill="1" applyBorder="1" applyAlignment="1">
      <alignment horizontal="left"/>
    </xf>
    <xf numFmtId="0" fontId="0" fillId="0" borderId="0" xfId="0" applyFill="1" applyBorder="1" applyAlignment="1">
      <alignment horizontal="left"/>
    </xf>
    <xf numFmtId="0" fontId="0" fillId="0" borderId="72" xfId="0" applyFill="1" applyBorder="1" applyAlignment="1">
      <alignment horizontal="left"/>
    </xf>
    <xf numFmtId="164" fontId="0" fillId="0" borderId="11" xfId="1" applyNumberFormat="1" applyFont="1" applyFill="1" applyBorder="1" applyAlignment="1">
      <alignment horizontal="center"/>
    </xf>
    <xf numFmtId="164" fontId="0" fillId="0" borderId="35" xfId="0" applyNumberFormat="1" applyFill="1" applyBorder="1"/>
    <xf numFmtId="0" fontId="0" fillId="15" borderId="51" xfId="0" applyFill="1" applyBorder="1"/>
    <xf numFmtId="17" fontId="3" fillId="15" borderId="56" xfId="0" applyNumberFormat="1" applyFont="1" applyFill="1" applyBorder="1" applyAlignment="1">
      <alignment horizontal="center" wrapText="1"/>
    </xf>
    <xf numFmtId="17" fontId="3" fillId="15" borderId="57" xfId="0" applyNumberFormat="1" applyFont="1" applyFill="1" applyBorder="1" applyAlignment="1">
      <alignment horizontal="center" wrapText="1"/>
    </xf>
    <xf numFmtId="17" fontId="3" fillId="15" borderId="58" xfId="0" applyNumberFormat="1" applyFont="1" applyFill="1" applyBorder="1" applyAlignment="1">
      <alignment horizontal="center" wrapText="1"/>
    </xf>
    <xf numFmtId="164" fontId="0" fillId="16" borderId="33" xfId="0" applyNumberFormat="1" applyFill="1" applyBorder="1"/>
    <xf numFmtId="164" fontId="0" fillId="16" borderId="33" xfId="1" applyNumberFormat="1" applyFont="1" applyFill="1" applyBorder="1" applyAlignment="1">
      <alignment horizontal="center"/>
    </xf>
    <xf numFmtId="164" fontId="3" fillId="16" borderId="33" xfId="1" applyNumberFormat="1" applyFont="1" applyFill="1" applyBorder="1" applyAlignment="1">
      <alignment horizontal="center"/>
    </xf>
    <xf numFmtId="164" fontId="3" fillId="16" borderId="33" xfId="0" applyNumberFormat="1" applyFont="1" applyFill="1" applyBorder="1"/>
    <xf numFmtId="164" fontId="3" fillId="16" borderId="9" xfId="0" applyNumberFormat="1" applyFont="1" applyFill="1" applyBorder="1"/>
    <xf numFmtId="0" fontId="3" fillId="0" borderId="0" xfId="0" applyFont="1" applyAlignment="1">
      <alignment horizontal="center"/>
    </xf>
    <xf numFmtId="0" fontId="4" fillId="0" borderId="0" xfId="0" applyFont="1" applyAlignment="1">
      <alignment horizontal="center"/>
    </xf>
    <xf numFmtId="49" fontId="0" fillId="0" borderId="59" xfId="0" applyNumberFormat="1" applyBorder="1" applyAlignment="1">
      <alignment horizontal="left" vertical="top"/>
    </xf>
    <xf numFmtId="49" fontId="0" fillId="0" borderId="60" xfId="0" applyNumberFormat="1" applyBorder="1" applyAlignment="1">
      <alignment horizontal="left" vertical="top"/>
    </xf>
    <xf numFmtId="39" fontId="0" fillId="0" borderId="61" xfId="0" applyNumberFormat="1" applyBorder="1" applyAlignment="1">
      <alignment vertical="top"/>
    </xf>
    <xf numFmtId="164" fontId="0" fillId="0" borderId="61" xfId="1" applyNumberFormat="1" applyFont="1" applyFill="1" applyBorder="1" applyAlignment="1">
      <alignment vertical="top"/>
    </xf>
    <xf numFmtId="164" fontId="0" fillId="0" borderId="62" xfId="1" applyNumberFormat="1" applyFont="1" applyFill="1" applyBorder="1" applyAlignment="1">
      <alignment vertical="top"/>
    </xf>
    <xf numFmtId="49" fontId="0" fillId="0" borderId="63" xfId="0" applyNumberFormat="1" applyBorder="1" applyAlignment="1">
      <alignment horizontal="left" vertical="top"/>
    </xf>
    <xf numFmtId="49" fontId="0" fillId="0" borderId="8" xfId="0" applyNumberFormat="1" applyBorder="1" applyAlignment="1">
      <alignment horizontal="left" vertical="top"/>
    </xf>
    <xf numFmtId="0" fontId="0" fillId="0" borderId="8" xfId="0" applyBorder="1" applyAlignment="1">
      <alignment vertical="top"/>
    </xf>
    <xf numFmtId="164" fontId="0" fillId="0" borderId="8" xfId="1" applyNumberFormat="1" applyFont="1" applyFill="1" applyBorder="1" applyAlignment="1">
      <alignment vertical="top"/>
    </xf>
    <xf numFmtId="164" fontId="0" fillId="0" borderId="64" xfId="1" applyNumberFormat="1" applyFont="1" applyFill="1" applyBorder="1" applyAlignment="1">
      <alignment vertical="top"/>
    </xf>
    <xf numFmtId="0" fontId="0" fillId="0" borderId="63" xfId="0" applyFill="1" applyBorder="1" applyAlignment="1">
      <alignment horizontal="left" vertical="top"/>
    </xf>
    <xf numFmtId="0" fontId="0" fillId="0" borderId="8" xfId="0" applyFill="1" applyBorder="1" applyAlignment="1">
      <alignment vertical="top"/>
    </xf>
    <xf numFmtId="0" fontId="0" fillId="0" borderId="63" xfId="0" applyBorder="1" applyAlignment="1">
      <alignment horizontal="left" vertical="top"/>
    </xf>
    <xf numFmtId="0" fontId="0" fillId="0" borderId="6" xfId="0" applyBorder="1" applyAlignment="1">
      <alignment horizontal="left" vertical="top" wrapText="1"/>
    </xf>
    <xf numFmtId="0" fontId="0" fillId="0" borderId="6" xfId="0" applyFill="1" applyBorder="1" applyAlignment="1">
      <alignment vertical="top"/>
    </xf>
    <xf numFmtId="0" fontId="0" fillId="0" borderId="48" xfId="0" applyBorder="1" applyAlignment="1">
      <alignment horizontal="left" vertical="top"/>
    </xf>
    <xf numFmtId="49" fontId="0" fillId="0" borderId="5" xfId="0" applyNumberFormat="1" applyFill="1" applyBorder="1" applyAlignment="1">
      <alignment horizontal="left"/>
    </xf>
    <xf numFmtId="49" fontId="0" fillId="0" borderId="6" xfId="0" applyNumberFormat="1" applyFill="1" applyBorder="1" applyAlignment="1">
      <alignment horizontal="left"/>
    </xf>
    <xf numFmtId="0" fontId="0" fillId="0" borderId="6" xfId="0" applyFont="1" applyFill="1" applyBorder="1" applyAlignment="1">
      <alignment horizontal="left"/>
    </xf>
    <xf numFmtId="49" fontId="14" fillId="0" borderId="18" xfId="0" applyNumberFormat="1" applyFont="1" applyFill="1" applyBorder="1" applyAlignment="1">
      <alignment horizontal="left"/>
    </xf>
    <xf numFmtId="49" fontId="14" fillId="0" borderId="0" xfId="0" applyNumberFormat="1" applyFont="1" applyFill="1" applyBorder="1" applyAlignment="1">
      <alignment horizontal="left"/>
    </xf>
    <xf numFmtId="39" fontId="13" fillId="0" borderId="0" xfId="3" applyFont="1" applyFill="1" applyBorder="1" applyAlignment="1" applyProtection="1">
      <alignment horizontal="left"/>
    </xf>
    <xf numFmtId="0" fontId="3" fillId="0" borderId="6" xfId="0" applyFont="1" applyBorder="1" applyAlignment="1">
      <alignment horizontal="left"/>
    </xf>
    <xf numFmtId="49" fontId="0" fillId="0" borderId="5" xfId="0" applyNumberFormat="1" applyFill="1" applyBorder="1" applyAlignment="1">
      <alignment vertical="top"/>
    </xf>
    <xf numFmtId="49" fontId="0" fillId="0" borderId="6" xfId="0" applyNumberFormat="1" applyFill="1" applyBorder="1" applyAlignment="1">
      <alignment vertical="top"/>
    </xf>
    <xf numFmtId="0" fontId="0" fillId="0" borderId="20" xfId="0" applyFill="1" applyBorder="1" applyAlignment="1">
      <alignment horizontal="center" vertical="top" wrapText="1"/>
    </xf>
    <xf numFmtId="164" fontId="0" fillId="0" borderId="6" xfId="0" applyNumberFormat="1" applyFill="1" applyBorder="1" applyAlignment="1">
      <alignment vertical="top"/>
    </xf>
    <xf numFmtId="164" fontId="0" fillId="0" borderId="0" xfId="0" applyNumberFormat="1" applyFill="1" applyBorder="1" applyAlignment="1">
      <alignment horizontal="center" vertical="top" wrapText="1"/>
    </xf>
    <xf numFmtId="164" fontId="0" fillId="0" borderId="9" xfId="0" applyNumberFormat="1" applyFont="1" applyFill="1" applyBorder="1" applyAlignment="1">
      <alignment vertical="top"/>
    </xf>
    <xf numFmtId="0" fontId="0" fillId="0" borderId="16" xfId="0" applyFill="1" applyBorder="1" applyAlignment="1">
      <alignment horizontal="center" vertical="top" wrapText="1"/>
    </xf>
    <xf numFmtId="0" fontId="0" fillId="0" borderId="6" xfId="0" applyFont="1" applyFill="1" applyBorder="1" applyAlignment="1">
      <alignment vertical="top"/>
    </xf>
    <xf numFmtId="0" fontId="0" fillId="0" borderId="10" xfId="0" applyFill="1" applyBorder="1" applyAlignment="1">
      <alignment vertical="top"/>
    </xf>
    <xf numFmtId="17" fontId="0" fillId="0" borderId="12" xfId="0" applyNumberFormat="1" applyFill="1" applyBorder="1" applyAlignment="1">
      <alignment horizontal="center" vertical="top"/>
    </xf>
    <xf numFmtId="164" fontId="0" fillId="0" borderId="23" xfId="0" applyNumberFormat="1" applyFill="1" applyBorder="1" applyAlignment="1">
      <alignment vertical="top"/>
    </xf>
    <xf numFmtId="164" fontId="0" fillId="0" borderId="11" xfId="0" applyNumberFormat="1" applyFill="1" applyBorder="1" applyAlignment="1">
      <alignment vertical="top"/>
    </xf>
    <xf numFmtId="164" fontId="0" fillId="0" borderId="13" xfId="0" applyNumberFormat="1" applyFont="1" applyFill="1" applyBorder="1" applyAlignment="1">
      <alignment vertical="top"/>
    </xf>
    <xf numFmtId="0" fontId="3" fillId="0" borderId="6" xfId="0" applyFont="1" applyFill="1" applyBorder="1" applyAlignment="1">
      <alignment vertical="top"/>
    </xf>
    <xf numFmtId="0" fontId="0" fillId="0" borderId="27" xfId="0" applyFill="1" applyBorder="1" applyAlignment="1">
      <alignment vertical="top"/>
    </xf>
    <xf numFmtId="0" fontId="0" fillId="0" borderId="29" xfId="0" applyFill="1" applyBorder="1" applyAlignment="1">
      <alignment vertical="top"/>
    </xf>
    <xf numFmtId="164" fontId="3" fillId="0" borderId="28" xfId="0" applyNumberFormat="1" applyFont="1" applyFill="1" applyBorder="1" applyAlignment="1">
      <alignment vertical="top"/>
    </xf>
    <xf numFmtId="164" fontId="3" fillId="0" borderId="17" xfId="0" applyNumberFormat="1" applyFont="1" applyFill="1" applyBorder="1" applyAlignment="1">
      <alignment vertical="top"/>
    </xf>
    <xf numFmtId="49" fontId="14" fillId="0" borderId="18" xfId="0" applyNumberFormat="1" applyFont="1" applyFill="1" applyBorder="1" applyAlignment="1">
      <alignment vertical="top"/>
    </xf>
    <xf numFmtId="49" fontId="14" fillId="0" borderId="0" xfId="0" applyNumberFormat="1" applyFont="1" applyFill="1" applyBorder="1" applyAlignment="1">
      <alignment vertical="top"/>
    </xf>
    <xf numFmtId="39" fontId="13" fillId="0" borderId="0" xfId="3" applyFont="1" applyFill="1" applyBorder="1" applyAlignment="1" applyProtection="1">
      <alignment vertical="top"/>
    </xf>
    <xf numFmtId="0" fontId="14" fillId="16" borderId="26" xfId="0" applyFont="1" applyFill="1" applyBorder="1" applyAlignment="1">
      <alignment vertical="top"/>
    </xf>
    <xf numFmtId="0" fontId="14" fillId="16" borderId="20" xfId="0" applyFont="1" applyFill="1" applyBorder="1" applyAlignment="1">
      <alignment horizontal="center" vertical="top"/>
    </xf>
    <xf numFmtId="164" fontId="13" fillId="16" borderId="0" xfId="0" applyNumberFormat="1" applyFont="1" applyFill="1" applyBorder="1" applyAlignment="1">
      <alignment vertical="top"/>
    </xf>
    <xf numFmtId="0" fontId="14" fillId="16" borderId="0" xfId="0" applyFont="1" applyFill="1" applyBorder="1" applyAlignment="1">
      <alignment horizontal="center" vertical="top"/>
    </xf>
    <xf numFmtId="164" fontId="15" fillId="16" borderId="0" xfId="0" applyNumberFormat="1" applyFont="1" applyFill="1" applyBorder="1" applyAlignment="1">
      <alignment vertical="top"/>
    </xf>
    <xf numFmtId="41" fontId="13" fillId="16" borderId="0" xfId="0" applyNumberFormat="1" applyFont="1" applyFill="1" applyBorder="1" applyAlignment="1">
      <alignment vertical="top"/>
    </xf>
    <xf numFmtId="164" fontId="13" fillId="16" borderId="9" xfId="0" applyNumberFormat="1" applyFont="1" applyFill="1" applyBorder="1" applyAlignment="1">
      <alignment vertical="top"/>
    </xf>
    <xf numFmtId="0" fontId="0" fillId="0" borderId="31" xfId="0" applyFill="1" applyBorder="1" applyAlignment="1">
      <alignment vertical="top"/>
    </xf>
    <xf numFmtId="0" fontId="0" fillId="0" borderId="8" xfId="0" applyFill="1" applyBorder="1" applyAlignment="1">
      <alignment horizontal="center" vertical="top"/>
    </xf>
    <xf numFmtId="164" fontId="0" fillId="0" borderId="6" xfId="0" applyNumberFormat="1" applyFill="1" applyBorder="1" applyAlignment="1">
      <alignment horizontal="center" vertical="top"/>
    </xf>
    <xf numFmtId="0" fontId="14" fillId="16" borderId="8" xfId="0" applyFont="1" applyFill="1" applyBorder="1" applyAlignment="1">
      <alignment horizontal="center" vertical="top"/>
    </xf>
    <xf numFmtId="164" fontId="13" fillId="16" borderId="6" xfId="0" applyNumberFormat="1" applyFont="1" applyFill="1" applyBorder="1" applyAlignment="1">
      <alignment vertical="top"/>
    </xf>
    <xf numFmtId="0" fontId="14" fillId="16" borderId="6" xfId="0" applyFont="1" applyFill="1" applyBorder="1" applyAlignment="1">
      <alignment horizontal="center" vertical="top"/>
    </xf>
    <xf numFmtId="0" fontId="0" fillId="0" borderId="31" xfId="0" applyFill="1" applyBorder="1" applyAlignment="1">
      <alignment vertical="top" wrapText="1"/>
    </xf>
    <xf numFmtId="0" fontId="0" fillId="0" borderId="20" xfId="0" applyFill="1" applyBorder="1" applyAlignment="1">
      <alignment horizontal="center" vertical="top"/>
    </xf>
    <xf numFmtId="164" fontId="0" fillId="0" borderId="6" xfId="0" applyNumberFormat="1" applyFont="1" applyFill="1" applyBorder="1" applyAlignment="1">
      <alignment vertical="top"/>
    </xf>
    <xf numFmtId="0" fontId="0" fillId="0" borderId="14" xfId="0" applyFill="1" applyBorder="1" applyAlignment="1">
      <alignment vertical="top" wrapText="1"/>
    </xf>
    <xf numFmtId="0" fontId="0" fillId="0" borderId="5" xfId="0" applyFill="1" applyBorder="1" applyAlignment="1">
      <alignment vertical="top"/>
    </xf>
    <xf numFmtId="164" fontId="0" fillId="0" borderId="23" xfId="0" applyNumberFormat="1" applyFill="1" applyBorder="1" applyAlignment="1">
      <alignment horizontal="center" vertical="top"/>
    </xf>
    <xf numFmtId="43" fontId="13" fillId="16" borderId="0" xfId="0" applyNumberFormat="1" applyFont="1" applyFill="1" applyBorder="1" applyAlignment="1">
      <alignment vertical="top"/>
    </xf>
    <xf numFmtId="0" fontId="0" fillId="0" borderId="19" xfId="0" applyFill="1" applyBorder="1" applyAlignment="1">
      <alignment vertical="top" wrapText="1"/>
    </xf>
    <xf numFmtId="0" fontId="0" fillId="0" borderId="32" xfId="0" applyFill="1" applyBorder="1" applyAlignment="1">
      <alignment vertical="top"/>
    </xf>
    <xf numFmtId="0" fontId="0" fillId="0" borderId="19" xfId="0" applyFill="1" applyBorder="1" applyAlignment="1">
      <alignment vertical="top"/>
    </xf>
    <xf numFmtId="0" fontId="0" fillId="0" borderId="8" xfId="0" quotePrefix="1" applyFill="1" applyBorder="1" applyAlignment="1">
      <alignment horizontal="center" vertical="top"/>
    </xf>
    <xf numFmtId="164" fontId="0" fillId="0" borderId="6" xfId="0" quotePrefix="1" applyNumberFormat="1" applyFill="1" applyBorder="1" applyAlignment="1">
      <alignment horizontal="center" vertical="top"/>
    </xf>
    <xf numFmtId="0" fontId="0" fillId="0" borderId="16"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31"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0" fillId="0" borderId="33" xfId="0" applyFill="1" applyBorder="1" applyAlignment="1">
      <alignment vertical="top"/>
    </xf>
    <xf numFmtId="0" fontId="0" fillId="0" borderId="21" xfId="0" applyBorder="1" applyAlignment="1">
      <alignment vertical="top"/>
    </xf>
    <xf numFmtId="0" fontId="3" fillId="0" borderId="6" xfId="0" applyFont="1" applyBorder="1" applyAlignment="1">
      <alignment vertical="top"/>
    </xf>
    <xf numFmtId="0" fontId="0" fillId="0" borderId="36" xfId="0" applyBorder="1" applyAlignment="1">
      <alignment vertical="top"/>
    </xf>
    <xf numFmtId="0" fontId="0" fillId="0" borderId="38" xfId="0" applyBorder="1" applyAlignment="1">
      <alignment vertical="top"/>
    </xf>
    <xf numFmtId="164" fontId="3" fillId="0" borderId="37" xfId="0" applyNumberFormat="1" applyFont="1" applyBorder="1" applyAlignment="1">
      <alignment vertical="top"/>
    </xf>
    <xf numFmtId="164" fontId="3" fillId="0" borderId="39" xfId="0" applyNumberFormat="1" applyFont="1" applyBorder="1" applyAlignment="1">
      <alignment vertical="top"/>
    </xf>
    <xf numFmtId="49" fontId="0" fillId="0" borderId="59" xfId="0" applyNumberFormat="1" applyFill="1" applyBorder="1" applyAlignment="1">
      <alignment horizontal="left" vertical="top"/>
    </xf>
    <xf numFmtId="49" fontId="0" fillId="0" borderId="60" xfId="0" applyNumberFormat="1" applyFill="1" applyBorder="1" applyAlignment="1">
      <alignment horizontal="left" vertical="top"/>
    </xf>
    <xf numFmtId="39" fontId="0" fillId="0" borderId="61" xfId="0" applyNumberFormat="1" applyFill="1" applyBorder="1" applyAlignment="1">
      <alignment horizontal="left" vertical="top"/>
    </xf>
    <xf numFmtId="164" fontId="0" fillId="0" borderId="61" xfId="1" applyNumberFormat="1" applyFont="1" applyFill="1" applyBorder="1" applyAlignment="1">
      <alignment horizontal="left" vertical="top"/>
    </xf>
    <xf numFmtId="164" fontId="0" fillId="0" borderId="62" xfId="1" applyNumberFormat="1" applyFont="1" applyFill="1" applyBorder="1" applyAlignment="1">
      <alignment horizontal="left" vertical="top"/>
    </xf>
    <xf numFmtId="49" fontId="0" fillId="0" borderId="63" xfId="0" applyNumberFormat="1" applyFill="1" applyBorder="1" applyAlignment="1">
      <alignment horizontal="left" vertical="top" wrapText="1"/>
    </xf>
    <xf numFmtId="49" fontId="0" fillId="0" borderId="8" xfId="0" applyNumberFormat="1" applyFill="1" applyBorder="1" applyAlignment="1">
      <alignment horizontal="left" vertical="top"/>
    </xf>
    <xf numFmtId="0" fontId="0" fillId="0" borderId="6" xfId="0" applyFill="1" applyBorder="1" applyAlignment="1">
      <alignment horizontal="left" vertical="top"/>
    </xf>
    <xf numFmtId="164" fontId="0" fillId="0" borderId="8" xfId="1" applyNumberFormat="1" applyFont="1" applyFill="1" applyBorder="1" applyAlignment="1">
      <alignment horizontal="left" vertical="top"/>
    </xf>
    <xf numFmtId="164" fontId="0" fillId="0" borderId="64" xfId="1" applyNumberFormat="1" applyFont="1" applyFill="1" applyBorder="1" applyAlignment="1">
      <alignment horizontal="left" vertical="top"/>
    </xf>
    <xf numFmtId="0" fontId="0" fillId="0" borderId="8" xfId="0" applyFill="1" applyBorder="1" applyAlignment="1">
      <alignment horizontal="left" vertical="top"/>
    </xf>
    <xf numFmtId="49" fontId="0" fillId="0" borderId="5" xfId="0" applyNumberFormat="1" applyFill="1" applyBorder="1" applyAlignment="1">
      <alignment horizontal="left" vertical="top"/>
    </xf>
    <xf numFmtId="0" fontId="0" fillId="0" borderId="48" xfId="0" applyFill="1" applyBorder="1" applyAlignment="1">
      <alignment horizontal="left" vertical="top"/>
    </xf>
    <xf numFmtId="0" fontId="0" fillId="0" borderId="7" xfId="0" applyFill="1" applyBorder="1" applyAlignment="1">
      <alignment horizontal="left"/>
    </xf>
    <xf numFmtId="43" fontId="7" fillId="0" borderId="5" xfId="2" applyFont="1" applyFill="1" applyBorder="1" applyAlignment="1" applyProtection="1">
      <alignment horizontal="left"/>
    </xf>
    <xf numFmtId="0" fontId="0" fillId="0" borderId="10" xfId="0" applyFill="1" applyBorder="1" applyAlignment="1">
      <alignment horizontal="left"/>
    </xf>
    <xf numFmtId="0" fontId="0" fillId="0" borderId="14" xfId="0" applyFill="1" applyBorder="1" applyAlignment="1">
      <alignment horizontal="left"/>
    </xf>
    <xf numFmtId="43" fontId="11" fillId="0" borderId="18" xfId="2" applyFont="1" applyFill="1" applyBorder="1" applyAlignment="1" applyProtection="1">
      <alignment horizontal="left"/>
    </xf>
    <xf numFmtId="49" fontId="12" fillId="0" borderId="0" xfId="0" applyNumberFormat="1" applyFont="1" applyFill="1" applyBorder="1" applyAlignment="1">
      <alignment horizontal="left"/>
    </xf>
    <xf numFmtId="0" fontId="12" fillId="16" borderId="19" xfId="0" applyFont="1" applyFill="1" applyBorder="1" applyAlignment="1">
      <alignment horizontal="left"/>
    </xf>
    <xf numFmtId="49" fontId="0" fillId="0" borderId="25" xfId="0" applyNumberFormat="1" applyFill="1" applyBorder="1" applyAlignment="1">
      <alignment horizontal="left"/>
    </xf>
    <xf numFmtId="49" fontId="0" fillId="0" borderId="15" xfId="0" applyNumberFormat="1" applyFill="1" applyBorder="1" applyAlignment="1">
      <alignment horizontal="left"/>
    </xf>
    <xf numFmtId="0" fontId="14" fillId="16" borderId="26" xfId="0" applyFont="1" applyFill="1" applyBorder="1" applyAlignment="1">
      <alignment horizontal="left"/>
    </xf>
    <xf numFmtId="0" fontId="0" fillId="0" borderId="31" xfId="0" applyFill="1" applyBorder="1" applyAlignment="1">
      <alignment horizontal="left"/>
    </xf>
    <xf numFmtId="0" fontId="0" fillId="0" borderId="27" xfId="0" applyFill="1" applyBorder="1" applyAlignment="1">
      <alignment horizontal="left"/>
    </xf>
    <xf numFmtId="49" fontId="14" fillId="0" borderId="5" xfId="0" applyNumberFormat="1" applyFont="1" applyFill="1" applyBorder="1" applyAlignment="1">
      <alignment horizontal="left"/>
    </xf>
    <xf numFmtId="49" fontId="14" fillId="0" borderId="6" xfId="0" applyNumberFormat="1" applyFont="1" applyFill="1" applyBorder="1" applyAlignment="1">
      <alignment horizontal="left"/>
    </xf>
    <xf numFmtId="39" fontId="13" fillId="0" borderId="48" xfId="3" applyFont="1" applyFill="1" applyBorder="1" applyAlignment="1" applyProtection="1">
      <alignment horizontal="left"/>
    </xf>
    <xf numFmtId="0" fontId="14" fillId="16" borderId="19" xfId="0" applyFont="1" applyFill="1" applyBorder="1" applyAlignment="1">
      <alignment horizontal="left"/>
    </xf>
    <xf numFmtId="0" fontId="0" fillId="0" borderId="22" xfId="0" applyFill="1" applyBorder="1" applyAlignment="1">
      <alignment horizontal="left"/>
    </xf>
    <xf numFmtId="0" fontId="3" fillId="0" borderId="15" xfId="0" applyFont="1" applyFill="1" applyBorder="1" applyAlignment="1">
      <alignment horizontal="left"/>
    </xf>
    <xf numFmtId="0" fontId="0" fillId="0" borderId="19" xfId="0" applyFill="1" applyBorder="1" applyAlignment="1">
      <alignment horizontal="left"/>
    </xf>
    <xf numFmtId="0" fontId="0" fillId="0" borderId="14" xfId="0" applyFill="1" applyBorder="1" applyAlignment="1">
      <alignment horizontal="left" wrapText="1"/>
    </xf>
    <xf numFmtId="0" fontId="0" fillId="0" borderId="36" xfId="0" applyFill="1" applyBorder="1" applyAlignment="1">
      <alignment horizontal="left"/>
    </xf>
    <xf numFmtId="0" fontId="3" fillId="0" borderId="0" xfId="0" applyFont="1" applyAlignment="1">
      <alignment horizontal="centerContinuous"/>
    </xf>
    <xf numFmtId="0" fontId="4" fillId="0" borderId="0" xfId="0" applyFont="1" applyAlignment="1">
      <alignment horizontal="centerContinuous"/>
    </xf>
    <xf numFmtId="41" fontId="24" fillId="0" borderId="0" xfId="0" applyNumberFormat="1" applyFont="1" applyFill="1" applyAlignment="1">
      <alignment horizontal="left" indent="3"/>
    </xf>
    <xf numFmtId="0" fontId="0" fillId="0" borderId="0" xfId="0" applyBorder="1" applyAlignment="1">
      <alignment horizontal="centerContinuous"/>
    </xf>
    <xf numFmtId="0" fontId="92" fillId="0" borderId="0" xfId="0" applyFont="1"/>
    <xf numFmtId="0" fontId="93" fillId="0" borderId="0" xfId="0" applyFont="1" applyAlignment="1">
      <alignment horizontal="centerContinuous"/>
    </xf>
    <xf numFmtId="0" fontId="0" fillId="0" borderId="0" xfId="0" applyFont="1"/>
    <xf numFmtId="0" fontId="0" fillId="0" borderId="0" xfId="0" applyFont="1" applyAlignment="1">
      <alignment horizontal="center"/>
    </xf>
    <xf numFmtId="0" fontId="0" fillId="0" borderId="0" xfId="0" applyFont="1" applyAlignment="1">
      <alignment horizontal="left"/>
    </xf>
    <xf numFmtId="9" fontId="1" fillId="0" borderId="0" xfId="2276"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Fill="1" applyBorder="1" applyAlignment="1">
      <alignment horizontal="right"/>
    </xf>
    <xf numFmtId="41" fontId="2" fillId="0" borderId="0" xfId="0" applyNumberFormat="1" applyFont="1"/>
    <xf numFmtId="41" fontId="94" fillId="0" borderId="0" xfId="0" applyNumberFormat="1" applyFont="1" applyAlignment="1">
      <alignment horizontal="center"/>
    </xf>
    <xf numFmtId="0" fontId="94" fillId="0" borderId="0" xfId="0" applyFont="1" applyAlignment="1">
      <alignment horizontal="right"/>
    </xf>
    <xf numFmtId="0" fontId="51" fillId="0" borderId="0" xfId="1065" applyFont="1" applyFill="1" applyBorder="1" applyAlignment="1" applyProtection="1">
      <alignment horizontal="right" wrapText="1"/>
    </xf>
    <xf numFmtId="0" fontId="0" fillId="0" borderId="0" xfId="0" applyFont="1" applyBorder="1"/>
    <xf numFmtId="164" fontId="1" fillId="0" borderId="106" xfId="1" applyNumberFormat="1" applyFont="1" applyFill="1" applyBorder="1" applyAlignment="1">
      <alignment horizontal="center"/>
    </xf>
    <xf numFmtId="164" fontId="1" fillId="0" borderId="107" xfId="1" applyNumberFormat="1" applyFont="1" applyFill="1" applyBorder="1" applyAlignment="1">
      <alignment horizontal="center"/>
    </xf>
    <xf numFmtId="0" fontId="0" fillId="0" borderId="41" xfId="0" applyFont="1" applyFill="1" applyBorder="1"/>
    <xf numFmtId="49" fontId="0" fillId="0" borderId="41" xfId="0" applyNumberFormat="1" applyFont="1" applyFill="1" applyBorder="1" applyAlignment="1">
      <alignment horizontal="center"/>
    </xf>
    <xf numFmtId="49" fontId="0" fillId="0" borderId="40" xfId="0" applyNumberFormat="1" applyFont="1" applyBorder="1" applyAlignment="1">
      <alignment horizontal="center"/>
    </xf>
    <xf numFmtId="0" fontId="0" fillId="0" borderId="108" xfId="0" applyFont="1" applyFill="1" applyBorder="1" applyAlignment="1">
      <alignment horizontal="center"/>
    </xf>
    <xf numFmtId="164" fontId="1" fillId="0" borderId="108" xfId="1" applyNumberFormat="1" applyFont="1" applyFill="1" applyBorder="1" applyAlignment="1">
      <alignment horizontal="center"/>
    </xf>
    <xf numFmtId="0" fontId="0" fillId="0" borderId="0" xfId="0" applyFont="1" applyFill="1" applyBorder="1"/>
    <xf numFmtId="49" fontId="0" fillId="0" borderId="0" xfId="0" applyNumberFormat="1" applyFont="1" applyFill="1" applyBorder="1" applyAlignment="1">
      <alignment horizontal="center"/>
    </xf>
    <xf numFmtId="49" fontId="0" fillId="0" borderId="18" xfId="0" applyNumberFormat="1" applyFont="1" applyBorder="1" applyAlignment="1">
      <alignment horizontal="center"/>
    </xf>
    <xf numFmtId="0" fontId="0" fillId="0" borderId="106" xfId="0" applyFont="1" applyFill="1" applyBorder="1" applyAlignment="1">
      <alignment horizontal="center"/>
    </xf>
    <xf numFmtId="0" fontId="0" fillId="0" borderId="23" xfId="0" applyFont="1" applyFill="1" applyBorder="1"/>
    <xf numFmtId="49" fontId="0" fillId="0" borderId="23" xfId="0" applyNumberFormat="1" applyFont="1" applyFill="1" applyBorder="1" applyAlignment="1">
      <alignment horizontal="center"/>
    </xf>
    <xf numFmtId="49" fontId="0" fillId="0" borderId="109" xfId="0" applyNumberFormat="1" applyFont="1" applyBorder="1" applyAlignment="1">
      <alignment horizontal="center"/>
    </xf>
    <xf numFmtId="49" fontId="0" fillId="0" borderId="18" xfId="0" applyNumberFormat="1" applyFont="1" applyFill="1" applyBorder="1" applyAlignment="1">
      <alignment horizontal="center"/>
    </xf>
    <xf numFmtId="49" fontId="0" fillId="0" borderId="109" xfId="0" applyNumberFormat="1" applyFont="1" applyFill="1" applyBorder="1" applyAlignment="1">
      <alignment horizontal="center"/>
    </xf>
    <xf numFmtId="0" fontId="0" fillId="0" borderId="0" xfId="0" applyFont="1" applyAlignment="1">
      <alignment horizontal="center" vertical="center" wrapText="1"/>
    </xf>
    <xf numFmtId="0" fontId="3" fillId="15" borderId="4" xfId="0" applyFont="1" applyFill="1" applyBorder="1" applyAlignment="1">
      <alignment horizontal="center" wrapText="1"/>
    </xf>
    <xf numFmtId="0" fontId="0" fillId="0" borderId="0" xfId="0" applyAlignment="1">
      <alignment horizontal="center"/>
    </xf>
    <xf numFmtId="0" fontId="50" fillId="0" borderId="0" xfId="730" applyNumberFormat="1" applyFont="1" applyFill="1" applyBorder="1" applyAlignment="1" applyProtection="1">
      <alignment horizontal="center"/>
    </xf>
    <xf numFmtId="0" fontId="95" fillId="0" borderId="0" xfId="730" applyNumberFormat="1" applyFont="1" applyFill="1" applyBorder="1" applyAlignment="1" applyProtection="1">
      <alignment horizontal="left"/>
    </xf>
    <xf numFmtId="164" fontId="12" fillId="0" borderId="0" xfId="0" applyNumberFormat="1" applyFont="1"/>
    <xf numFmtId="164" fontId="3" fillId="0" borderId="105" xfId="1" applyNumberFormat="1" applyFont="1" applyBorder="1" applyAlignment="1">
      <alignment horizontal="center"/>
    </xf>
    <xf numFmtId="0" fontId="53" fillId="0" borderId="0" xfId="1065" applyFont="1" applyFill="1" applyBorder="1" applyAlignment="1" applyProtection="1">
      <alignment horizontal="right" wrapText="1"/>
    </xf>
    <xf numFmtId="0" fontId="53" fillId="0" borderId="0" xfId="1065" applyFont="1" applyFill="1" applyAlignment="1" applyProtection="1">
      <alignment horizontal="right" wrapText="1"/>
    </xf>
    <xf numFmtId="164" fontId="1" fillId="0" borderId="78" xfId="1" applyNumberFormat="1" applyFont="1" applyBorder="1"/>
    <xf numFmtId="0" fontId="0" fillId="0" borderId="106" xfId="0" applyBorder="1" applyAlignment="1">
      <alignment horizontal="center"/>
    </xf>
    <xf numFmtId="0" fontId="0" fillId="0" borderId="23" xfId="0" applyFill="1" applyBorder="1"/>
    <xf numFmtId="0" fontId="0" fillId="0" borderId="23" xfId="0" applyBorder="1"/>
    <xf numFmtId="0" fontId="0" fillId="0" borderId="77" xfId="0" applyBorder="1" applyAlignment="1">
      <alignment horizontal="left"/>
    </xf>
    <xf numFmtId="164" fontId="1" fillId="0" borderId="76" xfId="1" applyNumberFormat="1" applyFont="1" applyBorder="1"/>
    <xf numFmtId="0" fontId="0" fillId="0" borderId="108" xfId="0" applyBorder="1" applyAlignment="1">
      <alignment horizontal="center"/>
    </xf>
    <xf numFmtId="0" fontId="0" fillId="0" borderId="75" xfId="0" applyBorder="1" applyAlignment="1">
      <alignment horizontal="left"/>
    </xf>
    <xf numFmtId="0" fontId="0" fillId="0" borderId="76" xfId="0" applyFill="1" applyBorder="1"/>
    <xf numFmtId="0" fontId="0" fillId="0" borderId="108" xfId="0" applyFill="1" applyBorder="1" applyAlignment="1">
      <alignment horizontal="center"/>
    </xf>
    <xf numFmtId="0" fontId="96" fillId="0" borderId="0" xfId="0" applyFont="1" applyFill="1" applyBorder="1" applyAlignment="1">
      <alignment horizontal="center"/>
    </xf>
    <xf numFmtId="0" fontId="0" fillId="0" borderId="75" xfId="0" applyFill="1" applyBorder="1" applyAlignment="1">
      <alignment horizontal="left"/>
    </xf>
    <xf numFmtId="0" fontId="0" fillId="0" borderId="74" xfId="0" applyFill="1" applyBorder="1" applyAlignment="1">
      <alignment horizontal="center"/>
    </xf>
    <xf numFmtId="0" fontId="0" fillId="0" borderId="110" xfId="0" applyFill="1" applyBorder="1" applyAlignment="1">
      <alignment horizontal="center"/>
    </xf>
    <xf numFmtId="0" fontId="0" fillId="0" borderId="79" xfId="0" applyFill="1" applyBorder="1"/>
    <xf numFmtId="49" fontId="0" fillId="0" borderId="79" xfId="0" applyNumberFormat="1" applyFill="1" applyBorder="1" applyAlignment="1">
      <alignment horizontal="center"/>
    </xf>
    <xf numFmtId="49" fontId="0" fillId="0" borderId="73" xfId="0" applyNumberFormat="1" applyFill="1" applyBorder="1" applyAlignment="1">
      <alignment horizontal="center"/>
    </xf>
    <xf numFmtId="0" fontId="0" fillId="0" borderId="106" xfId="0" applyFill="1" applyBorder="1" applyAlignment="1">
      <alignment horizontal="center"/>
    </xf>
    <xf numFmtId="0" fontId="0" fillId="0" borderId="23" xfId="0" applyFill="1" applyBorder="1" applyAlignment="1">
      <alignment horizontal="left"/>
    </xf>
    <xf numFmtId="0" fontId="0" fillId="0" borderId="77" xfId="0" applyFill="1" applyBorder="1" applyAlignment="1">
      <alignment horizontal="left"/>
    </xf>
    <xf numFmtId="0" fontId="0" fillId="0" borderId="109" xfId="0" applyFill="1" applyBorder="1" applyAlignment="1">
      <alignment horizontal="left"/>
    </xf>
    <xf numFmtId="0" fontId="0" fillId="0" borderId="80" xfId="0" applyFill="1" applyBorder="1"/>
    <xf numFmtId="0" fontId="97" fillId="0" borderId="0" xfId="0" applyFont="1" applyFill="1" applyBorder="1"/>
    <xf numFmtId="0" fontId="0" fillId="0" borderId="18" xfId="0" applyFill="1" applyBorder="1" applyAlignment="1">
      <alignment horizontal="left"/>
    </xf>
    <xf numFmtId="49" fontId="0" fillId="0" borderId="0" xfId="0" applyNumberFormat="1" applyFill="1" applyBorder="1" applyAlignment="1">
      <alignment horizontal="center"/>
    </xf>
    <xf numFmtId="49" fontId="0" fillId="0" borderId="18" xfId="0" applyNumberFormat="1" applyFill="1" applyBorder="1" applyAlignment="1">
      <alignment horizontal="center"/>
    </xf>
    <xf numFmtId="164" fontId="1" fillId="0" borderId="106" xfId="1" applyNumberFormat="1" applyFont="1" applyFill="1" applyBorder="1" applyAlignment="1">
      <alignment horizontal="right"/>
    </xf>
    <xf numFmtId="0" fontId="0" fillId="0" borderId="24" xfId="0" applyFill="1" applyBorder="1"/>
    <xf numFmtId="164" fontId="1" fillId="0" borderId="108" xfId="1" applyNumberFormat="1" applyFont="1" applyFill="1" applyBorder="1" applyAlignment="1">
      <alignment horizontal="right"/>
    </xf>
    <xf numFmtId="0" fontId="0" fillId="0" borderId="111" xfId="0" applyFill="1" applyBorder="1"/>
    <xf numFmtId="49" fontId="0" fillId="0" borderId="112" xfId="0" applyNumberFormat="1" applyFill="1" applyBorder="1" applyAlignment="1">
      <alignment horizontal="center"/>
    </xf>
    <xf numFmtId="164" fontId="1" fillId="0" borderId="113" xfId="1" applyNumberFormat="1" applyFont="1" applyFill="1" applyBorder="1" applyAlignment="1">
      <alignment horizontal="right"/>
    </xf>
    <xf numFmtId="164" fontId="1" fillId="0" borderId="113" xfId="1" applyNumberFormat="1" applyFont="1" applyFill="1" applyBorder="1" applyAlignment="1">
      <alignment horizontal="center"/>
    </xf>
    <xf numFmtId="0" fontId="1" fillId="0" borderId="0" xfId="1063"/>
    <xf numFmtId="0" fontId="3" fillId="0" borderId="0" xfId="1063" applyFont="1"/>
    <xf numFmtId="184" fontId="1" fillId="0" borderId="0" xfId="762" applyNumberFormat="1" applyFont="1"/>
    <xf numFmtId="184" fontId="1" fillId="0" borderId="0" xfId="762" applyNumberFormat="1" applyFont="1" applyFill="1"/>
    <xf numFmtId="0" fontId="1" fillId="0" borderId="0" xfId="1063" applyFill="1"/>
    <xf numFmtId="0" fontId="3" fillId="0" borderId="0" xfId="1063" applyFont="1" applyFill="1"/>
    <xf numFmtId="184" fontId="6" fillId="0" borderId="0" xfId="762" applyNumberFormat="1" applyFont="1" applyFill="1"/>
    <xf numFmtId="0" fontId="98" fillId="0" borderId="0" xfId="1063" applyFont="1" applyFill="1"/>
    <xf numFmtId="0" fontId="99" fillId="0" borderId="0" xfId="1063" applyFont="1" applyFill="1"/>
    <xf numFmtId="37" fontId="100" fillId="0" borderId="0" xfId="0" applyNumberFormat="1" applyFont="1" applyFill="1"/>
    <xf numFmtId="41" fontId="101" fillId="0" borderId="0" xfId="0" applyNumberFormat="1" applyFont="1" applyFill="1" applyAlignment="1">
      <alignment horizontal="center"/>
    </xf>
    <xf numFmtId="0" fontId="101" fillId="0" borderId="0" xfId="0" applyFont="1" applyFill="1" applyAlignment="1">
      <alignment horizontal="center"/>
    </xf>
    <xf numFmtId="37" fontId="6" fillId="0" borderId="0" xfId="0" applyNumberFormat="1" applyFont="1" applyFill="1"/>
    <xf numFmtId="37" fontId="3" fillId="0" borderId="0" xfId="1063" applyNumberFormat="1" applyFont="1" applyFill="1"/>
    <xf numFmtId="37" fontId="53" fillId="0" borderId="0" xfId="0" applyNumberFormat="1" applyFont="1" applyFill="1"/>
    <xf numFmtId="0" fontId="6" fillId="0" borderId="0" xfId="0" applyFont="1" applyFill="1"/>
    <xf numFmtId="0" fontId="2" fillId="0" borderId="0" xfId="1063" applyFont="1" applyFill="1"/>
    <xf numFmtId="37" fontId="102" fillId="0" borderId="0" xfId="0" applyNumberFormat="1" applyFont="1" applyFill="1"/>
    <xf numFmtId="0" fontId="99" fillId="0" borderId="0" xfId="1063" applyFont="1"/>
    <xf numFmtId="184" fontId="103" fillId="0" borderId="0" xfId="762" applyNumberFormat="1" applyFont="1" applyFill="1" applyBorder="1" applyAlignment="1">
      <alignment horizontal="center" wrapText="1"/>
    </xf>
    <xf numFmtId="0" fontId="5" fillId="0" borderId="0" xfId="1063" applyFont="1" applyFill="1"/>
    <xf numFmtId="184" fontId="53" fillId="0" borderId="23" xfId="762" applyNumberFormat="1" applyFont="1" applyFill="1" applyBorder="1" applyAlignment="1">
      <alignment horizontal="center" wrapText="1"/>
    </xf>
    <xf numFmtId="0" fontId="98" fillId="0" borderId="0" xfId="1063" applyFont="1" applyFill="1" applyAlignment="1">
      <alignment horizontal="center"/>
    </xf>
    <xf numFmtId="0" fontId="104" fillId="0" borderId="0" xfId="1063" applyFont="1"/>
    <xf numFmtId="42" fontId="92" fillId="0" borderId="0" xfId="0" applyNumberFormat="1" applyFont="1"/>
    <xf numFmtId="42" fontId="92" fillId="0" borderId="37" xfId="0" applyNumberFormat="1" applyFont="1" applyBorder="1"/>
    <xf numFmtId="0" fontId="93" fillId="0" borderId="23" xfId="0" applyFont="1" applyBorder="1" applyAlignment="1">
      <alignment horizontal="center"/>
    </xf>
    <xf numFmtId="0" fontId="105" fillId="0" borderId="0" xfId="0" applyFont="1" applyAlignment="1">
      <alignment vertical="center"/>
    </xf>
    <xf numFmtId="0" fontId="93" fillId="0" borderId="0" xfId="0" applyFont="1" applyBorder="1" applyAlignment="1">
      <alignment horizontal="center"/>
    </xf>
    <xf numFmtId="42" fontId="92" fillId="0" borderId="0" xfId="2275" applyNumberFormat="1" applyFont="1" applyAlignment="1"/>
    <xf numFmtId="41" fontId="105" fillId="0" borderId="41" xfId="0" applyNumberFormat="1" applyFont="1" applyBorder="1" applyAlignment="1">
      <alignment vertical="center"/>
    </xf>
    <xf numFmtId="41" fontId="105" fillId="0" borderId="0" xfId="0" applyNumberFormat="1" applyFont="1" applyBorder="1" applyAlignment="1">
      <alignment vertical="center"/>
    </xf>
    <xf numFmtId="9" fontId="92" fillId="0" borderId="41" xfId="0" applyNumberFormat="1" applyFont="1" applyBorder="1"/>
    <xf numFmtId="41" fontId="106" fillId="0" borderId="105" xfId="0" applyNumberFormat="1" applyFont="1" applyBorder="1" applyAlignment="1">
      <alignment vertical="center"/>
    </xf>
    <xf numFmtId="0" fontId="105" fillId="0" borderId="0" xfId="0" applyFont="1" applyAlignment="1">
      <alignment horizontal="left" vertical="center" indent="1"/>
    </xf>
    <xf numFmtId="0" fontId="92" fillId="0" borderId="0" xfId="0" applyFont="1" applyAlignment="1">
      <alignment horizontal="centerContinuous"/>
    </xf>
    <xf numFmtId="0" fontId="92" fillId="0" borderId="0" xfId="0" applyFont="1" applyAlignment="1">
      <alignment horizontal="left" indent="1"/>
    </xf>
    <xf numFmtId="41" fontId="105" fillId="0" borderId="0" xfId="0" applyNumberFormat="1" applyFont="1" applyBorder="1" applyAlignment="1">
      <alignment horizontal="right" vertical="center"/>
    </xf>
    <xf numFmtId="42" fontId="106" fillId="0" borderId="105" xfId="0" applyNumberFormat="1" applyFont="1" applyBorder="1" applyAlignment="1">
      <alignment vertical="center"/>
    </xf>
    <xf numFmtId="0" fontId="106" fillId="0" borderId="0" xfId="0" applyFont="1" applyAlignment="1">
      <alignment horizontal="left" vertical="center"/>
    </xf>
    <xf numFmtId="0" fontId="92" fillId="0" borderId="0" xfId="0" applyFont="1" applyAlignment="1">
      <alignment horizontal="left" indent="6"/>
    </xf>
    <xf numFmtId="0" fontId="0" fillId="0" borderId="31" xfId="0" applyFill="1" applyBorder="1" applyAlignment="1">
      <alignment vertical="top" wrapText="1"/>
    </xf>
    <xf numFmtId="0" fontId="0" fillId="0" borderId="14" xfId="0" applyFill="1" applyBorder="1" applyAlignment="1">
      <alignment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41" fontId="92" fillId="0" borderId="0" xfId="0" applyNumberFormat="1" applyFont="1"/>
    <xf numFmtId="185" fontId="92" fillId="0" borderId="0" xfId="0" applyNumberFormat="1" applyFont="1"/>
    <xf numFmtId="42" fontId="92" fillId="0" borderId="79" xfId="0" applyNumberFormat="1" applyFont="1" applyBorder="1"/>
    <xf numFmtId="14" fontId="92" fillId="0" borderId="0" xfId="0" applyNumberFormat="1" applyFont="1"/>
    <xf numFmtId="44" fontId="92" fillId="0" borderId="79" xfId="0" applyNumberFormat="1" applyFont="1" applyBorder="1"/>
    <xf numFmtId="0" fontId="0" fillId="0" borderId="31" xfId="0" applyFill="1" applyBorder="1" applyAlignment="1">
      <alignment horizontal="left"/>
    </xf>
    <xf numFmtId="0" fontId="0" fillId="0" borderId="33" xfId="0" applyBorder="1" applyAlignment="1">
      <alignment horizontal="left"/>
    </xf>
    <xf numFmtId="0" fontId="0" fillId="0" borderId="33" xfId="0" applyFill="1" applyBorder="1" applyAlignment="1">
      <alignment horizontal="left"/>
    </xf>
    <xf numFmtId="14" fontId="0" fillId="0" borderId="0" xfId="0" applyNumberFormat="1"/>
    <xf numFmtId="14" fontId="0" fillId="0" borderId="0" xfId="0" applyNumberFormat="1" applyFill="1" applyBorder="1" applyAlignment="1">
      <alignment horizontal="left"/>
    </xf>
    <xf numFmtId="43" fontId="0" fillId="0" borderId="0" xfId="1" applyFont="1"/>
    <xf numFmtId="49" fontId="0" fillId="0" borderId="5" xfId="0" applyNumberFormat="1" applyBorder="1" applyAlignment="1">
      <alignment horizontal="center" vertical="top"/>
    </xf>
    <xf numFmtId="49" fontId="0" fillId="0" borderId="6" xfId="0" applyNumberFormat="1" applyFill="1" applyBorder="1" applyAlignment="1">
      <alignment horizontal="center" vertical="top"/>
    </xf>
    <xf numFmtId="0" fontId="0" fillId="0" borderId="7" xfId="0" applyBorder="1" applyAlignment="1">
      <alignment horizontal="center" vertical="top"/>
    </xf>
    <xf numFmtId="164" fontId="0" fillId="0" borderId="6" xfId="1" applyNumberFormat="1" applyFont="1" applyFill="1" applyBorder="1" applyAlignment="1">
      <alignment horizontal="center" vertical="top"/>
    </xf>
    <xf numFmtId="164" fontId="0" fillId="0" borderId="9" xfId="0" applyNumberFormat="1" applyFill="1" applyBorder="1" applyAlignment="1">
      <alignment vertical="top"/>
    </xf>
    <xf numFmtId="43" fontId="7" fillId="0" borderId="5" xfId="2" applyFont="1" applyFill="1" applyBorder="1" applyAlignment="1" applyProtection="1">
      <alignment horizontal="justify" vertical="top"/>
    </xf>
    <xf numFmtId="0" fontId="0" fillId="0" borderId="10" xfId="0" applyBorder="1" applyAlignment="1">
      <alignment horizontal="center" vertical="top"/>
    </xf>
    <xf numFmtId="164" fontId="0" fillId="0" borderId="13" xfId="0" applyNumberFormat="1" applyFill="1" applyBorder="1" applyAlignment="1">
      <alignment vertical="top"/>
    </xf>
    <xf numFmtId="39" fontId="10" fillId="0" borderId="6" xfId="3" applyFont="1" applyFill="1" applyBorder="1" applyAlignment="1" applyProtection="1">
      <alignment horizontal="left" vertical="top"/>
    </xf>
    <xf numFmtId="0" fontId="0" fillId="0" borderId="14" xfId="0" applyBorder="1" applyAlignment="1">
      <alignment horizontal="center" vertical="top"/>
    </xf>
    <xf numFmtId="165" fontId="0" fillId="0" borderId="16" xfId="0" applyNumberFormat="1" applyFill="1" applyBorder="1" applyAlignment="1">
      <alignment horizontal="center" vertical="top"/>
    </xf>
    <xf numFmtId="164" fontId="3" fillId="0" borderId="15" xfId="0" applyNumberFormat="1" applyFont="1" applyFill="1" applyBorder="1" applyAlignment="1">
      <alignment vertical="top"/>
    </xf>
    <xf numFmtId="43" fontId="11" fillId="0" borderId="18" xfId="2" applyFont="1" applyFill="1" applyBorder="1" applyAlignment="1" applyProtection="1">
      <alignment horizontal="justify" vertical="top"/>
    </xf>
    <xf numFmtId="49" fontId="12" fillId="0" borderId="0" xfId="0" applyNumberFormat="1" applyFont="1" applyFill="1" applyBorder="1" applyAlignment="1">
      <alignment horizontal="center" vertical="top"/>
    </xf>
    <xf numFmtId="39" fontId="13" fillId="0" borderId="0" xfId="3" applyFont="1" applyFill="1" applyBorder="1" applyAlignment="1" applyProtection="1">
      <alignment horizontal="right" vertical="top"/>
    </xf>
    <xf numFmtId="0" fontId="14" fillId="16" borderId="19" xfId="0" applyFont="1" applyFill="1" applyBorder="1" applyAlignment="1">
      <alignment horizontal="center" vertical="top"/>
    </xf>
    <xf numFmtId="165" fontId="12" fillId="16" borderId="20" xfId="0" applyNumberFormat="1" applyFont="1" applyFill="1" applyBorder="1" applyAlignment="1">
      <alignment horizontal="center" vertical="top"/>
    </xf>
    <xf numFmtId="165" fontId="12" fillId="16" borderId="0" xfId="0" applyNumberFormat="1" applyFont="1" applyFill="1" applyBorder="1" applyAlignment="1">
      <alignment horizontal="center" vertical="top"/>
    </xf>
    <xf numFmtId="164" fontId="13" fillId="16" borderId="21" xfId="0" applyNumberFormat="1" applyFont="1" applyFill="1" applyBorder="1" applyAlignment="1">
      <alignment vertical="top"/>
    </xf>
    <xf numFmtId="49" fontId="0" fillId="0" borderId="5" xfId="0" applyNumberFormat="1" applyFill="1" applyBorder="1" applyAlignment="1">
      <alignment horizontal="center" vertical="top"/>
    </xf>
    <xf numFmtId="164" fontId="0" fillId="0" borderId="6" xfId="1" applyNumberFormat="1" applyFont="1" applyFill="1" applyBorder="1" applyAlignment="1">
      <alignment vertical="top"/>
    </xf>
    <xf numFmtId="164" fontId="0" fillId="0" borderId="9" xfId="1" applyNumberFormat="1" applyFont="1" applyFill="1" applyBorder="1" applyAlignment="1">
      <alignment vertical="top"/>
    </xf>
    <xf numFmtId="0" fontId="0" fillId="0" borderId="22" xfId="0" applyBorder="1" applyAlignment="1">
      <alignment horizontal="center" vertical="top"/>
    </xf>
    <xf numFmtId="164" fontId="0" fillId="0" borderId="24" xfId="1" applyNumberFormat="1" applyFont="1" applyFill="1" applyBorder="1" applyAlignment="1">
      <alignment vertical="top"/>
    </xf>
    <xf numFmtId="49" fontId="0" fillId="0" borderId="25" xfId="0" applyNumberFormat="1" applyFill="1" applyBorder="1" applyAlignment="1">
      <alignment horizontal="center" vertical="top"/>
    </xf>
    <xf numFmtId="49" fontId="0" fillId="0" borderId="15" xfId="0" applyNumberFormat="1" applyFill="1" applyBorder="1" applyAlignment="1">
      <alignment horizontal="center" vertical="top"/>
    </xf>
    <xf numFmtId="39" fontId="10" fillId="0" borderId="15" xfId="3" applyFont="1" applyFill="1" applyBorder="1" applyAlignment="1" applyProtection="1">
      <alignment horizontal="left" vertical="top"/>
    </xf>
    <xf numFmtId="0" fontId="0" fillId="0" borderId="16" xfId="0" applyFill="1" applyBorder="1" applyAlignment="1">
      <alignment horizontal="center" vertical="top"/>
    </xf>
    <xf numFmtId="49" fontId="14" fillId="0" borderId="18" xfId="0" applyNumberFormat="1" applyFont="1" applyFill="1" applyBorder="1" applyAlignment="1">
      <alignment horizontal="center" vertical="top"/>
    </xf>
    <xf numFmtId="49" fontId="14" fillId="0" borderId="0" xfId="0" applyNumberFormat="1" applyFont="1" applyFill="1" applyBorder="1" applyAlignment="1">
      <alignment horizontal="center" vertical="top"/>
    </xf>
    <xf numFmtId="0" fontId="14" fillId="16" borderId="26" xfId="0" applyFont="1" applyFill="1" applyBorder="1" applyAlignment="1">
      <alignment horizontal="center" vertical="top"/>
    </xf>
    <xf numFmtId="164" fontId="3" fillId="0" borderId="30" xfId="0" applyNumberFormat="1" applyFont="1" applyFill="1" applyBorder="1" applyAlignment="1">
      <alignment vertical="top"/>
    </xf>
    <xf numFmtId="0" fontId="3" fillId="0" borderId="15" xfId="0" applyFont="1" applyFill="1" applyBorder="1" applyAlignment="1">
      <alignment vertical="top"/>
    </xf>
    <xf numFmtId="0" fontId="0" fillId="0" borderId="14" xfId="0" applyFill="1" applyBorder="1" applyAlignment="1">
      <alignment vertical="top"/>
    </xf>
    <xf numFmtId="43" fontId="13" fillId="16" borderId="21" xfId="0" applyNumberFormat="1" applyFont="1" applyFill="1" applyBorder="1" applyAlignment="1">
      <alignment vertical="top"/>
    </xf>
    <xf numFmtId="49" fontId="16" fillId="0" borderId="6" xfId="3" applyNumberFormat="1" applyFont="1" applyFill="1" applyBorder="1" applyAlignment="1">
      <alignment horizontal="center" vertical="top"/>
    </xf>
    <xf numFmtId="0" fontId="0" fillId="0" borderId="14" xfId="0" applyFill="1" applyBorder="1" applyAlignment="1">
      <alignment horizontal="center" vertical="top"/>
    </xf>
    <xf numFmtId="164" fontId="0" fillId="0" borderId="19" xfId="0" applyNumberFormat="1" applyFill="1" applyBorder="1" applyAlignment="1">
      <alignment vertical="top"/>
    </xf>
    <xf numFmtId="0" fontId="0" fillId="0" borderId="6" xfId="0" applyFill="1" applyBorder="1" applyAlignment="1">
      <alignment horizontal="center" vertical="top"/>
    </xf>
    <xf numFmtId="0" fontId="0" fillId="0" borderId="5" xfId="0" applyBorder="1" applyAlignment="1">
      <alignment horizontal="left" vertical="top"/>
    </xf>
    <xf numFmtId="164" fontId="0" fillId="0" borderId="24" xfId="0" applyNumberFormat="1" applyFill="1" applyBorder="1" applyAlignment="1">
      <alignment vertical="top"/>
    </xf>
    <xf numFmtId="164" fontId="0" fillId="0" borderId="11" xfId="0" applyNumberFormat="1"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12" xfId="0" applyFill="1" applyBorder="1" applyAlignment="1">
      <alignment horizontal="center" vertical="top"/>
    </xf>
    <xf numFmtId="0" fontId="0" fillId="0" borderId="14"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8" xfId="0" quotePrefix="1" applyBorder="1" applyAlignment="1">
      <alignment horizontal="center" vertical="top"/>
    </xf>
    <xf numFmtId="0" fontId="0" fillId="0" borderId="35" xfId="0" applyBorder="1" applyAlignment="1">
      <alignment vertical="top"/>
    </xf>
    <xf numFmtId="49" fontId="14" fillId="0" borderId="40" xfId="0" applyNumberFormat="1" applyFont="1" applyFill="1" applyBorder="1" applyAlignment="1">
      <alignment horizontal="center" vertical="top"/>
    </xf>
    <xf numFmtId="49" fontId="14" fillId="0" borderId="41" xfId="0" applyNumberFormat="1" applyFont="1" applyFill="1" applyBorder="1" applyAlignment="1">
      <alignment horizontal="center" vertical="top"/>
    </xf>
    <xf numFmtId="39" fontId="13" fillId="0" borderId="41" xfId="3" applyFont="1" applyFill="1" applyBorder="1" applyAlignment="1" applyProtection="1">
      <alignment horizontal="right" vertical="top"/>
    </xf>
    <xf numFmtId="0" fontId="14" fillId="16" borderId="41" xfId="0" applyFont="1" applyFill="1" applyBorder="1" applyAlignment="1">
      <alignment horizontal="center" vertical="top"/>
    </xf>
    <xf numFmtId="164" fontId="13" fillId="16" borderId="41" xfId="0" applyNumberFormat="1" applyFont="1" applyFill="1" applyBorder="1" applyAlignment="1">
      <alignment vertical="top"/>
    </xf>
    <xf numFmtId="164" fontId="15" fillId="16" borderId="41" xfId="0" applyNumberFormat="1" applyFont="1" applyFill="1" applyBorder="1" applyAlignment="1">
      <alignment vertical="top"/>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32" xfId="0" applyNumberFormat="1" applyFill="1" applyBorder="1" applyAlignment="1">
      <alignment horizontal="center"/>
    </xf>
    <xf numFmtId="0" fontId="0" fillId="0" borderId="19" xfId="0" applyFill="1" applyBorder="1" applyAlignment="1">
      <alignment horizontal="center"/>
    </xf>
    <xf numFmtId="164" fontId="0" fillId="0" borderId="33" xfId="0" quotePrefix="1" applyNumberFormat="1" applyFill="1" applyBorder="1" applyAlignment="1">
      <alignment horizontal="center"/>
    </xf>
    <xf numFmtId="0" fontId="0" fillId="0" borderId="45" xfId="0" quotePrefix="1" applyFill="1" applyBorder="1" applyAlignment="1">
      <alignment horizontal="center"/>
    </xf>
    <xf numFmtId="0" fontId="2" fillId="0" borderId="0" xfId="0" applyFont="1" applyAlignment="1">
      <alignment horizontal="right"/>
    </xf>
    <xf numFmtId="0" fontId="12" fillId="0" borderId="0" xfId="0"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center"/>
    </xf>
    <xf numFmtId="41" fontId="12" fillId="0" borderId="70" xfId="0" applyNumberFormat="1" applyFont="1" applyBorder="1"/>
    <xf numFmtId="164" fontId="2" fillId="0" borderId="0" xfId="0" applyNumberFormat="1" applyFont="1" applyBorder="1"/>
    <xf numFmtId="164" fontId="12" fillId="0" borderId="0" xfId="0" applyNumberFormat="1" applyFont="1" applyBorder="1"/>
    <xf numFmtId="0" fontId="92" fillId="0" borderId="0" xfId="0" applyNumberFormat="1" applyFont="1"/>
    <xf numFmtId="41" fontId="108" fillId="0" borderId="0" xfId="0" applyNumberFormat="1" applyFont="1" applyAlignment="1">
      <alignment horizontal="center"/>
    </xf>
    <xf numFmtId="0" fontId="109" fillId="0" borderId="0" xfId="0" applyFont="1" applyAlignment="1">
      <alignment vertical="center"/>
    </xf>
    <xf numFmtId="43" fontId="0" fillId="0" borderId="0" xfId="0" applyNumberFormat="1" applyFont="1" applyAlignment="1">
      <alignment horizontal="center"/>
    </xf>
    <xf numFmtId="43" fontId="0" fillId="0" borderId="114" xfId="0" applyNumberFormat="1" applyFont="1" applyBorder="1" applyAlignment="1">
      <alignment horizontal="center"/>
    </xf>
    <xf numFmtId="164" fontId="0" fillId="0" borderId="0" xfId="0" applyNumberFormat="1" applyFont="1"/>
    <xf numFmtId="164" fontId="0" fillId="0" borderId="114" xfId="0" applyNumberFormat="1" applyBorder="1" applyAlignment="1">
      <alignment horizontal="center"/>
    </xf>
    <xf numFmtId="164" fontId="3" fillId="0" borderId="0" xfId="0" applyNumberFormat="1" applyFont="1" applyFill="1" applyBorder="1" applyAlignment="1">
      <alignment horizontal="center"/>
    </xf>
    <xf numFmtId="43" fontId="0" fillId="0" borderId="0" xfId="0" applyNumberFormat="1" applyFont="1"/>
    <xf numFmtId="0" fontId="0" fillId="0" borderId="8" xfId="0" applyFill="1" applyBorder="1" applyAlignment="1">
      <alignment horizontal="center" vertical="top"/>
    </xf>
    <xf numFmtId="0" fontId="0" fillId="0" borderId="8" xfId="0" applyFill="1" applyBorder="1" applyAlignment="1">
      <alignment horizontal="center" vertical="top"/>
    </xf>
    <xf numFmtId="49" fontId="0" fillId="0" borderId="60" xfId="0" applyNumberFormat="1" applyBorder="1" applyAlignment="1">
      <alignment horizontal="center" vertical="top"/>
    </xf>
    <xf numFmtId="0" fontId="0" fillId="0" borderId="8" xfId="0" applyBorder="1" applyAlignment="1">
      <alignment horizontal="center" vertical="top"/>
    </xf>
    <xf numFmtId="0" fontId="3" fillId="15" borderId="115" xfId="0" applyFont="1" applyFill="1" applyBorder="1" applyAlignment="1">
      <alignment horizontal="center"/>
    </xf>
    <xf numFmtId="49" fontId="0" fillId="0" borderId="34" xfId="0" applyNumberFormat="1" applyBorder="1" applyAlignment="1">
      <alignment horizontal="center" vertical="top"/>
    </xf>
    <xf numFmtId="2" fontId="0" fillId="0" borderId="0" xfId="0" applyNumberFormat="1"/>
    <xf numFmtId="2" fontId="97" fillId="0" borderId="0" xfId="0" applyNumberFormat="1" applyFont="1" applyBorder="1"/>
    <xf numFmtId="0" fontId="97" fillId="0" borderId="0" xfId="0" applyFont="1"/>
    <xf numFmtId="0" fontId="96" fillId="0" borderId="0" xfId="0" applyFont="1"/>
    <xf numFmtId="0" fontId="114" fillId="0" borderId="0" xfId="0" applyFont="1" applyAlignment="1">
      <alignment horizontal="center"/>
    </xf>
    <xf numFmtId="0" fontId="116" fillId="0" borderId="0" xfId="0" applyFont="1"/>
    <xf numFmtId="0" fontId="114" fillId="0" borderId="0" xfId="0" applyFont="1" applyAlignment="1">
      <alignment horizontal="center"/>
    </xf>
    <xf numFmtId="0" fontId="3" fillId="0" borderId="41" xfId="0" applyFont="1" applyBorder="1" applyAlignment="1">
      <alignment horizontal="center"/>
    </xf>
    <xf numFmtId="0" fontId="22" fillId="0" borderId="0" xfId="1063" applyFont="1" applyAlignment="1">
      <alignment horizontal="center"/>
    </xf>
    <xf numFmtId="0" fontId="115" fillId="0" borderId="0" xfId="0" applyFont="1" applyAlignment="1">
      <alignment horizontal="center"/>
    </xf>
    <xf numFmtId="0" fontId="0" fillId="0" borderId="31" xfId="0" applyFill="1" applyBorder="1" applyAlignment="1">
      <alignment horizontal="center" vertical="top" wrapText="1"/>
    </xf>
    <xf numFmtId="0" fontId="0" fillId="0" borderId="14" xfId="0" applyFill="1" applyBorder="1" applyAlignment="1">
      <alignment horizontal="center"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0" fontId="0" fillId="0" borderId="19" xfId="0" applyBorder="1" applyAlignment="1">
      <alignment horizontal="center" vertical="top"/>
    </xf>
    <xf numFmtId="0" fontId="0" fillId="0" borderId="8" xfId="0" applyFill="1" applyBorder="1" applyAlignment="1">
      <alignment horizontal="center" vertical="top"/>
    </xf>
    <xf numFmtId="0" fontId="0" fillId="0" borderId="31" xfId="0" applyFill="1" applyBorder="1" applyAlignment="1">
      <alignment horizontal="center"/>
    </xf>
    <xf numFmtId="0" fontId="0" fillId="0" borderId="26" xfId="0" applyFill="1" applyBorder="1" applyAlignment="1">
      <alignment horizontal="center"/>
    </xf>
    <xf numFmtId="0" fontId="0" fillId="0" borderId="14" xfId="0" applyFill="1" applyBorder="1" applyAlignment="1">
      <alignment horizontal="center"/>
    </xf>
    <xf numFmtId="17" fontId="0" fillId="0" borderId="20" xfId="0" applyNumberFormat="1" applyFill="1" applyBorder="1" applyAlignment="1">
      <alignment horizontal="center"/>
    </xf>
    <xf numFmtId="17" fontId="0" fillId="0" borderId="16" xfId="0" applyNumberFormat="1" applyFill="1" applyBorder="1" applyAlignment="1">
      <alignment horizontal="center"/>
    </xf>
    <xf numFmtId="0" fontId="0" fillId="0" borderId="20"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44" xfId="0" applyFill="1" applyBorder="1" applyAlignment="1">
      <alignment horizontal="center"/>
    </xf>
    <xf numFmtId="0" fontId="0" fillId="0" borderId="42" xfId="0" applyFill="1" applyBorder="1" applyAlignment="1">
      <alignment horizontal="center"/>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12" xfId="0" applyNumberFormat="1" applyFill="1" applyBorder="1" applyAlignment="1">
      <alignment horizontal="center"/>
    </xf>
    <xf numFmtId="17" fontId="0" fillId="0" borderId="45" xfId="0" applyNumberFormat="1" applyFill="1" applyBorder="1" applyAlignment="1">
      <alignment horizontal="center"/>
    </xf>
    <xf numFmtId="17" fontId="0" fillId="0" borderId="44" xfId="0" applyNumberFormat="1" applyFill="1" applyBorder="1" applyAlignment="1">
      <alignment horizontal="center"/>
    </xf>
    <xf numFmtId="17" fontId="0" fillId="0" borderId="46" xfId="0" applyNumberFormat="1" applyFill="1" applyBorder="1" applyAlignment="1">
      <alignment horizontal="center"/>
    </xf>
    <xf numFmtId="17" fontId="0" fillId="0" borderId="34" xfId="0" applyNumberFormat="1" applyFill="1" applyBorder="1" applyAlignment="1">
      <alignment horizontal="center"/>
    </xf>
    <xf numFmtId="17" fontId="0" fillId="0" borderId="32" xfId="0" applyNumberFormat="1" applyFill="1" applyBorder="1" applyAlignment="1">
      <alignment horizontal="center"/>
    </xf>
    <xf numFmtId="0" fontId="21" fillId="0" borderId="0" xfId="0" applyFont="1" applyAlignment="1">
      <alignment horizontal="center"/>
    </xf>
    <xf numFmtId="0" fontId="22" fillId="15" borderId="52" xfId="0" applyFont="1" applyFill="1" applyBorder="1" applyAlignment="1">
      <alignment horizontal="center"/>
    </xf>
    <xf numFmtId="0" fontId="22" fillId="15" borderId="53" xfId="0" applyFont="1" applyFill="1" applyBorder="1" applyAlignment="1">
      <alignment horizontal="center"/>
    </xf>
    <xf numFmtId="0" fontId="0" fillId="0" borderId="31" xfId="0" applyFill="1" applyBorder="1" applyAlignment="1">
      <alignment vertical="top" wrapText="1"/>
    </xf>
    <xf numFmtId="0" fontId="0" fillId="0" borderId="14" xfId="0" applyFill="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19" xfId="0" applyFill="1" applyBorder="1" applyAlignment="1">
      <alignment horizontal="center"/>
    </xf>
    <xf numFmtId="0" fontId="0" fillId="0" borderId="31" xfId="0" applyFill="1" applyBorder="1" applyAlignment="1">
      <alignment horizontal="left"/>
    </xf>
    <xf numFmtId="0" fontId="0" fillId="0" borderId="26" xfId="0" applyFill="1" applyBorder="1" applyAlignment="1">
      <alignment horizontal="left"/>
    </xf>
    <xf numFmtId="0" fontId="0" fillId="0" borderId="14" xfId="0" applyFill="1" applyBorder="1" applyAlignment="1">
      <alignment horizontal="left"/>
    </xf>
    <xf numFmtId="0" fontId="0" fillId="0" borderId="22" xfId="0" applyFill="1" applyBorder="1" applyAlignment="1">
      <alignment horizontal="left"/>
    </xf>
  </cellXfs>
  <cellStyles count="2277">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xfId="2275" builtinId="4"/>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xfId="2276" builtinId="5"/>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16"/>
  <sheetViews>
    <sheetView tabSelected="1" topLeftCell="A12" zoomScaleNormal="100" workbookViewId="0">
      <selection activeCell="N22" sqref="N22"/>
    </sheetView>
  </sheetViews>
  <sheetFormatPr defaultRowHeight="15"/>
  <cols>
    <col min="10" max="10" width="4.28515625" customWidth="1"/>
    <col min="11" max="11" width="10.28515625" customWidth="1"/>
    <col min="13" max="13" width="8.28515625" customWidth="1"/>
  </cols>
  <sheetData>
    <row r="11" spans="1:9" ht="28.5">
      <c r="A11" s="557" t="s">
        <v>403</v>
      </c>
      <c r="B11" s="557"/>
      <c r="C11" s="557"/>
      <c r="D11" s="557"/>
      <c r="E11" s="557"/>
      <c r="F11" s="557"/>
      <c r="G11" s="557"/>
      <c r="H11" s="557"/>
      <c r="I11" s="557"/>
    </row>
    <row r="12" spans="1:9" ht="28.5">
      <c r="A12" s="557" t="s">
        <v>404</v>
      </c>
      <c r="B12" s="557"/>
      <c r="C12" s="557"/>
      <c r="D12" s="557"/>
      <c r="E12" s="557"/>
      <c r="F12" s="557"/>
      <c r="G12" s="557"/>
      <c r="H12" s="557"/>
      <c r="I12" s="557"/>
    </row>
    <row r="13" spans="1:9" ht="28.5">
      <c r="A13" s="555"/>
      <c r="B13" s="555"/>
      <c r="C13" s="555"/>
      <c r="D13" s="555"/>
      <c r="E13" s="555"/>
      <c r="F13" s="555"/>
      <c r="G13" s="555"/>
      <c r="H13" s="555"/>
      <c r="I13" s="555"/>
    </row>
    <row r="15" spans="1:9" ht="15.75">
      <c r="A15" s="556" t="s">
        <v>400</v>
      </c>
    </row>
    <row r="16" spans="1:9" ht="15.75">
      <c r="A16" s="556" t="s">
        <v>393</v>
      </c>
    </row>
  </sheetData>
  <mergeCells count="2">
    <mergeCell ref="A11:I11"/>
    <mergeCell ref="A12:I12"/>
  </mergeCells>
  <pageMargins left="1.45"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Normal="100" workbookViewId="0">
      <pane xSplit="1" ySplit="6" topLeftCell="B19" activePane="bottomRight" state="frozen"/>
      <selection activeCell="D12" sqref="D12"/>
      <selection pane="topRight" activeCell="D12" sqref="D12"/>
      <selection pane="bottomLeft" activeCell="D12" sqref="D12"/>
      <selection pane="bottomRight" activeCell="D43" sqref="D43"/>
    </sheetView>
  </sheetViews>
  <sheetFormatPr defaultRowHeight="15"/>
  <cols>
    <col min="1" max="1" width="18.42578125" customWidth="1"/>
    <col min="2" max="2" width="20.42578125" customWidth="1"/>
    <col min="3" max="3" width="11.140625" customWidth="1"/>
    <col min="4" max="4" width="46.42578125" customWidth="1"/>
    <col min="5" max="5" width="12.7109375" customWidth="1"/>
    <col min="6" max="6" width="1.28515625" customWidth="1"/>
    <col min="7" max="7" width="10.42578125" bestFit="1" customWidth="1"/>
    <col min="8" max="8" width="12.85546875" bestFit="1" customWidth="1"/>
    <col min="9" max="9" width="17.28515625" customWidth="1"/>
    <col min="10" max="10" width="12.140625" customWidth="1"/>
    <col min="12" max="12" width="10.5703125" bestFit="1" customWidth="1"/>
    <col min="14" max="14" width="10.42578125" bestFit="1" customWidth="1"/>
    <col min="15" max="15" width="9.5703125" bestFit="1" customWidth="1"/>
    <col min="16" max="16" width="11.140625" bestFit="1" customWidth="1"/>
    <col min="17" max="17" width="10.5703125" bestFit="1" customWidth="1"/>
  </cols>
  <sheetData>
    <row r="1" spans="1:17" ht="15.75">
      <c r="A1" s="585" t="s">
        <v>0</v>
      </c>
      <c r="B1" s="585"/>
      <c r="C1" s="585"/>
      <c r="D1" s="585"/>
      <c r="E1" s="585"/>
      <c r="F1" s="585"/>
      <c r="G1" s="585"/>
      <c r="H1" s="585"/>
      <c r="I1" s="585"/>
      <c r="J1" s="585"/>
    </row>
    <row r="2" spans="1:17" ht="15.75">
      <c r="A2" s="585" t="s">
        <v>139</v>
      </c>
      <c r="B2" s="585"/>
      <c r="C2" s="585"/>
      <c r="D2" s="585"/>
      <c r="E2" s="585"/>
      <c r="F2" s="585"/>
      <c r="G2" s="585"/>
      <c r="H2" s="585"/>
      <c r="I2" s="585"/>
      <c r="J2" s="585"/>
    </row>
    <row r="3" spans="1:17" ht="15.75">
      <c r="A3" s="585" t="s">
        <v>140</v>
      </c>
      <c r="B3" s="585"/>
      <c r="C3" s="585"/>
      <c r="D3" s="585"/>
      <c r="E3" s="585"/>
      <c r="F3" s="585"/>
      <c r="G3" s="585"/>
      <c r="H3" s="585"/>
      <c r="I3" s="585"/>
      <c r="J3" s="585"/>
    </row>
    <row r="4" spans="1:17" ht="16.5" thickBot="1">
      <c r="A4" s="152"/>
      <c r="B4" s="152"/>
      <c r="C4" s="152"/>
      <c r="F4" s="35"/>
      <c r="G4" s="35"/>
      <c r="H4" s="35"/>
      <c r="I4" s="35"/>
      <c r="J4" s="35"/>
    </row>
    <row r="5" spans="1:17" ht="19.5" thickBot="1">
      <c r="A5" s="153"/>
      <c r="B5" s="153"/>
      <c r="C5" s="153"/>
      <c r="E5" s="154"/>
      <c r="F5" s="208"/>
      <c r="G5" s="586" t="s">
        <v>141</v>
      </c>
      <c r="H5" s="586"/>
      <c r="I5" s="586"/>
      <c r="J5" s="587"/>
    </row>
    <row r="6" spans="1:17" ht="63.6" customHeight="1" thickBot="1">
      <c r="A6" s="155" t="s">
        <v>4</v>
      </c>
      <c r="B6" s="4" t="s">
        <v>142</v>
      </c>
      <c r="C6" s="4" t="s">
        <v>383</v>
      </c>
      <c r="D6" s="549" t="s">
        <v>5</v>
      </c>
      <c r="E6" s="156" t="s">
        <v>143</v>
      </c>
      <c r="F6" s="209"/>
      <c r="G6" s="210" t="s">
        <v>144</v>
      </c>
      <c r="H6" s="210" t="s">
        <v>145</v>
      </c>
      <c r="I6" s="210" t="s">
        <v>146</v>
      </c>
      <c r="J6" s="211" t="s">
        <v>147</v>
      </c>
    </row>
    <row r="7" spans="1:17">
      <c r="A7" s="219" t="s">
        <v>221</v>
      </c>
      <c r="B7" s="220" t="s">
        <v>148</v>
      </c>
      <c r="C7" s="547" t="s">
        <v>382</v>
      </c>
      <c r="D7" s="221" t="s">
        <v>149</v>
      </c>
      <c r="E7" s="222">
        <f>'ELEC Activity Q4 16 - 2017'!G6</f>
        <v>5906.2</v>
      </c>
      <c r="F7" s="222"/>
      <c r="G7" s="222">
        <f>'ELEC Activity Q4 16 - 2017'!W8</f>
        <v>61259.860000000015</v>
      </c>
      <c r="H7" s="222">
        <v>0</v>
      </c>
      <c r="I7" s="222">
        <f>'ELEC Activity Q4 16 - 2017'!W7</f>
        <v>-5906.25</v>
      </c>
      <c r="J7" s="223">
        <f t="shared" ref="J7:J23" si="0">SUM(E7:I7)</f>
        <v>61259.810000000012</v>
      </c>
    </row>
    <row r="8" spans="1:17">
      <c r="A8" s="224" t="s">
        <v>222</v>
      </c>
      <c r="B8" s="225" t="s">
        <v>150</v>
      </c>
      <c r="C8" s="548" t="s">
        <v>382</v>
      </c>
      <c r="D8" s="226" t="s">
        <v>151</v>
      </c>
      <c r="E8" s="227">
        <f>'ELEC Activity Q4 16 - 2017'!G10</f>
        <v>2147559.1100000003</v>
      </c>
      <c r="F8" s="227"/>
      <c r="G8" s="227">
        <f>'ELEC Activity Q4 16 - 2017'!W12</f>
        <v>23165.340000000317</v>
      </c>
      <c r="H8" s="227">
        <v>0</v>
      </c>
      <c r="I8" s="227">
        <f>'ELEC Activity Q4 16 - 2017'!W11</f>
        <v>-2147559.11</v>
      </c>
      <c r="J8" s="228">
        <f t="shared" si="0"/>
        <v>23165.340000000782</v>
      </c>
    </row>
    <row r="9" spans="1:17" s="2" customFormat="1">
      <c r="A9" s="229" t="s">
        <v>223</v>
      </c>
      <c r="B9" s="225" t="s">
        <v>152</v>
      </c>
      <c r="C9" s="545" t="s">
        <v>382</v>
      </c>
      <c r="D9" s="230" t="s">
        <v>153</v>
      </c>
      <c r="E9" s="227">
        <f>'ELEC Activity Q4 16 - 2017'!G14</f>
        <v>465045.93999999994</v>
      </c>
      <c r="F9" s="227"/>
      <c r="G9" s="227">
        <f>'ELEC Activity Q4 16 - 2017'!W14-'ELEC Activity Q4 16 - 2017'!G14</f>
        <v>392529.37000000011</v>
      </c>
      <c r="H9" s="227">
        <f>'ELEC Activity Q4 16 - 2017'!W15</f>
        <v>-213649.56</v>
      </c>
      <c r="I9" s="227">
        <f>'ELEC Activity Q4 16 - 2017'!W16</f>
        <v>-393874.5</v>
      </c>
      <c r="J9" s="228">
        <f t="shared" si="0"/>
        <v>250051.25</v>
      </c>
      <c r="L9"/>
      <c r="M9"/>
      <c r="N9"/>
      <c r="O9"/>
      <c r="P9"/>
      <c r="Q9"/>
    </row>
    <row r="10" spans="1:17" s="2" customFormat="1">
      <c r="A10" s="229" t="s">
        <v>224</v>
      </c>
      <c r="B10" s="225" t="s">
        <v>154</v>
      </c>
      <c r="C10" s="545" t="s">
        <v>382</v>
      </c>
      <c r="D10" s="230" t="s">
        <v>155</v>
      </c>
      <c r="E10" s="227">
        <f>'ELEC Activity Q4 16 - 2017'!G19</f>
        <v>198092.16</v>
      </c>
      <c r="F10" s="227"/>
      <c r="G10" s="227">
        <f>'ELEC Actual Q4 2016 - 2017'!V19-'ELEC Actual Q4 2016 - 2017'!G19</f>
        <v>0</v>
      </c>
      <c r="H10" s="227">
        <v>0</v>
      </c>
      <c r="I10" s="227">
        <f>'ELEC Activity Q4 16 - 2017'!W20</f>
        <v>-198092.16</v>
      </c>
      <c r="J10" s="228">
        <f t="shared" si="0"/>
        <v>0</v>
      </c>
      <c r="L10"/>
      <c r="M10"/>
      <c r="N10"/>
      <c r="O10"/>
      <c r="P10"/>
      <c r="Q10"/>
    </row>
    <row r="11" spans="1:17" s="2" customFormat="1">
      <c r="A11" s="229" t="s">
        <v>225</v>
      </c>
      <c r="B11" s="225" t="s">
        <v>156</v>
      </c>
      <c r="C11" s="545" t="s">
        <v>382</v>
      </c>
      <c r="D11" s="230" t="s">
        <v>157</v>
      </c>
      <c r="E11" s="227">
        <f>'ELEC Activity Q4 16 - 2017'!G23</f>
        <v>440996.89</v>
      </c>
      <c r="F11" s="227"/>
      <c r="G11" s="227">
        <f>'ELEC Activity Q4 16 - 2017'!W25</f>
        <v>19063.229999999981</v>
      </c>
      <c r="H11" s="227">
        <v>0</v>
      </c>
      <c r="I11" s="227">
        <f>'ELEC Activity Q4 16 - 2017'!W24</f>
        <v>-440996.89</v>
      </c>
      <c r="J11" s="228">
        <f t="shared" si="0"/>
        <v>19063.229999999981</v>
      </c>
      <c r="L11"/>
      <c r="M11"/>
      <c r="N11"/>
      <c r="O11"/>
      <c r="P11"/>
      <c r="Q11"/>
    </row>
    <row r="12" spans="1:17" s="2" customFormat="1">
      <c r="A12" s="229" t="s">
        <v>226</v>
      </c>
      <c r="B12" s="225" t="s">
        <v>158</v>
      </c>
      <c r="C12" s="545" t="s">
        <v>382</v>
      </c>
      <c r="D12" s="230" t="s">
        <v>159</v>
      </c>
      <c r="E12" s="227">
        <f>'ELEC Activity Q4 16 - 2017'!G27</f>
        <v>2254508.17</v>
      </c>
      <c r="F12" s="227"/>
      <c r="G12" s="227">
        <f>'ELEC Activity Q4 16 - 2017'!W27-'ELEC Activity Q4 16 - 2017'!G27</f>
        <v>0</v>
      </c>
      <c r="H12" s="227">
        <v>0</v>
      </c>
      <c r="I12" s="227">
        <f>'ELEC Activity Q4 16 - 2017'!W28</f>
        <v>-2254508</v>
      </c>
      <c r="J12" s="228">
        <f t="shared" si="0"/>
        <v>0.16999999992549419</v>
      </c>
      <c r="L12"/>
      <c r="M12"/>
      <c r="N12"/>
      <c r="O12"/>
      <c r="P12"/>
      <c r="Q12"/>
    </row>
    <row r="13" spans="1:17" s="2" customFormat="1">
      <c r="A13" s="229" t="s">
        <v>227</v>
      </c>
      <c r="B13" s="225" t="s">
        <v>160</v>
      </c>
      <c r="C13" s="545" t="s">
        <v>382</v>
      </c>
      <c r="D13" s="230" t="s">
        <v>161</v>
      </c>
      <c r="E13" s="227">
        <f>'ELEC Activity Q4 16 - 2017'!G31</f>
        <v>2242411.06</v>
      </c>
      <c r="F13" s="227"/>
      <c r="G13" s="227">
        <f>'ELEC Activity Q4 16 - 2017'!W31-'ELEC Activity Q4 16 - 2017'!G31</f>
        <v>820462.2799999998</v>
      </c>
      <c r="H13" s="227">
        <f>'ELEC Activity Q4 16 - 2017'!W32</f>
        <v>-671885.74</v>
      </c>
      <c r="I13" s="227">
        <f>'ELEC Activity Q4 16 - 2017'!W33</f>
        <v>-1579857.19</v>
      </c>
      <c r="J13" s="228">
        <f t="shared" si="0"/>
        <v>811130.40999999968</v>
      </c>
      <c r="L13"/>
      <c r="M13"/>
      <c r="N13"/>
      <c r="O13"/>
      <c r="P13"/>
      <c r="Q13"/>
    </row>
    <row r="14" spans="1:17" s="2" customFormat="1">
      <c r="A14" s="229" t="s">
        <v>228</v>
      </c>
      <c r="B14" s="225" t="s">
        <v>156</v>
      </c>
      <c r="C14" s="545" t="s">
        <v>382</v>
      </c>
      <c r="D14" s="230" t="s">
        <v>162</v>
      </c>
      <c r="E14" s="227">
        <f>'ELEC Activity Q4 16 - 2017'!G36</f>
        <v>659654.59</v>
      </c>
      <c r="F14" s="227"/>
      <c r="G14" s="227">
        <f>'ELEC Activity Q4 16 - 2017'!W36-'ELEC Activity Q4 16 - 2017'!G36</f>
        <v>10000.119999999995</v>
      </c>
      <c r="H14" s="227">
        <v>0</v>
      </c>
      <c r="I14" s="227">
        <f>'ELEC Activity Q4 16 - 2017'!W37</f>
        <v>-659655</v>
      </c>
      <c r="J14" s="228">
        <f t="shared" si="0"/>
        <v>9999.7099999999627</v>
      </c>
      <c r="L14"/>
      <c r="M14"/>
      <c r="N14"/>
      <c r="O14"/>
      <c r="P14"/>
      <c r="Q14"/>
    </row>
    <row r="15" spans="1:17" ht="36" customHeight="1">
      <c r="A15" s="231" t="s">
        <v>229</v>
      </c>
      <c r="B15" s="232" t="s">
        <v>163</v>
      </c>
      <c r="C15" s="545" t="s">
        <v>382</v>
      </c>
      <c r="D15" s="233" t="s">
        <v>164</v>
      </c>
      <c r="E15" s="227">
        <f>'ELEC Activity Q4 16 - 2017'!G40</f>
        <v>224879.76</v>
      </c>
      <c r="F15" s="227"/>
      <c r="G15" s="227">
        <f>'ELEC Activity Q4 16 - 2017'!W40-'ELEC Activity Q4 16 - 2017'!G40</f>
        <v>1543.5499999999884</v>
      </c>
      <c r="H15" s="227">
        <v>0</v>
      </c>
      <c r="I15" s="227">
        <f>'ELEC Activity Q4 16 - 2017'!W41</f>
        <v>-224880</v>
      </c>
      <c r="J15" s="228">
        <f t="shared" si="0"/>
        <v>1543.3099999999977</v>
      </c>
    </row>
    <row r="16" spans="1:17" ht="45">
      <c r="A16" s="231" t="s">
        <v>230</v>
      </c>
      <c r="B16" s="232" t="s">
        <v>163</v>
      </c>
      <c r="C16" s="545" t="s">
        <v>382</v>
      </c>
      <c r="D16" s="226" t="s">
        <v>165</v>
      </c>
      <c r="E16" s="227">
        <f>'ELEC Activity Q4 16 - 2017'!G44</f>
        <v>400495.47</v>
      </c>
      <c r="F16" s="227"/>
      <c r="G16" s="227">
        <f>'ELEC Activity Q4 16 - 2017'!W44-'ELEC Activity Q4 16 - 2017'!G44</f>
        <v>0</v>
      </c>
      <c r="H16" s="227">
        <v>0</v>
      </c>
      <c r="I16" s="227">
        <f>'ELEC Activity Q4 16 - 2017'!W45</f>
        <v>-400495</v>
      </c>
      <c r="J16" s="228">
        <f>SUM(E16:I16)</f>
        <v>0.46999999997206032</v>
      </c>
    </row>
    <row r="17" spans="1:10" ht="45">
      <c r="A17" s="231" t="s">
        <v>231</v>
      </c>
      <c r="B17" s="232" t="s">
        <v>163</v>
      </c>
      <c r="C17" s="545" t="s">
        <v>382</v>
      </c>
      <c r="D17" s="233" t="s">
        <v>166</v>
      </c>
      <c r="E17" s="227">
        <f>'ELEC Activity Q4 16 - 2017'!G48</f>
        <v>231698.24000000005</v>
      </c>
      <c r="F17" s="227"/>
      <c r="G17" s="227">
        <f>'ELEC Activity Q4 16 - 2017'!W48-'ELEC Activity Q4 16 - 2017'!G48</f>
        <v>1767541.9600000002</v>
      </c>
      <c r="H17" s="227">
        <f>'ELEC Activity Q4 16 - 2017'!W49</f>
        <v>-105008.2</v>
      </c>
      <c r="I17" s="227">
        <f>'ELEC Activity Q4 16 - 2017'!W50</f>
        <v>-231698</v>
      </c>
      <c r="J17" s="228">
        <f>SUM(E17:I17)</f>
        <v>1662534.0000000002</v>
      </c>
    </row>
    <row r="18" spans="1:10">
      <c r="A18" s="231" t="s">
        <v>232</v>
      </c>
      <c r="B18" s="225" t="s">
        <v>154</v>
      </c>
      <c r="C18" s="545" t="s">
        <v>382</v>
      </c>
      <c r="D18" s="226" t="s">
        <v>167</v>
      </c>
      <c r="E18" s="227">
        <f>'ELEC Activity Q4 16 - 2017'!G53</f>
        <v>695.75</v>
      </c>
      <c r="F18" s="227"/>
      <c r="G18" s="227">
        <f>'ELEC Activity Q4 16 - 2017'!W53-'ELEC Activity Q4 16 - 2017'!G53</f>
        <v>0</v>
      </c>
      <c r="H18" s="227">
        <v>0</v>
      </c>
      <c r="I18" s="227">
        <f>'ELEC Activity Q4 16 - 2017'!W54</f>
        <v>-695.75</v>
      </c>
      <c r="J18" s="228">
        <f t="shared" si="0"/>
        <v>0</v>
      </c>
    </row>
    <row r="19" spans="1:10" ht="45">
      <c r="A19" s="231">
        <v>18608171</v>
      </c>
      <c r="B19" s="232" t="s">
        <v>163</v>
      </c>
      <c r="C19" s="545" t="s">
        <v>382</v>
      </c>
      <c r="D19" s="226" t="s">
        <v>168</v>
      </c>
      <c r="E19" s="227">
        <f>'ELEC Activity Q4 16 - 2017'!G57</f>
        <v>212588.68</v>
      </c>
      <c r="F19" s="227"/>
      <c r="G19" s="227">
        <f>'ELEC Activity Q4 16 - 2017'!W57-'ELEC Activity Q4 16 - 2017'!G57</f>
        <v>0</v>
      </c>
      <c r="H19" s="227">
        <v>0</v>
      </c>
      <c r="I19" s="227">
        <f>'ELEC Activity Q4 16 - 2017'!W58</f>
        <v>-212589</v>
      </c>
      <c r="J19" s="228">
        <f t="shared" si="0"/>
        <v>-0.32000000000698492</v>
      </c>
    </row>
    <row r="20" spans="1:10" ht="45">
      <c r="A20" s="231" t="s">
        <v>74</v>
      </c>
      <c r="B20" s="232" t="s">
        <v>163</v>
      </c>
      <c r="C20" s="545" t="s">
        <v>382</v>
      </c>
      <c r="D20" s="226" t="s">
        <v>169</v>
      </c>
      <c r="E20" s="227">
        <f>'ELEC Activity Q4 16 - 2017'!G61</f>
        <v>111880.23</v>
      </c>
      <c r="F20" s="227"/>
      <c r="G20" s="227">
        <f>'ELEC Activity Q4 16 - 2017'!W61-'ELEC Activity Q4 16 - 2017'!G61</f>
        <v>0</v>
      </c>
      <c r="H20" s="227">
        <v>0</v>
      </c>
      <c r="I20" s="227">
        <f>'ELEC Activity Q4 16 - 2017'!W62</f>
        <v>-111880</v>
      </c>
      <c r="J20" s="228">
        <f t="shared" si="0"/>
        <v>0.22999999999592546</v>
      </c>
    </row>
    <row r="21" spans="1:10" ht="30">
      <c r="A21" s="231" t="s">
        <v>233</v>
      </c>
      <c r="B21" s="232" t="s">
        <v>170</v>
      </c>
      <c r="C21" s="546" t="s">
        <v>385</v>
      </c>
      <c r="D21" s="226" t="s">
        <v>171</v>
      </c>
      <c r="E21" s="227">
        <f>'ELEC Actual Q4 2016 - 2017'!J65</f>
        <v>0</v>
      </c>
      <c r="F21" s="227"/>
      <c r="G21" s="227">
        <f>'ELEC Activity Q4 16 - 2017'!W65-'ELEC Activity Q4 16 - 2017'!G65</f>
        <v>95466.599999999991</v>
      </c>
      <c r="H21" s="227">
        <v>0</v>
      </c>
      <c r="I21" s="227">
        <v>0</v>
      </c>
      <c r="J21" s="228">
        <f t="shared" si="0"/>
        <v>95466.599999999991</v>
      </c>
    </row>
    <row r="22" spans="1:10" ht="30">
      <c r="A22" s="231" t="s">
        <v>234</v>
      </c>
      <c r="B22" s="232" t="s">
        <v>170</v>
      </c>
      <c r="C22" s="546" t="s">
        <v>386</v>
      </c>
      <c r="D22" s="226" t="s">
        <v>172</v>
      </c>
      <c r="E22" s="227">
        <f>'ELEC Actual Q4 2016 - 2017'!J68</f>
        <v>0</v>
      </c>
      <c r="F22" s="230"/>
      <c r="G22" s="227">
        <f>'ELEC Actual Q4 2016 - 2017'!V68-'ELEC Actual Q4 2016 - 2017'!G68</f>
        <v>0</v>
      </c>
      <c r="H22" s="227">
        <v>0</v>
      </c>
      <c r="I22" s="227">
        <v>0</v>
      </c>
      <c r="J22" s="228">
        <f t="shared" si="0"/>
        <v>0</v>
      </c>
    </row>
    <row r="23" spans="1:10">
      <c r="A23" s="231" t="s">
        <v>84</v>
      </c>
      <c r="B23" s="234" t="s">
        <v>86</v>
      </c>
      <c r="C23" s="545" t="s">
        <v>382</v>
      </c>
      <c r="D23" s="226" t="s">
        <v>173</v>
      </c>
      <c r="E23" s="227">
        <f>'ELEC Activity Q4 16 - 2017'!G68</f>
        <v>-4610484.08</v>
      </c>
      <c r="F23" s="230"/>
      <c r="G23" s="227">
        <f>'ELEC Activity Q4 16 - 2017'!W68-'ELEC Activity Q4 16 - 2017'!G68</f>
        <v>0</v>
      </c>
      <c r="H23" s="227">
        <v>0</v>
      </c>
      <c r="I23" s="227">
        <f>'ELEC Activity Q4 16 - 2017'!W69</f>
        <v>1743761.81</v>
      </c>
      <c r="J23" s="228">
        <f t="shared" si="0"/>
        <v>-2866722.27</v>
      </c>
    </row>
    <row r="24" spans="1:10" ht="5.45" customHeight="1">
      <c r="A24" s="158"/>
      <c r="B24" s="159"/>
      <c r="C24" s="159"/>
      <c r="D24" s="81"/>
      <c r="E24" s="143"/>
      <c r="F24" s="143"/>
      <c r="G24" s="143"/>
      <c r="H24" s="143"/>
      <c r="I24" s="143"/>
      <c r="J24" s="160"/>
    </row>
    <row r="25" spans="1:10" ht="15.75" thickBot="1">
      <c r="A25" s="158"/>
      <c r="B25" s="159"/>
      <c r="C25" s="159"/>
      <c r="D25" s="161" t="s">
        <v>174</v>
      </c>
      <c r="E25" s="162">
        <f>SUM(E7:E24)</f>
        <v>4985928.1700000018</v>
      </c>
      <c r="F25" s="163"/>
      <c r="G25" s="162">
        <f t="shared" ref="G25:J25" si="1">SUM(G7:G24)</f>
        <v>3191032.3100000005</v>
      </c>
      <c r="H25" s="162">
        <f>SUM(H7:H24)</f>
        <v>-990543.5</v>
      </c>
      <c r="I25" s="162">
        <f t="shared" si="1"/>
        <v>-7118925.0399999991</v>
      </c>
      <c r="J25" s="164">
        <f t="shared" si="1"/>
        <v>67491.940000000875</v>
      </c>
    </row>
    <row r="26" spans="1:10" ht="16.5" thickTop="1" thickBot="1">
      <c r="A26" s="165"/>
      <c r="B26" s="166"/>
      <c r="C26" s="166"/>
      <c r="D26" s="167"/>
      <c r="E26" s="168"/>
      <c r="F26" s="169"/>
      <c r="G26" s="168"/>
      <c r="H26" s="168"/>
      <c r="I26" s="170"/>
      <c r="J26" s="533"/>
    </row>
    <row r="27" spans="1:10">
      <c r="E27" s="2"/>
      <c r="F27" s="2"/>
      <c r="G27" s="171"/>
      <c r="H27" s="2"/>
      <c r="I27" s="171"/>
    </row>
    <row r="28" spans="1:10">
      <c r="A28" s="172" t="s">
        <v>253</v>
      </c>
      <c r="B28" s="173"/>
      <c r="C28" s="173"/>
      <c r="E28" s="2"/>
      <c r="F28" s="2"/>
      <c r="G28" s="2"/>
      <c r="H28" s="2"/>
      <c r="I28" s="2"/>
    </row>
    <row r="29" spans="1:10">
      <c r="A29" s="172" t="s">
        <v>254</v>
      </c>
      <c r="E29" s="2"/>
      <c r="F29" s="2"/>
      <c r="G29" s="2"/>
      <c r="H29" s="2"/>
      <c r="I29" s="2"/>
    </row>
    <row r="30" spans="1:10">
      <c r="A30" s="172" t="s">
        <v>255</v>
      </c>
      <c r="E30" s="2"/>
      <c r="F30" s="2"/>
      <c r="G30" s="2"/>
      <c r="H30" s="2"/>
      <c r="I30" s="2"/>
    </row>
    <row r="31" spans="1:10">
      <c r="A31" s="337" t="s">
        <v>256</v>
      </c>
      <c r="E31" s="2"/>
      <c r="F31" s="2"/>
      <c r="G31" s="2"/>
      <c r="H31" s="2"/>
      <c r="I31" s="2"/>
    </row>
    <row r="32" spans="1:10">
      <c r="A32" s="173"/>
      <c r="E32" s="2"/>
      <c r="F32" s="2"/>
      <c r="G32" s="2"/>
      <c r="H32" s="2"/>
      <c r="I32" s="2"/>
    </row>
    <row r="33" spans="1:9" ht="16.5">
      <c r="A33" s="172" t="s">
        <v>388</v>
      </c>
      <c r="G33" s="62"/>
    </row>
    <row r="34" spans="1:9" ht="16.5">
      <c r="A34" s="172" t="s">
        <v>389</v>
      </c>
    </row>
    <row r="35" spans="1:9" ht="17.45" customHeight="1">
      <c r="A35" s="172" t="s">
        <v>392</v>
      </c>
    </row>
    <row r="38" spans="1:9">
      <c r="A38" s="172"/>
      <c r="I38" s="552"/>
    </row>
    <row r="39" spans="1:9">
      <c r="A39" s="172"/>
      <c r="I39" s="551"/>
    </row>
    <row r="40" spans="1:9">
      <c r="A40" s="172"/>
      <c r="I40" s="553"/>
    </row>
    <row r="41" spans="1:9">
      <c r="I41" s="551"/>
    </row>
    <row r="42" spans="1:9">
      <c r="I42" s="551"/>
    </row>
  </sheetData>
  <mergeCells count="4">
    <mergeCell ref="A1:J1"/>
    <mergeCell ref="A2:J2"/>
    <mergeCell ref="A3:J3"/>
    <mergeCell ref="G5:J5"/>
  </mergeCells>
  <printOptions horizontalCentered="1"/>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9"/>
  <sheetViews>
    <sheetView zoomScale="91" zoomScaleNormal="91" workbookViewId="0">
      <pane xSplit="3" ySplit="5" topLeftCell="G6" activePane="bottomRight" state="frozen"/>
      <selection activeCell="D12" sqref="D12"/>
      <selection pane="topRight" activeCell="D12" sqref="D12"/>
      <selection pane="bottomLeft" activeCell="D12" sqref="D12"/>
      <selection pane="bottomRight" activeCell="Q78" sqref="Q78"/>
    </sheetView>
  </sheetViews>
  <sheetFormatPr defaultRowHeight="15"/>
  <cols>
    <col min="1" max="1" width="10.7109375" style="1" customWidth="1"/>
    <col min="2" max="2" width="12" bestFit="1" customWidth="1"/>
    <col min="3" max="3" width="64.7109375" customWidth="1"/>
    <col min="4" max="4" width="14.5703125" customWidth="1"/>
    <col min="5" max="5" width="10.7109375" customWidth="1"/>
    <col min="6" max="6" width="12.7109375" customWidth="1"/>
    <col min="7" max="7" width="12.85546875" customWidth="1"/>
    <col min="8" max="20" width="11.5703125" style="2" bestFit="1" customWidth="1"/>
    <col min="21" max="22" width="11.5703125" bestFit="1" customWidth="1"/>
    <col min="23" max="23" width="17.42578125" customWidth="1"/>
    <col min="24" max="24" width="19.28515625" customWidth="1"/>
  </cols>
  <sheetData>
    <row r="1" spans="1:24">
      <c r="A1" s="590" t="s">
        <v>0</v>
      </c>
      <c r="B1" s="590"/>
      <c r="C1" s="590"/>
      <c r="D1" s="590"/>
      <c r="E1" s="590"/>
      <c r="F1" s="590"/>
      <c r="G1" s="590"/>
      <c r="H1" s="590"/>
      <c r="I1" s="590"/>
      <c r="J1" s="590"/>
      <c r="K1" s="590"/>
      <c r="L1" s="590"/>
      <c r="M1" s="590"/>
      <c r="N1" s="590"/>
      <c r="O1" s="590"/>
      <c r="P1" s="590"/>
      <c r="Q1" s="590"/>
      <c r="R1" s="590"/>
      <c r="S1" s="590"/>
      <c r="T1" s="590"/>
      <c r="U1" s="590"/>
      <c r="V1" s="590"/>
    </row>
    <row r="2" spans="1:24">
      <c r="A2" s="590" t="s">
        <v>175</v>
      </c>
      <c r="B2" s="590"/>
      <c r="C2" s="590"/>
      <c r="D2" s="590"/>
      <c r="E2" s="590"/>
      <c r="F2" s="590"/>
      <c r="G2" s="590"/>
      <c r="H2" s="590"/>
      <c r="I2" s="590"/>
      <c r="J2" s="590"/>
      <c r="K2" s="590"/>
      <c r="L2" s="590"/>
      <c r="M2" s="590"/>
      <c r="N2" s="590"/>
      <c r="O2" s="590"/>
      <c r="P2" s="590"/>
      <c r="Q2" s="590"/>
      <c r="R2" s="590"/>
      <c r="S2" s="590"/>
      <c r="T2" s="590"/>
      <c r="U2" s="590"/>
      <c r="V2" s="590"/>
    </row>
    <row r="3" spans="1:24" ht="21">
      <c r="A3" s="591" t="s">
        <v>2</v>
      </c>
      <c r="B3" s="591"/>
      <c r="C3" s="591"/>
      <c r="D3" s="591"/>
      <c r="E3" s="591"/>
      <c r="F3" s="591"/>
      <c r="G3" s="591"/>
      <c r="H3" s="591"/>
      <c r="I3" s="591"/>
      <c r="J3" s="591"/>
      <c r="K3" s="591"/>
      <c r="L3" s="591"/>
      <c r="M3" s="591"/>
      <c r="N3" s="591"/>
      <c r="O3" s="591"/>
      <c r="P3" s="591"/>
      <c r="Q3" s="591"/>
      <c r="R3" s="591"/>
      <c r="S3" s="591"/>
      <c r="T3" s="591"/>
      <c r="U3" s="591"/>
      <c r="V3" s="591"/>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32">
        <v>18230010</v>
      </c>
      <c r="B6" s="9" t="s">
        <v>11</v>
      </c>
      <c r="C6" s="10" t="s">
        <v>12</v>
      </c>
      <c r="D6" s="95" t="s">
        <v>13</v>
      </c>
      <c r="E6" s="11"/>
      <c r="F6" s="11"/>
      <c r="G6" s="12">
        <v>5906.2</v>
      </c>
      <c r="H6" s="13">
        <v>2944.75</v>
      </c>
      <c r="I6" s="13">
        <v>11715.31</v>
      </c>
      <c r="J6" s="12">
        <v>3410.5</v>
      </c>
      <c r="K6" s="12">
        <v>470</v>
      </c>
      <c r="L6" s="12">
        <v>2824.63</v>
      </c>
      <c r="M6" s="12">
        <v>1117.5</v>
      </c>
      <c r="N6" s="12">
        <v>830</v>
      </c>
      <c r="O6" s="12">
        <v>0</v>
      </c>
      <c r="P6" s="12">
        <v>2237.25</v>
      </c>
      <c r="Q6" s="12">
        <v>0</v>
      </c>
      <c r="R6" s="12">
        <v>6309.35</v>
      </c>
      <c r="S6" s="12">
        <v>0</v>
      </c>
      <c r="T6" s="12">
        <v>13896.12</v>
      </c>
      <c r="U6" s="12">
        <v>892.5</v>
      </c>
      <c r="V6" s="12">
        <v>14612</v>
      </c>
      <c r="W6" s="174">
        <f>SUM(G6:V6)</f>
        <v>67166.110000000015</v>
      </c>
    </row>
    <row r="7" spans="1:24" s="2" customFormat="1">
      <c r="A7" s="15"/>
      <c r="B7" s="9" t="s">
        <v>11</v>
      </c>
      <c r="C7" s="10" t="s">
        <v>14</v>
      </c>
      <c r="D7" s="98" t="s">
        <v>15</v>
      </c>
      <c r="E7" s="16">
        <v>43070</v>
      </c>
      <c r="F7" s="16" t="s">
        <v>16</v>
      </c>
      <c r="G7" s="17">
        <v>0</v>
      </c>
      <c r="H7" s="17">
        <v>0</v>
      </c>
      <c r="I7" s="17">
        <v>0</v>
      </c>
      <c r="J7" s="17">
        <v>0</v>
      </c>
      <c r="K7" s="17">
        <v>0</v>
      </c>
      <c r="L7" s="17">
        <v>0</v>
      </c>
      <c r="M7" s="17">
        <v>0</v>
      </c>
      <c r="N7" s="17">
        <v>0</v>
      </c>
      <c r="O7" s="17">
        <v>0</v>
      </c>
      <c r="P7" s="17">
        <v>0</v>
      </c>
      <c r="Q7" s="17">
        <v>0</v>
      </c>
      <c r="R7" s="17">
        <v>0</v>
      </c>
      <c r="S7" s="17">
        <v>0</v>
      </c>
      <c r="T7" s="17">
        <v>0</v>
      </c>
      <c r="U7" s="17">
        <v>0</v>
      </c>
      <c r="V7" s="17">
        <v>-5906.25</v>
      </c>
      <c r="W7" s="18">
        <f>SUM(G7:V7)</f>
        <v>-5906.25</v>
      </c>
    </row>
    <row r="8" spans="1:24" s="2" customFormat="1">
      <c r="A8" s="15"/>
      <c r="B8" s="9"/>
      <c r="C8" s="19" t="s">
        <v>17</v>
      </c>
      <c r="D8" s="64"/>
      <c r="E8" s="20"/>
      <c r="F8" s="20"/>
      <c r="G8" s="21">
        <f t="shared" ref="G8:W8" si="0">SUM(G6:G7)</f>
        <v>5906.2</v>
      </c>
      <c r="H8" s="21">
        <f t="shared" si="0"/>
        <v>2944.75</v>
      </c>
      <c r="I8" s="21">
        <f t="shared" si="0"/>
        <v>11715.31</v>
      </c>
      <c r="J8" s="21">
        <f t="shared" si="0"/>
        <v>3410.5</v>
      </c>
      <c r="K8" s="21">
        <f t="shared" si="0"/>
        <v>470</v>
      </c>
      <c r="L8" s="21">
        <f t="shared" si="0"/>
        <v>2824.63</v>
      </c>
      <c r="M8" s="21">
        <f t="shared" si="0"/>
        <v>1117.5</v>
      </c>
      <c r="N8" s="21">
        <f t="shared" si="0"/>
        <v>830</v>
      </c>
      <c r="O8" s="21">
        <f t="shared" si="0"/>
        <v>0</v>
      </c>
      <c r="P8" s="21">
        <f t="shared" si="0"/>
        <v>2237.25</v>
      </c>
      <c r="Q8" s="21">
        <f t="shared" si="0"/>
        <v>0</v>
      </c>
      <c r="R8" s="21">
        <f t="shared" si="0"/>
        <v>6309.35</v>
      </c>
      <c r="S8" s="21">
        <f t="shared" si="0"/>
        <v>0</v>
      </c>
      <c r="T8" s="21">
        <f t="shared" si="0"/>
        <v>13896.12</v>
      </c>
      <c r="U8" s="21">
        <f t="shared" si="0"/>
        <v>892.5</v>
      </c>
      <c r="V8" s="21">
        <f t="shared" si="0"/>
        <v>8705.75</v>
      </c>
      <c r="W8" s="22">
        <f t="shared" si="0"/>
        <v>61259.860000000015</v>
      </c>
    </row>
    <row r="9" spans="1:24" s="31" customFormat="1" ht="11.45" customHeight="1">
      <c r="A9" s="23"/>
      <c r="B9" s="24"/>
      <c r="C9" s="25"/>
      <c r="D9" s="26"/>
      <c r="E9" s="27"/>
      <c r="F9" s="27"/>
      <c r="G9" s="28"/>
      <c r="H9" s="29"/>
      <c r="I9" s="29"/>
      <c r="J9" s="28"/>
      <c r="K9" s="28"/>
      <c r="L9" s="28"/>
      <c r="M9" s="28"/>
      <c r="N9" s="28"/>
      <c r="O9" s="28"/>
      <c r="P9" s="28"/>
      <c r="Q9" s="28"/>
      <c r="R9" s="28"/>
      <c r="S9" s="28"/>
      <c r="T9" s="28"/>
      <c r="U9" s="28"/>
      <c r="V9" s="28"/>
      <c r="W9" s="112"/>
    </row>
    <row r="10" spans="1:24" s="2" customFormat="1">
      <c r="A10" s="32">
        <v>18230009</v>
      </c>
      <c r="B10" s="9" t="s">
        <v>18</v>
      </c>
      <c r="C10" s="10" t="s">
        <v>19</v>
      </c>
      <c r="D10" s="64" t="s">
        <v>13</v>
      </c>
      <c r="E10" s="11"/>
      <c r="F10" s="11"/>
      <c r="G10" s="12">
        <v>2147559.1100000003</v>
      </c>
      <c r="H10" s="12">
        <v>5375.75</v>
      </c>
      <c r="I10" s="12">
        <v>1680.29</v>
      </c>
      <c r="J10" s="12">
        <v>1870.25</v>
      </c>
      <c r="K10" s="33">
        <v>-1640.29</v>
      </c>
      <c r="L10" s="33">
        <v>2228.75</v>
      </c>
      <c r="M10" s="33">
        <v>1660.29</v>
      </c>
      <c r="N10" s="33">
        <v>0</v>
      </c>
      <c r="O10" s="33">
        <v>557.21</v>
      </c>
      <c r="P10" s="33">
        <v>7915.84</v>
      </c>
      <c r="Q10" s="33">
        <v>0</v>
      </c>
      <c r="R10" s="33">
        <v>0</v>
      </c>
      <c r="S10" s="33">
        <v>0</v>
      </c>
      <c r="T10" s="33">
        <v>0</v>
      </c>
      <c r="U10" s="33">
        <v>0</v>
      </c>
      <c r="V10" s="33">
        <v>3517.25</v>
      </c>
      <c r="W10" s="14">
        <f>SUM(G10:V10)</f>
        <v>2170724.4500000002</v>
      </c>
      <c r="X10" s="66"/>
    </row>
    <row r="11" spans="1:24" s="2" customFormat="1">
      <c r="A11" s="15"/>
      <c r="B11" s="9" t="s">
        <v>18</v>
      </c>
      <c r="C11" s="10" t="s">
        <v>14</v>
      </c>
      <c r="D11" s="126" t="s">
        <v>15</v>
      </c>
      <c r="E11" s="16">
        <v>43070</v>
      </c>
      <c r="F11" s="16" t="s">
        <v>16</v>
      </c>
      <c r="G11" s="37">
        <v>0</v>
      </c>
      <c r="H11" s="37">
        <v>0</v>
      </c>
      <c r="I11" s="37">
        <v>0</v>
      </c>
      <c r="J11" s="37">
        <v>0</v>
      </c>
      <c r="K11" s="37">
        <v>0</v>
      </c>
      <c r="L11" s="37">
        <v>0</v>
      </c>
      <c r="M11" s="37">
        <v>0</v>
      </c>
      <c r="N11" s="37">
        <v>0</v>
      </c>
      <c r="O11" s="37">
        <v>0</v>
      </c>
      <c r="P11" s="37">
        <v>0</v>
      </c>
      <c r="Q11" s="37">
        <v>0</v>
      </c>
      <c r="R11" s="37">
        <v>0</v>
      </c>
      <c r="S11" s="37">
        <v>0</v>
      </c>
      <c r="T11" s="37">
        <v>0</v>
      </c>
      <c r="U11" s="37">
        <v>0</v>
      </c>
      <c r="V11" s="175">
        <v>-2147559.11</v>
      </c>
      <c r="W11" s="78">
        <f>SUM(G11:V11)</f>
        <v>-2147559.11</v>
      </c>
      <c r="X11" s="66"/>
    </row>
    <row r="12" spans="1:24" s="2" customFormat="1">
      <c r="A12" s="39"/>
      <c r="B12" s="40"/>
      <c r="C12" s="41" t="s">
        <v>20</v>
      </c>
      <c r="D12" s="64"/>
      <c r="E12" s="42"/>
      <c r="F12" s="42"/>
      <c r="G12" s="21">
        <f t="shared" ref="G12:W12" si="1">SUM(G10:G11)</f>
        <v>2147559.1100000003</v>
      </c>
      <c r="H12" s="21">
        <f t="shared" si="1"/>
        <v>5375.75</v>
      </c>
      <c r="I12" s="21">
        <f t="shared" si="1"/>
        <v>1680.29</v>
      </c>
      <c r="J12" s="21">
        <f t="shared" si="1"/>
        <v>1870.25</v>
      </c>
      <c r="K12" s="21">
        <f t="shared" si="1"/>
        <v>-1640.29</v>
      </c>
      <c r="L12" s="21">
        <f t="shared" si="1"/>
        <v>2228.75</v>
      </c>
      <c r="M12" s="21">
        <f t="shared" si="1"/>
        <v>1660.29</v>
      </c>
      <c r="N12" s="21">
        <f t="shared" si="1"/>
        <v>0</v>
      </c>
      <c r="O12" s="21">
        <f t="shared" si="1"/>
        <v>557.21</v>
      </c>
      <c r="P12" s="21">
        <f t="shared" si="1"/>
        <v>7915.84</v>
      </c>
      <c r="Q12" s="21">
        <f t="shared" si="1"/>
        <v>0</v>
      </c>
      <c r="R12" s="21">
        <f t="shared" si="1"/>
        <v>0</v>
      </c>
      <c r="S12" s="21">
        <f t="shared" si="1"/>
        <v>0</v>
      </c>
      <c r="T12" s="21">
        <f t="shared" si="1"/>
        <v>0</v>
      </c>
      <c r="U12" s="21">
        <f t="shared" si="1"/>
        <v>0</v>
      </c>
      <c r="V12" s="21">
        <f t="shared" si="1"/>
        <v>-2144041.86</v>
      </c>
      <c r="W12" s="22">
        <f t="shared" si="1"/>
        <v>23165.340000000317</v>
      </c>
    </row>
    <row r="13" spans="1:24" s="50" customFormat="1" ht="11.25">
      <c r="A13" s="43"/>
      <c r="B13" s="44"/>
      <c r="C13" s="25"/>
      <c r="D13" s="45"/>
      <c r="E13" s="46"/>
      <c r="F13" s="46"/>
      <c r="G13" s="47"/>
      <c r="H13" s="48"/>
      <c r="I13" s="48"/>
      <c r="J13" s="28"/>
      <c r="K13" s="49"/>
      <c r="L13" s="49"/>
      <c r="M13" s="28"/>
      <c r="N13" s="49"/>
      <c r="O13" s="49"/>
      <c r="P13" s="28"/>
      <c r="Q13" s="49"/>
      <c r="R13" s="49"/>
      <c r="S13" s="28"/>
      <c r="T13" s="49"/>
      <c r="U13" s="49"/>
      <c r="V13" s="28"/>
      <c r="W13" s="30"/>
    </row>
    <row r="14" spans="1:24" s="2" customFormat="1">
      <c r="A14" s="32">
        <v>18230021</v>
      </c>
      <c r="B14" s="9" t="s">
        <v>21</v>
      </c>
      <c r="C14" s="10" t="s">
        <v>22</v>
      </c>
      <c r="D14" s="592" t="s">
        <v>23</v>
      </c>
      <c r="E14" s="574"/>
      <c r="F14" s="11"/>
      <c r="G14" s="12">
        <v>465045.93999999994</v>
      </c>
      <c r="H14" s="51">
        <f>-119907.1</f>
        <v>-119907.1</v>
      </c>
      <c r="I14" s="51">
        <f>67490.49</f>
        <v>67490.490000000005</v>
      </c>
      <c r="J14" s="52">
        <v>55201</v>
      </c>
      <c r="K14" s="52">
        <f>62475</f>
        <v>62475</v>
      </c>
      <c r="L14" s="52">
        <f>39750.21</f>
        <v>39750.21</v>
      </c>
      <c r="M14" s="52">
        <f>58513.33</f>
        <v>58513.33</v>
      </c>
      <c r="N14" s="52">
        <f>76146.81</f>
        <v>76146.81</v>
      </c>
      <c r="O14" s="52">
        <f>41027.18</f>
        <v>41027.18</v>
      </c>
      <c r="P14" s="52">
        <f>23807.8</f>
        <v>23807.8</v>
      </c>
      <c r="Q14" s="52">
        <v>0</v>
      </c>
      <c r="R14" s="52">
        <f>Q14</f>
        <v>0</v>
      </c>
      <c r="S14" s="52">
        <f>71194.4</f>
        <v>71194.399999999994</v>
      </c>
      <c r="T14" s="52">
        <f>8081.5</f>
        <v>8081.5</v>
      </c>
      <c r="U14" s="52">
        <f>3625.5</f>
        <v>3625.5</v>
      </c>
      <c r="V14" s="52">
        <f>5123.25</f>
        <v>5123.25</v>
      </c>
      <c r="W14" s="53">
        <f>SUM(G14:V14)</f>
        <v>857575.31</v>
      </c>
    </row>
    <row r="15" spans="1:24">
      <c r="A15" s="32"/>
      <c r="B15" s="9" t="s">
        <v>21</v>
      </c>
      <c r="C15" s="10" t="s">
        <v>384</v>
      </c>
      <c r="D15" s="592"/>
      <c r="E15" s="574"/>
      <c r="F15" s="11"/>
      <c r="G15" s="12">
        <v>-71171.44</v>
      </c>
      <c r="H15" s="12">
        <v>0</v>
      </c>
      <c r="I15" s="51">
        <f>H15</f>
        <v>0</v>
      </c>
      <c r="J15" s="52">
        <v>0</v>
      </c>
      <c r="K15" s="52">
        <v>0</v>
      </c>
      <c r="L15" s="52">
        <v>0</v>
      </c>
      <c r="M15" s="52">
        <v>0</v>
      </c>
      <c r="N15" s="52">
        <v>0</v>
      </c>
      <c r="O15" s="52">
        <v>0</v>
      </c>
      <c r="P15" s="52">
        <v>0</v>
      </c>
      <c r="Q15" s="52">
        <v>0</v>
      </c>
      <c r="R15" s="52">
        <v>0</v>
      </c>
      <c r="S15" s="52">
        <f>-83215.12</f>
        <v>-83215.12</v>
      </c>
      <c r="T15" s="52">
        <v>0</v>
      </c>
      <c r="U15" s="52">
        <f>T15</f>
        <v>0</v>
      </c>
      <c r="V15" s="52">
        <f>-59263</f>
        <v>-59263</v>
      </c>
      <c r="W15" s="53">
        <f>SUM(G15:V15)</f>
        <v>-213649.56</v>
      </c>
    </row>
    <row r="16" spans="1:24">
      <c r="A16" s="32"/>
      <c r="B16" s="9" t="s">
        <v>21</v>
      </c>
      <c r="C16" s="10" t="s">
        <v>14</v>
      </c>
      <c r="D16" s="36" t="s">
        <v>15</v>
      </c>
      <c r="E16" s="16">
        <v>43070</v>
      </c>
      <c r="F16" s="16" t="s">
        <v>16</v>
      </c>
      <c r="G16" s="37">
        <v>0</v>
      </c>
      <c r="H16" s="37">
        <v>0</v>
      </c>
      <c r="I16" s="37">
        <v>0</v>
      </c>
      <c r="J16" s="37">
        <v>0</v>
      </c>
      <c r="K16" s="37">
        <v>0</v>
      </c>
      <c r="L16" s="37">
        <v>0</v>
      </c>
      <c r="M16" s="37">
        <v>0</v>
      </c>
      <c r="N16" s="37">
        <v>0</v>
      </c>
      <c r="O16" s="37">
        <v>0</v>
      </c>
      <c r="P16" s="37">
        <v>0</v>
      </c>
      <c r="Q16" s="37">
        <v>0</v>
      </c>
      <c r="R16" s="37">
        <v>0</v>
      </c>
      <c r="S16" s="37">
        <v>0</v>
      </c>
      <c r="T16" s="37">
        <v>0</v>
      </c>
      <c r="U16" s="37">
        <v>0</v>
      </c>
      <c r="V16" s="175">
        <v>-393874.5</v>
      </c>
      <c r="W16" s="38">
        <f>SUM(G16:V16)</f>
        <v>-393874.5</v>
      </c>
    </row>
    <row r="17" spans="1:23">
      <c r="A17" s="39"/>
      <c r="B17" s="40"/>
      <c r="C17" s="41" t="s">
        <v>25</v>
      </c>
      <c r="D17" s="54"/>
      <c r="E17" s="55"/>
      <c r="F17" s="55"/>
      <c r="G17" s="56">
        <f t="shared" ref="G17:W17" si="2">SUM(G14:G16)</f>
        <v>393874.49999999994</v>
      </c>
      <c r="H17" s="56">
        <f t="shared" si="2"/>
        <v>-119907.1</v>
      </c>
      <c r="I17" s="56">
        <f t="shared" si="2"/>
        <v>67490.490000000005</v>
      </c>
      <c r="J17" s="56">
        <f t="shared" si="2"/>
        <v>55201</v>
      </c>
      <c r="K17" s="56">
        <f t="shared" si="2"/>
        <v>62475</v>
      </c>
      <c r="L17" s="56">
        <f t="shared" si="2"/>
        <v>39750.21</v>
      </c>
      <c r="M17" s="56">
        <f t="shared" si="2"/>
        <v>58513.33</v>
      </c>
      <c r="N17" s="56">
        <f t="shared" si="2"/>
        <v>76146.81</v>
      </c>
      <c r="O17" s="56">
        <f t="shared" si="2"/>
        <v>41027.18</v>
      </c>
      <c r="P17" s="56">
        <f t="shared" si="2"/>
        <v>23807.8</v>
      </c>
      <c r="Q17" s="56">
        <f t="shared" si="2"/>
        <v>0</v>
      </c>
      <c r="R17" s="56">
        <f t="shared" si="2"/>
        <v>0</v>
      </c>
      <c r="S17" s="56">
        <f t="shared" si="2"/>
        <v>-12020.720000000001</v>
      </c>
      <c r="T17" s="56">
        <f t="shared" si="2"/>
        <v>8081.5</v>
      </c>
      <c r="U17" s="56">
        <f t="shared" si="2"/>
        <v>3625.5</v>
      </c>
      <c r="V17" s="56">
        <f t="shared" si="2"/>
        <v>-448014.25</v>
      </c>
      <c r="W17" s="57">
        <f t="shared" si="2"/>
        <v>250051.25</v>
      </c>
    </row>
    <row r="18" spans="1:23" s="50" customFormat="1" ht="11.25">
      <c r="A18" s="43"/>
      <c r="B18" s="44"/>
      <c r="C18" s="25"/>
      <c r="D18" s="26"/>
      <c r="E18" s="46"/>
      <c r="F18" s="46"/>
      <c r="G18" s="47"/>
      <c r="H18" s="48"/>
      <c r="I18" s="48"/>
      <c r="J18" s="28"/>
      <c r="K18" s="49"/>
      <c r="L18" s="49"/>
      <c r="M18" s="28"/>
      <c r="N18" s="49"/>
      <c r="O18" s="49"/>
      <c r="P18" s="28"/>
      <c r="Q18" s="49"/>
      <c r="R18" s="49"/>
      <c r="S18" s="28"/>
      <c r="T18" s="49"/>
      <c r="U18" s="49"/>
      <c r="V18" s="28"/>
      <c r="W18" s="30"/>
    </row>
    <row r="19" spans="1:23" s="2" customFormat="1">
      <c r="A19" s="32" t="s">
        <v>26</v>
      </c>
      <c r="B19" s="9" t="s">
        <v>27</v>
      </c>
      <c r="C19" s="10" t="s">
        <v>28</v>
      </c>
      <c r="D19" s="64" t="s">
        <v>29</v>
      </c>
      <c r="E19" s="11"/>
      <c r="F19" s="11"/>
      <c r="G19" s="52">
        <v>198092.16</v>
      </c>
      <c r="H19" s="51">
        <v>0</v>
      </c>
      <c r="I19" s="51">
        <f>H19</f>
        <v>0</v>
      </c>
      <c r="J19" s="51">
        <f t="shared" ref="J19:V19" si="3">I19</f>
        <v>0</v>
      </c>
      <c r="K19" s="51">
        <f t="shared" si="3"/>
        <v>0</v>
      </c>
      <c r="L19" s="51">
        <f t="shared" si="3"/>
        <v>0</v>
      </c>
      <c r="M19" s="51">
        <f t="shared" si="3"/>
        <v>0</v>
      </c>
      <c r="N19" s="51">
        <f t="shared" si="3"/>
        <v>0</v>
      </c>
      <c r="O19" s="51">
        <f t="shared" si="3"/>
        <v>0</v>
      </c>
      <c r="P19" s="51">
        <f t="shared" si="3"/>
        <v>0</v>
      </c>
      <c r="Q19" s="51">
        <f t="shared" si="3"/>
        <v>0</v>
      </c>
      <c r="R19" s="51">
        <f t="shared" si="3"/>
        <v>0</v>
      </c>
      <c r="S19" s="51">
        <f t="shared" si="3"/>
        <v>0</v>
      </c>
      <c r="T19" s="51">
        <f t="shared" si="3"/>
        <v>0</v>
      </c>
      <c r="U19" s="51">
        <f t="shared" si="3"/>
        <v>0</v>
      </c>
      <c r="V19" s="51">
        <f t="shared" si="3"/>
        <v>0</v>
      </c>
      <c r="W19" s="53">
        <f>SUM(G19:V19)</f>
        <v>198092.16</v>
      </c>
    </row>
    <row r="20" spans="1:23" s="2" customFormat="1">
      <c r="A20" s="32"/>
      <c r="B20" s="9" t="s">
        <v>27</v>
      </c>
      <c r="C20" s="10" t="s">
        <v>30</v>
      </c>
      <c r="D20" s="126" t="s">
        <v>15</v>
      </c>
      <c r="E20" s="16">
        <v>43070</v>
      </c>
      <c r="F20" s="16" t="s">
        <v>16</v>
      </c>
      <c r="G20" s="37">
        <v>0</v>
      </c>
      <c r="H20" s="37">
        <v>0</v>
      </c>
      <c r="I20" s="37">
        <v>0</v>
      </c>
      <c r="J20" s="37">
        <v>0</v>
      </c>
      <c r="K20" s="37">
        <v>0</v>
      </c>
      <c r="L20" s="37">
        <v>0</v>
      </c>
      <c r="M20" s="37">
        <v>0</v>
      </c>
      <c r="N20" s="37">
        <v>0</v>
      </c>
      <c r="O20" s="37">
        <v>0</v>
      </c>
      <c r="P20" s="37">
        <v>0</v>
      </c>
      <c r="Q20" s="37">
        <v>0</v>
      </c>
      <c r="R20" s="37">
        <v>0</v>
      </c>
      <c r="S20" s="37">
        <v>0</v>
      </c>
      <c r="T20" s="37">
        <v>0</v>
      </c>
      <c r="U20" s="37">
        <v>0</v>
      </c>
      <c r="V20" s="175">
        <v>-198092.16</v>
      </c>
      <c r="W20" s="117">
        <f>SUM(G20:V20)</f>
        <v>-198092.16</v>
      </c>
    </row>
    <row r="21" spans="1:23" s="2" customFormat="1">
      <c r="A21" s="39"/>
      <c r="B21" s="40"/>
      <c r="C21" s="58" t="s">
        <v>31</v>
      </c>
      <c r="D21" s="59"/>
      <c r="E21" s="60"/>
      <c r="F21" s="60"/>
      <c r="G21" s="21">
        <f t="shared" ref="G21:W21" si="4">SUM(G19:G20)</f>
        <v>198092.16</v>
      </c>
      <c r="H21" s="21">
        <f t="shared" si="4"/>
        <v>0</v>
      </c>
      <c r="I21" s="21">
        <f t="shared" si="4"/>
        <v>0</v>
      </c>
      <c r="J21" s="21">
        <f t="shared" si="4"/>
        <v>0</v>
      </c>
      <c r="K21" s="21">
        <f t="shared" si="4"/>
        <v>0</v>
      </c>
      <c r="L21" s="21">
        <f t="shared" si="4"/>
        <v>0</v>
      </c>
      <c r="M21" s="21">
        <f t="shared" si="4"/>
        <v>0</v>
      </c>
      <c r="N21" s="21">
        <f t="shared" si="4"/>
        <v>0</v>
      </c>
      <c r="O21" s="21">
        <f t="shared" si="4"/>
        <v>0</v>
      </c>
      <c r="P21" s="21">
        <f t="shared" si="4"/>
        <v>0</v>
      </c>
      <c r="Q21" s="21">
        <f t="shared" si="4"/>
        <v>0</v>
      </c>
      <c r="R21" s="21">
        <f t="shared" si="4"/>
        <v>0</v>
      </c>
      <c r="S21" s="21">
        <f t="shared" si="4"/>
        <v>0</v>
      </c>
      <c r="T21" s="21">
        <f t="shared" si="4"/>
        <v>0</v>
      </c>
      <c r="U21" s="21">
        <f t="shared" si="4"/>
        <v>0</v>
      </c>
      <c r="V21" s="21">
        <f t="shared" si="4"/>
        <v>-198092.16</v>
      </c>
      <c r="W21" s="22">
        <f t="shared" si="4"/>
        <v>0</v>
      </c>
    </row>
    <row r="22" spans="1:23" s="50" customFormat="1" ht="11.25">
      <c r="A22" s="43"/>
      <c r="B22" s="44"/>
      <c r="C22" s="25"/>
      <c r="D22" s="45"/>
      <c r="E22" s="46"/>
      <c r="F22" s="46"/>
      <c r="G22" s="28"/>
      <c r="H22" s="48"/>
      <c r="I22" s="48"/>
      <c r="J22" s="28"/>
      <c r="K22" s="49"/>
      <c r="L22" s="49"/>
      <c r="M22" s="28"/>
      <c r="N22" s="49"/>
      <c r="O22" s="49"/>
      <c r="P22" s="28"/>
      <c r="Q22" s="49"/>
      <c r="R22" s="49"/>
      <c r="S22" s="28"/>
      <c r="T22" s="49"/>
      <c r="U22" s="49"/>
      <c r="V22" s="28"/>
      <c r="W22" s="112"/>
    </row>
    <row r="23" spans="1:23" s="2" customFormat="1">
      <c r="A23" s="32" t="s">
        <v>32</v>
      </c>
      <c r="B23" s="9" t="s">
        <v>33</v>
      </c>
      <c r="C23" s="10" t="s">
        <v>34</v>
      </c>
      <c r="D23" s="64" t="s">
        <v>35</v>
      </c>
      <c r="E23" s="11"/>
      <c r="F23" s="11"/>
      <c r="G23" s="12">
        <v>440996.89</v>
      </c>
      <c r="H23" s="51">
        <v>0</v>
      </c>
      <c r="I23" s="51">
        <f>H23+896</f>
        <v>896</v>
      </c>
      <c r="J23" s="12">
        <v>1485.25</v>
      </c>
      <c r="K23" s="12">
        <v>0</v>
      </c>
      <c r="L23" s="12">
        <v>928</v>
      </c>
      <c r="M23" s="12">
        <v>1611.8</v>
      </c>
      <c r="N23" s="12">
        <v>0</v>
      </c>
      <c r="O23" s="12">
        <v>928</v>
      </c>
      <c r="P23" s="12">
        <v>0</v>
      </c>
      <c r="Q23" s="12">
        <v>919</v>
      </c>
      <c r="R23" s="12">
        <v>5968.13</v>
      </c>
      <c r="S23" s="12">
        <v>1436</v>
      </c>
      <c r="T23" s="12">
        <v>3867.05</v>
      </c>
      <c r="U23" s="12">
        <v>1024</v>
      </c>
      <c r="V23" s="12">
        <v>0</v>
      </c>
      <c r="W23" s="53">
        <f>SUM(G23:V23)</f>
        <v>460060.12</v>
      </c>
    </row>
    <row r="24" spans="1:23" s="2" customFormat="1">
      <c r="A24" s="32"/>
      <c r="B24" s="9" t="s">
        <v>33</v>
      </c>
      <c r="C24" s="10" t="s">
        <v>30</v>
      </c>
      <c r="D24" s="126" t="s">
        <v>15</v>
      </c>
      <c r="E24" s="16">
        <v>43070</v>
      </c>
      <c r="F24" s="16" t="s">
        <v>16</v>
      </c>
      <c r="G24" s="37">
        <v>0</v>
      </c>
      <c r="H24" s="37">
        <v>0</v>
      </c>
      <c r="I24" s="37">
        <v>0</v>
      </c>
      <c r="J24" s="37">
        <v>0</v>
      </c>
      <c r="K24" s="37">
        <v>0</v>
      </c>
      <c r="L24" s="37">
        <v>0</v>
      </c>
      <c r="M24" s="37">
        <v>0</v>
      </c>
      <c r="N24" s="37">
        <v>0</v>
      </c>
      <c r="O24" s="37">
        <v>0</v>
      </c>
      <c r="P24" s="37">
        <v>0</v>
      </c>
      <c r="Q24" s="37">
        <v>0</v>
      </c>
      <c r="R24" s="37">
        <v>0</v>
      </c>
      <c r="S24" s="37">
        <v>0</v>
      </c>
      <c r="T24" s="37">
        <v>0</v>
      </c>
      <c r="U24" s="37">
        <v>0</v>
      </c>
      <c r="V24" s="175">
        <v>-440996.89</v>
      </c>
      <c r="W24" s="117">
        <f>SUM(G24:V24)</f>
        <v>-440996.89</v>
      </c>
    </row>
    <row r="25" spans="1:23" s="2" customFormat="1">
      <c r="A25" s="39"/>
      <c r="B25" s="40"/>
      <c r="C25" s="58" t="s">
        <v>36</v>
      </c>
      <c r="D25" s="59"/>
      <c r="E25" s="60"/>
      <c r="F25" s="60"/>
      <c r="G25" s="21">
        <f t="shared" ref="G25:W25" si="5">SUM(G23:G24)</f>
        <v>440996.89</v>
      </c>
      <c r="H25" s="21">
        <f t="shared" si="5"/>
        <v>0</v>
      </c>
      <c r="I25" s="21">
        <f t="shared" si="5"/>
        <v>896</v>
      </c>
      <c r="J25" s="21">
        <f t="shared" si="5"/>
        <v>1485.25</v>
      </c>
      <c r="K25" s="21">
        <f t="shared" si="5"/>
        <v>0</v>
      </c>
      <c r="L25" s="21">
        <f t="shared" si="5"/>
        <v>928</v>
      </c>
      <c r="M25" s="21">
        <f t="shared" si="5"/>
        <v>1611.8</v>
      </c>
      <c r="N25" s="21">
        <f t="shared" si="5"/>
        <v>0</v>
      </c>
      <c r="O25" s="21">
        <f t="shared" si="5"/>
        <v>928</v>
      </c>
      <c r="P25" s="21">
        <f t="shared" si="5"/>
        <v>0</v>
      </c>
      <c r="Q25" s="21">
        <f t="shared" si="5"/>
        <v>919</v>
      </c>
      <c r="R25" s="21">
        <f t="shared" si="5"/>
        <v>5968.13</v>
      </c>
      <c r="S25" s="21">
        <f t="shared" si="5"/>
        <v>1436</v>
      </c>
      <c r="T25" s="21">
        <f t="shared" si="5"/>
        <v>3867.05</v>
      </c>
      <c r="U25" s="21">
        <f t="shared" si="5"/>
        <v>1024</v>
      </c>
      <c r="V25" s="21">
        <f t="shared" si="5"/>
        <v>-440996.89</v>
      </c>
      <c r="W25" s="22">
        <f t="shared" si="5"/>
        <v>19063.229999999981</v>
      </c>
    </row>
    <row r="26" spans="1:23" s="50" customFormat="1" ht="11.25">
      <c r="A26" s="43"/>
      <c r="B26" s="44"/>
      <c r="C26" s="25"/>
      <c r="D26" s="45"/>
      <c r="E26" s="46"/>
      <c r="F26" s="46"/>
      <c r="G26" s="28"/>
      <c r="H26" s="48"/>
      <c r="I26" s="48"/>
      <c r="J26" s="28"/>
      <c r="K26" s="49"/>
      <c r="L26" s="49"/>
      <c r="M26" s="28"/>
      <c r="N26" s="49"/>
      <c r="O26" s="49"/>
      <c r="P26" s="28"/>
      <c r="Q26" s="49"/>
      <c r="R26" s="49"/>
      <c r="S26" s="28"/>
      <c r="T26" s="49"/>
      <c r="U26" s="49"/>
      <c r="V26" s="28"/>
      <c r="W26" s="112"/>
    </row>
    <row r="27" spans="1:23" s="2" customFormat="1">
      <c r="A27" s="32" t="s">
        <v>37</v>
      </c>
      <c r="B27" s="9" t="s">
        <v>38</v>
      </c>
      <c r="C27" s="10" t="s">
        <v>39</v>
      </c>
      <c r="D27" s="64" t="s">
        <v>40</v>
      </c>
      <c r="E27" s="11"/>
      <c r="F27" s="11"/>
      <c r="G27" s="52">
        <v>2254508.17</v>
      </c>
      <c r="H27" s="51">
        <v>0</v>
      </c>
      <c r="I27" s="51">
        <f>H27</f>
        <v>0</v>
      </c>
      <c r="J27" s="52">
        <v>0</v>
      </c>
      <c r="K27" s="52">
        <f>J27</f>
        <v>0</v>
      </c>
      <c r="L27" s="52">
        <f>K27</f>
        <v>0</v>
      </c>
      <c r="M27" s="52">
        <f>L27</f>
        <v>0</v>
      </c>
      <c r="N27" s="52">
        <f>M27</f>
        <v>0</v>
      </c>
      <c r="O27" s="52">
        <f t="shared" ref="O27:V27" si="6">N27</f>
        <v>0</v>
      </c>
      <c r="P27" s="52">
        <f t="shared" si="6"/>
        <v>0</v>
      </c>
      <c r="Q27" s="52">
        <f t="shared" si="6"/>
        <v>0</v>
      </c>
      <c r="R27" s="52">
        <f t="shared" si="6"/>
        <v>0</v>
      </c>
      <c r="S27" s="52">
        <f t="shared" si="6"/>
        <v>0</v>
      </c>
      <c r="T27" s="52">
        <f t="shared" si="6"/>
        <v>0</v>
      </c>
      <c r="U27" s="52">
        <f t="shared" si="6"/>
        <v>0</v>
      </c>
      <c r="V27" s="52">
        <f t="shared" si="6"/>
        <v>0</v>
      </c>
      <c r="W27" s="53">
        <f>SUM(G27:V27)</f>
        <v>2254508.17</v>
      </c>
    </row>
    <row r="28" spans="1:23" s="2" customFormat="1">
      <c r="A28" s="32"/>
      <c r="B28" s="9" t="s">
        <v>38</v>
      </c>
      <c r="C28" s="10" t="s">
        <v>30</v>
      </c>
      <c r="D28" s="126" t="s">
        <v>15</v>
      </c>
      <c r="E28" s="16">
        <v>43070</v>
      </c>
      <c r="F28" s="16" t="s">
        <v>16</v>
      </c>
      <c r="G28" s="37">
        <v>0</v>
      </c>
      <c r="H28" s="37">
        <v>0</v>
      </c>
      <c r="I28" s="37">
        <v>0</v>
      </c>
      <c r="J28" s="37">
        <v>0</v>
      </c>
      <c r="K28" s="37">
        <v>0</v>
      </c>
      <c r="L28" s="37">
        <v>0</v>
      </c>
      <c r="M28" s="37">
        <v>0</v>
      </c>
      <c r="N28" s="37">
        <v>0</v>
      </c>
      <c r="O28" s="37">
        <v>0</v>
      </c>
      <c r="P28" s="37">
        <v>0</v>
      </c>
      <c r="Q28" s="37">
        <v>0</v>
      </c>
      <c r="R28" s="37">
        <v>0</v>
      </c>
      <c r="S28" s="37">
        <v>0</v>
      </c>
      <c r="T28" s="37">
        <v>0</v>
      </c>
      <c r="U28" s="37">
        <v>0</v>
      </c>
      <c r="V28" s="175">
        <f>-2254508</f>
        <v>-2254508</v>
      </c>
      <c r="W28" s="117">
        <f>SUM(G28:V28)</f>
        <v>-2254508</v>
      </c>
    </row>
    <row r="29" spans="1:23" s="2" customFormat="1">
      <c r="A29" s="39"/>
      <c r="B29" s="40"/>
      <c r="C29" s="58" t="s">
        <v>41</v>
      </c>
      <c r="D29" s="59"/>
      <c r="E29" s="60"/>
      <c r="F29" s="60"/>
      <c r="G29" s="21">
        <f t="shared" ref="G29:W29" si="7">SUM(G27:G28)</f>
        <v>2254508.17</v>
      </c>
      <c r="H29" s="21">
        <f t="shared" si="7"/>
        <v>0</v>
      </c>
      <c r="I29" s="21">
        <f t="shared" si="7"/>
        <v>0</v>
      </c>
      <c r="J29" s="21">
        <f t="shared" si="7"/>
        <v>0</v>
      </c>
      <c r="K29" s="21">
        <f t="shared" si="7"/>
        <v>0</v>
      </c>
      <c r="L29" s="21">
        <f t="shared" si="7"/>
        <v>0</v>
      </c>
      <c r="M29" s="21">
        <f t="shared" si="7"/>
        <v>0</v>
      </c>
      <c r="N29" s="21">
        <f t="shared" si="7"/>
        <v>0</v>
      </c>
      <c r="O29" s="21">
        <f t="shared" si="7"/>
        <v>0</v>
      </c>
      <c r="P29" s="21">
        <f t="shared" si="7"/>
        <v>0</v>
      </c>
      <c r="Q29" s="21">
        <f t="shared" si="7"/>
        <v>0</v>
      </c>
      <c r="R29" s="21">
        <f t="shared" si="7"/>
        <v>0</v>
      </c>
      <c r="S29" s="21">
        <f t="shared" si="7"/>
        <v>0</v>
      </c>
      <c r="T29" s="21">
        <f t="shared" si="7"/>
        <v>0</v>
      </c>
      <c r="U29" s="21">
        <f t="shared" si="7"/>
        <v>0</v>
      </c>
      <c r="V29" s="21">
        <f t="shared" si="7"/>
        <v>-2254508</v>
      </c>
      <c r="W29" s="22">
        <f t="shared" si="7"/>
        <v>0.16999999992549419</v>
      </c>
    </row>
    <row r="30" spans="1:23" s="50" customFormat="1" ht="11.25">
      <c r="A30" s="43"/>
      <c r="B30" s="44"/>
      <c r="C30" s="25"/>
      <c r="D30" s="45"/>
      <c r="E30" s="46"/>
      <c r="F30" s="46"/>
      <c r="G30" s="28"/>
      <c r="H30" s="48"/>
      <c r="I30" s="48"/>
      <c r="J30" s="28"/>
      <c r="K30" s="49"/>
      <c r="L30" s="49"/>
      <c r="M30" s="28"/>
      <c r="N30" s="49"/>
      <c r="O30" s="49"/>
      <c r="P30" s="28"/>
      <c r="Q30" s="49"/>
      <c r="R30" s="49"/>
      <c r="S30" s="28"/>
      <c r="T30" s="49"/>
      <c r="U30" s="49"/>
      <c r="V30" s="125"/>
      <c r="W30" s="112"/>
    </row>
    <row r="31" spans="1:23" s="2" customFormat="1">
      <c r="A31" s="32" t="s">
        <v>42</v>
      </c>
      <c r="B31" s="9" t="s">
        <v>43</v>
      </c>
      <c r="C31" s="10" t="s">
        <v>44</v>
      </c>
      <c r="D31" s="593" t="s">
        <v>45</v>
      </c>
      <c r="E31" s="574">
        <v>2784</v>
      </c>
      <c r="F31" s="11"/>
      <c r="G31" s="52">
        <v>2242411.06</v>
      </c>
      <c r="H31" s="51">
        <f>3233</f>
        <v>3233</v>
      </c>
      <c r="I31" s="51">
        <f>138042.36</f>
        <v>138042.35999999999</v>
      </c>
      <c r="J31" s="52">
        <v>-107058</v>
      </c>
      <c r="K31" s="52">
        <f>71087.66</f>
        <v>71087.66</v>
      </c>
      <c r="L31" s="52">
        <f>5540.84</f>
        <v>5540.84</v>
      </c>
      <c r="M31" s="52">
        <f>260141.19</f>
        <v>260141.19</v>
      </c>
      <c r="N31" s="52">
        <f>8426.47</f>
        <v>8426.4699999999993</v>
      </c>
      <c r="O31" s="52">
        <f>23288.75</f>
        <v>23288.75</v>
      </c>
      <c r="P31" s="52">
        <f>77556.54</f>
        <v>77556.539999999994</v>
      </c>
      <c r="Q31" s="52">
        <f>50626.88</f>
        <v>50626.879999999997</v>
      </c>
      <c r="R31" s="52">
        <f>69375.59-36731</f>
        <v>32644.589999999997</v>
      </c>
      <c r="S31" s="52">
        <v>0</v>
      </c>
      <c r="T31" s="52">
        <v>0</v>
      </c>
      <c r="U31" s="52">
        <f t="shared" ref="U31:U32" si="8">T31</f>
        <v>0</v>
      </c>
      <c r="V31" s="52">
        <f>256932</f>
        <v>256932</v>
      </c>
      <c r="W31" s="53">
        <f>SUM(G31:V31)</f>
        <v>3062873.34</v>
      </c>
    </row>
    <row r="32" spans="1:23" s="2" customFormat="1">
      <c r="A32" s="32"/>
      <c r="B32" s="61" t="s">
        <v>43</v>
      </c>
      <c r="C32" s="10" t="s">
        <v>46</v>
      </c>
      <c r="D32" s="593"/>
      <c r="E32" s="574"/>
      <c r="F32" s="11"/>
      <c r="G32" s="52">
        <v>-662553.87</v>
      </c>
      <c r="H32" s="51">
        <v>0</v>
      </c>
      <c r="I32" s="51">
        <f>H32</f>
        <v>0</v>
      </c>
      <c r="J32" s="52">
        <v>0</v>
      </c>
      <c r="K32" s="52">
        <f t="shared" ref="K32:R32" si="9">J32</f>
        <v>0</v>
      </c>
      <c r="L32" s="52">
        <f t="shared" si="9"/>
        <v>0</v>
      </c>
      <c r="M32" s="52">
        <f t="shared" si="9"/>
        <v>0</v>
      </c>
      <c r="N32" s="52">
        <f t="shared" si="9"/>
        <v>0</v>
      </c>
      <c r="O32" s="52">
        <f t="shared" si="9"/>
        <v>0</v>
      </c>
      <c r="P32" s="52">
        <f t="shared" si="9"/>
        <v>0</v>
      </c>
      <c r="Q32" s="52">
        <f t="shared" si="9"/>
        <v>0</v>
      </c>
      <c r="R32" s="52">
        <f t="shared" si="9"/>
        <v>0</v>
      </c>
      <c r="S32" s="52">
        <f>-3948</f>
        <v>-3948</v>
      </c>
      <c r="T32" s="52">
        <v>0</v>
      </c>
      <c r="U32" s="52">
        <f t="shared" si="8"/>
        <v>0</v>
      </c>
      <c r="V32" s="52">
        <f>-5383.87</f>
        <v>-5383.87</v>
      </c>
      <c r="W32" s="53">
        <f>SUM(G32:V32)</f>
        <v>-671885.74</v>
      </c>
    </row>
    <row r="33" spans="1:23" s="2" customFormat="1">
      <c r="A33" s="32"/>
      <c r="B33" s="9" t="s">
        <v>43</v>
      </c>
      <c r="C33" s="10" t="s">
        <v>30</v>
      </c>
      <c r="D33" s="126" t="s">
        <v>15</v>
      </c>
      <c r="E33" s="16">
        <v>43070</v>
      </c>
      <c r="F33" s="16" t="s">
        <v>16</v>
      </c>
      <c r="G33" s="37">
        <v>0</v>
      </c>
      <c r="H33" s="37">
        <v>0</v>
      </c>
      <c r="I33" s="37">
        <v>0</v>
      </c>
      <c r="J33" s="37">
        <v>0</v>
      </c>
      <c r="K33" s="37">
        <v>0</v>
      </c>
      <c r="L33" s="37">
        <v>0</v>
      </c>
      <c r="M33" s="37">
        <v>0</v>
      </c>
      <c r="N33" s="37">
        <v>0</v>
      </c>
      <c r="O33" s="37">
        <v>0</v>
      </c>
      <c r="P33" s="37">
        <v>0</v>
      </c>
      <c r="Q33" s="37">
        <v>0</v>
      </c>
      <c r="R33" s="37">
        <v>0</v>
      </c>
      <c r="S33" s="37">
        <v>0</v>
      </c>
      <c r="T33" s="37">
        <v>0</v>
      </c>
      <c r="U33" s="37">
        <v>0</v>
      </c>
      <c r="V33" s="175">
        <v>-1579857.19</v>
      </c>
      <c r="W33" s="117">
        <f>SUM(G33:V33)</f>
        <v>-1579857.19</v>
      </c>
    </row>
    <row r="34" spans="1:23" s="2" customFormat="1">
      <c r="A34" s="39"/>
      <c r="B34" s="40"/>
      <c r="C34" s="58" t="s">
        <v>47</v>
      </c>
      <c r="D34" s="59"/>
      <c r="E34" s="60"/>
      <c r="F34" s="60"/>
      <c r="G34" s="21">
        <f t="shared" ref="G34:V34" si="10">SUM(G31:G33)</f>
        <v>1579857.19</v>
      </c>
      <c r="H34" s="21">
        <f t="shared" si="10"/>
        <v>3233</v>
      </c>
      <c r="I34" s="21">
        <f t="shared" si="10"/>
        <v>138042.35999999999</v>
      </c>
      <c r="J34" s="21">
        <f t="shared" si="10"/>
        <v>-107058</v>
      </c>
      <c r="K34" s="21">
        <f t="shared" si="10"/>
        <v>71087.66</v>
      </c>
      <c r="L34" s="21">
        <f t="shared" si="10"/>
        <v>5540.84</v>
      </c>
      <c r="M34" s="21">
        <f t="shared" si="10"/>
        <v>260141.19</v>
      </c>
      <c r="N34" s="21">
        <f t="shared" si="10"/>
        <v>8426.4699999999993</v>
      </c>
      <c r="O34" s="21">
        <f t="shared" si="10"/>
        <v>23288.75</v>
      </c>
      <c r="P34" s="21">
        <f t="shared" si="10"/>
        <v>77556.539999999994</v>
      </c>
      <c r="Q34" s="21">
        <f t="shared" si="10"/>
        <v>50626.879999999997</v>
      </c>
      <c r="R34" s="21">
        <f t="shared" si="10"/>
        <v>32644.589999999997</v>
      </c>
      <c r="S34" s="21">
        <f t="shared" si="10"/>
        <v>-3948</v>
      </c>
      <c r="T34" s="21">
        <f t="shared" si="10"/>
        <v>0</v>
      </c>
      <c r="U34" s="21">
        <f t="shared" si="10"/>
        <v>0</v>
      </c>
      <c r="V34" s="21">
        <f t="shared" si="10"/>
        <v>-1328309.06</v>
      </c>
      <c r="W34" s="22">
        <f>SUM(W31:W33)</f>
        <v>811130.40999999968</v>
      </c>
    </row>
    <row r="35" spans="1:23" s="50" customFormat="1" ht="11.25">
      <c r="A35" s="43"/>
      <c r="B35" s="44"/>
      <c r="C35" s="25"/>
      <c r="D35" s="45"/>
      <c r="E35" s="46"/>
      <c r="F35" s="46"/>
      <c r="G35" s="28"/>
      <c r="H35" s="48"/>
      <c r="I35" s="48"/>
      <c r="J35" s="28"/>
      <c r="K35" s="49"/>
      <c r="L35" s="49"/>
      <c r="M35" s="28"/>
      <c r="N35" s="49"/>
      <c r="O35" s="49"/>
      <c r="P35" s="28"/>
      <c r="Q35" s="49"/>
      <c r="R35" s="49"/>
      <c r="S35" s="28"/>
      <c r="T35" s="49"/>
      <c r="U35" s="49"/>
      <c r="V35" s="28"/>
      <c r="W35" s="112"/>
    </row>
    <row r="36" spans="1:23" s="2" customFormat="1">
      <c r="A36" s="32" t="s">
        <v>48</v>
      </c>
      <c r="B36" s="9" t="s">
        <v>49</v>
      </c>
      <c r="C36" s="10" t="s">
        <v>50</v>
      </c>
      <c r="D36" s="64" t="s">
        <v>35</v>
      </c>
      <c r="E36" s="11"/>
      <c r="F36" s="11"/>
      <c r="G36" s="52">
        <v>659654.59</v>
      </c>
      <c r="H36" s="51">
        <v>0</v>
      </c>
      <c r="I36" s="51">
        <v>0</v>
      </c>
      <c r="J36" s="52">
        <v>10000.120000000001</v>
      </c>
      <c r="K36" s="52">
        <v>0</v>
      </c>
      <c r="L36" s="52">
        <f t="shared" ref="L36:V36" si="11">K36</f>
        <v>0</v>
      </c>
      <c r="M36" s="52">
        <f t="shared" si="11"/>
        <v>0</v>
      </c>
      <c r="N36" s="52">
        <f t="shared" si="11"/>
        <v>0</v>
      </c>
      <c r="O36" s="52">
        <f t="shared" si="11"/>
        <v>0</v>
      </c>
      <c r="P36" s="52">
        <f t="shared" si="11"/>
        <v>0</v>
      </c>
      <c r="Q36" s="52">
        <f t="shared" si="11"/>
        <v>0</v>
      </c>
      <c r="R36" s="52">
        <f t="shared" si="11"/>
        <v>0</v>
      </c>
      <c r="S36" s="52">
        <f t="shared" si="11"/>
        <v>0</v>
      </c>
      <c r="T36" s="52">
        <f t="shared" si="11"/>
        <v>0</v>
      </c>
      <c r="U36" s="52">
        <f t="shared" si="11"/>
        <v>0</v>
      </c>
      <c r="V36" s="52">
        <f t="shared" si="11"/>
        <v>0</v>
      </c>
      <c r="W36" s="53">
        <f>SUM(G36:V36)</f>
        <v>669654.71</v>
      </c>
    </row>
    <row r="37" spans="1:23" s="2" customFormat="1">
      <c r="A37" s="32"/>
      <c r="B37" s="9" t="s">
        <v>49</v>
      </c>
      <c r="C37" s="10" t="s">
        <v>30</v>
      </c>
      <c r="D37" s="64" t="s">
        <v>15</v>
      </c>
      <c r="E37" s="16">
        <v>43070</v>
      </c>
      <c r="F37" s="16" t="s">
        <v>16</v>
      </c>
      <c r="G37" s="37">
        <v>0</v>
      </c>
      <c r="H37" s="37">
        <v>0</v>
      </c>
      <c r="I37" s="37">
        <v>0</v>
      </c>
      <c r="J37" s="37">
        <v>0</v>
      </c>
      <c r="K37" s="37">
        <v>0</v>
      </c>
      <c r="L37" s="37">
        <v>0</v>
      </c>
      <c r="M37" s="37">
        <v>0</v>
      </c>
      <c r="N37" s="37">
        <v>0</v>
      </c>
      <c r="O37" s="37">
        <v>0</v>
      </c>
      <c r="P37" s="37">
        <v>0</v>
      </c>
      <c r="Q37" s="37">
        <v>0</v>
      </c>
      <c r="R37" s="37">
        <v>0</v>
      </c>
      <c r="S37" s="37">
        <v>0</v>
      </c>
      <c r="T37" s="37">
        <v>0</v>
      </c>
      <c r="U37" s="37">
        <v>0</v>
      </c>
      <c r="V37" s="175">
        <f>-659655</f>
        <v>-659655</v>
      </c>
      <c r="W37" s="117">
        <f>SUM(G37:V37)</f>
        <v>-659655</v>
      </c>
    </row>
    <row r="38" spans="1:23" s="2" customFormat="1">
      <c r="A38" s="39"/>
      <c r="B38" s="40"/>
      <c r="C38" s="58" t="s">
        <v>51</v>
      </c>
      <c r="D38" s="59"/>
      <c r="E38" s="60"/>
      <c r="F38" s="60"/>
      <c r="G38" s="21">
        <f t="shared" ref="G38:W38" si="12">SUM(G36:G37)</f>
        <v>659654.59</v>
      </c>
      <c r="H38" s="21">
        <f t="shared" si="12"/>
        <v>0</v>
      </c>
      <c r="I38" s="21">
        <f t="shared" si="12"/>
        <v>0</v>
      </c>
      <c r="J38" s="21">
        <f t="shared" si="12"/>
        <v>10000.120000000001</v>
      </c>
      <c r="K38" s="21">
        <f t="shared" si="12"/>
        <v>0</v>
      </c>
      <c r="L38" s="21">
        <f t="shared" si="12"/>
        <v>0</v>
      </c>
      <c r="M38" s="21">
        <f t="shared" si="12"/>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-659655</v>
      </c>
      <c r="W38" s="22">
        <f t="shared" si="12"/>
        <v>9999.7099999999627</v>
      </c>
    </row>
    <row r="39" spans="1:23" s="50" customFormat="1" ht="11.25">
      <c r="A39" s="43"/>
      <c r="B39" s="44"/>
      <c r="C39" s="25"/>
      <c r="D39" s="45"/>
      <c r="E39" s="46"/>
      <c r="F39" s="46"/>
      <c r="G39" s="28"/>
      <c r="H39" s="48"/>
      <c r="I39" s="48"/>
      <c r="J39" s="28"/>
      <c r="K39" s="49"/>
      <c r="L39" s="49"/>
      <c r="M39" s="28"/>
      <c r="N39" s="49"/>
      <c r="O39" s="49"/>
      <c r="P39" s="28"/>
      <c r="Q39" s="49"/>
      <c r="R39" s="49"/>
      <c r="S39" s="28"/>
      <c r="T39" s="49"/>
      <c r="U39" s="49"/>
      <c r="V39" s="28"/>
      <c r="W39" s="30"/>
    </row>
    <row r="40" spans="1:23" s="2" customFormat="1" ht="60">
      <c r="A40" s="32" t="s">
        <v>52</v>
      </c>
      <c r="B40" s="9" t="s">
        <v>53</v>
      </c>
      <c r="C40" s="10" t="s">
        <v>54</v>
      </c>
      <c r="D40" s="65" t="s">
        <v>55</v>
      </c>
      <c r="E40" s="11"/>
      <c r="F40" s="11"/>
      <c r="G40" s="52">
        <v>224879.76</v>
      </c>
      <c r="H40" s="51">
        <v>0</v>
      </c>
      <c r="I40" s="51">
        <f>H40</f>
        <v>0</v>
      </c>
      <c r="J40" s="52">
        <v>0</v>
      </c>
      <c r="K40" s="52">
        <f>J40</f>
        <v>0</v>
      </c>
      <c r="L40" s="52">
        <f t="shared" ref="L40:P40" si="13">K40</f>
        <v>0</v>
      </c>
      <c r="M40" s="52">
        <f t="shared" si="13"/>
        <v>0</v>
      </c>
      <c r="N40" s="52">
        <f t="shared" si="13"/>
        <v>0</v>
      </c>
      <c r="O40" s="52">
        <f t="shared" si="13"/>
        <v>0</v>
      </c>
      <c r="P40" s="52">
        <f t="shared" si="13"/>
        <v>0</v>
      </c>
      <c r="Q40" s="52">
        <f>1543.55</f>
        <v>1543.55</v>
      </c>
      <c r="R40" s="52">
        <v>0</v>
      </c>
      <c r="S40" s="52">
        <v>0</v>
      </c>
      <c r="T40" s="52">
        <v>0</v>
      </c>
      <c r="U40" s="52">
        <f t="shared" ref="U40:V40" si="14">T40</f>
        <v>0</v>
      </c>
      <c r="V40" s="52">
        <f t="shared" si="14"/>
        <v>0</v>
      </c>
      <c r="W40" s="53">
        <f>SUM(G40:V40)</f>
        <v>226423.31</v>
      </c>
    </row>
    <row r="41" spans="1:23" s="2" customFormat="1">
      <c r="A41" s="32"/>
      <c r="B41" s="9" t="s">
        <v>53</v>
      </c>
      <c r="C41" s="10" t="s">
        <v>30</v>
      </c>
      <c r="D41" s="126" t="s">
        <v>15</v>
      </c>
      <c r="E41" s="16">
        <v>43070</v>
      </c>
      <c r="F41" s="16" t="s">
        <v>16</v>
      </c>
      <c r="G41" s="37">
        <v>0</v>
      </c>
      <c r="H41" s="37">
        <v>0</v>
      </c>
      <c r="I41" s="37">
        <v>0</v>
      </c>
      <c r="J41" s="37">
        <v>0</v>
      </c>
      <c r="K41" s="37">
        <v>0</v>
      </c>
      <c r="L41" s="37">
        <v>0</v>
      </c>
      <c r="M41" s="37">
        <v>0</v>
      </c>
      <c r="N41" s="37">
        <v>0</v>
      </c>
      <c r="O41" s="37">
        <v>0</v>
      </c>
      <c r="P41" s="37">
        <v>0</v>
      </c>
      <c r="Q41" s="37">
        <v>0</v>
      </c>
      <c r="R41" s="37">
        <v>0</v>
      </c>
      <c r="S41" s="37">
        <v>0</v>
      </c>
      <c r="T41" s="37">
        <v>0</v>
      </c>
      <c r="U41" s="37">
        <v>0</v>
      </c>
      <c r="V41" s="175">
        <f>-224880</f>
        <v>-224880</v>
      </c>
      <c r="W41" s="117">
        <f>SUM(G41:V41)</f>
        <v>-224880</v>
      </c>
    </row>
    <row r="42" spans="1:23" s="2" customFormat="1">
      <c r="A42" s="39"/>
      <c r="B42" s="40"/>
      <c r="C42" s="58" t="s">
        <v>56</v>
      </c>
      <c r="D42" s="59"/>
      <c r="E42" s="60"/>
      <c r="F42" s="60"/>
      <c r="G42" s="21">
        <f t="shared" ref="G42:W42" si="15">SUM(G40:G41)</f>
        <v>224879.76</v>
      </c>
      <c r="H42" s="21">
        <f t="shared" si="15"/>
        <v>0</v>
      </c>
      <c r="I42" s="21">
        <f t="shared" si="15"/>
        <v>0</v>
      </c>
      <c r="J42" s="21">
        <f t="shared" si="15"/>
        <v>0</v>
      </c>
      <c r="K42" s="21">
        <f t="shared" si="15"/>
        <v>0</v>
      </c>
      <c r="L42" s="21">
        <f t="shared" si="15"/>
        <v>0</v>
      </c>
      <c r="M42" s="21">
        <f t="shared" si="15"/>
        <v>0</v>
      </c>
      <c r="N42" s="21">
        <f t="shared" si="15"/>
        <v>0</v>
      </c>
      <c r="O42" s="21">
        <f t="shared" si="15"/>
        <v>0</v>
      </c>
      <c r="P42" s="21">
        <f t="shared" si="15"/>
        <v>0</v>
      </c>
      <c r="Q42" s="21">
        <f t="shared" si="15"/>
        <v>1543.55</v>
      </c>
      <c r="R42" s="21">
        <f t="shared" si="15"/>
        <v>0</v>
      </c>
      <c r="S42" s="21">
        <f t="shared" si="15"/>
        <v>0</v>
      </c>
      <c r="T42" s="21">
        <f t="shared" si="15"/>
        <v>0</v>
      </c>
      <c r="U42" s="21">
        <f t="shared" si="15"/>
        <v>0</v>
      </c>
      <c r="V42" s="21">
        <f t="shared" si="15"/>
        <v>-224880</v>
      </c>
      <c r="W42" s="22">
        <f t="shared" si="15"/>
        <v>1543.3099999999977</v>
      </c>
    </row>
    <row r="43" spans="1:23" s="50" customFormat="1" ht="11.25">
      <c r="A43" s="43"/>
      <c r="B43" s="44"/>
      <c r="C43" s="25"/>
      <c r="D43" s="45"/>
      <c r="E43" s="46"/>
      <c r="F43" s="46"/>
      <c r="G43" s="28"/>
      <c r="H43" s="48"/>
      <c r="I43" s="48"/>
      <c r="J43" s="28"/>
      <c r="K43" s="49"/>
      <c r="L43" s="49"/>
      <c r="M43" s="28"/>
      <c r="N43" s="49"/>
      <c r="O43" s="49"/>
      <c r="P43" s="28"/>
      <c r="Q43" s="49"/>
      <c r="R43" s="49"/>
      <c r="S43" s="67"/>
      <c r="T43" s="49"/>
      <c r="U43" s="49"/>
      <c r="V43" s="28"/>
      <c r="W43" s="30"/>
    </row>
    <row r="44" spans="1:23" s="2" customFormat="1" ht="60">
      <c r="A44" s="32">
        <v>18601130</v>
      </c>
      <c r="B44" s="9" t="s">
        <v>57</v>
      </c>
      <c r="C44" s="10" t="s">
        <v>58</v>
      </c>
      <c r="D44" s="65" t="s">
        <v>55</v>
      </c>
      <c r="E44" s="11"/>
      <c r="F44" s="11"/>
      <c r="G44" s="12">
        <v>400495.47</v>
      </c>
      <c r="H44" s="51">
        <v>0</v>
      </c>
      <c r="I44" s="51">
        <f>H44</f>
        <v>0</v>
      </c>
      <c r="J44" s="12">
        <v>0</v>
      </c>
      <c r="K44" s="12">
        <f>J44</f>
        <v>0</v>
      </c>
      <c r="L44" s="12">
        <f t="shared" ref="L44:V45" si="16">K44</f>
        <v>0</v>
      </c>
      <c r="M44" s="12">
        <f t="shared" si="16"/>
        <v>0</v>
      </c>
      <c r="N44" s="12">
        <f t="shared" si="16"/>
        <v>0</v>
      </c>
      <c r="O44" s="12">
        <f t="shared" si="16"/>
        <v>0</v>
      </c>
      <c r="P44" s="12">
        <f t="shared" si="16"/>
        <v>0</v>
      </c>
      <c r="Q44" s="12">
        <f t="shared" si="16"/>
        <v>0</v>
      </c>
      <c r="R44" s="12">
        <f t="shared" si="16"/>
        <v>0</v>
      </c>
      <c r="S44" s="12">
        <f t="shared" si="16"/>
        <v>0</v>
      </c>
      <c r="T44" s="12">
        <f t="shared" si="16"/>
        <v>0</v>
      </c>
      <c r="U44" s="12">
        <f t="shared" si="16"/>
        <v>0</v>
      </c>
      <c r="V44" s="12">
        <f t="shared" si="16"/>
        <v>0</v>
      </c>
      <c r="W44" s="53">
        <f>SUM(G44:V44)</f>
        <v>400495.47</v>
      </c>
    </row>
    <row r="45" spans="1:23" s="2" customFormat="1">
      <c r="A45" s="32"/>
      <c r="B45" s="9" t="s">
        <v>57</v>
      </c>
      <c r="C45" s="68" t="s">
        <v>30</v>
      </c>
      <c r="D45" s="98" t="s">
        <v>15</v>
      </c>
      <c r="E45" s="16">
        <v>43070</v>
      </c>
      <c r="F45" s="16" t="s">
        <v>16</v>
      </c>
      <c r="G45" s="17">
        <v>0</v>
      </c>
      <c r="H45" s="17">
        <v>0</v>
      </c>
      <c r="I45" s="17">
        <v>0</v>
      </c>
      <c r="J45" s="17">
        <v>0</v>
      </c>
      <c r="K45" s="17">
        <v>0</v>
      </c>
      <c r="L45" s="17">
        <f t="shared" si="16"/>
        <v>0</v>
      </c>
      <c r="M45" s="17">
        <f t="shared" si="16"/>
        <v>0</v>
      </c>
      <c r="N45" s="17">
        <f t="shared" si="16"/>
        <v>0</v>
      </c>
      <c r="O45" s="17">
        <f t="shared" si="16"/>
        <v>0</v>
      </c>
      <c r="P45" s="17">
        <f t="shared" si="16"/>
        <v>0</v>
      </c>
      <c r="Q45" s="17">
        <f t="shared" si="16"/>
        <v>0</v>
      </c>
      <c r="R45" s="17">
        <f t="shared" si="16"/>
        <v>0</v>
      </c>
      <c r="S45" s="17">
        <f t="shared" si="16"/>
        <v>0</v>
      </c>
      <c r="T45" s="17">
        <f t="shared" si="16"/>
        <v>0</v>
      </c>
      <c r="U45" s="17">
        <f t="shared" si="16"/>
        <v>0</v>
      </c>
      <c r="V45" s="17">
        <v>-400495</v>
      </c>
      <c r="W45" s="117">
        <f>SUM(G45:V45)</f>
        <v>-400495</v>
      </c>
    </row>
    <row r="46" spans="1:23" s="2" customFormat="1">
      <c r="A46" s="32"/>
      <c r="B46" s="9"/>
      <c r="C46" s="69" t="s">
        <v>59</v>
      </c>
      <c r="D46" s="54"/>
      <c r="E46" s="55"/>
      <c r="F46" s="60"/>
      <c r="G46" s="21">
        <f t="shared" ref="G46:W46" si="17">SUM(G44:G45)</f>
        <v>400495.47</v>
      </c>
      <c r="H46" s="21">
        <f t="shared" si="17"/>
        <v>0</v>
      </c>
      <c r="I46" s="21">
        <f t="shared" si="17"/>
        <v>0</v>
      </c>
      <c r="J46" s="21">
        <f t="shared" si="17"/>
        <v>0</v>
      </c>
      <c r="K46" s="21">
        <f t="shared" si="17"/>
        <v>0</v>
      </c>
      <c r="L46" s="21">
        <f t="shared" si="17"/>
        <v>0</v>
      </c>
      <c r="M46" s="21">
        <f t="shared" si="17"/>
        <v>0</v>
      </c>
      <c r="N46" s="21">
        <f t="shared" si="17"/>
        <v>0</v>
      </c>
      <c r="O46" s="21">
        <f t="shared" si="17"/>
        <v>0</v>
      </c>
      <c r="P46" s="21">
        <f t="shared" si="17"/>
        <v>0</v>
      </c>
      <c r="Q46" s="21">
        <f t="shared" si="17"/>
        <v>0</v>
      </c>
      <c r="R46" s="21">
        <f t="shared" si="17"/>
        <v>0</v>
      </c>
      <c r="S46" s="21">
        <f t="shared" si="17"/>
        <v>0</v>
      </c>
      <c r="T46" s="21">
        <f t="shared" si="17"/>
        <v>0</v>
      </c>
      <c r="U46" s="21">
        <f t="shared" si="17"/>
        <v>0</v>
      </c>
      <c r="V46" s="21">
        <f t="shared" si="17"/>
        <v>-400495</v>
      </c>
      <c r="W46" s="22">
        <f t="shared" si="17"/>
        <v>0.46999999997206032</v>
      </c>
    </row>
    <row r="47" spans="1:23" s="50" customFormat="1" ht="11.25">
      <c r="A47" s="43"/>
      <c r="B47" s="44"/>
      <c r="C47" s="25"/>
      <c r="D47" s="45"/>
      <c r="E47" s="70"/>
      <c r="F47" s="70"/>
      <c r="G47" s="28"/>
      <c r="H47" s="71"/>
      <c r="I47" s="71"/>
      <c r="J47" s="28"/>
      <c r="K47" s="49"/>
      <c r="L47" s="49"/>
      <c r="M47" s="28"/>
      <c r="N47" s="49"/>
      <c r="O47" s="49"/>
      <c r="P47" s="28"/>
      <c r="Q47" s="49"/>
      <c r="R47" s="49"/>
      <c r="S47" s="28"/>
      <c r="T47" s="49"/>
      <c r="U47" s="49"/>
      <c r="V47" s="28"/>
      <c r="W47" s="30"/>
    </row>
    <row r="48" spans="1:23" s="2" customFormat="1" ht="41.45" customHeight="1">
      <c r="A48" s="242" t="s">
        <v>60</v>
      </c>
      <c r="B48" s="243" t="s">
        <v>61</v>
      </c>
      <c r="C48" s="233" t="s">
        <v>62</v>
      </c>
      <c r="D48" s="588" t="s">
        <v>55</v>
      </c>
      <c r="E48" s="563"/>
      <c r="F48" s="244"/>
      <c r="G48" s="245">
        <v>231698.24000000005</v>
      </c>
      <c r="H48" s="246">
        <v>0</v>
      </c>
      <c r="I48" s="246">
        <f>H48</f>
        <v>0</v>
      </c>
      <c r="J48" s="245">
        <v>0</v>
      </c>
      <c r="K48" s="245">
        <f>J48</f>
        <v>0</v>
      </c>
      <c r="L48" s="245">
        <f t="shared" ref="L48:V49" si="18">K48</f>
        <v>0</v>
      </c>
      <c r="M48" s="245">
        <f t="shared" si="18"/>
        <v>0</v>
      </c>
      <c r="N48" s="245">
        <f t="shared" si="18"/>
        <v>0</v>
      </c>
      <c r="O48" s="245">
        <f t="shared" si="18"/>
        <v>0</v>
      </c>
      <c r="P48" s="245">
        <f t="shared" si="18"/>
        <v>0</v>
      </c>
      <c r="Q48" s="245">
        <f t="shared" si="18"/>
        <v>0</v>
      </c>
      <c r="R48" s="245">
        <f>44269.09</f>
        <v>44269.09</v>
      </c>
      <c r="S48" s="245">
        <f>20967.05</f>
        <v>20967.05</v>
      </c>
      <c r="T48" s="245">
        <f>2305.82</f>
        <v>2305.8200000000002</v>
      </c>
      <c r="U48" s="245">
        <v>0</v>
      </c>
      <c r="V48" s="245">
        <f>1700000</f>
        <v>1700000</v>
      </c>
      <c r="W48" s="247">
        <f>SUM(G48:V48)</f>
        <v>1999240.2000000002</v>
      </c>
    </row>
    <row r="49" spans="1:24" s="2" customFormat="1" ht="19.149999999999999" customHeight="1">
      <c r="A49" s="242" t="s">
        <v>63</v>
      </c>
      <c r="B49" s="243" t="s">
        <v>64</v>
      </c>
      <c r="C49" s="233" t="s">
        <v>178</v>
      </c>
      <c r="D49" s="589"/>
      <c r="E49" s="564"/>
      <c r="F49" s="248"/>
      <c r="G49" s="245">
        <v>0</v>
      </c>
      <c r="H49" s="245">
        <v>0</v>
      </c>
      <c r="I49" s="245">
        <v>0</v>
      </c>
      <c r="J49" s="245">
        <v>0</v>
      </c>
      <c r="K49" s="245">
        <v>0</v>
      </c>
      <c r="L49" s="245">
        <v>0</v>
      </c>
      <c r="M49" s="245">
        <v>-105008.2</v>
      </c>
      <c r="N49" s="245">
        <v>0</v>
      </c>
      <c r="O49" s="245">
        <f t="shared" si="18"/>
        <v>0</v>
      </c>
      <c r="P49" s="245">
        <f t="shared" si="18"/>
        <v>0</v>
      </c>
      <c r="Q49" s="245">
        <f t="shared" si="18"/>
        <v>0</v>
      </c>
      <c r="R49" s="245">
        <f t="shared" si="18"/>
        <v>0</v>
      </c>
      <c r="S49" s="245">
        <f t="shared" si="18"/>
        <v>0</v>
      </c>
      <c r="T49" s="245">
        <f t="shared" si="18"/>
        <v>0</v>
      </c>
      <c r="U49" s="245">
        <f t="shared" si="18"/>
        <v>0</v>
      </c>
      <c r="V49" s="245">
        <f t="shared" si="18"/>
        <v>0</v>
      </c>
      <c r="W49" s="247">
        <f t="shared" ref="W49:W50" si="19">SUM(G49:V49)</f>
        <v>-105008.2</v>
      </c>
    </row>
    <row r="50" spans="1:24" s="2" customFormat="1">
      <c r="A50" s="242"/>
      <c r="B50" s="243" t="s">
        <v>61</v>
      </c>
      <c r="C50" s="249" t="s">
        <v>30</v>
      </c>
      <c r="D50" s="250" t="s">
        <v>15</v>
      </c>
      <c r="E50" s="251">
        <v>43070</v>
      </c>
      <c r="F50" s="251" t="s">
        <v>16</v>
      </c>
      <c r="G50" s="252">
        <v>0</v>
      </c>
      <c r="H50" s="252">
        <v>0</v>
      </c>
      <c r="I50" s="252">
        <v>0</v>
      </c>
      <c r="J50" s="252">
        <v>0</v>
      </c>
      <c r="K50" s="253">
        <v>0</v>
      </c>
      <c r="L50" s="253">
        <f t="shared" ref="L50:U50" si="20">K50</f>
        <v>0</v>
      </c>
      <c r="M50" s="253">
        <f t="shared" si="20"/>
        <v>0</v>
      </c>
      <c r="N50" s="253">
        <f t="shared" si="20"/>
        <v>0</v>
      </c>
      <c r="O50" s="253">
        <f t="shared" si="20"/>
        <v>0</v>
      </c>
      <c r="P50" s="253">
        <f t="shared" si="20"/>
        <v>0</v>
      </c>
      <c r="Q50" s="253">
        <f t="shared" si="20"/>
        <v>0</v>
      </c>
      <c r="R50" s="253">
        <f t="shared" si="20"/>
        <v>0</v>
      </c>
      <c r="S50" s="253">
        <f t="shared" si="20"/>
        <v>0</v>
      </c>
      <c r="T50" s="253">
        <f t="shared" si="20"/>
        <v>0</v>
      </c>
      <c r="U50" s="253">
        <f t="shared" si="20"/>
        <v>0</v>
      </c>
      <c r="V50" s="253">
        <v>-231698</v>
      </c>
      <c r="W50" s="254">
        <f t="shared" si="19"/>
        <v>-231698</v>
      </c>
    </row>
    <row r="51" spans="1:24" s="2" customFormat="1">
      <c r="A51" s="242"/>
      <c r="B51" s="243"/>
      <c r="C51" s="255" t="s">
        <v>66</v>
      </c>
      <c r="D51" s="256"/>
      <c r="E51" s="257"/>
      <c r="F51" s="257"/>
      <c r="G51" s="258">
        <f t="shared" ref="G51:V51" si="21">SUM(G48:G50)</f>
        <v>231698.24000000005</v>
      </c>
      <c r="H51" s="258">
        <f t="shared" si="21"/>
        <v>0</v>
      </c>
      <c r="I51" s="258">
        <f t="shared" si="21"/>
        <v>0</v>
      </c>
      <c r="J51" s="258">
        <f t="shared" si="21"/>
        <v>0</v>
      </c>
      <c r="K51" s="258">
        <f t="shared" si="21"/>
        <v>0</v>
      </c>
      <c r="L51" s="258">
        <f t="shared" si="21"/>
        <v>0</v>
      </c>
      <c r="M51" s="258">
        <f t="shared" si="21"/>
        <v>-105008.2</v>
      </c>
      <c r="N51" s="258">
        <f t="shared" si="21"/>
        <v>0</v>
      </c>
      <c r="O51" s="258">
        <f t="shared" si="21"/>
        <v>0</v>
      </c>
      <c r="P51" s="258">
        <f t="shared" si="21"/>
        <v>0</v>
      </c>
      <c r="Q51" s="258">
        <f t="shared" si="21"/>
        <v>0</v>
      </c>
      <c r="R51" s="258">
        <f t="shared" si="21"/>
        <v>44269.09</v>
      </c>
      <c r="S51" s="258">
        <f t="shared" si="21"/>
        <v>20967.05</v>
      </c>
      <c r="T51" s="258">
        <f t="shared" si="21"/>
        <v>2305.8200000000002</v>
      </c>
      <c r="U51" s="258">
        <f t="shared" si="21"/>
        <v>0</v>
      </c>
      <c r="V51" s="258">
        <f t="shared" si="21"/>
        <v>1468302</v>
      </c>
      <c r="W51" s="259">
        <f>SUM(W48:W50)</f>
        <v>1662534.0000000002</v>
      </c>
    </row>
    <row r="52" spans="1:24" s="50" customFormat="1" ht="11.25">
      <c r="A52" s="260"/>
      <c r="B52" s="261"/>
      <c r="C52" s="262"/>
      <c r="D52" s="263"/>
      <c r="E52" s="264"/>
      <c r="F52" s="264"/>
      <c r="G52" s="265"/>
      <c r="H52" s="266"/>
      <c r="I52" s="266"/>
      <c r="J52" s="265"/>
      <c r="K52" s="267"/>
      <c r="L52" s="267"/>
      <c r="M52" s="265"/>
      <c r="N52" s="267"/>
      <c r="O52" s="267"/>
      <c r="P52" s="265"/>
      <c r="Q52" s="267"/>
      <c r="R52" s="267"/>
      <c r="S52" s="268"/>
      <c r="T52" s="267"/>
      <c r="U52" s="267"/>
      <c r="V52" s="265"/>
      <c r="W52" s="269"/>
    </row>
    <row r="53" spans="1:24" s="2" customFormat="1">
      <c r="A53" s="242" t="s">
        <v>67</v>
      </c>
      <c r="B53" s="243" t="s">
        <v>68</v>
      </c>
      <c r="C53" s="233" t="s">
        <v>69</v>
      </c>
      <c r="D53" s="270" t="s">
        <v>29</v>
      </c>
      <c r="E53" s="271"/>
      <c r="F53" s="271"/>
      <c r="G53" s="245">
        <v>695.75</v>
      </c>
      <c r="H53" s="272">
        <v>0</v>
      </c>
      <c r="I53" s="272">
        <v>0</v>
      </c>
      <c r="J53" s="245">
        <v>0</v>
      </c>
      <c r="K53" s="245">
        <f>J53</f>
        <v>0</v>
      </c>
      <c r="L53" s="245">
        <f>K53</f>
        <v>0</v>
      </c>
      <c r="M53" s="245">
        <f t="shared" ref="M53:V54" si="22">L53</f>
        <v>0</v>
      </c>
      <c r="N53" s="245">
        <f t="shared" si="22"/>
        <v>0</v>
      </c>
      <c r="O53" s="245">
        <f t="shared" si="22"/>
        <v>0</v>
      </c>
      <c r="P53" s="245">
        <f t="shared" si="22"/>
        <v>0</v>
      </c>
      <c r="Q53" s="245">
        <f t="shared" si="22"/>
        <v>0</v>
      </c>
      <c r="R53" s="245">
        <f t="shared" si="22"/>
        <v>0</v>
      </c>
      <c r="S53" s="245">
        <f t="shared" si="22"/>
        <v>0</v>
      </c>
      <c r="T53" s="245">
        <f t="shared" si="22"/>
        <v>0</v>
      </c>
      <c r="U53" s="245">
        <f t="shared" si="22"/>
        <v>0</v>
      </c>
      <c r="V53" s="245">
        <f t="shared" si="22"/>
        <v>0</v>
      </c>
      <c r="W53" s="247">
        <f>SUM(G53:V53)</f>
        <v>695.75</v>
      </c>
    </row>
    <row r="54" spans="1:24" s="2" customFormat="1">
      <c r="A54" s="242"/>
      <c r="B54" s="243"/>
      <c r="C54" s="249" t="s">
        <v>30</v>
      </c>
      <c r="D54" s="250" t="s">
        <v>15</v>
      </c>
      <c r="E54" s="251">
        <v>43070</v>
      </c>
      <c r="F54" s="251" t="s">
        <v>16</v>
      </c>
      <c r="G54" s="252">
        <v>0</v>
      </c>
      <c r="H54" s="252">
        <v>0</v>
      </c>
      <c r="I54" s="252">
        <v>0</v>
      </c>
      <c r="J54" s="252">
        <v>0</v>
      </c>
      <c r="K54" s="253">
        <v>0</v>
      </c>
      <c r="L54" s="253">
        <f t="shared" ref="L54" si="23">K54</f>
        <v>0</v>
      </c>
      <c r="M54" s="253">
        <f t="shared" si="22"/>
        <v>0</v>
      </c>
      <c r="N54" s="253">
        <f t="shared" si="22"/>
        <v>0</v>
      </c>
      <c r="O54" s="253">
        <f t="shared" si="22"/>
        <v>0</v>
      </c>
      <c r="P54" s="253">
        <f t="shared" si="22"/>
        <v>0</v>
      </c>
      <c r="Q54" s="253">
        <f t="shared" si="22"/>
        <v>0</v>
      </c>
      <c r="R54" s="253">
        <f t="shared" si="22"/>
        <v>0</v>
      </c>
      <c r="S54" s="253">
        <f t="shared" si="22"/>
        <v>0</v>
      </c>
      <c r="T54" s="253">
        <f t="shared" si="22"/>
        <v>0</v>
      </c>
      <c r="U54" s="253">
        <f t="shared" si="22"/>
        <v>0</v>
      </c>
      <c r="V54" s="253">
        <f>-695.75</f>
        <v>-695.75</v>
      </c>
      <c r="W54" s="254">
        <f t="shared" ref="W54" si="24">SUM(G54:V54)</f>
        <v>-695.75</v>
      </c>
    </row>
    <row r="55" spans="1:24" s="2" customFormat="1">
      <c r="A55" s="242"/>
      <c r="B55" s="243"/>
      <c r="C55" s="255" t="s">
        <v>70</v>
      </c>
      <c r="D55" s="256"/>
      <c r="E55" s="257"/>
      <c r="F55" s="257"/>
      <c r="G55" s="258">
        <f t="shared" ref="G55:V55" si="25">SUM(G53:G54)</f>
        <v>695.75</v>
      </c>
      <c r="H55" s="258">
        <f t="shared" si="25"/>
        <v>0</v>
      </c>
      <c r="I55" s="258">
        <f t="shared" si="25"/>
        <v>0</v>
      </c>
      <c r="J55" s="258">
        <f t="shared" si="25"/>
        <v>0</v>
      </c>
      <c r="K55" s="258">
        <f t="shared" si="25"/>
        <v>0</v>
      </c>
      <c r="L55" s="258">
        <f t="shared" si="25"/>
        <v>0</v>
      </c>
      <c r="M55" s="258">
        <f t="shared" si="25"/>
        <v>0</v>
      </c>
      <c r="N55" s="258">
        <f t="shared" si="25"/>
        <v>0</v>
      </c>
      <c r="O55" s="258">
        <f t="shared" si="25"/>
        <v>0</v>
      </c>
      <c r="P55" s="258">
        <f t="shared" si="25"/>
        <v>0</v>
      </c>
      <c r="Q55" s="258">
        <f t="shared" si="25"/>
        <v>0</v>
      </c>
      <c r="R55" s="258">
        <f t="shared" si="25"/>
        <v>0</v>
      </c>
      <c r="S55" s="258">
        <f t="shared" si="25"/>
        <v>0</v>
      </c>
      <c r="T55" s="258">
        <f t="shared" si="25"/>
        <v>0</v>
      </c>
      <c r="U55" s="258">
        <f t="shared" si="25"/>
        <v>0</v>
      </c>
      <c r="V55" s="258">
        <f t="shared" si="25"/>
        <v>-695.75</v>
      </c>
      <c r="W55" s="259">
        <f>SUM(W53:W54)</f>
        <v>0</v>
      </c>
    </row>
    <row r="56" spans="1:24" s="50" customFormat="1" ht="11.25">
      <c r="A56" s="260"/>
      <c r="B56" s="261"/>
      <c r="C56" s="262"/>
      <c r="D56" s="263"/>
      <c r="E56" s="273"/>
      <c r="F56" s="273"/>
      <c r="G56" s="274"/>
      <c r="H56" s="275"/>
      <c r="I56" s="275"/>
      <c r="J56" s="265"/>
      <c r="K56" s="267"/>
      <c r="L56" s="267"/>
      <c r="M56" s="265"/>
      <c r="N56" s="267"/>
      <c r="O56" s="267"/>
      <c r="P56" s="265"/>
      <c r="Q56" s="267"/>
      <c r="R56" s="267"/>
      <c r="S56" s="268"/>
      <c r="T56" s="267"/>
      <c r="U56" s="267"/>
      <c r="V56" s="265"/>
      <c r="W56" s="269"/>
    </row>
    <row r="57" spans="1:24" s="2" customFormat="1" ht="57.6" customHeight="1">
      <c r="A57" s="242">
        <v>18601129</v>
      </c>
      <c r="B57" s="243" t="s">
        <v>71</v>
      </c>
      <c r="C57" s="233" t="s">
        <v>72</v>
      </c>
      <c r="D57" s="276" t="s">
        <v>55</v>
      </c>
      <c r="E57" s="277">
        <v>2011</v>
      </c>
      <c r="F57" s="277"/>
      <c r="G57" s="278">
        <v>212588.68</v>
      </c>
      <c r="H57" s="272">
        <v>0</v>
      </c>
      <c r="I57" s="272">
        <f>H57</f>
        <v>0</v>
      </c>
      <c r="J57" s="278">
        <v>0</v>
      </c>
      <c r="K57" s="278">
        <f>J57</f>
        <v>0</v>
      </c>
      <c r="L57" s="278">
        <f t="shared" ref="L57:V58" si="26">K57</f>
        <v>0</v>
      </c>
      <c r="M57" s="278">
        <f t="shared" si="26"/>
        <v>0</v>
      </c>
      <c r="N57" s="278">
        <f t="shared" si="26"/>
        <v>0</v>
      </c>
      <c r="O57" s="278">
        <f t="shared" si="26"/>
        <v>0</v>
      </c>
      <c r="P57" s="278">
        <f t="shared" si="26"/>
        <v>0</v>
      </c>
      <c r="Q57" s="278">
        <f t="shared" si="26"/>
        <v>0</v>
      </c>
      <c r="R57" s="278">
        <f t="shared" si="26"/>
        <v>0</v>
      </c>
      <c r="S57" s="278">
        <f t="shared" si="26"/>
        <v>0</v>
      </c>
      <c r="T57" s="278">
        <f t="shared" si="26"/>
        <v>0</v>
      </c>
      <c r="U57" s="278">
        <f t="shared" si="26"/>
        <v>0</v>
      </c>
      <c r="V57" s="278">
        <f t="shared" si="26"/>
        <v>0</v>
      </c>
      <c r="W57" s="247">
        <f>SUM(G57:V57)</f>
        <v>212588.68</v>
      </c>
    </row>
    <row r="58" spans="1:24" s="2" customFormat="1">
      <c r="A58" s="242"/>
      <c r="B58" s="243" t="s">
        <v>71</v>
      </c>
      <c r="C58" s="249" t="s">
        <v>30</v>
      </c>
      <c r="D58" s="250" t="s">
        <v>15</v>
      </c>
      <c r="E58" s="251">
        <v>43070</v>
      </c>
      <c r="F58" s="251" t="s">
        <v>16</v>
      </c>
      <c r="G58" s="252">
        <v>0</v>
      </c>
      <c r="H58" s="252">
        <v>0</v>
      </c>
      <c r="I58" s="252">
        <v>0</v>
      </c>
      <c r="J58" s="252">
        <v>0</v>
      </c>
      <c r="K58" s="253">
        <v>0</v>
      </c>
      <c r="L58" s="253">
        <f t="shared" si="26"/>
        <v>0</v>
      </c>
      <c r="M58" s="253">
        <f t="shared" si="26"/>
        <v>0</v>
      </c>
      <c r="N58" s="253">
        <f t="shared" si="26"/>
        <v>0</v>
      </c>
      <c r="O58" s="253">
        <f t="shared" si="26"/>
        <v>0</v>
      </c>
      <c r="P58" s="253">
        <f t="shared" si="26"/>
        <v>0</v>
      </c>
      <c r="Q58" s="253">
        <f t="shared" si="26"/>
        <v>0</v>
      </c>
      <c r="R58" s="253">
        <f t="shared" si="26"/>
        <v>0</v>
      </c>
      <c r="S58" s="253">
        <f t="shared" si="26"/>
        <v>0</v>
      </c>
      <c r="T58" s="253">
        <f t="shared" si="26"/>
        <v>0</v>
      </c>
      <c r="U58" s="253">
        <f t="shared" si="26"/>
        <v>0</v>
      </c>
      <c r="V58" s="253">
        <v>-212589</v>
      </c>
      <c r="W58" s="254">
        <f t="shared" ref="W58" si="27">SUM(G58:V58)</f>
        <v>-212589</v>
      </c>
    </row>
    <row r="59" spans="1:24" s="2" customFormat="1">
      <c r="A59" s="242"/>
      <c r="B59" s="243"/>
      <c r="C59" s="255" t="s">
        <v>73</v>
      </c>
      <c r="D59" s="279"/>
      <c r="E59" s="257"/>
      <c r="F59" s="257"/>
      <c r="G59" s="258">
        <f>SUM(G57:G58)</f>
        <v>212588.68</v>
      </c>
      <c r="H59" s="258">
        <f t="shared" ref="H59:I59" si="28">SUM(H57:H58)</f>
        <v>0</v>
      </c>
      <c r="I59" s="258">
        <f t="shared" si="28"/>
        <v>0</v>
      </c>
      <c r="J59" s="258">
        <f>SUM(J57:J58)</f>
        <v>0</v>
      </c>
      <c r="K59" s="258">
        <f t="shared" ref="K59:V59" si="29">SUM(K57:K58)</f>
        <v>0</v>
      </c>
      <c r="L59" s="258">
        <f t="shared" si="29"/>
        <v>0</v>
      </c>
      <c r="M59" s="258">
        <f t="shared" si="29"/>
        <v>0</v>
      </c>
      <c r="N59" s="258">
        <f t="shared" si="29"/>
        <v>0</v>
      </c>
      <c r="O59" s="258">
        <f t="shared" si="29"/>
        <v>0</v>
      </c>
      <c r="P59" s="258">
        <f t="shared" si="29"/>
        <v>0</v>
      </c>
      <c r="Q59" s="258">
        <f t="shared" si="29"/>
        <v>0</v>
      </c>
      <c r="R59" s="258">
        <f t="shared" si="29"/>
        <v>0</v>
      </c>
      <c r="S59" s="258">
        <f t="shared" si="29"/>
        <v>0</v>
      </c>
      <c r="T59" s="258">
        <f t="shared" si="29"/>
        <v>0</v>
      </c>
      <c r="U59" s="258">
        <f t="shared" si="29"/>
        <v>0</v>
      </c>
      <c r="V59" s="258">
        <f t="shared" si="29"/>
        <v>-212589</v>
      </c>
      <c r="W59" s="259">
        <f>SUM(W57:W58)</f>
        <v>-0.32000000000698492</v>
      </c>
      <c r="X59" s="75"/>
    </row>
    <row r="60" spans="1:24" s="50" customFormat="1" ht="11.25">
      <c r="A60" s="260"/>
      <c r="B60" s="261"/>
      <c r="C60" s="262"/>
      <c r="D60" s="263"/>
      <c r="E60" s="264"/>
      <c r="F60" s="264"/>
      <c r="G60" s="265"/>
      <c r="H60" s="266"/>
      <c r="I60" s="266"/>
      <c r="J60" s="265"/>
      <c r="K60" s="267"/>
      <c r="L60" s="267"/>
      <c r="M60" s="265"/>
      <c r="N60" s="267"/>
      <c r="O60" s="267"/>
      <c r="P60" s="265"/>
      <c r="Q60" s="267"/>
      <c r="R60" s="267"/>
      <c r="S60" s="268"/>
      <c r="T60" s="267"/>
      <c r="U60" s="267"/>
      <c r="V60" s="265"/>
      <c r="W60" s="269"/>
    </row>
    <row r="61" spans="1:24" s="2" customFormat="1" ht="60">
      <c r="A61" s="242">
        <v>18601151</v>
      </c>
      <c r="B61" s="243" t="s">
        <v>74</v>
      </c>
      <c r="C61" s="233" t="s">
        <v>75</v>
      </c>
      <c r="D61" s="276" t="s">
        <v>55</v>
      </c>
      <c r="E61" s="271">
        <v>2011</v>
      </c>
      <c r="F61" s="271"/>
      <c r="G61" s="245">
        <v>111880.23</v>
      </c>
      <c r="H61" s="272">
        <v>0</v>
      </c>
      <c r="I61" s="272">
        <f>H61</f>
        <v>0</v>
      </c>
      <c r="J61" s="245">
        <v>0</v>
      </c>
      <c r="K61" s="245">
        <f>J61</f>
        <v>0</v>
      </c>
      <c r="L61" s="245">
        <f t="shared" ref="L61:V61" si="30">K61</f>
        <v>0</v>
      </c>
      <c r="M61" s="245">
        <f t="shared" si="30"/>
        <v>0</v>
      </c>
      <c r="N61" s="245">
        <f t="shared" si="30"/>
        <v>0</v>
      </c>
      <c r="O61" s="245">
        <f t="shared" si="30"/>
        <v>0</v>
      </c>
      <c r="P61" s="245">
        <f t="shared" si="30"/>
        <v>0</v>
      </c>
      <c r="Q61" s="245">
        <f t="shared" si="30"/>
        <v>0</v>
      </c>
      <c r="R61" s="245">
        <f t="shared" si="30"/>
        <v>0</v>
      </c>
      <c r="S61" s="245">
        <f t="shared" si="30"/>
        <v>0</v>
      </c>
      <c r="T61" s="245">
        <f t="shared" si="30"/>
        <v>0</v>
      </c>
      <c r="U61" s="245">
        <f t="shared" si="30"/>
        <v>0</v>
      </c>
      <c r="V61" s="245">
        <f t="shared" si="30"/>
        <v>0</v>
      </c>
      <c r="W61" s="247">
        <f>SUM(G61:V61)</f>
        <v>111880.23</v>
      </c>
    </row>
    <row r="62" spans="1:24" s="2" customFormat="1">
      <c r="A62" s="280"/>
      <c r="B62" s="243" t="s">
        <v>74</v>
      </c>
      <c r="C62" s="249" t="s">
        <v>30</v>
      </c>
      <c r="D62" s="250" t="s">
        <v>15</v>
      </c>
      <c r="E62" s="251">
        <v>43070</v>
      </c>
      <c r="F62" s="251" t="s">
        <v>16</v>
      </c>
      <c r="G62" s="252">
        <v>0</v>
      </c>
      <c r="H62" s="281">
        <f>G62</f>
        <v>0</v>
      </c>
      <c r="I62" s="281">
        <f>H62</f>
        <v>0</v>
      </c>
      <c r="J62" s="252">
        <v>0</v>
      </c>
      <c r="K62" s="252">
        <v>0</v>
      </c>
      <c r="L62" s="252">
        <v>0</v>
      </c>
      <c r="M62" s="252">
        <v>0</v>
      </c>
      <c r="N62" s="252">
        <v>0</v>
      </c>
      <c r="O62" s="252">
        <v>0</v>
      </c>
      <c r="P62" s="252">
        <v>0</v>
      </c>
      <c r="Q62" s="252">
        <v>0</v>
      </c>
      <c r="R62" s="252">
        <v>0</v>
      </c>
      <c r="S62" s="252">
        <v>0</v>
      </c>
      <c r="T62" s="252">
        <v>0</v>
      </c>
      <c r="U62" s="252">
        <v>0</v>
      </c>
      <c r="V62" s="252">
        <f>-111880</f>
        <v>-111880</v>
      </c>
      <c r="W62" s="254">
        <f t="shared" ref="W62" si="31">SUM(G62:V62)</f>
        <v>-111880</v>
      </c>
    </row>
    <row r="63" spans="1:24" s="2" customFormat="1">
      <c r="A63" s="280"/>
      <c r="B63" s="233"/>
      <c r="C63" s="255" t="s">
        <v>76</v>
      </c>
      <c r="D63" s="279"/>
      <c r="E63" s="257"/>
      <c r="F63" s="257"/>
      <c r="G63" s="258">
        <f>SUM(G61:G62)</f>
        <v>111880.23</v>
      </c>
      <c r="H63" s="258">
        <f t="shared" ref="H63:I63" si="32">SUM(H61:H62)</f>
        <v>0</v>
      </c>
      <c r="I63" s="258">
        <f t="shared" si="32"/>
        <v>0</v>
      </c>
      <c r="J63" s="258">
        <f>SUM(J61:J62)</f>
        <v>0</v>
      </c>
      <c r="K63" s="258">
        <f t="shared" ref="K63:V63" si="33">SUM(K61:K62)</f>
        <v>0</v>
      </c>
      <c r="L63" s="258">
        <f t="shared" si="33"/>
        <v>0</v>
      </c>
      <c r="M63" s="258">
        <f t="shared" si="33"/>
        <v>0</v>
      </c>
      <c r="N63" s="258">
        <f t="shared" si="33"/>
        <v>0</v>
      </c>
      <c r="O63" s="258">
        <f t="shared" si="33"/>
        <v>0</v>
      </c>
      <c r="P63" s="258">
        <f t="shared" si="33"/>
        <v>0</v>
      </c>
      <c r="Q63" s="258">
        <f t="shared" si="33"/>
        <v>0</v>
      </c>
      <c r="R63" s="258">
        <f t="shared" si="33"/>
        <v>0</v>
      </c>
      <c r="S63" s="258">
        <f t="shared" si="33"/>
        <v>0</v>
      </c>
      <c r="T63" s="258">
        <f t="shared" si="33"/>
        <v>0</v>
      </c>
      <c r="U63" s="258">
        <f t="shared" si="33"/>
        <v>0</v>
      </c>
      <c r="V63" s="258">
        <f t="shared" si="33"/>
        <v>-111880</v>
      </c>
      <c r="W63" s="259">
        <f>SUM(W61:W62)</f>
        <v>0.22999999999592546</v>
      </c>
    </row>
    <row r="64" spans="1:24" s="50" customFormat="1" ht="11.25">
      <c r="A64" s="260"/>
      <c r="B64" s="261"/>
      <c r="C64" s="262"/>
      <c r="D64" s="263"/>
      <c r="E64" s="273"/>
      <c r="F64" s="264"/>
      <c r="G64" s="265"/>
      <c r="H64" s="266"/>
      <c r="I64" s="266"/>
      <c r="J64" s="265"/>
      <c r="K64" s="267"/>
      <c r="L64" s="267"/>
      <c r="M64" s="265"/>
      <c r="N64" s="267"/>
      <c r="O64" s="267"/>
      <c r="P64" s="265"/>
      <c r="Q64" s="267"/>
      <c r="R64" s="267"/>
      <c r="S64" s="268"/>
      <c r="T64" s="267"/>
      <c r="U64" s="267"/>
      <c r="V64" s="282"/>
      <c r="W64" s="269"/>
    </row>
    <row r="65" spans="1:24" s="2" customFormat="1" ht="60">
      <c r="A65" s="242">
        <v>18601163</v>
      </c>
      <c r="B65" s="243" t="s">
        <v>77</v>
      </c>
      <c r="C65" s="233" t="s">
        <v>78</v>
      </c>
      <c r="D65" s="283" t="s">
        <v>55</v>
      </c>
      <c r="E65" s="284"/>
      <c r="F65" s="251"/>
      <c r="G65" s="253">
        <v>0</v>
      </c>
      <c r="H65" s="253">
        <v>0</v>
      </c>
      <c r="I65" s="253">
        <v>0</v>
      </c>
      <c r="J65" s="253">
        <v>0</v>
      </c>
      <c r="K65" s="253">
        <v>0</v>
      </c>
      <c r="L65" s="253">
        <v>0</v>
      </c>
      <c r="M65" s="253">
        <v>0</v>
      </c>
      <c r="N65" s="253">
        <v>0</v>
      </c>
      <c r="O65" s="253">
        <v>56229.11</v>
      </c>
      <c r="P65" s="253">
        <f>2000</f>
        <v>2000</v>
      </c>
      <c r="Q65" s="253">
        <f>4422.5</f>
        <v>4422.5</v>
      </c>
      <c r="R65" s="253">
        <v>0</v>
      </c>
      <c r="S65" s="253">
        <f>9796.79</f>
        <v>9796.7900000000009</v>
      </c>
      <c r="T65" s="253">
        <v>0</v>
      </c>
      <c r="U65" s="253">
        <f>8133.9</f>
        <v>8133.9</v>
      </c>
      <c r="V65" s="253">
        <f>14884.3</f>
        <v>14884.3</v>
      </c>
      <c r="W65" s="254">
        <f>SUM(G65:V65)</f>
        <v>95466.599999999991</v>
      </c>
    </row>
    <row r="66" spans="1:24" s="2" customFormat="1">
      <c r="A66" s="280"/>
      <c r="B66" s="233"/>
      <c r="C66" s="255" t="s">
        <v>79</v>
      </c>
      <c r="D66" s="256"/>
      <c r="E66" s="257"/>
      <c r="F66" s="257"/>
      <c r="G66" s="258">
        <f t="shared" ref="G66:V66" si="34">SUM(G65:G65)</f>
        <v>0</v>
      </c>
      <c r="H66" s="258">
        <f t="shared" si="34"/>
        <v>0</v>
      </c>
      <c r="I66" s="258">
        <f t="shared" si="34"/>
        <v>0</v>
      </c>
      <c r="J66" s="258">
        <f t="shared" si="34"/>
        <v>0</v>
      </c>
      <c r="K66" s="258">
        <f t="shared" si="34"/>
        <v>0</v>
      </c>
      <c r="L66" s="258">
        <f t="shared" si="34"/>
        <v>0</v>
      </c>
      <c r="M66" s="258">
        <f t="shared" si="34"/>
        <v>0</v>
      </c>
      <c r="N66" s="258">
        <f t="shared" si="34"/>
        <v>0</v>
      </c>
      <c r="O66" s="258">
        <f t="shared" si="34"/>
        <v>56229.11</v>
      </c>
      <c r="P66" s="258">
        <f t="shared" si="34"/>
        <v>2000</v>
      </c>
      <c r="Q66" s="258">
        <f t="shared" si="34"/>
        <v>4422.5</v>
      </c>
      <c r="R66" s="258">
        <f t="shared" si="34"/>
        <v>0</v>
      </c>
      <c r="S66" s="258">
        <f t="shared" si="34"/>
        <v>9796.7900000000009</v>
      </c>
      <c r="T66" s="258">
        <f t="shared" si="34"/>
        <v>0</v>
      </c>
      <c r="U66" s="258">
        <f t="shared" si="34"/>
        <v>8133.9</v>
      </c>
      <c r="V66" s="258">
        <f t="shared" si="34"/>
        <v>14884.3</v>
      </c>
      <c r="W66" s="259">
        <f>SUM(W65:W65)</f>
        <v>95466.599999999991</v>
      </c>
    </row>
    <row r="67" spans="1:24" s="50" customFormat="1" ht="11.25">
      <c r="A67" s="260"/>
      <c r="B67" s="261"/>
      <c r="C67" s="262"/>
      <c r="D67" s="263"/>
      <c r="E67" s="264"/>
      <c r="F67" s="264"/>
      <c r="G67" s="265"/>
      <c r="H67" s="266"/>
      <c r="I67" s="266"/>
      <c r="J67" s="265"/>
      <c r="K67" s="267"/>
      <c r="L67" s="267"/>
      <c r="M67" s="265"/>
      <c r="N67" s="267"/>
      <c r="O67" s="267"/>
      <c r="P67" s="265"/>
      <c r="Q67" s="267"/>
      <c r="R67" s="267"/>
      <c r="S67" s="268"/>
      <c r="T67" s="267"/>
      <c r="U67" s="267"/>
      <c r="V67" s="265"/>
      <c r="W67" s="269"/>
    </row>
    <row r="68" spans="1:24" s="2" customFormat="1">
      <c r="A68" s="280"/>
      <c r="B68" s="243" t="s">
        <v>84</v>
      </c>
      <c r="C68" s="233" t="s">
        <v>85</v>
      </c>
      <c r="D68" s="285" t="s">
        <v>86</v>
      </c>
      <c r="E68" s="286" t="s">
        <v>87</v>
      </c>
      <c r="F68" s="286"/>
      <c r="G68" s="245">
        <v>-4610484.08</v>
      </c>
      <c r="H68" s="287">
        <v>0</v>
      </c>
      <c r="I68" s="287">
        <f>H68</f>
        <v>0</v>
      </c>
      <c r="J68" s="245">
        <v>0</v>
      </c>
      <c r="K68" s="245">
        <f>J68</f>
        <v>0</v>
      </c>
      <c r="L68" s="245">
        <f t="shared" ref="L68:U69" si="35">K68</f>
        <v>0</v>
      </c>
      <c r="M68" s="245">
        <f t="shared" si="35"/>
        <v>0</v>
      </c>
      <c r="N68" s="245">
        <f t="shared" si="35"/>
        <v>0</v>
      </c>
      <c r="O68" s="245">
        <f t="shared" si="35"/>
        <v>0</v>
      </c>
      <c r="P68" s="245">
        <f t="shared" si="35"/>
        <v>0</v>
      </c>
      <c r="Q68" s="245">
        <f t="shared" si="35"/>
        <v>0</v>
      </c>
      <c r="R68" s="245">
        <f t="shared" si="35"/>
        <v>0</v>
      </c>
      <c r="S68" s="245">
        <f t="shared" si="35"/>
        <v>0</v>
      </c>
      <c r="T68" s="245">
        <f t="shared" si="35"/>
        <v>0</v>
      </c>
      <c r="U68" s="245">
        <f t="shared" si="35"/>
        <v>0</v>
      </c>
      <c r="V68" s="245">
        <f>U68</f>
        <v>0</v>
      </c>
      <c r="W68" s="247">
        <f t="shared" ref="W68:W69" si="36">SUM(G68:V68)</f>
        <v>-4610484.08</v>
      </c>
    </row>
    <row r="69" spans="1:24" s="2" customFormat="1">
      <c r="A69" s="280"/>
      <c r="B69" s="243" t="s">
        <v>84</v>
      </c>
      <c r="C69" s="249" t="s">
        <v>30</v>
      </c>
      <c r="D69" s="250" t="s">
        <v>15</v>
      </c>
      <c r="E69" s="251">
        <v>43070</v>
      </c>
      <c r="F69" s="251" t="s">
        <v>16</v>
      </c>
      <c r="G69" s="253">
        <v>0</v>
      </c>
      <c r="H69" s="253">
        <v>0</v>
      </c>
      <c r="I69" s="253">
        <v>0</v>
      </c>
      <c r="J69" s="253">
        <v>0</v>
      </c>
      <c r="K69" s="253">
        <v>0</v>
      </c>
      <c r="L69" s="253">
        <v>0</v>
      </c>
      <c r="M69" s="253">
        <v>0</v>
      </c>
      <c r="N69" s="253">
        <v>0</v>
      </c>
      <c r="O69" s="253">
        <f>N69</f>
        <v>0</v>
      </c>
      <c r="P69" s="253">
        <f t="shared" si="35"/>
        <v>0</v>
      </c>
      <c r="Q69" s="253">
        <f t="shared" si="35"/>
        <v>0</v>
      </c>
      <c r="R69" s="253">
        <f t="shared" si="35"/>
        <v>0</v>
      </c>
      <c r="S69" s="253">
        <f t="shared" si="35"/>
        <v>0</v>
      </c>
      <c r="T69" s="253">
        <f t="shared" si="35"/>
        <v>0</v>
      </c>
      <c r="U69" s="253">
        <f t="shared" si="35"/>
        <v>0</v>
      </c>
      <c r="V69" s="253">
        <v>1743761.81</v>
      </c>
      <c r="W69" s="254">
        <f t="shared" si="36"/>
        <v>1743761.81</v>
      </c>
    </row>
    <row r="70" spans="1:24" s="2" customFormat="1">
      <c r="A70" s="280"/>
      <c r="B70" s="233"/>
      <c r="C70" s="255" t="s">
        <v>88</v>
      </c>
      <c r="D70" s="285"/>
      <c r="E70" s="230"/>
      <c r="F70" s="288"/>
      <c r="G70" s="258">
        <f>SUM(G68:G69)</f>
        <v>-4610484.08</v>
      </c>
      <c r="H70" s="258">
        <f t="shared" ref="H70:I70" si="37">SUM(H68:H69)</f>
        <v>0</v>
      </c>
      <c r="I70" s="258">
        <f t="shared" si="37"/>
        <v>0</v>
      </c>
      <c r="J70" s="258">
        <f>SUM(J68:J69)</f>
        <v>0</v>
      </c>
      <c r="K70" s="258">
        <f t="shared" ref="K70:U70" si="38">SUM(K68:K69)</f>
        <v>0</v>
      </c>
      <c r="L70" s="258">
        <f t="shared" si="38"/>
        <v>0</v>
      </c>
      <c r="M70" s="258">
        <f t="shared" si="38"/>
        <v>0</v>
      </c>
      <c r="N70" s="258">
        <f t="shared" si="38"/>
        <v>0</v>
      </c>
      <c r="O70" s="258">
        <f t="shared" si="38"/>
        <v>0</v>
      </c>
      <c r="P70" s="258">
        <f t="shared" si="38"/>
        <v>0</v>
      </c>
      <c r="Q70" s="258">
        <f t="shared" si="38"/>
        <v>0</v>
      </c>
      <c r="R70" s="258">
        <f t="shared" si="38"/>
        <v>0</v>
      </c>
      <c r="S70" s="258">
        <f t="shared" si="38"/>
        <v>0</v>
      </c>
      <c r="T70" s="258">
        <f t="shared" si="38"/>
        <v>0</v>
      </c>
      <c r="U70" s="258">
        <f t="shared" si="38"/>
        <v>0</v>
      </c>
      <c r="V70" s="258">
        <f>SUM(V68:V69)</f>
        <v>1743761.81</v>
      </c>
      <c r="W70" s="259">
        <f>SUM(W67:W69)</f>
        <v>-2866722.27</v>
      </c>
    </row>
    <row r="71" spans="1:24" s="50" customFormat="1" ht="11.25">
      <c r="A71" s="260"/>
      <c r="B71" s="261"/>
      <c r="C71" s="262"/>
      <c r="D71" s="263"/>
      <c r="E71" s="264"/>
      <c r="F71" s="264"/>
      <c r="G71" s="265"/>
      <c r="H71" s="266"/>
      <c r="I71" s="266"/>
      <c r="J71" s="265"/>
      <c r="K71" s="267"/>
      <c r="L71" s="267"/>
      <c r="M71" s="265"/>
      <c r="N71" s="267"/>
      <c r="O71" s="267"/>
      <c r="P71" s="265"/>
      <c r="Q71" s="267"/>
      <c r="R71" s="267"/>
      <c r="S71" s="268"/>
      <c r="T71" s="267"/>
      <c r="U71" s="267"/>
      <c r="V71" s="265"/>
      <c r="W71" s="269"/>
    </row>
    <row r="72" spans="1:24">
      <c r="A72" s="289"/>
      <c r="B72" s="290"/>
      <c r="C72" s="290"/>
      <c r="D72" s="291"/>
      <c r="E72" s="292"/>
      <c r="F72" s="292"/>
      <c r="G72" s="293"/>
      <c r="H72" s="294"/>
      <c r="I72" s="294"/>
      <c r="J72" s="294"/>
      <c r="K72" s="294"/>
      <c r="L72" s="294"/>
      <c r="M72" s="294"/>
      <c r="N72" s="294"/>
      <c r="O72" s="294"/>
      <c r="P72" s="294"/>
      <c r="Q72" s="294"/>
      <c r="R72" s="294"/>
      <c r="S72" s="294"/>
      <c r="T72" s="294"/>
      <c r="U72" s="293"/>
      <c r="V72" s="293"/>
      <c r="W72" s="295"/>
    </row>
    <row r="73" spans="1:24" ht="15.75" thickBot="1">
      <c r="A73" s="289"/>
      <c r="B73" s="290"/>
      <c r="C73" s="296" t="s">
        <v>89</v>
      </c>
      <c r="D73" s="297"/>
      <c r="E73" s="298"/>
      <c r="F73" s="298"/>
      <c r="G73" s="299">
        <f>G8+G12+G17+G21+G25+G29+G34+G38+G42+G46+G51+G55+G59+G63+G66+G70</f>
        <v>4252202.8599999994</v>
      </c>
      <c r="H73" s="299">
        <f t="shared" ref="H73:V73" si="39">H8+H12+H17+H21+H25+H29+H34+H38+H42+H46+H51+H55+H59+H63+H66+H70</f>
        <v>-108353.60000000001</v>
      </c>
      <c r="I73" s="299">
        <f t="shared" si="39"/>
        <v>219824.44999999998</v>
      </c>
      <c r="J73" s="299">
        <f t="shared" si="39"/>
        <v>-35090.879999999997</v>
      </c>
      <c r="K73" s="299">
        <f t="shared" si="39"/>
        <v>132392.37</v>
      </c>
      <c r="L73" s="299">
        <f t="shared" si="39"/>
        <v>51272.429999999993</v>
      </c>
      <c r="M73" s="299">
        <f t="shared" si="39"/>
        <v>218035.90999999997</v>
      </c>
      <c r="N73" s="299">
        <f t="shared" si="39"/>
        <v>85403.28</v>
      </c>
      <c r="O73" s="299">
        <f t="shared" si="39"/>
        <v>122030.25</v>
      </c>
      <c r="P73" s="299">
        <f t="shared" si="39"/>
        <v>113517.43</v>
      </c>
      <c r="Q73" s="299">
        <f t="shared" si="39"/>
        <v>57511.93</v>
      </c>
      <c r="R73" s="299">
        <f t="shared" si="39"/>
        <v>89191.159999999989</v>
      </c>
      <c r="S73" s="299">
        <f t="shared" si="39"/>
        <v>16231.119999999999</v>
      </c>
      <c r="T73" s="299">
        <f t="shared" si="39"/>
        <v>28150.49</v>
      </c>
      <c r="U73" s="299">
        <f t="shared" si="39"/>
        <v>13675.9</v>
      </c>
      <c r="V73" s="299">
        <f t="shared" si="39"/>
        <v>-5188503.1100000013</v>
      </c>
      <c r="W73" s="300">
        <f>W8+W12+W17+W21+W25+W29+W34+W38+W42+W46+W51+W55+W59+W63+W66+W70</f>
        <v>67491.990000000224</v>
      </c>
    </row>
    <row r="74" spans="1:24" s="50" customFormat="1" ht="12.75" thickTop="1" thickBot="1">
      <c r="A74" s="88"/>
      <c r="B74" s="89"/>
      <c r="C74" s="90"/>
      <c r="D74" s="91"/>
      <c r="E74" s="91"/>
      <c r="F74" s="91"/>
      <c r="G74" s="92"/>
      <c r="H74" s="91"/>
      <c r="I74" s="91"/>
      <c r="J74" s="92"/>
      <c r="K74" s="93"/>
      <c r="L74" s="93"/>
      <c r="M74" s="92"/>
      <c r="N74" s="93"/>
      <c r="O74" s="93"/>
      <c r="P74" s="92"/>
      <c r="Q74" s="93"/>
      <c r="R74" s="93"/>
      <c r="S74" s="92"/>
      <c r="T74" s="93"/>
      <c r="U74" s="93"/>
      <c r="V74" s="92"/>
      <c r="W74" s="150"/>
    </row>
    <row r="75" spans="1:24">
      <c r="V75" s="31"/>
      <c r="W75" s="535"/>
    </row>
    <row r="76" spans="1:24">
      <c r="W76" s="35"/>
    </row>
    <row r="77" spans="1:24">
      <c r="W77" s="35"/>
    </row>
    <row r="78" spans="1:24">
      <c r="W78" s="35"/>
    </row>
    <row r="79" spans="1:24" s="2" customFormat="1">
      <c r="A79" s="1"/>
      <c r="B79"/>
      <c r="C79"/>
      <c r="D79"/>
      <c r="E79"/>
      <c r="F79"/>
      <c r="G79" s="94"/>
      <c r="U79"/>
      <c r="V79"/>
      <c r="W79" s="35"/>
      <c r="X79"/>
    </row>
    <row r="80" spans="1:24">
      <c r="W80" s="35"/>
    </row>
    <row r="81" spans="23:23">
      <c r="W81" s="35"/>
    </row>
    <row r="82" spans="23:23">
      <c r="W82" s="35"/>
    </row>
    <row r="83" spans="23:23">
      <c r="W83" s="35"/>
    </row>
    <row r="84" spans="23:23">
      <c r="W84" s="35"/>
    </row>
    <row r="85" spans="23:23">
      <c r="W85" s="35"/>
    </row>
    <row r="86" spans="23:23">
      <c r="W86" s="35"/>
    </row>
    <row r="87" spans="23:23">
      <c r="W87" s="35"/>
    </row>
    <row r="88" spans="23:23">
      <c r="W88" s="35"/>
    </row>
    <row r="89" spans="23:23">
      <c r="W89" s="35"/>
    </row>
  </sheetData>
  <mergeCells count="9">
    <mergeCell ref="D48:D49"/>
    <mergeCell ref="E48:E49"/>
    <mergeCell ref="A1:V1"/>
    <mergeCell ref="A2:V2"/>
    <mergeCell ref="A3:V3"/>
    <mergeCell ref="D14:D15"/>
    <mergeCell ref="E14:E15"/>
    <mergeCell ref="D31:D32"/>
    <mergeCell ref="E31:E32"/>
  </mergeCells>
  <printOptions horizontalCentered="1"/>
  <pageMargins left="0.2" right="0.2" top="0.5" bottom="0.5" header="0.3" footer="0.3"/>
  <pageSetup scale="4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pane xSplit="1" ySplit="6" topLeftCell="B16" activePane="bottomRight" state="frozen"/>
      <selection activeCell="D12" sqref="D12"/>
      <selection pane="topRight" activeCell="D12" sqref="D12"/>
      <selection pane="bottomLeft" activeCell="D12" sqref="D12"/>
      <selection pane="bottomRight" activeCell="H29" sqref="H29"/>
    </sheetView>
  </sheetViews>
  <sheetFormatPr defaultRowHeight="15"/>
  <cols>
    <col min="1" max="1" width="19.28515625" customWidth="1"/>
    <col min="2" max="2" width="20.42578125" customWidth="1"/>
    <col min="3" max="3" width="13.5703125" customWidth="1"/>
    <col min="4" max="4" width="42.7109375" customWidth="1"/>
    <col min="5" max="5" width="14.28515625" customWidth="1"/>
    <col min="6" max="6" width="1.28515625" customWidth="1"/>
    <col min="7" max="7" width="11" bestFit="1" customWidth="1"/>
    <col min="8" max="8" width="12.85546875" bestFit="1" customWidth="1"/>
    <col min="9" max="9" width="15.85546875" bestFit="1" customWidth="1"/>
    <col min="10" max="10" width="12.7109375" customWidth="1"/>
    <col min="11" max="11" width="6.7109375" bestFit="1" customWidth="1"/>
    <col min="12" max="12" width="11.7109375" style="177" bestFit="1" customWidth="1"/>
    <col min="13" max="13" width="10.42578125" style="177" bestFit="1" customWidth="1"/>
    <col min="14" max="14" width="11.140625" style="177" bestFit="1" customWidth="1"/>
    <col min="15" max="16" width="12.140625" style="177" bestFit="1" customWidth="1"/>
  </cols>
  <sheetData>
    <row r="1" spans="1:16" ht="15.75">
      <c r="A1" s="585" t="s">
        <v>0</v>
      </c>
      <c r="B1" s="585"/>
      <c r="C1" s="585"/>
      <c r="D1" s="585"/>
      <c r="E1" s="585"/>
      <c r="F1" s="585"/>
      <c r="G1" s="585"/>
      <c r="H1" s="585"/>
      <c r="I1" s="585"/>
      <c r="J1" s="585"/>
    </row>
    <row r="2" spans="1:16" ht="15.75">
      <c r="A2" s="585" t="s">
        <v>179</v>
      </c>
      <c r="B2" s="585"/>
      <c r="C2" s="585"/>
      <c r="D2" s="585"/>
      <c r="E2" s="585"/>
      <c r="F2" s="585"/>
      <c r="G2" s="585"/>
      <c r="H2" s="585"/>
      <c r="I2" s="585"/>
      <c r="J2" s="585"/>
    </row>
    <row r="3" spans="1:16" ht="15.75">
      <c r="A3" s="585" t="s">
        <v>140</v>
      </c>
      <c r="B3" s="585"/>
      <c r="C3" s="585"/>
      <c r="D3" s="585"/>
      <c r="E3" s="585"/>
      <c r="F3" s="585"/>
      <c r="G3" s="585"/>
      <c r="H3" s="585"/>
      <c r="I3" s="585"/>
      <c r="J3" s="585"/>
    </row>
    <row r="4" spans="1:16" ht="16.5" thickBot="1">
      <c r="A4" s="152"/>
      <c r="B4" s="152"/>
      <c r="C4" s="152"/>
      <c r="F4" s="35"/>
      <c r="G4" s="35"/>
      <c r="H4" s="35"/>
      <c r="I4" s="35"/>
      <c r="J4" s="35"/>
    </row>
    <row r="5" spans="1:16" ht="19.5" thickBot="1">
      <c r="A5" s="153"/>
      <c r="B5" s="153"/>
      <c r="C5" s="153"/>
      <c r="E5" s="154"/>
      <c r="F5" s="208"/>
      <c r="G5" s="586" t="s">
        <v>141</v>
      </c>
      <c r="H5" s="586"/>
      <c r="I5" s="586"/>
      <c r="J5" s="587"/>
      <c r="L5"/>
      <c r="M5"/>
      <c r="N5"/>
      <c r="O5"/>
      <c r="P5"/>
    </row>
    <row r="6" spans="1:16" ht="46.15" customHeight="1" thickBot="1">
      <c r="A6" s="155" t="s">
        <v>4</v>
      </c>
      <c r="B6" s="4" t="s">
        <v>142</v>
      </c>
      <c r="C6" s="4" t="s">
        <v>383</v>
      </c>
      <c r="D6" s="549" t="s">
        <v>5</v>
      </c>
      <c r="E6" s="156" t="s">
        <v>143</v>
      </c>
      <c r="F6" s="209"/>
      <c r="G6" s="210" t="s">
        <v>144</v>
      </c>
      <c r="H6" s="210" t="s">
        <v>145</v>
      </c>
      <c r="I6" s="210" t="s">
        <v>146</v>
      </c>
      <c r="J6" s="211" t="s">
        <v>147</v>
      </c>
      <c r="K6" s="178"/>
      <c r="L6"/>
      <c r="M6"/>
      <c r="N6"/>
      <c r="O6"/>
      <c r="P6"/>
    </row>
    <row r="7" spans="1:16" s="2" customFormat="1">
      <c r="A7" s="301" t="s">
        <v>235</v>
      </c>
      <c r="B7" s="302" t="s">
        <v>180</v>
      </c>
      <c r="C7" s="547" t="s">
        <v>382</v>
      </c>
      <c r="D7" s="303" t="s">
        <v>181</v>
      </c>
      <c r="E7" s="304">
        <f>'GAS Activity Q4 2016 -2017'!G6</f>
        <v>785957.33000000007</v>
      </c>
      <c r="F7" s="304"/>
      <c r="G7" s="304">
        <f>'GAS Activity Q4 2016 -2017'!W6-'GAS Activity Q4 2016 -2017'!G6</f>
        <v>30496.800000000047</v>
      </c>
      <c r="H7" s="304">
        <v>0</v>
      </c>
      <c r="I7" s="304">
        <f>'GAS Activity Q4 2016 -2017'!W7</f>
        <v>-785957.33</v>
      </c>
      <c r="J7" s="305">
        <f>SUM(E7:I7)</f>
        <v>30496.800000000163</v>
      </c>
      <c r="K7" s="179"/>
      <c r="L7"/>
      <c r="M7"/>
      <c r="N7"/>
      <c r="O7"/>
      <c r="P7"/>
    </row>
    <row r="8" spans="1:16" s="2" customFormat="1" ht="30">
      <c r="A8" s="306" t="s">
        <v>236</v>
      </c>
      <c r="B8" s="307" t="s">
        <v>180</v>
      </c>
      <c r="C8" s="550" t="s">
        <v>382</v>
      </c>
      <c r="D8" s="308" t="s">
        <v>182</v>
      </c>
      <c r="E8" s="309">
        <f>'GAS Activity Q4 2016 -2017'!G10+'GAS Activity Q4 2016 -2017'!G12</f>
        <v>5369989.620000001</v>
      </c>
      <c r="F8" s="309"/>
      <c r="G8" s="309">
        <f>'GAS Activity Q4 2016 -2017'!W10+'GAS Activity Q4 2016 -2017'!W12-'GAS Activity Q4 2016 -2017'!G10-'GAS Activity Q4 2016 -2017'!G12</f>
        <v>7779.1499999994412</v>
      </c>
      <c r="H8" s="309">
        <f>'GAS Activity Q4 2016 -2017'!W11</f>
        <v>-3488999.0999999996</v>
      </c>
      <c r="I8" s="309">
        <f>'GAS Activity Q4 2016 -2017'!W13+'GAS Activity Q4 2016 -2017'!W14+'GAS Activity Q4 2016 -2017'!W15</f>
        <v>-1880990.52</v>
      </c>
      <c r="J8" s="310">
        <f>SUM(E8:I8)</f>
        <v>7779.1500000008382</v>
      </c>
      <c r="K8" s="179"/>
      <c r="L8"/>
      <c r="M8"/>
      <c r="N8"/>
      <c r="O8"/>
      <c r="P8"/>
    </row>
    <row r="9" spans="1:16" s="2" customFormat="1" ht="30">
      <c r="A9" s="306" t="s">
        <v>237</v>
      </c>
      <c r="B9" s="307" t="s">
        <v>183</v>
      </c>
      <c r="C9" s="550" t="s">
        <v>382</v>
      </c>
      <c r="D9" s="311" t="s">
        <v>184</v>
      </c>
      <c r="E9" s="309">
        <f>'GAS Activity Q4 2016 -2017'!G18</f>
        <v>1470852.25</v>
      </c>
      <c r="F9" s="309"/>
      <c r="G9" s="309">
        <f>'GAS Activity Q4 2016 -2017'!W18-'GAS Activity Q4 2016 -2017'!G18</f>
        <v>14784.310000000056</v>
      </c>
      <c r="H9" s="309">
        <f>'GAS Activity Q4 2016 -2017'!W19</f>
        <v>-801550.75</v>
      </c>
      <c r="I9" s="309">
        <f>'GAS Activity Q4 2016 -2017'!W20+'GAS Activity Q4 2016 -2017'!W21</f>
        <v>-669301.5</v>
      </c>
      <c r="J9" s="310">
        <f>'GAS Actual Q4 2016 -2017'!V22</f>
        <v>14784.310000000056</v>
      </c>
      <c r="K9" s="179"/>
      <c r="L9"/>
      <c r="M9"/>
      <c r="N9"/>
      <c r="O9"/>
      <c r="P9"/>
    </row>
    <row r="10" spans="1:16" s="2" customFormat="1">
      <c r="A10" s="312" t="s">
        <v>238</v>
      </c>
      <c r="B10" s="307" t="s">
        <v>180</v>
      </c>
      <c r="C10" s="550" t="s">
        <v>382</v>
      </c>
      <c r="D10" s="311" t="s">
        <v>185</v>
      </c>
      <c r="E10" s="309">
        <f>'GAS Activity Q4 2016 -2017'!G24</f>
        <v>3961262</v>
      </c>
      <c r="F10" s="309"/>
      <c r="G10" s="309">
        <f>'GAS Activity Q4 2016 -2017'!W24-'GAS Activity Q4 2016 -2017'!G24</f>
        <v>9706.3899999996647</v>
      </c>
      <c r="H10" s="309">
        <v>0</v>
      </c>
      <c r="I10" s="309">
        <f>'GAS Activity Q4 2016 -2017'!W25</f>
        <v>-3961262</v>
      </c>
      <c r="J10" s="310">
        <f t="shared" ref="J10:J23" si="0">SUM(E10:I10)</f>
        <v>9706.3899999996647</v>
      </c>
      <c r="K10" s="179"/>
      <c r="L10"/>
      <c r="M10"/>
      <c r="N10"/>
      <c r="O10"/>
      <c r="P10"/>
    </row>
    <row r="11" spans="1:16" s="2" customFormat="1" ht="45">
      <c r="A11" s="306" t="s">
        <v>239</v>
      </c>
      <c r="B11" s="307" t="s">
        <v>180</v>
      </c>
      <c r="C11" s="550" t="s">
        <v>382</v>
      </c>
      <c r="D11" s="311" t="s">
        <v>186</v>
      </c>
      <c r="E11" s="309">
        <f>'GAS Activity Q4 2016 -2017'!G28+'GAS Activity Q4 2016 -2017'!G29+'GAS Activity Q4 2016 -2017'!G30</f>
        <v>21928910.07</v>
      </c>
      <c r="F11" s="309"/>
      <c r="G11" s="309">
        <f>SUM('GAS Activity Q4 2016 -2017'!W28:W30)-SUM('GAS Activity Q4 2016 -2017'!G28:G30)</f>
        <v>2666214.1800000034</v>
      </c>
      <c r="H11" s="309">
        <f>'GAS Activity Q4 2016 -2017'!W31</f>
        <v>-499235.72</v>
      </c>
      <c r="I11" s="309">
        <f>SUM('GAS Activity Q4 2016 -2017'!W32:W34)</f>
        <v>-21928910.07</v>
      </c>
      <c r="J11" s="310">
        <f t="shared" si="0"/>
        <v>2166978.4600000046</v>
      </c>
      <c r="K11" s="179"/>
      <c r="L11"/>
      <c r="M11"/>
      <c r="N11"/>
      <c r="O11"/>
      <c r="P11"/>
    </row>
    <row r="12" spans="1:16" s="2" customFormat="1">
      <c r="A12" s="229" t="s">
        <v>240</v>
      </c>
      <c r="B12" s="307" t="s">
        <v>180</v>
      </c>
      <c r="C12" s="550" t="s">
        <v>382</v>
      </c>
      <c r="D12" s="311" t="s">
        <v>187</v>
      </c>
      <c r="E12" s="309">
        <f>'GAS Activity Q4 2016 -2017'!G37</f>
        <v>227819.36</v>
      </c>
      <c r="F12" s="309"/>
      <c r="G12" s="309">
        <f>'GAS Activity Q4 2016 -2017'!W37-'GAS Activity Q4 2016 -2017'!G37</f>
        <v>66428.640000000014</v>
      </c>
      <c r="H12" s="309">
        <v>0</v>
      </c>
      <c r="I12" s="309">
        <f>'GAS Activity Q4 2016 -2017'!W38</f>
        <v>-227819.36</v>
      </c>
      <c r="J12" s="310">
        <f t="shared" si="0"/>
        <v>66428.640000000014</v>
      </c>
      <c r="K12" s="179"/>
      <c r="L12"/>
      <c r="M12"/>
      <c r="N12"/>
      <c r="O12"/>
      <c r="P12"/>
    </row>
    <row r="13" spans="1:16" s="2" customFormat="1">
      <c r="A13" s="229" t="s">
        <v>241</v>
      </c>
      <c r="B13" s="307" t="s">
        <v>183</v>
      </c>
      <c r="C13" s="550" t="s">
        <v>382</v>
      </c>
      <c r="D13" s="311" t="s">
        <v>188</v>
      </c>
      <c r="E13" s="309">
        <f>'GAS Activity Q4 2016 -2017'!G41+'GAS Activity Q4 2016 -2017'!G42</f>
        <v>39029531.229999997</v>
      </c>
      <c r="F13" s="309"/>
      <c r="G13" s="309">
        <f>SUM('GAS Activity Q4 2016 -2017'!W41:W42)-SUM('GAS Activity Q4 2016 -2017'!G41:G42)</f>
        <v>467714.99000000209</v>
      </c>
      <c r="H13" s="309">
        <v>0</v>
      </c>
      <c r="I13" s="309">
        <f>'GAS Activity Q4 2016 -2017'!V43</f>
        <v>-39029531.229999997</v>
      </c>
      <c r="J13" s="310">
        <f t="shared" si="0"/>
        <v>467714.99000000209</v>
      </c>
      <c r="K13" s="179"/>
      <c r="L13"/>
      <c r="M13"/>
      <c r="N13"/>
      <c r="O13"/>
      <c r="P13"/>
    </row>
    <row r="14" spans="1:16" s="2" customFormat="1">
      <c r="A14" s="229" t="s">
        <v>242</v>
      </c>
      <c r="B14" s="307" t="s">
        <v>180</v>
      </c>
      <c r="C14" s="550" t="s">
        <v>382</v>
      </c>
      <c r="D14" s="311" t="s">
        <v>189</v>
      </c>
      <c r="E14" s="309">
        <f>'GAS Activity Q4 2016 -2017'!G46</f>
        <v>436858.74</v>
      </c>
      <c r="F14" s="309"/>
      <c r="G14" s="309">
        <f>'GAS Activity Q4 2016 -2017'!W46-'GAS Activity Q4 2016 -2017'!G46</f>
        <v>644675.18000000017</v>
      </c>
      <c r="H14" s="309">
        <v>0</v>
      </c>
      <c r="I14" s="309">
        <f>'GAS Activity Q4 2016 -2017'!W47</f>
        <v>-436858.74</v>
      </c>
      <c r="J14" s="310">
        <f t="shared" si="0"/>
        <v>644675.18000000017</v>
      </c>
      <c r="K14" s="179"/>
      <c r="L14"/>
      <c r="M14"/>
      <c r="N14"/>
      <c r="O14"/>
      <c r="P14"/>
    </row>
    <row r="15" spans="1:16" s="2" customFormat="1" ht="30">
      <c r="A15" s="306" t="s">
        <v>243</v>
      </c>
      <c r="B15" s="307" t="s">
        <v>180</v>
      </c>
      <c r="C15" s="550" t="s">
        <v>382</v>
      </c>
      <c r="D15" s="311" t="s">
        <v>190</v>
      </c>
      <c r="E15" s="309">
        <f>'GAS Activity Q4 2016 -2017'!G50</f>
        <v>1263973.54</v>
      </c>
      <c r="F15" s="309"/>
      <c r="G15" s="309">
        <f>'GAS Activity Q4 2016 -2017'!W50-'GAS Activity Q4 2016 -2017'!G50</f>
        <v>10171.169999999925</v>
      </c>
      <c r="H15" s="309">
        <f>'GAS Activity Q4 2016 -2017'!W51</f>
        <v>-160310.15</v>
      </c>
      <c r="I15" s="309">
        <f>'GAS Activity Q4 2016 -2017'!W52+'GAS Activity Q4 2016 -2017'!W53</f>
        <v>-1103663.3900000001</v>
      </c>
      <c r="J15" s="310">
        <f t="shared" si="0"/>
        <v>10171.169999999925</v>
      </c>
      <c r="K15" s="179"/>
      <c r="L15"/>
      <c r="M15"/>
      <c r="N15"/>
      <c r="O15"/>
      <c r="P15"/>
    </row>
    <row r="16" spans="1:16" s="2" customFormat="1">
      <c r="A16" s="229" t="s">
        <v>244</v>
      </c>
      <c r="B16" s="307" t="s">
        <v>180</v>
      </c>
      <c r="C16" s="550" t="s">
        <v>382</v>
      </c>
      <c r="D16" s="311" t="s">
        <v>191</v>
      </c>
      <c r="E16" s="309">
        <f>'GAS Activity Q4 2016 -2017'!G56</f>
        <v>2050122.67</v>
      </c>
      <c r="F16" s="309"/>
      <c r="G16" s="309">
        <f>'GAS Activity Q4 2016 -2017'!W56-'GAS Activity Q4 2016 -2017'!G56</f>
        <v>0</v>
      </c>
      <c r="H16" s="309">
        <f>'GAS Activity Q4 2016 -2017'!W57</f>
        <v>-1114592.67</v>
      </c>
      <c r="I16" s="309">
        <f>'GAS Activity Q4 2016 -2017'!W58</f>
        <v>-935530</v>
      </c>
      <c r="J16" s="310">
        <f t="shared" si="0"/>
        <v>0</v>
      </c>
      <c r="K16" s="179"/>
      <c r="L16"/>
      <c r="M16"/>
      <c r="N16"/>
      <c r="O16"/>
      <c r="P16"/>
    </row>
    <row r="17" spans="1:16" s="2" customFormat="1" ht="16.149999999999999" customHeight="1">
      <c r="A17" s="229" t="s">
        <v>245</v>
      </c>
      <c r="B17" s="307" t="s">
        <v>180</v>
      </c>
      <c r="C17" s="550" t="s">
        <v>382</v>
      </c>
      <c r="D17" s="308" t="s">
        <v>192</v>
      </c>
      <c r="E17" s="309">
        <f>'GAS Activity Q4 2016 -2017'!G61</f>
        <v>518202.47000000003</v>
      </c>
      <c r="F17" s="309"/>
      <c r="G17" s="309">
        <f>'GAS Activity Q4 2016 -2017'!W61-'GAS Activity Q4 2016 -2017'!G61</f>
        <v>252675.93999999977</v>
      </c>
      <c r="H17" s="309">
        <v>0</v>
      </c>
      <c r="I17" s="309">
        <f>'GAS Activity Q4 2016 -2017'!W62</f>
        <v>-518202.47</v>
      </c>
      <c r="J17" s="310">
        <f t="shared" si="0"/>
        <v>252675.93999999983</v>
      </c>
      <c r="K17" s="179"/>
      <c r="L17"/>
      <c r="M17"/>
      <c r="N17"/>
      <c r="O17"/>
      <c r="P17"/>
    </row>
    <row r="18" spans="1:16" s="2" customFormat="1">
      <c r="A18" s="229" t="s">
        <v>246</v>
      </c>
      <c r="B18" s="307" t="s">
        <v>180</v>
      </c>
      <c r="C18" s="550" t="s">
        <v>382</v>
      </c>
      <c r="D18" s="311" t="s">
        <v>193</v>
      </c>
      <c r="E18" s="309">
        <f>'GAS Activity Q4 2016 -2017'!G65</f>
        <v>289121.19</v>
      </c>
      <c r="F18" s="309"/>
      <c r="G18" s="309">
        <f>'GAS Activity Q4 2016 -2017'!W65-'GAS Activity Q4 2016 -2017'!G65</f>
        <v>5107.6499999999651</v>
      </c>
      <c r="H18" s="309">
        <v>0</v>
      </c>
      <c r="I18" s="309">
        <f>'GAS Activity Q4 2016 -2017'!W66</f>
        <v>-289121.19</v>
      </c>
      <c r="J18" s="310">
        <f t="shared" si="0"/>
        <v>5107.6499999999651</v>
      </c>
      <c r="K18" s="179"/>
      <c r="L18"/>
      <c r="M18"/>
      <c r="N18"/>
      <c r="O18"/>
      <c r="P18"/>
    </row>
    <row r="19" spans="1:16" s="2" customFormat="1">
      <c r="A19" s="229">
        <v>18237122</v>
      </c>
      <c r="B19" s="307" t="s">
        <v>180</v>
      </c>
      <c r="C19" s="550" t="s">
        <v>382</v>
      </c>
      <c r="D19" s="311" t="s">
        <v>194</v>
      </c>
      <c r="E19" s="309">
        <f>'GAS Activity Q4 2016 -2017'!G69</f>
        <v>169602.13</v>
      </c>
      <c r="F19" s="309"/>
      <c r="G19" s="309">
        <f>'GAS Activity Q4 2016 -2017'!W69-'GAS Activity Q4 2016 -2017'!G69</f>
        <v>0</v>
      </c>
      <c r="H19" s="309">
        <v>0</v>
      </c>
      <c r="I19" s="309">
        <f>'GAS Activity Q4 2016 -2017'!W70</f>
        <v>-169602.13</v>
      </c>
      <c r="J19" s="310">
        <f t="shared" si="0"/>
        <v>0</v>
      </c>
      <c r="K19" s="179"/>
      <c r="L19"/>
      <c r="M19"/>
      <c r="N19"/>
      <c r="O19"/>
      <c r="P19"/>
    </row>
    <row r="20" spans="1:16" s="2" customFormat="1">
      <c r="A20" s="229">
        <v>18237132</v>
      </c>
      <c r="B20" s="307" t="s">
        <v>180</v>
      </c>
      <c r="C20" s="550" t="s">
        <v>382</v>
      </c>
      <c r="D20" s="311" t="s">
        <v>195</v>
      </c>
      <c r="E20" s="309">
        <f>'GAS Activity Q4 2016 -2017'!G73</f>
        <v>133750.43</v>
      </c>
      <c r="F20" s="309"/>
      <c r="G20" s="309">
        <f>'GAS Activity Q4 2016 -2017'!W73-'GAS Activity Q4 2016 -2017'!G73</f>
        <v>0</v>
      </c>
      <c r="H20" s="309">
        <v>0</v>
      </c>
      <c r="I20" s="309">
        <f>'GAS Activity Q4 2016 -2017'!W74</f>
        <v>-133750.43</v>
      </c>
      <c r="J20" s="310">
        <f t="shared" si="0"/>
        <v>0</v>
      </c>
      <c r="K20" s="179"/>
      <c r="L20"/>
      <c r="M20"/>
      <c r="N20"/>
      <c r="O20"/>
      <c r="P20"/>
    </row>
    <row r="21" spans="1:16" s="2" customFormat="1">
      <c r="A21" s="229">
        <v>18237142</v>
      </c>
      <c r="B21" s="307" t="s">
        <v>180</v>
      </c>
      <c r="C21" s="550" t="s">
        <v>382</v>
      </c>
      <c r="D21" s="311" t="s">
        <v>196</v>
      </c>
      <c r="E21" s="309">
        <f>'GAS Activity Q4 2016 -2017'!G77</f>
        <v>53995.63</v>
      </c>
      <c r="F21" s="309"/>
      <c r="G21" s="309">
        <f>'GAS Activity Q4 2016 -2017'!W77-'GAS Activity Q4 2016 -2017'!G77</f>
        <v>0</v>
      </c>
      <c r="H21" s="309">
        <v>0</v>
      </c>
      <c r="I21" s="309">
        <f>'GAS Activity Q4 2016 -2017'!W78</f>
        <v>-53995.63</v>
      </c>
      <c r="J21" s="310">
        <f t="shared" si="0"/>
        <v>0</v>
      </c>
      <c r="K21" s="179"/>
      <c r="L21"/>
      <c r="M21"/>
      <c r="N21"/>
      <c r="O21"/>
      <c r="P21"/>
    </row>
    <row r="22" spans="1:16" s="2" customFormat="1">
      <c r="A22" s="229">
        <v>18237152</v>
      </c>
      <c r="B22" s="307" t="s">
        <v>180</v>
      </c>
      <c r="C22" s="550" t="s">
        <v>382</v>
      </c>
      <c r="D22" s="311" t="s">
        <v>197</v>
      </c>
      <c r="E22" s="309">
        <f>'GAS Activity Q4 2016 -2017'!G81</f>
        <v>67987.45</v>
      </c>
      <c r="F22" s="309"/>
      <c r="G22" s="309">
        <f>'GAS Activity Q4 2016 -2017'!W81-'GAS Activity Q4 2016 -2017'!G81</f>
        <v>0</v>
      </c>
      <c r="H22" s="309">
        <v>0</v>
      </c>
      <c r="I22" s="309">
        <f>'GAS Activity Q4 2016 -2017'!W82</f>
        <v>-67987.45</v>
      </c>
      <c r="J22" s="310">
        <f t="shared" si="0"/>
        <v>0</v>
      </c>
      <c r="K22" s="179"/>
      <c r="L22"/>
      <c r="M22"/>
      <c r="N22"/>
      <c r="O22"/>
      <c r="P22"/>
    </row>
    <row r="23" spans="1:16" s="2" customFormat="1">
      <c r="A23" s="229">
        <v>18608062</v>
      </c>
      <c r="B23" s="313" t="s">
        <v>86</v>
      </c>
      <c r="C23" s="550" t="s">
        <v>382</v>
      </c>
      <c r="D23" s="308" t="s">
        <v>137</v>
      </c>
      <c r="E23" s="309">
        <f>'GAS Activity Q4 2016 -2017'!G85</f>
        <v>-50267724.640000001</v>
      </c>
      <c r="F23" s="311"/>
      <c r="G23" s="309">
        <f>'GAS Activity Q4 2016 -2017'!V86</f>
        <v>-210163</v>
      </c>
      <c r="H23" s="309">
        <v>0</v>
      </c>
      <c r="I23" s="309">
        <f>'GAS Activity Q4 2016 -2017'!W87</f>
        <v>29176115.83117523</v>
      </c>
      <c r="J23" s="310">
        <f t="shared" si="0"/>
        <v>-21301771.80882477</v>
      </c>
      <c r="K23" s="179"/>
      <c r="L23"/>
      <c r="M23"/>
      <c r="N23"/>
      <c r="O23"/>
      <c r="P23"/>
    </row>
    <row r="24" spans="1:16" s="2" customFormat="1" ht="4.9000000000000004" customHeight="1">
      <c r="A24" s="157"/>
      <c r="B24" s="180"/>
      <c r="C24" s="180"/>
      <c r="D24" s="118"/>
      <c r="E24" s="143"/>
      <c r="F24" s="143"/>
      <c r="G24" s="143"/>
      <c r="H24" s="143"/>
      <c r="I24" s="143"/>
      <c r="J24" s="181"/>
      <c r="K24" s="182"/>
      <c r="L24"/>
      <c r="M24"/>
      <c r="N24"/>
      <c r="O24"/>
      <c r="P24"/>
    </row>
    <row r="25" spans="1:16" s="2" customFormat="1" ht="15.75" thickBot="1">
      <c r="A25" s="157"/>
      <c r="B25" s="180"/>
      <c r="C25" s="180"/>
      <c r="D25" s="183" t="s">
        <v>174</v>
      </c>
      <c r="E25" s="162">
        <f>SUM(E7:E24)</f>
        <v>27490211.469999999</v>
      </c>
      <c r="F25" s="163"/>
      <c r="G25" s="162">
        <f>SUM(G7:G24)</f>
        <v>3965591.400000005</v>
      </c>
      <c r="H25" s="162">
        <f>SUM(H7:H24)</f>
        <v>-6064688.3899999997</v>
      </c>
      <c r="I25" s="162">
        <f>SUM(I7:I24)</f>
        <v>-43016367.608824752</v>
      </c>
      <c r="J25" s="184">
        <f>SUM(J7:J24)</f>
        <v>-17625253.128824763</v>
      </c>
      <c r="K25" s="185"/>
      <c r="L25"/>
      <c r="M25"/>
      <c r="N25"/>
      <c r="O25"/>
      <c r="P25"/>
    </row>
    <row r="26" spans="1:16" s="2" customFormat="1" ht="16.5" thickTop="1" thickBot="1">
      <c r="A26" s="186"/>
      <c r="B26" s="187"/>
      <c r="C26" s="187"/>
      <c r="D26" s="188"/>
      <c r="E26" s="189"/>
      <c r="F26" s="190"/>
      <c r="G26" s="189"/>
      <c r="H26" s="189"/>
      <c r="I26" s="170"/>
      <c r="J26" s="191"/>
      <c r="L26"/>
      <c r="M26"/>
      <c r="N26"/>
      <c r="O26"/>
      <c r="P26"/>
    </row>
    <row r="27" spans="1:16" s="2" customFormat="1">
      <c r="L27"/>
      <c r="M27"/>
      <c r="N27"/>
      <c r="O27"/>
      <c r="P27"/>
    </row>
    <row r="28" spans="1:16" s="2" customFormat="1" ht="16.149999999999999" customHeight="1">
      <c r="A28" s="172" t="s">
        <v>257</v>
      </c>
      <c r="L28"/>
      <c r="M28"/>
      <c r="N28"/>
      <c r="O28"/>
      <c r="P28"/>
    </row>
    <row r="29" spans="1:16">
      <c r="A29" s="172" t="s">
        <v>258</v>
      </c>
      <c r="B29" s="172"/>
      <c r="C29" s="172"/>
      <c r="L29"/>
      <c r="M29"/>
      <c r="N29"/>
      <c r="O29"/>
      <c r="P29"/>
    </row>
    <row r="30" spans="1:16">
      <c r="A30" s="172" t="s">
        <v>259</v>
      </c>
      <c r="L30"/>
      <c r="M30"/>
      <c r="N30"/>
      <c r="O30"/>
      <c r="P30"/>
    </row>
    <row r="31" spans="1:16">
      <c r="A31" s="337" t="s">
        <v>260</v>
      </c>
      <c r="L31"/>
      <c r="M31"/>
      <c r="N31"/>
      <c r="O31"/>
      <c r="P31"/>
    </row>
    <row r="32" spans="1:16" ht="5.45" customHeight="1">
      <c r="A32" s="172"/>
    </row>
    <row r="33" spans="1:1" ht="16.5">
      <c r="A33" s="172" t="s">
        <v>387</v>
      </c>
    </row>
    <row r="34" spans="1:1" ht="16.5">
      <c r="A34" s="172" t="s">
        <v>391</v>
      </c>
    </row>
    <row r="35" spans="1:1" ht="16.5">
      <c r="A35" s="172" t="s">
        <v>390</v>
      </c>
    </row>
  </sheetData>
  <mergeCells count="4">
    <mergeCell ref="A1:J1"/>
    <mergeCell ref="A2:J2"/>
    <mergeCell ref="A3:J3"/>
    <mergeCell ref="G5:J5"/>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6" zoomScaleNormal="86" workbookViewId="0">
      <pane xSplit="3" ySplit="5" topLeftCell="O6" activePane="bottomRight" state="frozen"/>
      <selection activeCell="D12" sqref="D12"/>
      <selection pane="topRight" activeCell="D12" sqref="D12"/>
      <selection pane="bottomLeft" activeCell="D12" sqref="D12"/>
      <selection pane="bottomRight" activeCell="X3" sqref="X3"/>
    </sheetView>
  </sheetViews>
  <sheetFormatPr defaultRowHeight="15"/>
  <cols>
    <col min="1" max="1" width="10.7109375" style="1" customWidth="1"/>
    <col min="2" max="2" width="12" bestFit="1" customWidth="1"/>
    <col min="3" max="3" width="58.7109375" customWidth="1"/>
    <col min="4" max="4" width="15" customWidth="1"/>
    <col min="5" max="5" width="12" customWidth="1"/>
    <col min="6" max="6" width="12.7109375" customWidth="1"/>
    <col min="7" max="7" width="14.28515625" bestFit="1" customWidth="1"/>
    <col min="8" max="9" width="12.7109375" customWidth="1"/>
    <col min="10" max="12" width="12.140625" customWidth="1"/>
    <col min="13" max="21" width="16.42578125" customWidth="1"/>
    <col min="22" max="22" width="15.140625" bestFit="1" customWidth="1"/>
    <col min="23" max="23" width="18.7109375" style="35"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c r="W1" s="338"/>
    </row>
    <row r="2" spans="1:24">
      <c r="A2" s="335" t="s">
        <v>198</v>
      </c>
      <c r="B2" s="335"/>
      <c r="C2" s="335"/>
      <c r="D2" s="335"/>
      <c r="E2" s="335"/>
      <c r="F2" s="335"/>
      <c r="G2" s="335"/>
      <c r="H2" s="335"/>
      <c r="I2" s="335"/>
      <c r="J2" s="335"/>
      <c r="K2" s="335"/>
      <c r="L2" s="335"/>
      <c r="M2" s="335"/>
      <c r="N2" s="335"/>
      <c r="O2" s="335"/>
      <c r="P2" s="335"/>
      <c r="Q2" s="335"/>
      <c r="R2" s="335"/>
      <c r="S2" s="335"/>
      <c r="T2" s="335"/>
      <c r="U2" s="335"/>
      <c r="V2" s="335"/>
      <c r="W2" s="338"/>
    </row>
    <row r="3" spans="1:24" ht="21">
      <c r="A3" s="336" t="s">
        <v>2</v>
      </c>
      <c r="B3" s="336"/>
      <c r="C3" s="336"/>
      <c r="D3" s="336"/>
      <c r="E3" s="336"/>
      <c r="F3" s="336"/>
      <c r="G3" s="336"/>
      <c r="H3" s="336"/>
      <c r="I3" s="336"/>
      <c r="J3" s="336"/>
      <c r="K3" s="336"/>
      <c r="L3" s="336"/>
      <c r="M3" s="336"/>
      <c r="N3" s="336"/>
      <c r="O3" s="336"/>
      <c r="P3" s="336"/>
      <c r="Q3" s="336"/>
      <c r="R3" s="336"/>
      <c r="S3" s="336"/>
      <c r="T3" s="336"/>
      <c r="U3" s="336"/>
      <c r="V3" s="336"/>
      <c r="W3" s="338"/>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235">
        <v>18606102</v>
      </c>
      <c r="B6" s="236">
        <v>18608612</v>
      </c>
      <c r="C6" s="135" t="s">
        <v>91</v>
      </c>
      <c r="D6" s="314" t="s">
        <v>92</v>
      </c>
      <c r="E6" s="11"/>
      <c r="F6" s="96"/>
      <c r="G6" s="12">
        <v>785957.33000000007</v>
      </c>
      <c r="H6" s="97">
        <f>4354.8</f>
        <v>4354.8</v>
      </c>
      <c r="I6" s="97">
        <v>0</v>
      </c>
      <c r="J6" s="12">
        <v>2146.5</v>
      </c>
      <c r="K6" s="12">
        <f>3825</f>
        <v>3825</v>
      </c>
      <c r="L6" s="12">
        <v>0</v>
      </c>
      <c r="M6" s="12">
        <f>1890</f>
        <v>1890</v>
      </c>
      <c r="N6" s="12">
        <f>1115</f>
        <v>1115</v>
      </c>
      <c r="O6" s="12">
        <f>2520</f>
        <v>2520</v>
      </c>
      <c r="P6" s="12">
        <f>3433.23</f>
        <v>3433.23</v>
      </c>
      <c r="Q6" s="12">
        <f>1867.5</f>
        <v>1867.5</v>
      </c>
      <c r="R6" s="12">
        <f>877.5</f>
        <v>877.5</v>
      </c>
      <c r="S6" s="12">
        <f>3036.97</f>
        <v>3036.97</v>
      </c>
      <c r="T6" s="12">
        <f>2355.3</f>
        <v>2355.3000000000002</v>
      </c>
      <c r="U6" s="12">
        <f>1807.5</f>
        <v>1807.5</v>
      </c>
      <c r="V6" s="12">
        <f>1267.5</f>
        <v>1267.5</v>
      </c>
      <c r="W6" s="174">
        <f>SUM(G6:V6)</f>
        <v>816454.13000000012</v>
      </c>
    </row>
    <row r="7" spans="1:24" s="2" customFormat="1">
      <c r="A7" s="315"/>
      <c r="B7" s="236">
        <v>18608612</v>
      </c>
      <c r="C7" s="135" t="s">
        <v>14</v>
      </c>
      <c r="D7" s="316"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7">
        <v>-785957.33</v>
      </c>
      <c r="W7" s="18">
        <f>SUM(G7:V7)</f>
        <v>-785957.33</v>
      </c>
    </row>
    <row r="8" spans="1:24" s="2" customFormat="1">
      <c r="A8" s="315"/>
      <c r="B8" s="236"/>
      <c r="C8" s="41" t="s">
        <v>94</v>
      </c>
      <c r="D8" s="317"/>
      <c r="E8" s="20"/>
      <c r="F8" s="100"/>
      <c r="G8" s="21">
        <f t="shared" ref="G8:W8" si="0">SUM(G6:G7)</f>
        <v>785957.33000000007</v>
      </c>
      <c r="H8" s="21">
        <f t="shared" si="0"/>
        <v>4354.8</v>
      </c>
      <c r="I8" s="21">
        <f t="shared" si="0"/>
        <v>0</v>
      </c>
      <c r="J8" s="21">
        <f t="shared" si="0"/>
        <v>2146.5</v>
      </c>
      <c r="K8" s="21">
        <f t="shared" si="0"/>
        <v>3825</v>
      </c>
      <c r="L8" s="21">
        <f t="shared" si="0"/>
        <v>0</v>
      </c>
      <c r="M8" s="21">
        <f t="shared" si="0"/>
        <v>1890</v>
      </c>
      <c r="N8" s="21">
        <f t="shared" si="0"/>
        <v>1115</v>
      </c>
      <c r="O8" s="21">
        <f t="shared" si="0"/>
        <v>2520</v>
      </c>
      <c r="P8" s="21">
        <f t="shared" si="0"/>
        <v>3433.23</v>
      </c>
      <c r="Q8" s="21">
        <f t="shared" si="0"/>
        <v>1867.5</v>
      </c>
      <c r="R8" s="21">
        <f t="shared" si="0"/>
        <v>877.5</v>
      </c>
      <c r="S8" s="21">
        <f t="shared" si="0"/>
        <v>3036.97</v>
      </c>
      <c r="T8" s="21">
        <f t="shared" si="0"/>
        <v>2355.3000000000002</v>
      </c>
      <c r="U8" s="21">
        <f t="shared" si="0"/>
        <v>1807.5</v>
      </c>
      <c r="V8" s="21">
        <f t="shared" si="0"/>
        <v>-784689.83</v>
      </c>
      <c r="W8" s="22">
        <f t="shared" si="0"/>
        <v>30496.800000000163</v>
      </c>
    </row>
    <row r="9" spans="1:24" s="31" customFormat="1" ht="11.45" customHeight="1">
      <c r="A9" s="318"/>
      <c r="B9" s="319"/>
      <c r="C9" s="240"/>
      <c r="D9" s="320"/>
      <c r="E9" s="102"/>
      <c r="F9" s="102"/>
      <c r="G9" s="28"/>
      <c r="H9" s="29"/>
      <c r="I9" s="29"/>
      <c r="J9" s="28"/>
      <c r="K9" s="28"/>
      <c r="L9" s="28"/>
      <c r="M9" s="28"/>
      <c r="N9" s="28"/>
      <c r="O9" s="28"/>
      <c r="P9" s="28"/>
      <c r="Q9" s="28"/>
      <c r="R9" s="28"/>
      <c r="S9" s="28"/>
      <c r="T9" s="28"/>
      <c r="U9" s="28"/>
      <c r="V9" s="28"/>
      <c r="W9" s="192"/>
    </row>
    <row r="10" spans="1:24" s="2" customFormat="1">
      <c r="A10" s="235">
        <v>18607102</v>
      </c>
      <c r="B10" s="236">
        <v>18608712</v>
      </c>
      <c r="C10" s="135" t="s">
        <v>95</v>
      </c>
      <c r="D10" s="594" t="s">
        <v>92</v>
      </c>
      <c r="E10" s="574"/>
      <c r="F10" s="575"/>
      <c r="G10" s="12">
        <v>5361208.370000001</v>
      </c>
      <c r="H10" s="33">
        <v>0</v>
      </c>
      <c r="I10" s="33">
        <f>H10</f>
        <v>0</v>
      </c>
      <c r="J10" s="33">
        <v>-477.9</v>
      </c>
      <c r="K10" s="33">
        <v>0</v>
      </c>
      <c r="L10" s="33">
        <f>4979.64</f>
        <v>4979.6400000000003</v>
      </c>
      <c r="M10" s="33">
        <v>0</v>
      </c>
      <c r="N10" s="33">
        <v>0</v>
      </c>
      <c r="O10" s="33">
        <v>0</v>
      </c>
      <c r="P10" s="33">
        <f>1286.16</f>
        <v>1286.1600000000001</v>
      </c>
      <c r="Q10" s="33">
        <f>135</f>
        <v>135</v>
      </c>
      <c r="R10" s="33">
        <v>0</v>
      </c>
      <c r="S10" s="33">
        <f>R10</f>
        <v>0</v>
      </c>
      <c r="T10" s="33">
        <f>S10</f>
        <v>0</v>
      </c>
      <c r="U10" s="33">
        <f>1091.25</f>
        <v>1091.25</v>
      </c>
      <c r="V10" s="33">
        <f>765</f>
        <v>765</v>
      </c>
      <c r="W10" s="14">
        <f>SUM(G10:V10)</f>
        <v>5368987.5200000005</v>
      </c>
      <c r="X10" s="66"/>
    </row>
    <row r="11" spans="1:24" s="2" customFormat="1">
      <c r="A11" s="235"/>
      <c r="B11" s="236">
        <v>18608772</v>
      </c>
      <c r="C11" s="135" t="s">
        <v>96</v>
      </c>
      <c r="D11" s="595"/>
      <c r="E11" s="574"/>
      <c r="F11" s="575"/>
      <c r="G11" s="12">
        <v>-3488999.0999999996</v>
      </c>
      <c r="H11" s="33">
        <v>0</v>
      </c>
      <c r="I11" s="33">
        <f>H11</f>
        <v>0</v>
      </c>
      <c r="J11" s="33">
        <v>0</v>
      </c>
      <c r="K11" s="33">
        <f>J11</f>
        <v>0</v>
      </c>
      <c r="L11" s="33">
        <f>K11</f>
        <v>0</v>
      </c>
      <c r="M11" s="33">
        <f t="shared" ref="M11:U11" si="1">L11</f>
        <v>0</v>
      </c>
      <c r="N11" s="33">
        <f t="shared" si="1"/>
        <v>0</v>
      </c>
      <c r="O11" s="33">
        <f t="shared" si="1"/>
        <v>0</v>
      </c>
      <c r="P11" s="33">
        <f t="shared" si="1"/>
        <v>0</v>
      </c>
      <c r="Q11" s="33">
        <f t="shared" si="1"/>
        <v>0</v>
      </c>
      <c r="R11" s="33">
        <f t="shared" si="1"/>
        <v>0</v>
      </c>
      <c r="S11" s="33">
        <f t="shared" si="1"/>
        <v>0</v>
      </c>
      <c r="T11" s="33">
        <f t="shared" si="1"/>
        <v>0</v>
      </c>
      <c r="U11" s="33">
        <f t="shared" si="1"/>
        <v>0</v>
      </c>
      <c r="V11" s="33"/>
      <c r="W11" s="14">
        <f t="shared" ref="W11:W14" si="2">SUM(G11:V11)</f>
        <v>-3488999.0999999996</v>
      </c>
      <c r="X11" s="66"/>
    </row>
    <row r="12" spans="1:24" s="2" customFormat="1">
      <c r="A12" s="235"/>
      <c r="B12" s="236">
        <v>18608722</v>
      </c>
      <c r="C12" s="135" t="s">
        <v>97</v>
      </c>
      <c r="D12" s="596"/>
      <c r="E12" s="574"/>
      <c r="F12" s="576"/>
      <c r="G12" s="12">
        <v>8781.25</v>
      </c>
      <c r="H12" s="33">
        <v>0</v>
      </c>
      <c r="I12" s="33">
        <f>H12</f>
        <v>0</v>
      </c>
      <c r="J12" s="33">
        <v>0</v>
      </c>
      <c r="K12" s="33">
        <f>J12</f>
        <v>0</v>
      </c>
      <c r="L12" s="33">
        <f t="shared" ref="L12:U12" si="3">K12</f>
        <v>0</v>
      </c>
      <c r="M12" s="33">
        <f t="shared" si="3"/>
        <v>0</v>
      </c>
      <c r="N12" s="33">
        <f t="shared" si="3"/>
        <v>0</v>
      </c>
      <c r="O12" s="33">
        <f t="shared" si="3"/>
        <v>0</v>
      </c>
      <c r="P12" s="33">
        <f t="shared" si="3"/>
        <v>0</v>
      </c>
      <c r="Q12" s="33">
        <f t="shared" si="3"/>
        <v>0</v>
      </c>
      <c r="R12" s="33">
        <f t="shared" si="3"/>
        <v>0</v>
      </c>
      <c r="S12" s="33">
        <f t="shared" si="3"/>
        <v>0</v>
      </c>
      <c r="T12" s="33">
        <f t="shared" si="3"/>
        <v>0</v>
      </c>
      <c r="U12" s="33">
        <f t="shared" si="3"/>
        <v>0</v>
      </c>
      <c r="V12" s="33">
        <f>U12</f>
        <v>0</v>
      </c>
      <c r="W12" s="14">
        <f t="shared" si="2"/>
        <v>8781.25</v>
      </c>
      <c r="X12" s="66"/>
    </row>
    <row r="13" spans="1:24" s="2" customFormat="1">
      <c r="A13" s="235"/>
      <c r="B13" s="236">
        <v>18608712</v>
      </c>
      <c r="C13" s="135" t="s">
        <v>14</v>
      </c>
      <c r="D13" s="594"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3">
        <v>-5361208.37</v>
      </c>
      <c r="W13" s="14">
        <f t="shared" si="2"/>
        <v>-5361208.37</v>
      </c>
      <c r="X13" s="66"/>
    </row>
    <row r="14" spans="1:24" s="2" customFormat="1">
      <c r="A14" s="235"/>
      <c r="B14" s="236">
        <v>18608772</v>
      </c>
      <c r="C14" s="135" t="s">
        <v>14</v>
      </c>
      <c r="D14" s="595"/>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3">
        <v>3488999.1</v>
      </c>
      <c r="W14" s="14">
        <f t="shared" si="2"/>
        <v>3488999.1</v>
      </c>
      <c r="X14" s="66"/>
    </row>
    <row r="15" spans="1:24" s="2" customFormat="1">
      <c r="A15" s="315"/>
      <c r="B15" s="236">
        <v>18608722</v>
      </c>
      <c r="C15" s="135" t="s">
        <v>14</v>
      </c>
      <c r="D15" s="59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175">
        <v>-8781.25</v>
      </c>
      <c r="W15" s="18">
        <f>SUM(G15:V15)</f>
        <v>-8781.25</v>
      </c>
      <c r="X15" s="66"/>
    </row>
    <row r="16" spans="1:24" s="2" customFormat="1">
      <c r="A16" s="321"/>
      <c r="B16" s="322"/>
      <c r="C16" s="41" t="s">
        <v>98</v>
      </c>
      <c r="D16" s="317"/>
      <c r="E16" s="42"/>
      <c r="F16" s="96"/>
      <c r="G16" s="21">
        <f t="shared" ref="G16:W16" si="4">SUM(G10:G15)</f>
        <v>1880990.5200000014</v>
      </c>
      <c r="H16" s="21">
        <f t="shared" si="4"/>
        <v>0</v>
      </c>
      <c r="I16" s="21">
        <f t="shared" si="4"/>
        <v>0</v>
      </c>
      <c r="J16" s="21">
        <f t="shared" si="4"/>
        <v>-477.9</v>
      </c>
      <c r="K16" s="21">
        <f t="shared" si="4"/>
        <v>0</v>
      </c>
      <c r="L16" s="21">
        <f t="shared" si="4"/>
        <v>4979.6400000000003</v>
      </c>
      <c r="M16" s="21">
        <f t="shared" si="4"/>
        <v>0</v>
      </c>
      <c r="N16" s="21">
        <f t="shared" si="4"/>
        <v>0</v>
      </c>
      <c r="O16" s="21">
        <f t="shared" si="4"/>
        <v>0</v>
      </c>
      <c r="P16" s="21">
        <f t="shared" si="4"/>
        <v>1286.1600000000001</v>
      </c>
      <c r="Q16" s="21">
        <f t="shared" si="4"/>
        <v>135</v>
      </c>
      <c r="R16" s="21">
        <f t="shared" si="4"/>
        <v>0</v>
      </c>
      <c r="S16" s="21">
        <f t="shared" si="4"/>
        <v>0</v>
      </c>
      <c r="T16" s="21">
        <f t="shared" si="4"/>
        <v>0</v>
      </c>
      <c r="U16" s="21">
        <f t="shared" si="4"/>
        <v>1091.25</v>
      </c>
      <c r="V16" s="21">
        <f t="shared" si="4"/>
        <v>-1880225.52</v>
      </c>
      <c r="W16" s="57">
        <f t="shared" si="4"/>
        <v>7779.1500000008382</v>
      </c>
    </row>
    <row r="17" spans="1:23" s="50" customFormat="1" ht="11.25">
      <c r="A17" s="238"/>
      <c r="B17" s="239"/>
      <c r="C17" s="240"/>
      <c r="D17" s="323"/>
      <c r="E17" s="70"/>
      <c r="F17" s="70"/>
      <c r="G17" s="103"/>
      <c r="H17" s="71"/>
      <c r="I17" s="71"/>
      <c r="J17" s="28"/>
      <c r="K17" s="49"/>
      <c r="L17" s="49"/>
      <c r="M17" s="28"/>
      <c r="N17" s="49"/>
      <c r="O17" s="49"/>
      <c r="P17" s="28"/>
      <c r="Q17" s="49"/>
      <c r="R17" s="49"/>
      <c r="S17" s="28"/>
      <c r="T17" s="49"/>
      <c r="U17" s="49"/>
      <c r="V17" s="28"/>
      <c r="W17" s="112"/>
    </row>
    <row r="18" spans="1:23" s="2" customFormat="1">
      <c r="A18" s="235">
        <v>18602102</v>
      </c>
      <c r="B18" s="236">
        <v>18608212</v>
      </c>
      <c r="C18" s="135" t="s">
        <v>99</v>
      </c>
      <c r="D18" s="324" t="s">
        <v>100</v>
      </c>
      <c r="E18" s="574"/>
      <c r="F18" s="575"/>
      <c r="G18" s="193">
        <v>1470852.25</v>
      </c>
      <c r="H18" s="51">
        <f>4607.2</f>
        <v>4607.2</v>
      </c>
      <c r="I18" s="51">
        <f>338.25</f>
        <v>338.25</v>
      </c>
      <c r="J18" s="12">
        <v>0</v>
      </c>
      <c r="K18" s="52">
        <f>J18</f>
        <v>0</v>
      </c>
      <c r="L18" s="52">
        <f t="shared" ref="L18:S19" si="5">K18</f>
        <v>0</v>
      </c>
      <c r="M18" s="52">
        <f t="shared" si="5"/>
        <v>0</v>
      </c>
      <c r="N18" s="52">
        <f t="shared" si="5"/>
        <v>0</v>
      </c>
      <c r="O18" s="52">
        <f t="shared" si="5"/>
        <v>0</v>
      </c>
      <c r="P18" s="52">
        <f t="shared" si="5"/>
        <v>0</v>
      </c>
      <c r="Q18" s="52">
        <f t="shared" si="5"/>
        <v>0</v>
      </c>
      <c r="R18" s="52">
        <f t="shared" si="5"/>
        <v>0</v>
      </c>
      <c r="S18" s="52">
        <f>5162.61</f>
        <v>5162.6099999999997</v>
      </c>
      <c r="T18" s="52">
        <f>4676.25</f>
        <v>4676.25</v>
      </c>
      <c r="U18" s="52">
        <v>0</v>
      </c>
      <c r="V18" s="52">
        <f>U18</f>
        <v>0</v>
      </c>
      <c r="W18" s="14">
        <f>SUM(G18:V18)</f>
        <v>1485636.56</v>
      </c>
    </row>
    <row r="19" spans="1:23" s="2" customFormat="1">
      <c r="A19" s="235"/>
      <c r="B19" s="236">
        <v>18608782</v>
      </c>
      <c r="C19" s="135" t="s">
        <v>101</v>
      </c>
      <c r="D19" s="317"/>
      <c r="E19" s="574"/>
      <c r="F19" s="576"/>
      <c r="G19" s="97">
        <v>-801550.75</v>
      </c>
      <c r="H19" s="97">
        <v>0</v>
      </c>
      <c r="I19" s="97">
        <f>H19</f>
        <v>0</v>
      </c>
      <c r="J19" s="12">
        <v>0</v>
      </c>
      <c r="K19" s="52">
        <f>J19</f>
        <v>0</v>
      </c>
      <c r="L19" s="52">
        <f t="shared" si="5"/>
        <v>0</v>
      </c>
      <c r="M19" s="52">
        <f t="shared" si="5"/>
        <v>0</v>
      </c>
      <c r="N19" s="52">
        <f t="shared" si="5"/>
        <v>0</v>
      </c>
      <c r="O19" s="52">
        <f t="shared" si="5"/>
        <v>0</v>
      </c>
      <c r="P19" s="52">
        <f t="shared" si="5"/>
        <v>0</v>
      </c>
      <c r="Q19" s="52">
        <f t="shared" si="5"/>
        <v>0</v>
      </c>
      <c r="R19" s="52">
        <f t="shared" si="5"/>
        <v>0</v>
      </c>
      <c r="S19" s="52">
        <f t="shared" si="5"/>
        <v>0</v>
      </c>
      <c r="T19" s="52">
        <f>S19</f>
        <v>0</v>
      </c>
      <c r="U19" s="52">
        <f>T19</f>
        <v>0</v>
      </c>
      <c r="V19" s="52">
        <f>U19</f>
        <v>0</v>
      </c>
      <c r="W19" s="14">
        <f t="shared" ref="W19:W20" si="6">SUM(G19:V19)</f>
        <v>-801550.75</v>
      </c>
    </row>
    <row r="20" spans="1:23" s="2" customFormat="1">
      <c r="A20" s="235"/>
      <c r="B20" s="236" t="s">
        <v>102</v>
      </c>
      <c r="C20" s="135" t="s">
        <v>14</v>
      </c>
      <c r="D20" s="32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3">
        <v>-1470852.25</v>
      </c>
      <c r="W20" s="14">
        <f t="shared" si="6"/>
        <v>-1470852.25</v>
      </c>
    </row>
    <row r="21" spans="1:23" s="2" customFormat="1">
      <c r="A21" s="235"/>
      <c r="B21" s="236">
        <v>18608782</v>
      </c>
      <c r="C21" s="135" t="s">
        <v>14</v>
      </c>
      <c r="D21" s="316"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175">
        <v>801550.75</v>
      </c>
      <c r="W21" s="18">
        <f>SUM(G21:V21)</f>
        <v>801550.75</v>
      </c>
    </row>
    <row r="22" spans="1:23" s="2" customFormat="1">
      <c r="A22" s="321"/>
      <c r="B22" s="322"/>
      <c r="C22" s="41" t="s">
        <v>103</v>
      </c>
      <c r="D22" s="325"/>
      <c r="E22" s="60"/>
      <c r="F22" s="109"/>
      <c r="G22" s="56">
        <f t="shared" ref="G22:V22" si="7">SUM(G18:G21)</f>
        <v>669301.5</v>
      </c>
      <c r="H22" s="56">
        <f t="shared" si="7"/>
        <v>4607.2</v>
      </c>
      <c r="I22" s="56">
        <f t="shared" si="7"/>
        <v>338.25</v>
      </c>
      <c r="J22" s="56">
        <f t="shared" si="7"/>
        <v>0</v>
      </c>
      <c r="K22" s="56">
        <f t="shared" si="7"/>
        <v>0</v>
      </c>
      <c r="L22" s="56">
        <f t="shared" si="7"/>
        <v>0</v>
      </c>
      <c r="M22" s="56">
        <f t="shared" si="7"/>
        <v>0</v>
      </c>
      <c r="N22" s="56">
        <f t="shared" si="7"/>
        <v>0</v>
      </c>
      <c r="O22" s="56">
        <f t="shared" si="7"/>
        <v>0</v>
      </c>
      <c r="P22" s="56">
        <f t="shared" si="7"/>
        <v>0</v>
      </c>
      <c r="Q22" s="56">
        <f t="shared" si="7"/>
        <v>0</v>
      </c>
      <c r="R22" s="56">
        <f t="shared" si="7"/>
        <v>0</v>
      </c>
      <c r="S22" s="56">
        <f t="shared" si="7"/>
        <v>5162.6099999999997</v>
      </c>
      <c r="T22" s="56">
        <f t="shared" si="7"/>
        <v>4676.25</v>
      </c>
      <c r="U22" s="56">
        <f t="shared" si="7"/>
        <v>0</v>
      </c>
      <c r="V22" s="56">
        <f t="shared" si="7"/>
        <v>-669301.5</v>
      </c>
      <c r="W22" s="57">
        <f>SUM(W18:W21)</f>
        <v>14784.310000000056</v>
      </c>
    </row>
    <row r="23" spans="1:23" s="50" customFormat="1" ht="11.25">
      <c r="A23" s="326"/>
      <c r="B23" s="327"/>
      <c r="C23" s="240"/>
      <c r="D23" s="323"/>
      <c r="E23" s="70"/>
      <c r="F23" s="70"/>
      <c r="G23" s="110"/>
      <c r="H23" s="71"/>
      <c r="I23" s="71"/>
      <c r="J23" s="73"/>
      <c r="K23" s="111"/>
      <c r="L23" s="111"/>
      <c r="M23" s="73"/>
      <c r="N23" s="111"/>
      <c r="O23" s="111"/>
      <c r="P23" s="73"/>
      <c r="Q23" s="111"/>
      <c r="R23" s="111"/>
      <c r="S23" s="73"/>
      <c r="T23" s="111"/>
      <c r="U23" s="111"/>
      <c r="V23" s="73"/>
      <c r="W23" s="112"/>
    </row>
    <row r="24" spans="1:23" s="2" customFormat="1">
      <c r="A24" s="321">
        <v>18603102</v>
      </c>
      <c r="B24" s="322">
        <v>18608312</v>
      </c>
      <c r="C24" s="135" t="s">
        <v>104</v>
      </c>
      <c r="D24" s="324" t="s">
        <v>92</v>
      </c>
      <c r="E24" s="113"/>
      <c r="F24" s="42"/>
      <c r="G24" s="52">
        <v>3961262</v>
      </c>
      <c r="H24" s="52">
        <v>0</v>
      </c>
      <c r="I24" s="52">
        <f>H24</f>
        <v>0</v>
      </c>
      <c r="J24" s="12">
        <v>244</v>
      </c>
      <c r="K24" s="52">
        <f>3360</f>
        <v>3360</v>
      </c>
      <c r="L24" s="52">
        <v>0</v>
      </c>
      <c r="M24" s="52">
        <f>L24</f>
        <v>0</v>
      </c>
      <c r="N24" s="52">
        <f>1457.63</f>
        <v>1457.63</v>
      </c>
      <c r="O24" s="52">
        <v>0</v>
      </c>
      <c r="P24" s="52">
        <f>O24</f>
        <v>0</v>
      </c>
      <c r="Q24" s="52">
        <f>P24</f>
        <v>0</v>
      </c>
      <c r="R24" s="52">
        <f>Q24</f>
        <v>0</v>
      </c>
      <c r="S24" s="52">
        <f>2836.13</f>
        <v>2836.13</v>
      </c>
      <c r="T24" s="52">
        <f>1808.63</f>
        <v>1808.63</v>
      </c>
      <c r="U24" s="52">
        <v>0</v>
      </c>
      <c r="V24" s="52">
        <f>U24</f>
        <v>0</v>
      </c>
      <c r="W24" s="14">
        <f t="shared" ref="W24" si="8">SUM(G24:V24)</f>
        <v>3970968.3899999997</v>
      </c>
    </row>
    <row r="25" spans="1:23" s="2" customFormat="1">
      <c r="A25" s="321"/>
      <c r="B25" s="322">
        <v>18608312</v>
      </c>
      <c r="C25" s="135" t="s">
        <v>14</v>
      </c>
      <c r="D25" s="316" t="s">
        <v>93</v>
      </c>
      <c r="E25" s="16">
        <v>43070</v>
      </c>
      <c r="F25" s="99" t="s">
        <v>16</v>
      </c>
      <c r="G25" s="37">
        <v>0</v>
      </c>
      <c r="H25" s="37">
        <v>0</v>
      </c>
      <c r="I25" s="37">
        <v>0</v>
      </c>
      <c r="J25" s="37">
        <v>0</v>
      </c>
      <c r="K25" s="37">
        <v>0</v>
      </c>
      <c r="L25" s="116">
        <v>0</v>
      </c>
      <c r="M25" s="116">
        <v>0</v>
      </c>
      <c r="N25" s="116">
        <v>0</v>
      </c>
      <c r="O25" s="116">
        <v>0</v>
      </c>
      <c r="P25" s="116">
        <v>0</v>
      </c>
      <c r="Q25" s="116">
        <v>0</v>
      </c>
      <c r="R25" s="116">
        <v>0</v>
      </c>
      <c r="S25" s="116">
        <v>0</v>
      </c>
      <c r="T25" s="116">
        <v>0</v>
      </c>
      <c r="U25" s="116">
        <v>0</v>
      </c>
      <c r="V25" s="116">
        <v>-3961262</v>
      </c>
      <c r="W25" s="18">
        <f>SUM(G25:V25)</f>
        <v>-3961262</v>
      </c>
    </row>
    <row r="26" spans="1:23" s="2" customFormat="1">
      <c r="A26" s="321"/>
      <c r="B26" s="322"/>
      <c r="C26" s="41" t="s">
        <v>105</v>
      </c>
      <c r="D26" s="325"/>
      <c r="E26" s="118"/>
      <c r="F26" s="109"/>
      <c r="G26" s="56">
        <f t="shared" ref="G26:V26" si="9">SUM(G24:G25)</f>
        <v>3961262</v>
      </c>
      <c r="H26" s="56">
        <f t="shared" si="9"/>
        <v>0</v>
      </c>
      <c r="I26" s="56">
        <f t="shared" si="9"/>
        <v>0</v>
      </c>
      <c r="J26" s="56">
        <f t="shared" si="9"/>
        <v>244</v>
      </c>
      <c r="K26" s="56">
        <f t="shared" si="9"/>
        <v>3360</v>
      </c>
      <c r="L26" s="56">
        <f t="shared" si="9"/>
        <v>0</v>
      </c>
      <c r="M26" s="56">
        <f t="shared" si="9"/>
        <v>0</v>
      </c>
      <c r="N26" s="56">
        <f t="shared" si="9"/>
        <v>1457.63</v>
      </c>
      <c r="O26" s="56">
        <f t="shared" si="9"/>
        <v>0</v>
      </c>
      <c r="P26" s="56">
        <f t="shared" si="9"/>
        <v>0</v>
      </c>
      <c r="Q26" s="56">
        <f t="shared" si="9"/>
        <v>0</v>
      </c>
      <c r="R26" s="56">
        <f t="shared" si="9"/>
        <v>0</v>
      </c>
      <c r="S26" s="56">
        <f t="shared" si="9"/>
        <v>2836.13</v>
      </c>
      <c r="T26" s="56">
        <f t="shared" si="9"/>
        <v>1808.63</v>
      </c>
      <c r="U26" s="56">
        <f t="shared" si="9"/>
        <v>0</v>
      </c>
      <c r="V26" s="56">
        <f t="shared" si="9"/>
        <v>-3961262</v>
      </c>
      <c r="W26" s="22">
        <f>SUM(W23:W25)</f>
        <v>9706.3899999996647</v>
      </c>
    </row>
    <row r="27" spans="1:23" s="50" customFormat="1" ht="11.45" customHeight="1">
      <c r="A27" s="326"/>
      <c r="B27" s="327"/>
      <c r="C27" s="328"/>
      <c r="D27" s="329"/>
      <c r="E27" s="70"/>
      <c r="F27" s="122"/>
      <c r="G27" s="103"/>
      <c r="H27" s="71"/>
      <c r="I27" s="71"/>
      <c r="J27" s="73"/>
      <c r="K27" s="111"/>
      <c r="L27" s="111"/>
      <c r="M27" s="73"/>
      <c r="N27" s="111"/>
      <c r="O27" s="111"/>
      <c r="P27" s="73"/>
      <c r="Q27" s="111"/>
      <c r="R27" s="111"/>
      <c r="S27" s="73"/>
      <c r="T27" s="111"/>
      <c r="U27" s="111"/>
      <c r="V27" s="73"/>
      <c r="W27" s="112"/>
    </row>
    <row r="28" spans="1:23" s="123" customFormat="1" ht="12.6" customHeight="1">
      <c r="A28" s="321">
        <v>18606302</v>
      </c>
      <c r="B28" s="322">
        <v>18609432</v>
      </c>
      <c r="C28" s="135" t="s">
        <v>106</v>
      </c>
      <c r="D28" s="594" t="s">
        <v>92</v>
      </c>
      <c r="E28" s="570"/>
      <c r="F28" s="572"/>
      <c r="G28" s="12">
        <v>6872373.6200000001</v>
      </c>
      <c r="H28" s="12">
        <f>158743.71</f>
        <v>158743.71</v>
      </c>
      <c r="I28" s="12">
        <f>170229.18</f>
        <v>170229.18</v>
      </c>
      <c r="J28" s="12">
        <v>218313.99</v>
      </c>
      <c r="K28" s="12">
        <f>108582.31</f>
        <v>108582.31</v>
      </c>
      <c r="L28" s="12">
        <f>117085.63</f>
        <v>117085.63</v>
      </c>
      <c r="M28" s="12">
        <f>152886.79</f>
        <v>152886.79</v>
      </c>
      <c r="N28" s="12">
        <v>0</v>
      </c>
      <c r="O28" s="12">
        <f>511322.7</f>
        <v>511322.7</v>
      </c>
      <c r="P28" s="12">
        <f>190276.88</f>
        <v>190276.88</v>
      </c>
      <c r="Q28" s="12">
        <f>153128.9</f>
        <v>153128.9</v>
      </c>
      <c r="R28" s="12">
        <f>182252.16</f>
        <v>182252.16</v>
      </c>
      <c r="S28" s="12">
        <f>142106.66</f>
        <v>142106.66</v>
      </c>
      <c r="T28" s="12">
        <f>182156.8</f>
        <v>182156.79999999999</v>
      </c>
      <c r="U28" s="12">
        <f>155411.13</f>
        <v>155411.13</v>
      </c>
      <c r="V28" s="52">
        <f>223717.34</f>
        <v>223717.34</v>
      </c>
      <c r="W28" s="14">
        <f>SUM(G28:V28)</f>
        <v>9538587.8000000026</v>
      </c>
    </row>
    <row r="29" spans="1:23" s="123" customFormat="1" ht="12.6" customHeight="1">
      <c r="A29" s="321">
        <v>18604102</v>
      </c>
      <c r="B29" s="322">
        <v>18608412</v>
      </c>
      <c r="C29" s="135" t="s">
        <v>107</v>
      </c>
      <c r="D29" s="595"/>
      <c r="E29" s="570"/>
      <c r="F29" s="572"/>
      <c r="G29" s="12">
        <v>2651381.7400000002</v>
      </c>
      <c r="H29" s="12">
        <v>0</v>
      </c>
      <c r="I29" s="12">
        <f>H29</f>
        <v>0</v>
      </c>
      <c r="J29" s="12">
        <v>0</v>
      </c>
      <c r="K29" s="12">
        <f>J29</f>
        <v>0</v>
      </c>
      <c r="L29" s="12">
        <f>K29</f>
        <v>0</v>
      </c>
      <c r="M29" s="12">
        <f t="shared" ref="M29:U30" si="10">L29</f>
        <v>0</v>
      </c>
      <c r="N29" s="12">
        <f t="shared" si="10"/>
        <v>0</v>
      </c>
      <c r="O29" s="12">
        <f t="shared" si="10"/>
        <v>0</v>
      </c>
      <c r="P29" s="12">
        <f t="shared" si="10"/>
        <v>0</v>
      </c>
      <c r="Q29" s="12">
        <f t="shared" si="10"/>
        <v>0</v>
      </c>
      <c r="R29" s="12">
        <f t="shared" si="10"/>
        <v>0</v>
      </c>
      <c r="S29" s="12">
        <f t="shared" si="10"/>
        <v>0</v>
      </c>
      <c r="T29" s="12">
        <f t="shared" si="10"/>
        <v>0</v>
      </c>
      <c r="U29" s="12">
        <f t="shared" si="10"/>
        <v>0</v>
      </c>
      <c r="V29" s="52">
        <f>U29</f>
        <v>0</v>
      </c>
      <c r="W29" s="14">
        <f t="shared" ref="W29:W33" si="11">SUM(G29:V29)</f>
        <v>2651381.7400000002</v>
      </c>
    </row>
    <row r="30" spans="1:23" s="123" customFormat="1" ht="12.6" customHeight="1">
      <c r="A30" s="321">
        <v>18614102</v>
      </c>
      <c r="B30" s="322">
        <v>18609312</v>
      </c>
      <c r="C30" s="135" t="s">
        <v>108</v>
      </c>
      <c r="D30" s="595"/>
      <c r="E30" s="570"/>
      <c r="F30" s="572"/>
      <c r="G30" s="12">
        <v>12405154.710000001</v>
      </c>
      <c r="H30" s="12">
        <v>0</v>
      </c>
      <c r="I30" s="12">
        <f>H30</f>
        <v>0</v>
      </c>
      <c r="J30" s="12">
        <v>0</v>
      </c>
      <c r="K30" s="12">
        <f>J30</f>
        <v>0</v>
      </c>
      <c r="L30" s="12">
        <f>K30</f>
        <v>0</v>
      </c>
      <c r="M30" s="12">
        <f>L30</f>
        <v>0</v>
      </c>
      <c r="N30" s="12">
        <f>M30</f>
        <v>0</v>
      </c>
      <c r="O30" s="12">
        <f t="shared" si="10"/>
        <v>0</v>
      </c>
      <c r="P30" s="12">
        <f t="shared" si="10"/>
        <v>0</v>
      </c>
      <c r="Q30" s="12">
        <f t="shared" si="10"/>
        <v>0</v>
      </c>
      <c r="R30" s="12">
        <f t="shared" si="10"/>
        <v>0</v>
      </c>
      <c r="S30" s="12">
        <f t="shared" si="10"/>
        <v>0</v>
      </c>
      <c r="T30" s="12">
        <f t="shared" si="10"/>
        <v>0</v>
      </c>
      <c r="U30" s="12">
        <f t="shared" si="10"/>
        <v>0</v>
      </c>
      <c r="V30" s="52">
        <f>U30</f>
        <v>0</v>
      </c>
      <c r="W30" s="14">
        <f t="shared" si="11"/>
        <v>12405154.710000001</v>
      </c>
    </row>
    <row r="31" spans="1:23" s="123" customFormat="1" ht="12.6" customHeight="1">
      <c r="A31" s="321">
        <v>18606303</v>
      </c>
      <c r="B31" s="322">
        <v>18609402</v>
      </c>
      <c r="C31" s="135" t="s">
        <v>109</v>
      </c>
      <c r="D31" s="596"/>
      <c r="E31" s="571"/>
      <c r="F31" s="573"/>
      <c r="G31" s="72">
        <v>0</v>
      </c>
      <c r="H31" s="124">
        <v>0</v>
      </c>
      <c r="I31" s="124">
        <v>0</v>
      </c>
      <c r="J31" s="124">
        <v>0</v>
      </c>
      <c r="K31" s="124">
        <f>J31</f>
        <v>0</v>
      </c>
      <c r="L31" s="124">
        <f t="shared" ref="L31" si="12">K31</f>
        <v>0</v>
      </c>
      <c r="M31" s="12">
        <v>-190064.35</v>
      </c>
      <c r="N31" s="12">
        <v>0</v>
      </c>
      <c r="O31" s="12">
        <f>N31</f>
        <v>0</v>
      </c>
      <c r="P31" s="12">
        <f>-74175.7</f>
        <v>-74175.7</v>
      </c>
      <c r="Q31" s="12">
        <v>0</v>
      </c>
      <c r="R31" s="12">
        <f>Q31</f>
        <v>0</v>
      </c>
      <c r="S31" s="12">
        <f>-139862.41</f>
        <v>-139862.41</v>
      </c>
      <c r="T31" s="12">
        <v>0</v>
      </c>
      <c r="U31" s="12">
        <f>T31</f>
        <v>0</v>
      </c>
      <c r="V31" s="52">
        <f>-95133.26</f>
        <v>-95133.26</v>
      </c>
      <c r="W31" s="14">
        <f t="shared" si="11"/>
        <v>-499235.72</v>
      </c>
    </row>
    <row r="32" spans="1:23" s="123" customFormat="1" ht="12.6" customHeight="1">
      <c r="A32" s="321"/>
      <c r="B32" s="322">
        <v>18609432</v>
      </c>
      <c r="C32" s="135" t="s">
        <v>14</v>
      </c>
      <c r="D32" s="594" t="s">
        <v>93</v>
      </c>
      <c r="E32" s="578">
        <v>43070</v>
      </c>
      <c r="F32" s="580" t="s">
        <v>16</v>
      </c>
      <c r="G32" s="72">
        <v>0</v>
      </c>
      <c r="H32" s="12">
        <v>0</v>
      </c>
      <c r="I32" s="12">
        <v>0</v>
      </c>
      <c r="J32" s="12">
        <v>0</v>
      </c>
      <c r="K32" s="12">
        <v>0</v>
      </c>
      <c r="L32" s="12">
        <v>0</v>
      </c>
      <c r="M32" s="12">
        <v>0</v>
      </c>
      <c r="N32" s="12">
        <v>0</v>
      </c>
      <c r="O32" s="12">
        <v>0</v>
      </c>
      <c r="P32" s="12">
        <v>0</v>
      </c>
      <c r="Q32" s="12">
        <v>0</v>
      </c>
      <c r="R32" s="12">
        <v>0</v>
      </c>
      <c r="S32" s="12">
        <v>0</v>
      </c>
      <c r="T32" s="12">
        <v>0</v>
      </c>
      <c r="U32" s="12">
        <v>0</v>
      </c>
      <c r="V32" s="52">
        <v>-6872373.6200000001</v>
      </c>
      <c r="W32" s="14">
        <f t="shared" si="11"/>
        <v>-6872373.6200000001</v>
      </c>
    </row>
    <row r="33" spans="1:23" s="123" customFormat="1" ht="12.6" customHeight="1">
      <c r="A33" s="326"/>
      <c r="B33" s="322">
        <v>18608412</v>
      </c>
      <c r="C33" s="135" t="s">
        <v>14</v>
      </c>
      <c r="D33" s="595"/>
      <c r="E33" s="578"/>
      <c r="F33" s="581"/>
      <c r="G33" s="72">
        <v>0</v>
      </c>
      <c r="H33" s="12">
        <v>0</v>
      </c>
      <c r="I33" s="12">
        <v>0</v>
      </c>
      <c r="J33" s="12">
        <v>0</v>
      </c>
      <c r="K33" s="12">
        <v>0</v>
      </c>
      <c r="L33" s="12">
        <v>0</v>
      </c>
      <c r="M33" s="12">
        <v>0</v>
      </c>
      <c r="N33" s="12">
        <v>0</v>
      </c>
      <c r="O33" s="12">
        <v>0</v>
      </c>
      <c r="P33" s="12">
        <v>0</v>
      </c>
      <c r="Q33" s="12">
        <v>0</v>
      </c>
      <c r="R33" s="12">
        <v>0</v>
      </c>
      <c r="S33" s="12">
        <v>0</v>
      </c>
      <c r="T33" s="12">
        <v>0</v>
      </c>
      <c r="U33" s="12">
        <v>0</v>
      </c>
      <c r="V33" s="52">
        <v>-2651381.7400000002</v>
      </c>
      <c r="W33" s="14">
        <f t="shared" si="11"/>
        <v>-2651381.7400000002</v>
      </c>
    </row>
    <row r="34" spans="1:23" s="2" customFormat="1">
      <c r="A34" s="235"/>
      <c r="B34" s="322">
        <v>18609312</v>
      </c>
      <c r="C34" s="135" t="s">
        <v>14</v>
      </c>
      <c r="D34" s="597"/>
      <c r="E34" s="579"/>
      <c r="F34" s="582"/>
      <c r="G34" s="115">
        <v>0</v>
      </c>
      <c r="H34" s="116">
        <v>0</v>
      </c>
      <c r="I34" s="116">
        <v>0</v>
      </c>
      <c r="J34" s="116">
        <v>0</v>
      </c>
      <c r="K34" s="116">
        <v>0</v>
      </c>
      <c r="L34" s="116">
        <v>0</v>
      </c>
      <c r="M34" s="116">
        <v>0</v>
      </c>
      <c r="N34" s="116">
        <v>0</v>
      </c>
      <c r="O34" s="116">
        <v>0</v>
      </c>
      <c r="P34" s="116">
        <v>0</v>
      </c>
      <c r="Q34" s="116">
        <v>0</v>
      </c>
      <c r="R34" s="116">
        <v>0</v>
      </c>
      <c r="S34" s="116">
        <v>0</v>
      </c>
      <c r="T34" s="116">
        <v>0</v>
      </c>
      <c r="U34" s="116">
        <v>0</v>
      </c>
      <c r="V34" s="52">
        <v>-12405154.710000001</v>
      </c>
      <c r="W34" s="18">
        <f>SUM(G34:V34)</f>
        <v>-12405154.710000001</v>
      </c>
    </row>
    <row r="35" spans="1:23" s="2" customFormat="1">
      <c r="A35" s="321"/>
      <c r="B35" s="322"/>
      <c r="C35" s="41" t="s">
        <v>110</v>
      </c>
      <c r="D35" s="325"/>
      <c r="E35" s="60"/>
      <c r="F35" s="109"/>
      <c r="G35" s="56">
        <f t="shared" ref="G35:V35" si="13">SUM(G28:G34)</f>
        <v>21928910.07</v>
      </c>
      <c r="H35" s="56">
        <f t="shared" si="13"/>
        <v>158743.71</v>
      </c>
      <c r="I35" s="56">
        <f t="shared" si="13"/>
        <v>170229.18</v>
      </c>
      <c r="J35" s="56">
        <f t="shared" si="13"/>
        <v>218313.99</v>
      </c>
      <c r="K35" s="56">
        <f t="shared" si="13"/>
        <v>108582.31</v>
      </c>
      <c r="L35" s="56">
        <f t="shared" si="13"/>
        <v>117085.63</v>
      </c>
      <c r="M35" s="56">
        <f t="shared" si="13"/>
        <v>-37177.56</v>
      </c>
      <c r="N35" s="56">
        <f t="shared" si="13"/>
        <v>0</v>
      </c>
      <c r="O35" s="56">
        <f t="shared" si="13"/>
        <v>511322.7</v>
      </c>
      <c r="P35" s="56">
        <f t="shared" si="13"/>
        <v>116101.18000000001</v>
      </c>
      <c r="Q35" s="56">
        <f t="shared" si="13"/>
        <v>153128.9</v>
      </c>
      <c r="R35" s="56">
        <f t="shared" si="13"/>
        <v>182252.16</v>
      </c>
      <c r="S35" s="56">
        <f t="shared" si="13"/>
        <v>2244.25</v>
      </c>
      <c r="T35" s="56">
        <f t="shared" si="13"/>
        <v>182156.79999999999</v>
      </c>
      <c r="U35" s="56">
        <f t="shared" si="13"/>
        <v>155411.13</v>
      </c>
      <c r="V35" s="56">
        <f t="shared" si="13"/>
        <v>-21800325.990000002</v>
      </c>
      <c r="W35" s="22">
        <f>SUM(W28:W34)</f>
        <v>2166978.4600000028</v>
      </c>
    </row>
    <row r="36" spans="1:23" s="50" customFormat="1" ht="12.6" customHeight="1">
      <c r="A36" s="321"/>
      <c r="B36" s="322"/>
      <c r="C36" s="240"/>
      <c r="D36" s="323"/>
      <c r="E36" s="70"/>
      <c r="F36" s="70"/>
      <c r="G36" s="47"/>
      <c r="H36" s="48"/>
      <c r="I36" s="48"/>
      <c r="J36" s="28"/>
      <c r="K36" s="49"/>
      <c r="L36" s="49"/>
      <c r="M36" s="125"/>
      <c r="N36" s="49"/>
      <c r="O36" s="49"/>
      <c r="P36" s="28"/>
      <c r="Q36" s="49"/>
      <c r="R36" s="49"/>
      <c r="S36" s="28"/>
      <c r="T36" s="49"/>
      <c r="U36" s="49"/>
      <c r="V36" s="28"/>
      <c r="W36" s="112"/>
    </row>
    <row r="37" spans="1:23" s="2" customFormat="1">
      <c r="A37" s="321">
        <v>18612102</v>
      </c>
      <c r="B37" s="322">
        <v>18609512</v>
      </c>
      <c r="C37" s="135" t="s">
        <v>111</v>
      </c>
      <c r="D37" s="324" t="s">
        <v>92</v>
      </c>
      <c r="E37" s="113"/>
      <c r="F37" s="42"/>
      <c r="G37" s="52">
        <v>227819.36</v>
      </c>
      <c r="H37" s="52">
        <f>4468</f>
        <v>4468</v>
      </c>
      <c r="I37" s="52">
        <f>6938.08</f>
        <v>6938.08</v>
      </c>
      <c r="J37" s="52">
        <v>-541.44000000000005</v>
      </c>
      <c r="K37" s="52">
        <v>329.5</v>
      </c>
      <c r="L37" s="52">
        <v>0</v>
      </c>
      <c r="M37" s="52">
        <f t="shared" ref="M37:U37" si="14">L37</f>
        <v>0</v>
      </c>
      <c r="N37" s="52">
        <f t="shared" si="14"/>
        <v>0</v>
      </c>
      <c r="O37" s="52">
        <f t="shared" si="14"/>
        <v>0</v>
      </c>
      <c r="P37" s="52">
        <f>54617</f>
        <v>54617</v>
      </c>
      <c r="Q37" s="52">
        <f>180.5</f>
        <v>180.5</v>
      </c>
      <c r="R37" s="52">
        <v>0</v>
      </c>
      <c r="S37" s="52">
        <f t="shared" si="14"/>
        <v>0</v>
      </c>
      <c r="T37" s="52">
        <f t="shared" si="14"/>
        <v>0</v>
      </c>
      <c r="U37" s="52">
        <f t="shared" si="14"/>
        <v>0</v>
      </c>
      <c r="V37" s="52">
        <f>U37+437</f>
        <v>437</v>
      </c>
      <c r="W37" s="14">
        <f t="shared" ref="W37" si="15">SUM(G37:V37)</f>
        <v>294248</v>
      </c>
    </row>
    <row r="38" spans="1:23" s="2" customFormat="1">
      <c r="A38" s="235"/>
      <c r="B38" s="322">
        <v>18609512</v>
      </c>
      <c r="C38" s="135" t="s">
        <v>30</v>
      </c>
      <c r="D38" s="330"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175">
        <v>-227819.36</v>
      </c>
      <c r="W38" s="18">
        <f>SUM(G38:V38)</f>
        <v>-227819.36</v>
      </c>
    </row>
    <row r="39" spans="1:23" s="2" customFormat="1">
      <c r="A39" s="321"/>
      <c r="B39" s="322"/>
      <c r="C39" s="41" t="s">
        <v>112</v>
      </c>
      <c r="D39" s="317"/>
      <c r="E39" s="60"/>
      <c r="F39" s="127"/>
      <c r="G39" s="21">
        <f t="shared" ref="G39:V39" si="16">SUM(G37:G38)</f>
        <v>227819.36</v>
      </c>
      <c r="H39" s="21">
        <f t="shared" si="16"/>
        <v>4468</v>
      </c>
      <c r="I39" s="21">
        <f t="shared" si="16"/>
        <v>6938.08</v>
      </c>
      <c r="J39" s="21">
        <f t="shared" si="16"/>
        <v>-541.44000000000005</v>
      </c>
      <c r="K39" s="21">
        <f t="shared" si="16"/>
        <v>329.5</v>
      </c>
      <c r="L39" s="21">
        <f t="shared" si="16"/>
        <v>0</v>
      </c>
      <c r="M39" s="21">
        <f t="shared" si="16"/>
        <v>0</v>
      </c>
      <c r="N39" s="21">
        <f t="shared" si="16"/>
        <v>0</v>
      </c>
      <c r="O39" s="21">
        <f t="shared" si="16"/>
        <v>0</v>
      </c>
      <c r="P39" s="21">
        <f t="shared" si="16"/>
        <v>54617</v>
      </c>
      <c r="Q39" s="21">
        <f t="shared" si="16"/>
        <v>180.5</v>
      </c>
      <c r="R39" s="21">
        <f t="shared" si="16"/>
        <v>0</v>
      </c>
      <c r="S39" s="21">
        <f t="shared" si="16"/>
        <v>0</v>
      </c>
      <c r="T39" s="21">
        <f t="shared" si="16"/>
        <v>0</v>
      </c>
      <c r="U39" s="21">
        <f t="shared" si="16"/>
        <v>0</v>
      </c>
      <c r="V39" s="21">
        <f t="shared" si="16"/>
        <v>-227382.36</v>
      </c>
      <c r="W39" s="22">
        <f>SUM(W37:W38)</f>
        <v>66428.640000000014</v>
      </c>
    </row>
    <row r="40" spans="1:23" s="50" customFormat="1" ht="11.25">
      <c r="A40" s="238"/>
      <c r="B40" s="239"/>
      <c r="C40" s="240"/>
      <c r="D40" s="323"/>
      <c r="E40" s="70"/>
      <c r="F40" s="70"/>
      <c r="G40" s="47"/>
      <c r="H40" s="48"/>
      <c r="I40" s="48"/>
      <c r="J40" s="28"/>
      <c r="K40" s="49"/>
      <c r="L40" s="49"/>
      <c r="M40" s="28"/>
      <c r="N40" s="49"/>
      <c r="O40" s="49"/>
      <c r="P40" s="28"/>
      <c r="Q40" s="49"/>
      <c r="R40" s="49"/>
      <c r="S40" s="28"/>
      <c r="T40" s="49"/>
      <c r="U40" s="49"/>
      <c r="V40" s="28"/>
      <c r="W40" s="112"/>
    </row>
    <row r="41" spans="1:23" s="2" customFormat="1">
      <c r="A41" s="235">
        <v>18601102</v>
      </c>
      <c r="B41" s="236">
        <v>18608112</v>
      </c>
      <c r="C41" s="135" t="s">
        <v>113</v>
      </c>
      <c r="D41" s="594" t="s">
        <v>100</v>
      </c>
      <c r="E41" s="574"/>
      <c r="F41" s="575"/>
      <c r="G41" s="12">
        <v>4147808.8500000006</v>
      </c>
      <c r="H41" s="12">
        <f>7606.86</f>
        <v>7606.86</v>
      </c>
      <c r="I41" s="12">
        <f>32351.19</f>
        <v>32351.19</v>
      </c>
      <c r="J41" s="12">
        <v>28963.07</v>
      </c>
      <c r="K41" s="12">
        <v>0</v>
      </c>
      <c r="L41" s="12">
        <v>26073.78</v>
      </c>
      <c r="M41" s="12">
        <f>18420.62</f>
        <v>18420.62</v>
      </c>
      <c r="N41" s="12">
        <f>23427.41</f>
        <v>23427.41</v>
      </c>
      <c r="O41" s="12">
        <v>143</v>
      </c>
      <c r="P41" s="12">
        <f>17757.27</f>
        <v>17757.27</v>
      </c>
      <c r="Q41" s="12">
        <f>51717.65</f>
        <v>51717.65</v>
      </c>
      <c r="R41" s="12">
        <f>21607.48</f>
        <v>21607.48</v>
      </c>
      <c r="S41" s="12">
        <f>9823.25</f>
        <v>9823.25</v>
      </c>
      <c r="T41" s="12">
        <f>19278.45</f>
        <v>19278.45</v>
      </c>
      <c r="U41" s="12">
        <f>28882.22</f>
        <v>28882.22</v>
      </c>
      <c r="V41" s="12">
        <f>181662.74</f>
        <v>181662.74</v>
      </c>
      <c r="W41" s="14">
        <f t="shared" ref="W41:W43" si="17">SUM(G41:V41)</f>
        <v>4615523.8400000017</v>
      </c>
    </row>
    <row r="42" spans="1:23" s="2" customFormat="1">
      <c r="A42" s="235">
        <v>18601102</v>
      </c>
      <c r="B42" s="236">
        <v>18608112</v>
      </c>
      <c r="C42" s="135" t="s">
        <v>114</v>
      </c>
      <c r="D42" s="596"/>
      <c r="E42" s="574"/>
      <c r="F42" s="576"/>
      <c r="G42" s="72">
        <v>34881722.379999995</v>
      </c>
      <c r="H42" s="12">
        <v>0</v>
      </c>
      <c r="I42" s="12">
        <f>H42</f>
        <v>0</v>
      </c>
      <c r="J42" s="12">
        <v>0</v>
      </c>
      <c r="K42" s="12">
        <f>J42</f>
        <v>0</v>
      </c>
      <c r="L42" s="12">
        <f t="shared" ref="L42:U42" si="18">K42</f>
        <v>0</v>
      </c>
      <c r="M42" s="12">
        <f t="shared" si="18"/>
        <v>0</v>
      </c>
      <c r="N42" s="12">
        <f t="shared" si="18"/>
        <v>0</v>
      </c>
      <c r="O42" s="12">
        <f t="shared" si="18"/>
        <v>0</v>
      </c>
      <c r="P42" s="12">
        <f t="shared" si="18"/>
        <v>0</v>
      </c>
      <c r="Q42" s="12">
        <f t="shared" si="18"/>
        <v>0</v>
      </c>
      <c r="R42" s="12">
        <f t="shared" si="18"/>
        <v>0</v>
      </c>
      <c r="S42" s="12">
        <f t="shared" si="18"/>
        <v>0</v>
      </c>
      <c r="T42" s="12">
        <f t="shared" si="18"/>
        <v>0</v>
      </c>
      <c r="U42" s="12">
        <f t="shared" si="18"/>
        <v>0</v>
      </c>
      <c r="V42" s="12">
        <f>U42</f>
        <v>0</v>
      </c>
      <c r="W42" s="14">
        <f t="shared" si="17"/>
        <v>34881722.379999995</v>
      </c>
    </row>
    <row r="43" spans="1:23" s="2" customFormat="1">
      <c r="A43" s="235"/>
      <c r="B43" s="322">
        <v>18608112</v>
      </c>
      <c r="C43" s="135" t="s">
        <v>30</v>
      </c>
      <c r="D43" s="330"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175">
        <v>-39029531.229999997</v>
      </c>
      <c r="W43" s="18">
        <f t="shared" si="17"/>
        <v>-39029531.229999997</v>
      </c>
    </row>
    <row r="44" spans="1:23" s="2" customFormat="1">
      <c r="A44" s="321"/>
      <c r="B44" s="322"/>
      <c r="C44" s="41" t="s">
        <v>115</v>
      </c>
      <c r="D44" s="317"/>
      <c r="E44" s="118"/>
      <c r="F44" s="127"/>
      <c r="G44" s="21">
        <f t="shared" ref="G44:V44" si="19">SUM(G41:G43)</f>
        <v>39029531.229999997</v>
      </c>
      <c r="H44" s="21">
        <f t="shared" si="19"/>
        <v>7606.86</v>
      </c>
      <c r="I44" s="21">
        <f t="shared" si="19"/>
        <v>32351.19</v>
      </c>
      <c r="J44" s="21">
        <f t="shared" si="19"/>
        <v>28963.07</v>
      </c>
      <c r="K44" s="21">
        <f t="shared" si="19"/>
        <v>0</v>
      </c>
      <c r="L44" s="21">
        <f t="shared" si="19"/>
        <v>26073.78</v>
      </c>
      <c r="M44" s="21">
        <f t="shared" si="19"/>
        <v>18420.62</v>
      </c>
      <c r="N44" s="21">
        <f t="shared" si="19"/>
        <v>23427.41</v>
      </c>
      <c r="O44" s="21">
        <f t="shared" si="19"/>
        <v>143</v>
      </c>
      <c r="P44" s="21">
        <f t="shared" si="19"/>
        <v>17757.27</v>
      </c>
      <c r="Q44" s="21">
        <f t="shared" si="19"/>
        <v>51717.65</v>
      </c>
      <c r="R44" s="21">
        <f t="shared" si="19"/>
        <v>21607.48</v>
      </c>
      <c r="S44" s="21">
        <f t="shared" si="19"/>
        <v>9823.25</v>
      </c>
      <c r="T44" s="21">
        <f t="shared" si="19"/>
        <v>19278.45</v>
      </c>
      <c r="U44" s="21">
        <f t="shared" si="19"/>
        <v>28882.22</v>
      </c>
      <c r="V44" s="21">
        <f t="shared" si="19"/>
        <v>-38847868.489999995</v>
      </c>
      <c r="W44" s="22">
        <f>SUM(W41:W43)</f>
        <v>467714.99000000209</v>
      </c>
    </row>
    <row r="45" spans="1:23" s="50" customFormat="1" ht="11.25">
      <c r="A45" s="238"/>
      <c r="B45" s="239"/>
      <c r="C45" s="240"/>
      <c r="D45" s="323"/>
      <c r="E45" s="70"/>
      <c r="F45" s="70"/>
      <c r="G45" s="47"/>
      <c r="H45" s="48"/>
      <c r="I45" s="48"/>
      <c r="J45" s="28"/>
      <c r="K45" s="49"/>
      <c r="L45" s="49"/>
      <c r="M45" s="28"/>
      <c r="N45" s="49"/>
      <c r="O45" s="49"/>
      <c r="P45" s="28"/>
      <c r="Q45" s="49"/>
      <c r="R45" s="49"/>
      <c r="S45" s="28"/>
      <c r="T45" s="49"/>
      <c r="U45" s="49"/>
      <c r="V45" s="28"/>
      <c r="W45" s="112"/>
    </row>
    <row r="46" spans="1:23" s="2" customFormat="1">
      <c r="A46" s="235">
        <v>18603202</v>
      </c>
      <c r="B46" s="236">
        <v>18609532</v>
      </c>
      <c r="C46" s="135" t="s">
        <v>116</v>
      </c>
      <c r="D46" s="324" t="s">
        <v>92</v>
      </c>
      <c r="E46" s="113"/>
      <c r="F46" s="42"/>
      <c r="G46" s="52">
        <v>436858.74</v>
      </c>
      <c r="H46" s="52">
        <f>-181223.3</f>
        <v>-181223.3</v>
      </c>
      <c r="I46" s="52">
        <f>194010.96</f>
        <v>194010.96</v>
      </c>
      <c r="J46" s="52">
        <v>29882.55</v>
      </c>
      <c r="K46" s="52">
        <f>3576.66</f>
        <v>3576.66</v>
      </c>
      <c r="L46" s="52">
        <f>15240.37</f>
        <v>15240.37</v>
      </c>
      <c r="M46" s="52">
        <f>32102.37</f>
        <v>32102.37</v>
      </c>
      <c r="N46" s="52">
        <f>21865.13</f>
        <v>21865.13</v>
      </c>
      <c r="O46" s="52">
        <f>22310.63</f>
        <v>22310.63</v>
      </c>
      <c r="P46" s="52">
        <f>47813.9</f>
        <v>47813.9</v>
      </c>
      <c r="Q46" s="52">
        <f>271130.54</f>
        <v>271130.53999999998</v>
      </c>
      <c r="R46" s="52">
        <f>2849.5</f>
        <v>2849.5</v>
      </c>
      <c r="S46" s="52">
        <f>77464.79</f>
        <v>77464.789999999994</v>
      </c>
      <c r="T46" s="52">
        <f>107236.08</f>
        <v>107236.08</v>
      </c>
      <c r="U46" s="52">
        <f>249</f>
        <v>249</v>
      </c>
      <c r="V46" s="52">
        <f>166</f>
        <v>166</v>
      </c>
      <c r="W46" s="14">
        <f t="shared" ref="W46:W47" si="20">SUM(G46:V46)</f>
        <v>1081533.9200000002</v>
      </c>
    </row>
    <row r="47" spans="1:23" s="2" customFormat="1">
      <c r="A47" s="235"/>
      <c r="B47" s="322">
        <v>18609532</v>
      </c>
      <c r="C47" s="135" t="s">
        <v>30</v>
      </c>
      <c r="D47" s="330"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175">
        <v>-436858.74</v>
      </c>
      <c r="W47" s="18">
        <f t="shared" si="20"/>
        <v>-436858.74</v>
      </c>
    </row>
    <row r="48" spans="1:23" s="2" customFormat="1">
      <c r="A48" s="321"/>
      <c r="B48" s="322"/>
      <c r="C48" s="331" t="s">
        <v>117</v>
      </c>
      <c r="D48" s="317"/>
      <c r="E48" s="60"/>
      <c r="F48" s="127"/>
      <c r="G48" s="21">
        <f t="shared" ref="G48:V48" si="21">SUM(G46:G47)</f>
        <v>436858.74</v>
      </c>
      <c r="H48" s="21">
        <f t="shared" si="21"/>
        <v>-181223.3</v>
      </c>
      <c r="I48" s="21">
        <f t="shared" si="21"/>
        <v>194010.96</v>
      </c>
      <c r="J48" s="21">
        <f t="shared" si="21"/>
        <v>29882.55</v>
      </c>
      <c r="K48" s="21">
        <f t="shared" si="21"/>
        <v>3576.66</v>
      </c>
      <c r="L48" s="21">
        <f t="shared" si="21"/>
        <v>15240.37</v>
      </c>
      <c r="M48" s="21">
        <f t="shared" si="21"/>
        <v>32102.37</v>
      </c>
      <c r="N48" s="21">
        <f t="shared" si="21"/>
        <v>21865.13</v>
      </c>
      <c r="O48" s="21">
        <f t="shared" si="21"/>
        <v>22310.63</v>
      </c>
      <c r="P48" s="21">
        <f t="shared" si="21"/>
        <v>47813.9</v>
      </c>
      <c r="Q48" s="21">
        <f t="shared" si="21"/>
        <v>271130.53999999998</v>
      </c>
      <c r="R48" s="21">
        <f t="shared" si="21"/>
        <v>2849.5</v>
      </c>
      <c r="S48" s="21">
        <f t="shared" si="21"/>
        <v>77464.789999999994</v>
      </c>
      <c r="T48" s="21">
        <f t="shared" si="21"/>
        <v>107236.08</v>
      </c>
      <c r="U48" s="21">
        <f t="shared" si="21"/>
        <v>249</v>
      </c>
      <c r="V48" s="21">
        <f t="shared" si="21"/>
        <v>-436692.74</v>
      </c>
      <c r="W48" s="22">
        <f>SUM(W45:W47)</f>
        <v>644675.18000000017</v>
      </c>
    </row>
    <row r="49" spans="1:23" s="50" customFormat="1" ht="11.25">
      <c r="A49" s="238"/>
      <c r="B49" s="239"/>
      <c r="C49" s="240"/>
      <c r="D49" s="323"/>
      <c r="E49" s="70"/>
      <c r="F49" s="70"/>
      <c r="G49" s="47"/>
      <c r="H49" s="48"/>
      <c r="I49" s="48"/>
      <c r="J49" s="28"/>
      <c r="K49" s="49"/>
      <c r="L49" s="49"/>
      <c r="M49" s="28"/>
      <c r="N49" s="49"/>
      <c r="O49" s="49"/>
      <c r="P49" s="28"/>
      <c r="Q49" s="49"/>
      <c r="R49" s="49"/>
      <c r="S49" s="28"/>
      <c r="T49" s="49"/>
      <c r="U49" s="49"/>
      <c r="V49" s="28"/>
      <c r="W49" s="112"/>
    </row>
    <row r="50" spans="1:23" s="2" customFormat="1">
      <c r="A50" s="235">
        <v>18614402</v>
      </c>
      <c r="B50" s="236">
        <v>18609542</v>
      </c>
      <c r="C50" s="135" t="s">
        <v>118</v>
      </c>
      <c r="D50" s="594" t="s">
        <v>92</v>
      </c>
      <c r="E50" s="574"/>
      <c r="F50" s="572"/>
      <c r="G50" s="52">
        <v>1263973.54</v>
      </c>
      <c r="H50" s="52">
        <v>2360</v>
      </c>
      <c r="I50" s="52">
        <v>0</v>
      </c>
      <c r="J50" s="52">
        <v>-680.23</v>
      </c>
      <c r="K50" s="52">
        <v>0</v>
      </c>
      <c r="L50" s="52">
        <f t="shared" ref="L50:U52" si="22">K50</f>
        <v>0</v>
      </c>
      <c r="M50" s="52">
        <f t="shared" si="22"/>
        <v>0</v>
      </c>
      <c r="N50" s="52">
        <f t="shared" si="22"/>
        <v>0</v>
      </c>
      <c r="O50" s="52">
        <f t="shared" si="22"/>
        <v>0</v>
      </c>
      <c r="P50" s="52">
        <f t="shared" si="22"/>
        <v>0</v>
      </c>
      <c r="Q50" s="52">
        <f t="shared" si="22"/>
        <v>0</v>
      </c>
      <c r="R50" s="52">
        <f t="shared" si="22"/>
        <v>0</v>
      </c>
      <c r="S50" s="52">
        <f t="shared" si="22"/>
        <v>0</v>
      </c>
      <c r="T50" s="52">
        <f t="shared" si="22"/>
        <v>0</v>
      </c>
      <c r="U50" s="52">
        <f t="shared" si="22"/>
        <v>0</v>
      </c>
      <c r="V50" s="52">
        <f>U50+8491.4</f>
        <v>8491.4</v>
      </c>
      <c r="W50" s="14">
        <f t="shared" ref="W50:W53" si="23">SUM(G50:V50)</f>
        <v>1274144.71</v>
      </c>
    </row>
    <row r="51" spans="1:23" s="2" customFormat="1">
      <c r="A51" s="235"/>
      <c r="B51" s="236">
        <v>18608792</v>
      </c>
      <c r="C51" s="135" t="s">
        <v>119</v>
      </c>
      <c r="D51" s="596"/>
      <c r="E51" s="574"/>
      <c r="F51" s="573"/>
      <c r="G51" s="52">
        <v>-160310.15</v>
      </c>
      <c r="H51" s="52">
        <v>0</v>
      </c>
      <c r="I51" s="52">
        <f>H51</f>
        <v>0</v>
      </c>
      <c r="J51" s="52">
        <v>0</v>
      </c>
      <c r="K51" s="52">
        <f>J51</f>
        <v>0</v>
      </c>
      <c r="L51" s="52">
        <f t="shared" si="22"/>
        <v>0</v>
      </c>
      <c r="M51" s="52">
        <f t="shared" si="22"/>
        <v>0</v>
      </c>
      <c r="N51" s="52">
        <f t="shared" si="22"/>
        <v>0</v>
      </c>
      <c r="O51" s="52">
        <f t="shared" si="22"/>
        <v>0</v>
      </c>
      <c r="P51" s="52">
        <f t="shared" si="22"/>
        <v>0</v>
      </c>
      <c r="Q51" s="52">
        <f t="shared" si="22"/>
        <v>0</v>
      </c>
      <c r="R51" s="52">
        <f t="shared" si="22"/>
        <v>0</v>
      </c>
      <c r="S51" s="52">
        <f t="shared" si="22"/>
        <v>0</v>
      </c>
      <c r="T51" s="52">
        <f t="shared" si="22"/>
        <v>0</v>
      </c>
      <c r="U51" s="52">
        <f t="shared" si="22"/>
        <v>0</v>
      </c>
      <c r="V51" s="52">
        <f>U51</f>
        <v>0</v>
      </c>
      <c r="W51" s="14">
        <f t="shared" si="23"/>
        <v>-160310.15</v>
      </c>
    </row>
    <row r="52" spans="1:23" s="2" customFormat="1">
      <c r="A52" s="235"/>
      <c r="B52" s="236">
        <v>18609542</v>
      </c>
      <c r="C52" s="135" t="s">
        <v>30</v>
      </c>
      <c r="D52" s="594" t="s">
        <v>93</v>
      </c>
      <c r="E52" s="583">
        <v>43070</v>
      </c>
      <c r="F52" s="583" t="s">
        <v>16</v>
      </c>
      <c r="G52" s="52">
        <v>0</v>
      </c>
      <c r="H52" s="52">
        <v>0</v>
      </c>
      <c r="I52" s="52">
        <v>0</v>
      </c>
      <c r="J52" s="52">
        <v>0</v>
      </c>
      <c r="K52" s="52">
        <f t="shared" ref="K52" si="24">J52</f>
        <v>0</v>
      </c>
      <c r="L52" s="52">
        <f t="shared" si="22"/>
        <v>0</v>
      </c>
      <c r="M52" s="52">
        <f t="shared" si="22"/>
        <v>0</v>
      </c>
      <c r="N52" s="52">
        <f t="shared" si="22"/>
        <v>0</v>
      </c>
      <c r="O52" s="52">
        <f t="shared" si="22"/>
        <v>0</v>
      </c>
      <c r="P52" s="52">
        <f t="shared" si="22"/>
        <v>0</v>
      </c>
      <c r="Q52" s="52">
        <f t="shared" si="22"/>
        <v>0</v>
      </c>
      <c r="R52" s="52">
        <f t="shared" si="22"/>
        <v>0</v>
      </c>
      <c r="S52" s="52">
        <f t="shared" si="22"/>
        <v>0</v>
      </c>
      <c r="T52" s="52">
        <f t="shared" si="22"/>
        <v>0</v>
      </c>
      <c r="U52" s="52">
        <f t="shared" si="22"/>
        <v>0</v>
      </c>
      <c r="V52" s="52">
        <v>-1263973.54</v>
      </c>
      <c r="W52" s="14">
        <f t="shared" si="23"/>
        <v>-1263973.54</v>
      </c>
    </row>
    <row r="53" spans="1:23" s="2" customFormat="1">
      <c r="A53" s="235"/>
      <c r="B53" s="236">
        <v>18608792</v>
      </c>
      <c r="C53" s="135" t="s">
        <v>30</v>
      </c>
      <c r="D53" s="59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175">
        <v>160310.15</v>
      </c>
      <c r="W53" s="18">
        <f t="shared" si="23"/>
        <v>160310.15</v>
      </c>
    </row>
    <row r="54" spans="1:23" s="2" customFormat="1">
      <c r="A54" s="321"/>
      <c r="B54" s="322"/>
      <c r="C54" s="331" t="s">
        <v>120</v>
      </c>
      <c r="D54" s="317"/>
      <c r="E54" s="60"/>
      <c r="F54" s="127"/>
      <c r="G54" s="21">
        <f t="shared" ref="G54:V54" si="25">SUM(G50:G53)</f>
        <v>1103663.3900000001</v>
      </c>
      <c r="H54" s="21">
        <f t="shared" si="25"/>
        <v>2360</v>
      </c>
      <c r="I54" s="21">
        <f t="shared" si="25"/>
        <v>0</v>
      </c>
      <c r="J54" s="21">
        <f t="shared" si="25"/>
        <v>-680.23</v>
      </c>
      <c r="K54" s="21">
        <f t="shared" si="25"/>
        <v>0</v>
      </c>
      <c r="L54" s="21">
        <f t="shared" si="25"/>
        <v>0</v>
      </c>
      <c r="M54" s="21">
        <f t="shared" si="25"/>
        <v>0</v>
      </c>
      <c r="N54" s="21">
        <f t="shared" si="25"/>
        <v>0</v>
      </c>
      <c r="O54" s="21">
        <f t="shared" si="25"/>
        <v>0</v>
      </c>
      <c r="P54" s="21">
        <f t="shared" si="25"/>
        <v>0</v>
      </c>
      <c r="Q54" s="21">
        <f t="shared" si="25"/>
        <v>0</v>
      </c>
      <c r="R54" s="21">
        <f t="shared" si="25"/>
        <v>0</v>
      </c>
      <c r="S54" s="21">
        <f t="shared" si="25"/>
        <v>0</v>
      </c>
      <c r="T54" s="21">
        <f t="shared" si="25"/>
        <v>0</v>
      </c>
      <c r="U54" s="21">
        <f t="shared" si="25"/>
        <v>0</v>
      </c>
      <c r="V54" s="21">
        <f t="shared" si="25"/>
        <v>-1095171.9900000002</v>
      </c>
      <c r="W54" s="22">
        <f>SUM(W50:W53)</f>
        <v>10171.170000000013</v>
      </c>
    </row>
    <row r="55" spans="1:23" s="50" customFormat="1" ht="11.25">
      <c r="A55" s="238"/>
      <c r="B55" s="239"/>
      <c r="C55" s="240"/>
      <c r="D55" s="323"/>
      <c r="E55" s="70"/>
      <c r="F55" s="70"/>
      <c r="G55" s="47"/>
      <c r="H55" s="48"/>
      <c r="I55" s="48"/>
      <c r="J55" s="28"/>
      <c r="K55" s="49"/>
      <c r="L55" s="49"/>
      <c r="M55" s="28"/>
      <c r="N55" s="49"/>
      <c r="O55" s="49"/>
      <c r="P55" s="28"/>
      <c r="Q55" s="49"/>
      <c r="R55" s="49"/>
      <c r="S55" s="28"/>
      <c r="T55" s="49"/>
      <c r="U55" s="49"/>
      <c r="V55" s="28"/>
      <c r="W55" s="112"/>
    </row>
    <row r="56" spans="1:23" s="2" customFormat="1">
      <c r="A56" s="235">
        <v>18608302</v>
      </c>
      <c r="B56" s="236">
        <v>18608752</v>
      </c>
      <c r="C56" s="135" t="s">
        <v>121</v>
      </c>
      <c r="D56" s="594" t="s">
        <v>92</v>
      </c>
      <c r="E56" s="574"/>
      <c r="F56" s="572"/>
      <c r="G56" s="52">
        <v>2050122.67</v>
      </c>
      <c r="H56" s="52">
        <v>0</v>
      </c>
      <c r="I56" s="52">
        <f>H56</f>
        <v>0</v>
      </c>
      <c r="J56" s="52">
        <v>0</v>
      </c>
      <c r="K56" s="52">
        <f>J56</f>
        <v>0</v>
      </c>
      <c r="L56" s="52">
        <f t="shared" ref="L56:V57" si="26">K56</f>
        <v>0</v>
      </c>
      <c r="M56" s="52">
        <f t="shared" si="26"/>
        <v>0</v>
      </c>
      <c r="N56" s="52">
        <f t="shared" si="26"/>
        <v>0</v>
      </c>
      <c r="O56" s="52">
        <f t="shared" si="26"/>
        <v>0</v>
      </c>
      <c r="P56" s="52">
        <f t="shared" si="26"/>
        <v>0</v>
      </c>
      <c r="Q56" s="52">
        <f t="shared" si="26"/>
        <v>0</v>
      </c>
      <c r="R56" s="52">
        <f t="shared" si="26"/>
        <v>0</v>
      </c>
      <c r="S56" s="52">
        <f t="shared" si="26"/>
        <v>0</v>
      </c>
      <c r="T56" s="52">
        <f t="shared" si="26"/>
        <v>0</v>
      </c>
      <c r="U56" s="52">
        <f t="shared" si="26"/>
        <v>0</v>
      </c>
      <c r="V56" s="52">
        <f t="shared" si="26"/>
        <v>0</v>
      </c>
      <c r="W56" s="14">
        <f t="shared" ref="W56:W58" si="27">SUM(G56:V56)</f>
        <v>2050122.67</v>
      </c>
    </row>
    <row r="57" spans="1:23" s="2" customFormat="1">
      <c r="A57" s="235"/>
      <c r="B57" s="236">
        <v>18608752</v>
      </c>
      <c r="C57" s="135" t="s">
        <v>199</v>
      </c>
      <c r="D57" s="596"/>
      <c r="E57" s="574"/>
      <c r="F57" s="573"/>
      <c r="G57" s="52">
        <v>-1114592.67</v>
      </c>
      <c r="H57" s="52">
        <v>0</v>
      </c>
      <c r="I57" s="52">
        <f>H57</f>
        <v>0</v>
      </c>
      <c r="J57" s="52">
        <v>0</v>
      </c>
      <c r="K57" s="52">
        <f>J57</f>
        <v>0</v>
      </c>
      <c r="L57" s="52">
        <f t="shared" si="26"/>
        <v>0</v>
      </c>
      <c r="M57" s="52">
        <f t="shared" si="26"/>
        <v>0</v>
      </c>
      <c r="N57" s="52">
        <f t="shared" si="26"/>
        <v>0</v>
      </c>
      <c r="O57" s="52">
        <f t="shared" si="26"/>
        <v>0</v>
      </c>
      <c r="P57" s="52">
        <f t="shared" si="26"/>
        <v>0</v>
      </c>
      <c r="Q57" s="52">
        <f t="shared" si="26"/>
        <v>0</v>
      </c>
      <c r="R57" s="52">
        <f t="shared" si="26"/>
        <v>0</v>
      </c>
      <c r="S57" s="52">
        <f t="shared" si="26"/>
        <v>0</v>
      </c>
      <c r="T57" s="52">
        <f t="shared" si="26"/>
        <v>0</v>
      </c>
      <c r="U57" s="52">
        <f t="shared" si="26"/>
        <v>0</v>
      </c>
      <c r="V57" s="52">
        <f t="shared" si="26"/>
        <v>0</v>
      </c>
      <c r="W57" s="14">
        <f t="shared" si="27"/>
        <v>-1114592.67</v>
      </c>
    </row>
    <row r="58" spans="1:23" s="2" customFormat="1">
      <c r="A58" s="235"/>
      <c r="B58" s="236">
        <v>18608752</v>
      </c>
      <c r="C58" s="135" t="s">
        <v>30</v>
      </c>
      <c r="D58" s="330"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175">
        <v>-935530</v>
      </c>
      <c r="W58" s="18">
        <f t="shared" si="27"/>
        <v>-935530</v>
      </c>
    </row>
    <row r="59" spans="1:23" s="2" customFormat="1">
      <c r="A59" s="321"/>
      <c r="B59" s="322"/>
      <c r="C59" s="331" t="s">
        <v>123</v>
      </c>
      <c r="D59" s="317"/>
      <c r="E59" s="60"/>
      <c r="F59" s="127"/>
      <c r="G59" s="21">
        <f t="shared" ref="G59:V59" si="28">SUM(G56:G58)</f>
        <v>935530</v>
      </c>
      <c r="H59" s="21">
        <f t="shared" si="28"/>
        <v>0</v>
      </c>
      <c r="I59" s="21">
        <f t="shared" si="28"/>
        <v>0</v>
      </c>
      <c r="J59" s="21">
        <f t="shared" si="28"/>
        <v>0</v>
      </c>
      <c r="K59" s="21">
        <f t="shared" si="28"/>
        <v>0</v>
      </c>
      <c r="L59" s="21">
        <f t="shared" si="28"/>
        <v>0</v>
      </c>
      <c r="M59" s="21">
        <f t="shared" si="28"/>
        <v>0</v>
      </c>
      <c r="N59" s="21">
        <f t="shared" si="28"/>
        <v>0</v>
      </c>
      <c r="O59" s="21">
        <f t="shared" si="28"/>
        <v>0</v>
      </c>
      <c r="P59" s="21">
        <f t="shared" si="28"/>
        <v>0</v>
      </c>
      <c r="Q59" s="21">
        <f t="shared" si="28"/>
        <v>0</v>
      </c>
      <c r="R59" s="21">
        <f t="shared" si="28"/>
        <v>0</v>
      </c>
      <c r="S59" s="21">
        <f t="shared" si="28"/>
        <v>0</v>
      </c>
      <c r="T59" s="21">
        <f t="shared" si="28"/>
        <v>0</v>
      </c>
      <c r="U59" s="21">
        <f t="shared" si="28"/>
        <v>0</v>
      </c>
      <c r="V59" s="21">
        <f t="shared" si="28"/>
        <v>-935530</v>
      </c>
      <c r="W59" s="22">
        <f>SUM(W55:W58)</f>
        <v>0</v>
      </c>
    </row>
    <row r="60" spans="1:23" s="50" customFormat="1" ht="11.25">
      <c r="A60" s="238"/>
      <c r="B60" s="239"/>
      <c r="C60" s="240"/>
      <c r="D60" s="323"/>
      <c r="E60" s="70"/>
      <c r="F60" s="70"/>
      <c r="G60" s="47"/>
      <c r="H60" s="48"/>
      <c r="I60" s="48"/>
      <c r="J60" s="28"/>
      <c r="K60" s="49"/>
      <c r="L60" s="49"/>
      <c r="M60" s="28"/>
      <c r="N60" s="49"/>
      <c r="O60" s="49"/>
      <c r="P60" s="28"/>
      <c r="Q60" s="49"/>
      <c r="R60" s="49"/>
      <c r="S60" s="28"/>
      <c r="T60" s="49"/>
      <c r="U60" s="49"/>
      <c r="V60" s="28"/>
      <c r="W60" s="112"/>
    </row>
    <row r="61" spans="1:23" s="2" customFormat="1">
      <c r="A61" s="235">
        <v>18607104</v>
      </c>
      <c r="B61" s="236">
        <v>18608002</v>
      </c>
      <c r="C61" s="135" t="s">
        <v>124</v>
      </c>
      <c r="D61" s="324" t="s">
        <v>92</v>
      </c>
      <c r="E61" s="113"/>
      <c r="F61" s="42"/>
      <c r="G61" s="52">
        <v>518202.47000000003</v>
      </c>
      <c r="H61" s="52">
        <f>102328</f>
        <v>102328</v>
      </c>
      <c r="I61" s="52">
        <v>0</v>
      </c>
      <c r="J61" s="52">
        <v>8406.98</v>
      </c>
      <c r="K61" s="52">
        <f>37123.95</f>
        <v>37123.949999999997</v>
      </c>
      <c r="L61" s="52">
        <f>1584.89</f>
        <v>1584.89</v>
      </c>
      <c r="M61" s="52">
        <f>854.61</f>
        <v>854.61</v>
      </c>
      <c r="N61" s="52">
        <v>0</v>
      </c>
      <c r="O61" s="52">
        <f>57600.19</f>
        <v>57600.19</v>
      </c>
      <c r="P61" s="52">
        <f>2680.5</f>
        <v>2680.5</v>
      </c>
      <c r="Q61" s="52">
        <f>14186.35</f>
        <v>14186.35</v>
      </c>
      <c r="R61" s="52">
        <f>1430</f>
        <v>1430</v>
      </c>
      <c r="S61" s="52">
        <f>322.5</f>
        <v>322.5</v>
      </c>
      <c r="T61" s="52">
        <v>0</v>
      </c>
      <c r="U61" s="52">
        <f>18671.58</f>
        <v>18671.580000000002</v>
      </c>
      <c r="V61" s="52">
        <f>7486.39</f>
        <v>7486.39</v>
      </c>
      <c r="W61" s="14">
        <f>SUM(G61:V61)</f>
        <v>770878.4099999998</v>
      </c>
    </row>
    <row r="62" spans="1:23" s="2" customFormat="1">
      <c r="A62" s="235"/>
      <c r="B62" s="236">
        <v>18608002</v>
      </c>
      <c r="C62" s="135" t="s">
        <v>30</v>
      </c>
      <c r="D62" s="330"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175">
        <f>-518202.47</f>
        <v>-518202.47</v>
      </c>
      <c r="W62" s="18">
        <f t="shared" ref="W62" si="29">SUM(G62:V62)</f>
        <v>-518202.47</v>
      </c>
    </row>
    <row r="63" spans="1:23" s="2" customFormat="1">
      <c r="A63" s="321"/>
      <c r="B63" s="322"/>
      <c r="C63" s="331" t="s">
        <v>125</v>
      </c>
      <c r="D63" s="317"/>
      <c r="E63" s="60"/>
      <c r="F63" s="127"/>
      <c r="G63" s="21">
        <f t="shared" ref="G63:V63" si="30">SUM(G61:G62)</f>
        <v>518202.47000000003</v>
      </c>
      <c r="H63" s="21">
        <f t="shared" si="30"/>
        <v>102328</v>
      </c>
      <c r="I63" s="21">
        <f t="shared" si="30"/>
        <v>0</v>
      </c>
      <c r="J63" s="21">
        <f t="shared" si="30"/>
        <v>8406.98</v>
      </c>
      <c r="K63" s="21">
        <f t="shared" si="30"/>
        <v>37123.949999999997</v>
      </c>
      <c r="L63" s="21">
        <f t="shared" si="30"/>
        <v>1584.89</v>
      </c>
      <c r="M63" s="21">
        <f t="shared" si="30"/>
        <v>854.61</v>
      </c>
      <c r="N63" s="21">
        <f t="shared" si="30"/>
        <v>0</v>
      </c>
      <c r="O63" s="21">
        <f t="shared" si="30"/>
        <v>57600.19</v>
      </c>
      <c r="P63" s="21">
        <f t="shared" si="30"/>
        <v>2680.5</v>
      </c>
      <c r="Q63" s="21">
        <f t="shared" si="30"/>
        <v>14186.35</v>
      </c>
      <c r="R63" s="21">
        <f t="shared" si="30"/>
        <v>1430</v>
      </c>
      <c r="S63" s="21">
        <f t="shared" si="30"/>
        <v>322.5</v>
      </c>
      <c r="T63" s="21">
        <f t="shared" si="30"/>
        <v>0</v>
      </c>
      <c r="U63" s="21">
        <f t="shared" si="30"/>
        <v>18671.580000000002</v>
      </c>
      <c r="V63" s="21">
        <f t="shared" si="30"/>
        <v>-510716.07999999996</v>
      </c>
      <c r="W63" s="22">
        <f>SUM(W61:W62)</f>
        <v>252675.93999999983</v>
      </c>
    </row>
    <row r="64" spans="1:23" s="50" customFormat="1" ht="11.25">
      <c r="A64" s="238"/>
      <c r="B64" s="239"/>
      <c r="C64" s="240"/>
      <c r="D64" s="323"/>
      <c r="E64" s="70"/>
      <c r="F64" s="70"/>
      <c r="G64" s="47"/>
      <c r="H64" s="48"/>
      <c r="I64" s="48"/>
      <c r="J64" s="28"/>
      <c r="K64" s="49"/>
      <c r="L64" s="49"/>
      <c r="M64" s="28"/>
      <c r="N64" s="49"/>
      <c r="O64" s="49"/>
      <c r="P64" s="28"/>
      <c r="Q64" s="49"/>
      <c r="R64" s="49"/>
      <c r="S64" s="67"/>
      <c r="T64" s="49"/>
      <c r="U64" s="49"/>
      <c r="V64" s="28"/>
      <c r="W64" s="112"/>
    </row>
    <row r="65" spans="1:24" s="2" customFormat="1">
      <c r="A65" s="235">
        <v>18230212</v>
      </c>
      <c r="B65" s="236">
        <v>18237112</v>
      </c>
      <c r="C65" s="135" t="s">
        <v>126</v>
      </c>
      <c r="D65" s="324" t="s">
        <v>92</v>
      </c>
      <c r="E65" s="113"/>
      <c r="F65" s="42"/>
      <c r="G65" s="12">
        <v>289121.19</v>
      </c>
      <c r="H65" s="12">
        <f>2929.3</f>
        <v>2929.3</v>
      </c>
      <c r="I65" s="12">
        <f>425.1</f>
        <v>425.1</v>
      </c>
      <c r="J65" s="12">
        <v>1753.25</v>
      </c>
      <c r="K65" s="12">
        <v>0</v>
      </c>
      <c r="L65" s="12">
        <f t="shared" ref="L65:V66" si="31">K65</f>
        <v>0</v>
      </c>
      <c r="M65" s="12">
        <f t="shared" si="31"/>
        <v>0</v>
      </c>
      <c r="N65" s="12">
        <f t="shared" si="31"/>
        <v>0</v>
      </c>
      <c r="O65" s="12">
        <f t="shared" si="31"/>
        <v>0</v>
      </c>
      <c r="P65" s="12">
        <f t="shared" si="31"/>
        <v>0</v>
      </c>
      <c r="Q65" s="12">
        <f t="shared" si="31"/>
        <v>0</v>
      </c>
      <c r="R65" s="12">
        <f t="shared" si="31"/>
        <v>0</v>
      </c>
      <c r="S65" s="12">
        <f t="shared" si="31"/>
        <v>0</v>
      </c>
      <c r="T65" s="12">
        <f t="shared" si="31"/>
        <v>0</v>
      </c>
      <c r="U65" s="12">
        <f t="shared" si="31"/>
        <v>0</v>
      </c>
      <c r="V65" s="12">
        <f t="shared" si="31"/>
        <v>0</v>
      </c>
      <c r="W65" s="14">
        <f>SUM(G65:V65)</f>
        <v>294228.83999999997</v>
      </c>
    </row>
    <row r="66" spans="1:24" s="2" customFormat="1">
      <c r="A66" s="235"/>
      <c r="B66" s="236">
        <v>18237112</v>
      </c>
      <c r="C66" s="237" t="s">
        <v>30</v>
      </c>
      <c r="D66" s="330" t="s">
        <v>93</v>
      </c>
      <c r="E66" s="16">
        <v>43070</v>
      </c>
      <c r="F66" s="99" t="s">
        <v>16</v>
      </c>
      <c r="G66" s="17">
        <v>0</v>
      </c>
      <c r="H66" s="17">
        <v>0</v>
      </c>
      <c r="I66" s="17">
        <v>0</v>
      </c>
      <c r="J66" s="17">
        <v>0</v>
      </c>
      <c r="K66" s="17">
        <v>0</v>
      </c>
      <c r="L66" s="17">
        <f t="shared" si="31"/>
        <v>0</v>
      </c>
      <c r="M66" s="17">
        <f t="shared" si="31"/>
        <v>0</v>
      </c>
      <c r="N66" s="17">
        <f t="shared" si="31"/>
        <v>0</v>
      </c>
      <c r="O66" s="17">
        <f t="shared" si="31"/>
        <v>0</v>
      </c>
      <c r="P66" s="17">
        <f t="shared" si="31"/>
        <v>0</v>
      </c>
      <c r="Q66" s="17">
        <f t="shared" si="31"/>
        <v>0</v>
      </c>
      <c r="R66" s="17">
        <f t="shared" si="31"/>
        <v>0</v>
      </c>
      <c r="S66" s="17">
        <f t="shared" si="31"/>
        <v>0</v>
      </c>
      <c r="T66" s="17">
        <f t="shared" si="31"/>
        <v>0</v>
      </c>
      <c r="U66" s="17">
        <f t="shared" si="31"/>
        <v>0</v>
      </c>
      <c r="V66" s="17">
        <v>-289121.19</v>
      </c>
      <c r="W66" s="18">
        <f t="shared" ref="W66" si="32">SUM(G66:V66)</f>
        <v>-289121.19</v>
      </c>
    </row>
    <row r="67" spans="1:24" s="2" customFormat="1">
      <c r="A67" s="235"/>
      <c r="B67" s="236"/>
      <c r="C67" s="199" t="s">
        <v>127</v>
      </c>
      <c r="D67" s="325"/>
      <c r="E67" s="60"/>
      <c r="F67" s="127"/>
      <c r="G67" s="21">
        <f t="shared" ref="G67:V67" si="33">SUM(G65:G66)</f>
        <v>289121.19</v>
      </c>
      <c r="H67" s="21">
        <f t="shared" si="33"/>
        <v>2929.3</v>
      </c>
      <c r="I67" s="21">
        <f t="shared" si="33"/>
        <v>425.1</v>
      </c>
      <c r="J67" s="21">
        <f t="shared" si="33"/>
        <v>1753.25</v>
      </c>
      <c r="K67" s="21">
        <f t="shared" si="33"/>
        <v>0</v>
      </c>
      <c r="L67" s="21">
        <f t="shared" si="33"/>
        <v>0</v>
      </c>
      <c r="M67" s="21">
        <f t="shared" si="33"/>
        <v>0</v>
      </c>
      <c r="N67" s="21">
        <f t="shared" si="33"/>
        <v>0</v>
      </c>
      <c r="O67" s="21">
        <f t="shared" si="33"/>
        <v>0</v>
      </c>
      <c r="P67" s="21">
        <f t="shared" si="33"/>
        <v>0</v>
      </c>
      <c r="Q67" s="21">
        <f t="shared" si="33"/>
        <v>0</v>
      </c>
      <c r="R67" s="21">
        <f t="shared" si="33"/>
        <v>0</v>
      </c>
      <c r="S67" s="21">
        <f t="shared" si="33"/>
        <v>0</v>
      </c>
      <c r="T67" s="21">
        <f t="shared" si="33"/>
        <v>0</v>
      </c>
      <c r="U67" s="21">
        <f t="shared" si="33"/>
        <v>0</v>
      </c>
      <c r="V67" s="21">
        <f t="shared" si="33"/>
        <v>-289121.19</v>
      </c>
      <c r="W67" s="22">
        <f>SUM(W65:W66)</f>
        <v>5107.6499999999651</v>
      </c>
    </row>
    <row r="68" spans="1:24" s="50" customFormat="1" ht="11.25">
      <c r="A68" s="238"/>
      <c r="B68" s="239"/>
      <c r="C68" s="240"/>
      <c r="D68" s="323"/>
      <c r="E68" s="70"/>
      <c r="F68" s="128"/>
      <c r="G68" s="47"/>
      <c r="H68" s="48"/>
      <c r="I68" s="48"/>
      <c r="J68" s="28"/>
      <c r="K68" s="49"/>
      <c r="L68" s="49"/>
      <c r="M68" s="28"/>
      <c r="N68" s="49"/>
      <c r="O68" s="49"/>
      <c r="P68" s="28"/>
      <c r="Q68" s="49"/>
      <c r="R68" s="49"/>
      <c r="S68" s="28"/>
      <c r="T68" s="49"/>
      <c r="U68" s="49"/>
      <c r="V68" s="28"/>
      <c r="W68" s="112"/>
    </row>
    <row r="69" spans="1:24" s="2" customFormat="1">
      <c r="A69" s="235"/>
      <c r="B69" s="236">
        <v>18237122</v>
      </c>
      <c r="C69" s="135" t="s">
        <v>128</v>
      </c>
      <c r="D69" s="332" t="s">
        <v>92</v>
      </c>
      <c r="E69" s="130" t="s">
        <v>129</v>
      </c>
      <c r="F69" s="131"/>
      <c r="G69" s="12">
        <v>169602.13</v>
      </c>
      <c r="H69" s="51">
        <v>0</v>
      </c>
      <c r="I69" s="51">
        <f>H69</f>
        <v>0</v>
      </c>
      <c r="J69" s="12">
        <v>0</v>
      </c>
      <c r="K69" s="12">
        <f>J69</f>
        <v>0</v>
      </c>
      <c r="L69" s="12">
        <f>K69</f>
        <v>0</v>
      </c>
      <c r="M69" s="12">
        <f t="shared" ref="M69:V70" si="34">L69</f>
        <v>0</v>
      </c>
      <c r="N69" s="12">
        <f t="shared" si="34"/>
        <v>0</v>
      </c>
      <c r="O69" s="12">
        <f t="shared" si="34"/>
        <v>0</v>
      </c>
      <c r="P69" s="12">
        <f t="shared" si="34"/>
        <v>0</v>
      </c>
      <c r="Q69" s="12">
        <f t="shared" si="34"/>
        <v>0</v>
      </c>
      <c r="R69" s="12">
        <f t="shared" si="34"/>
        <v>0</v>
      </c>
      <c r="S69" s="12">
        <f t="shared" si="34"/>
        <v>0</v>
      </c>
      <c r="T69" s="12">
        <f t="shared" si="34"/>
        <v>0</v>
      </c>
      <c r="U69" s="12">
        <f t="shared" si="34"/>
        <v>0</v>
      </c>
      <c r="V69" s="12">
        <f t="shared" si="34"/>
        <v>0</v>
      </c>
      <c r="W69" s="14">
        <f>SUM(G69:V69)</f>
        <v>169602.13</v>
      </c>
    </row>
    <row r="70" spans="1:24" s="2" customFormat="1">
      <c r="A70" s="235"/>
      <c r="B70" s="236">
        <v>18237122</v>
      </c>
      <c r="C70" s="237" t="s">
        <v>30</v>
      </c>
      <c r="D70" s="330" t="s">
        <v>93</v>
      </c>
      <c r="E70" s="132">
        <v>43070</v>
      </c>
      <c r="F70" s="133" t="s">
        <v>16</v>
      </c>
      <c r="G70" s="37">
        <v>0</v>
      </c>
      <c r="H70" s="37">
        <v>0</v>
      </c>
      <c r="I70" s="37">
        <v>0</v>
      </c>
      <c r="J70" s="37">
        <v>0</v>
      </c>
      <c r="K70" s="17">
        <v>0</v>
      </c>
      <c r="L70" s="17">
        <f t="shared" ref="L70" si="35">K70</f>
        <v>0</v>
      </c>
      <c r="M70" s="17">
        <f t="shared" si="34"/>
        <v>0</v>
      </c>
      <c r="N70" s="17">
        <f t="shared" si="34"/>
        <v>0</v>
      </c>
      <c r="O70" s="17">
        <f t="shared" si="34"/>
        <v>0</v>
      </c>
      <c r="P70" s="17">
        <f t="shared" si="34"/>
        <v>0</v>
      </c>
      <c r="Q70" s="17">
        <f t="shared" si="34"/>
        <v>0</v>
      </c>
      <c r="R70" s="17">
        <f t="shared" si="34"/>
        <v>0</v>
      </c>
      <c r="S70" s="17">
        <f t="shared" si="34"/>
        <v>0</v>
      </c>
      <c r="T70" s="17">
        <f t="shared" si="34"/>
        <v>0</v>
      </c>
      <c r="U70" s="17">
        <f t="shared" si="34"/>
        <v>0</v>
      </c>
      <c r="V70" s="17">
        <v>-169602.13</v>
      </c>
      <c r="W70" s="18">
        <f t="shared" ref="W70" si="36">SUM(G70:V70)</f>
        <v>-169602.13</v>
      </c>
    </row>
    <row r="71" spans="1:24" s="2" customFormat="1">
      <c r="A71" s="235"/>
      <c r="B71" s="236"/>
      <c r="C71" s="199" t="s">
        <v>130</v>
      </c>
      <c r="D71" s="325"/>
      <c r="E71" s="60"/>
      <c r="F71" s="109"/>
      <c r="G71" s="56">
        <f t="shared" ref="G71:V71" si="37">SUM(G69:G70)</f>
        <v>169602.13</v>
      </c>
      <c r="H71" s="56">
        <f t="shared" si="37"/>
        <v>0</v>
      </c>
      <c r="I71" s="56">
        <f t="shared" si="37"/>
        <v>0</v>
      </c>
      <c r="J71" s="56">
        <f t="shared" si="37"/>
        <v>0</v>
      </c>
      <c r="K71" s="56">
        <f t="shared" si="37"/>
        <v>0</v>
      </c>
      <c r="L71" s="56">
        <f t="shared" si="37"/>
        <v>0</v>
      </c>
      <c r="M71" s="56">
        <f t="shared" si="37"/>
        <v>0</v>
      </c>
      <c r="N71" s="56">
        <f t="shared" si="37"/>
        <v>0</v>
      </c>
      <c r="O71" s="56">
        <f t="shared" si="37"/>
        <v>0</v>
      </c>
      <c r="P71" s="56">
        <f t="shared" si="37"/>
        <v>0</v>
      </c>
      <c r="Q71" s="56">
        <f t="shared" si="37"/>
        <v>0</v>
      </c>
      <c r="R71" s="56">
        <f t="shared" si="37"/>
        <v>0</v>
      </c>
      <c r="S71" s="56">
        <f t="shared" si="37"/>
        <v>0</v>
      </c>
      <c r="T71" s="56">
        <f t="shared" si="37"/>
        <v>0</v>
      </c>
      <c r="U71" s="56">
        <f t="shared" si="37"/>
        <v>0</v>
      </c>
      <c r="V71" s="56">
        <f t="shared" si="37"/>
        <v>-169602.13</v>
      </c>
      <c r="W71" s="22">
        <f>SUM(W69:W70)</f>
        <v>0</v>
      </c>
    </row>
    <row r="72" spans="1:24" s="50" customFormat="1" ht="11.25">
      <c r="A72" s="238"/>
      <c r="B72" s="239"/>
      <c r="C72" s="240"/>
      <c r="D72" s="323"/>
      <c r="E72" s="70"/>
      <c r="F72" s="70"/>
      <c r="G72" s="47"/>
      <c r="H72" s="48"/>
      <c r="I72" s="48"/>
      <c r="J72" s="28"/>
      <c r="K72" s="49"/>
      <c r="L72" s="49"/>
      <c r="M72" s="28"/>
      <c r="N72" s="49"/>
      <c r="O72" s="49"/>
      <c r="P72" s="28"/>
      <c r="Q72" s="49"/>
      <c r="R72" s="49"/>
      <c r="S72" s="67"/>
      <c r="T72" s="49"/>
      <c r="U72" s="49"/>
      <c r="V72" s="28"/>
      <c r="W72" s="112"/>
    </row>
    <row r="73" spans="1:24" s="2" customFormat="1" ht="17.45" customHeight="1">
      <c r="A73" s="235"/>
      <c r="B73" s="236">
        <v>18237132</v>
      </c>
      <c r="C73" s="135" t="s">
        <v>131</v>
      </c>
      <c r="D73" s="332" t="s">
        <v>92</v>
      </c>
      <c r="E73" s="130" t="s">
        <v>129</v>
      </c>
      <c r="F73" s="131"/>
      <c r="G73" s="52">
        <v>133750.43</v>
      </c>
      <c r="H73" s="51">
        <v>0</v>
      </c>
      <c r="I73" s="51">
        <f>H73</f>
        <v>0</v>
      </c>
      <c r="J73" s="52">
        <v>0</v>
      </c>
      <c r="K73" s="52">
        <f>J73</f>
        <v>0</v>
      </c>
      <c r="L73" s="52">
        <f t="shared" ref="L73:V74" si="38">K73</f>
        <v>0</v>
      </c>
      <c r="M73" s="52">
        <f t="shared" si="38"/>
        <v>0</v>
      </c>
      <c r="N73" s="52">
        <f t="shared" si="38"/>
        <v>0</v>
      </c>
      <c r="O73" s="52">
        <f t="shared" si="38"/>
        <v>0</v>
      </c>
      <c r="P73" s="52">
        <f t="shared" si="38"/>
        <v>0</v>
      </c>
      <c r="Q73" s="52">
        <f t="shared" si="38"/>
        <v>0</v>
      </c>
      <c r="R73" s="52">
        <f t="shared" si="38"/>
        <v>0</v>
      </c>
      <c r="S73" s="52">
        <f t="shared" si="38"/>
        <v>0</v>
      </c>
      <c r="T73" s="52">
        <f t="shared" si="38"/>
        <v>0</v>
      </c>
      <c r="U73" s="52">
        <f t="shared" si="38"/>
        <v>0</v>
      </c>
      <c r="V73" s="52">
        <f t="shared" si="38"/>
        <v>0</v>
      </c>
      <c r="W73" s="14">
        <f>SUM(G73:V73)</f>
        <v>133750.43</v>
      </c>
    </row>
    <row r="74" spans="1:24" s="2" customFormat="1">
      <c r="A74" s="235"/>
      <c r="B74" s="236">
        <v>18237132</v>
      </c>
      <c r="C74" s="237" t="s">
        <v>30</v>
      </c>
      <c r="D74" s="330" t="s">
        <v>93</v>
      </c>
      <c r="E74" s="16">
        <v>43070</v>
      </c>
      <c r="F74" s="99" t="s">
        <v>16</v>
      </c>
      <c r="G74" s="37">
        <v>0</v>
      </c>
      <c r="H74" s="37">
        <v>0</v>
      </c>
      <c r="I74" s="37">
        <v>0</v>
      </c>
      <c r="J74" s="37">
        <v>0</v>
      </c>
      <c r="K74" s="17">
        <v>0</v>
      </c>
      <c r="L74" s="17">
        <f t="shared" si="38"/>
        <v>0</v>
      </c>
      <c r="M74" s="17">
        <f t="shared" si="38"/>
        <v>0</v>
      </c>
      <c r="N74" s="17">
        <f t="shared" si="38"/>
        <v>0</v>
      </c>
      <c r="O74" s="17">
        <f t="shared" si="38"/>
        <v>0</v>
      </c>
      <c r="P74" s="17">
        <f t="shared" si="38"/>
        <v>0</v>
      </c>
      <c r="Q74" s="17">
        <f t="shared" si="38"/>
        <v>0</v>
      </c>
      <c r="R74" s="17">
        <f t="shared" si="38"/>
        <v>0</v>
      </c>
      <c r="S74" s="17">
        <f t="shared" si="38"/>
        <v>0</v>
      </c>
      <c r="T74" s="17">
        <f t="shared" si="38"/>
        <v>0</v>
      </c>
      <c r="U74" s="17">
        <f t="shared" si="38"/>
        <v>0</v>
      </c>
      <c r="V74" s="17">
        <v>-133750.43</v>
      </c>
      <c r="W74" s="18">
        <f t="shared" ref="W74" si="39">SUM(G74:V74)</f>
        <v>-133750.43</v>
      </c>
    </row>
    <row r="75" spans="1:24" s="2" customFormat="1">
      <c r="A75" s="235"/>
      <c r="B75" s="236"/>
      <c r="C75" s="199" t="s">
        <v>132</v>
      </c>
      <c r="D75" s="333"/>
      <c r="E75" s="60"/>
      <c r="F75" s="109"/>
      <c r="G75" s="56">
        <f>SUM(G73:G74)</f>
        <v>133750.43</v>
      </c>
      <c r="H75" s="56">
        <f t="shared" ref="H75:I75" si="40">SUM(H73:H74)</f>
        <v>0</v>
      </c>
      <c r="I75" s="56">
        <f t="shared" si="40"/>
        <v>0</v>
      </c>
      <c r="J75" s="56">
        <f>SUM(J73:J74)</f>
        <v>0</v>
      </c>
      <c r="K75" s="56">
        <f t="shared" ref="K75:V75" si="41">SUM(K73:K74)</f>
        <v>0</v>
      </c>
      <c r="L75" s="56">
        <f t="shared" si="41"/>
        <v>0</v>
      </c>
      <c r="M75" s="56">
        <f t="shared" si="41"/>
        <v>0</v>
      </c>
      <c r="N75" s="56">
        <f t="shared" si="41"/>
        <v>0</v>
      </c>
      <c r="O75" s="56">
        <f t="shared" si="41"/>
        <v>0</v>
      </c>
      <c r="P75" s="56">
        <f t="shared" si="41"/>
        <v>0</v>
      </c>
      <c r="Q75" s="56">
        <f t="shared" si="41"/>
        <v>0</v>
      </c>
      <c r="R75" s="56">
        <f t="shared" si="41"/>
        <v>0</v>
      </c>
      <c r="S75" s="56">
        <f t="shared" si="41"/>
        <v>0</v>
      </c>
      <c r="T75" s="56">
        <f t="shared" si="41"/>
        <v>0</v>
      </c>
      <c r="U75" s="56">
        <f t="shared" si="41"/>
        <v>0</v>
      </c>
      <c r="V75" s="56">
        <f t="shared" si="41"/>
        <v>-133750.43</v>
      </c>
      <c r="W75" s="22">
        <f>SUM(W73:W74)</f>
        <v>0</v>
      </c>
      <c r="X75" s="75"/>
    </row>
    <row r="76" spans="1:24" s="50" customFormat="1" ht="11.25">
      <c r="A76" s="238"/>
      <c r="B76" s="239"/>
      <c r="C76" s="240"/>
      <c r="D76" s="323"/>
      <c r="E76" s="70"/>
      <c r="F76" s="128"/>
      <c r="G76" s="47"/>
      <c r="H76" s="48"/>
      <c r="I76" s="48"/>
      <c r="J76" s="28"/>
      <c r="K76" s="49"/>
      <c r="L76" s="49"/>
      <c r="M76" s="28"/>
      <c r="N76" s="49"/>
      <c r="O76" s="49"/>
      <c r="P76" s="28"/>
      <c r="Q76" s="49"/>
      <c r="R76" s="49"/>
      <c r="S76" s="67"/>
      <c r="T76" s="49"/>
      <c r="U76" s="49"/>
      <c r="V76" s="28"/>
      <c r="W76" s="112"/>
    </row>
    <row r="77" spans="1:24" s="2" customFormat="1" ht="16.899999999999999" customHeight="1">
      <c r="A77" s="235"/>
      <c r="B77" s="236">
        <v>18237142</v>
      </c>
      <c r="C77" s="135" t="s">
        <v>133</v>
      </c>
      <c r="D77" s="332" t="s">
        <v>92</v>
      </c>
      <c r="E77" s="130" t="s">
        <v>129</v>
      </c>
      <c r="F77" s="131"/>
      <c r="G77" s="12">
        <v>53995.63</v>
      </c>
      <c r="H77" s="51">
        <v>0</v>
      </c>
      <c r="I77" s="51">
        <f>H77</f>
        <v>0</v>
      </c>
      <c r="J77" s="12">
        <v>0</v>
      </c>
      <c r="K77" s="12">
        <f>J77</f>
        <v>0</v>
      </c>
      <c r="L77" s="12">
        <f t="shared" ref="L77:V77" si="42">K77</f>
        <v>0</v>
      </c>
      <c r="M77" s="12">
        <f t="shared" si="42"/>
        <v>0</v>
      </c>
      <c r="N77" s="12">
        <f t="shared" si="42"/>
        <v>0</v>
      </c>
      <c r="O77" s="12">
        <f t="shared" si="42"/>
        <v>0</v>
      </c>
      <c r="P77" s="12">
        <f t="shared" si="42"/>
        <v>0</v>
      </c>
      <c r="Q77" s="12">
        <f t="shared" si="42"/>
        <v>0</v>
      </c>
      <c r="R77" s="12">
        <f t="shared" si="42"/>
        <v>0</v>
      </c>
      <c r="S77" s="12">
        <f t="shared" si="42"/>
        <v>0</v>
      </c>
      <c r="T77" s="12">
        <f t="shared" si="42"/>
        <v>0</v>
      </c>
      <c r="U77" s="12">
        <f t="shared" si="42"/>
        <v>0</v>
      </c>
      <c r="V77" s="12">
        <f t="shared" si="42"/>
        <v>0</v>
      </c>
      <c r="W77" s="14">
        <f>SUM(G77:V77)</f>
        <v>53995.63</v>
      </c>
    </row>
    <row r="78" spans="1:24" s="2" customFormat="1">
      <c r="A78" s="134"/>
      <c r="B78" s="236">
        <v>18237142</v>
      </c>
      <c r="C78" s="237" t="s">
        <v>30</v>
      </c>
      <c r="D78" s="330"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37">
        <v>-53995.63</v>
      </c>
      <c r="W78" s="18">
        <f t="shared" ref="W78" si="43">SUM(G78:V78)</f>
        <v>-53995.63</v>
      </c>
    </row>
    <row r="79" spans="1:24" s="2" customFormat="1">
      <c r="A79" s="134"/>
      <c r="B79" s="135"/>
      <c r="C79" s="199" t="s">
        <v>134</v>
      </c>
      <c r="D79" s="333"/>
      <c r="E79" s="118"/>
      <c r="F79" s="109"/>
      <c r="G79" s="56">
        <f>SUM(G77:G78)</f>
        <v>53995.63</v>
      </c>
      <c r="H79" s="56">
        <f t="shared" ref="H79:I79" si="44">SUM(H77:H78)</f>
        <v>0</v>
      </c>
      <c r="I79" s="56">
        <f t="shared" si="44"/>
        <v>0</v>
      </c>
      <c r="J79" s="56">
        <f>SUM(J77:J78)</f>
        <v>0</v>
      </c>
      <c r="K79" s="56">
        <f t="shared" ref="K79:V79" si="45">SUM(K77:K78)</f>
        <v>0</v>
      </c>
      <c r="L79" s="56">
        <f t="shared" si="45"/>
        <v>0</v>
      </c>
      <c r="M79" s="56">
        <f t="shared" si="45"/>
        <v>0</v>
      </c>
      <c r="N79" s="56">
        <f t="shared" si="45"/>
        <v>0</v>
      </c>
      <c r="O79" s="56">
        <f t="shared" si="45"/>
        <v>0</v>
      </c>
      <c r="P79" s="56">
        <f t="shared" si="45"/>
        <v>0</v>
      </c>
      <c r="Q79" s="56">
        <f t="shared" si="45"/>
        <v>0</v>
      </c>
      <c r="R79" s="56">
        <f t="shared" si="45"/>
        <v>0</v>
      </c>
      <c r="S79" s="56">
        <f t="shared" si="45"/>
        <v>0</v>
      </c>
      <c r="T79" s="56">
        <f t="shared" si="45"/>
        <v>0</v>
      </c>
      <c r="U79" s="56">
        <f t="shared" si="45"/>
        <v>0</v>
      </c>
      <c r="V79" s="56">
        <f t="shared" si="45"/>
        <v>-53995.63</v>
      </c>
      <c r="W79" s="22">
        <f>SUM(W77:W78)</f>
        <v>0</v>
      </c>
    </row>
    <row r="80" spans="1:24" s="50" customFormat="1" ht="11.25">
      <c r="A80" s="238"/>
      <c r="B80" s="239"/>
      <c r="C80" s="240"/>
      <c r="D80" s="323"/>
      <c r="E80" s="70"/>
      <c r="F80" s="128"/>
      <c r="G80" s="47"/>
      <c r="H80" s="48"/>
      <c r="I80" s="48"/>
      <c r="J80" s="28"/>
      <c r="K80" s="49"/>
      <c r="L80" s="49"/>
      <c r="M80" s="28"/>
      <c r="N80" s="49"/>
      <c r="O80" s="49"/>
      <c r="P80" s="28"/>
      <c r="Q80" s="49"/>
      <c r="R80" s="49"/>
      <c r="S80" s="67"/>
      <c r="T80" s="49"/>
      <c r="U80" s="49"/>
      <c r="V80" s="28"/>
      <c r="W80" s="112"/>
    </row>
    <row r="81" spans="1:23" s="2" customFormat="1">
      <c r="A81" s="235"/>
      <c r="B81" s="236">
        <v>18237152</v>
      </c>
      <c r="C81" s="135" t="s">
        <v>135</v>
      </c>
      <c r="D81" s="332" t="s">
        <v>92</v>
      </c>
      <c r="E81" s="130" t="s">
        <v>129</v>
      </c>
      <c r="F81" s="131"/>
      <c r="G81" s="12">
        <v>67987.45</v>
      </c>
      <c r="H81" s="12">
        <v>0</v>
      </c>
      <c r="I81" s="12">
        <f>H81</f>
        <v>0</v>
      </c>
      <c r="J81" s="12">
        <v>0</v>
      </c>
      <c r="K81" s="12">
        <f>J81</f>
        <v>0</v>
      </c>
      <c r="L81" s="12">
        <f t="shared" ref="L81:V81" si="46">K81</f>
        <v>0</v>
      </c>
      <c r="M81" s="12">
        <f t="shared" si="46"/>
        <v>0</v>
      </c>
      <c r="N81" s="12">
        <f t="shared" si="46"/>
        <v>0</v>
      </c>
      <c r="O81" s="12">
        <f t="shared" si="46"/>
        <v>0</v>
      </c>
      <c r="P81" s="12">
        <f t="shared" si="46"/>
        <v>0</v>
      </c>
      <c r="Q81" s="12">
        <f t="shared" si="46"/>
        <v>0</v>
      </c>
      <c r="R81" s="12">
        <f t="shared" si="46"/>
        <v>0</v>
      </c>
      <c r="S81" s="12">
        <f t="shared" si="46"/>
        <v>0</v>
      </c>
      <c r="T81" s="12">
        <f t="shared" si="46"/>
        <v>0</v>
      </c>
      <c r="U81" s="12">
        <f t="shared" si="46"/>
        <v>0</v>
      </c>
      <c r="V81" s="12">
        <f t="shared" si="46"/>
        <v>0</v>
      </c>
      <c r="W81" s="14">
        <f>SUM(G81:V81)</f>
        <v>67987.45</v>
      </c>
    </row>
    <row r="82" spans="1:23" s="2" customFormat="1">
      <c r="A82" s="235"/>
      <c r="B82" s="236">
        <v>18237152</v>
      </c>
      <c r="C82" s="237" t="s">
        <v>30</v>
      </c>
      <c r="D82" s="330"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94">
        <v>-67987.45</v>
      </c>
      <c r="W82" s="18">
        <f t="shared" ref="W82" si="47">SUM(G82:V82)</f>
        <v>-67987.45</v>
      </c>
    </row>
    <row r="83" spans="1:23" s="2" customFormat="1">
      <c r="A83" s="134"/>
      <c r="B83" s="135"/>
      <c r="C83" s="199" t="s">
        <v>136</v>
      </c>
      <c r="D83" s="325"/>
      <c r="E83" s="118"/>
      <c r="F83" s="109"/>
      <c r="G83" s="56">
        <f>SUM(G81:G82)</f>
        <v>67987.45</v>
      </c>
      <c r="H83" s="56">
        <f t="shared" ref="H83:I83" si="48">SUM(H81:H82)</f>
        <v>0</v>
      </c>
      <c r="I83" s="56">
        <f t="shared" si="48"/>
        <v>0</v>
      </c>
      <c r="J83" s="56">
        <f>SUM(J81:J82)</f>
        <v>0</v>
      </c>
      <c r="K83" s="56">
        <f t="shared" ref="K83:V83" si="49">SUM(K81:K82)</f>
        <v>0</v>
      </c>
      <c r="L83" s="56">
        <f t="shared" si="49"/>
        <v>0</v>
      </c>
      <c r="M83" s="56">
        <f t="shared" si="49"/>
        <v>0</v>
      </c>
      <c r="N83" s="56">
        <f t="shared" si="49"/>
        <v>0</v>
      </c>
      <c r="O83" s="56">
        <f t="shared" si="49"/>
        <v>0</v>
      </c>
      <c r="P83" s="56">
        <f t="shared" si="49"/>
        <v>0</v>
      </c>
      <c r="Q83" s="56">
        <f t="shared" si="49"/>
        <v>0</v>
      </c>
      <c r="R83" s="56">
        <f t="shared" si="49"/>
        <v>0</v>
      </c>
      <c r="S83" s="56">
        <f t="shared" si="49"/>
        <v>0</v>
      </c>
      <c r="T83" s="56">
        <f t="shared" si="49"/>
        <v>0</v>
      </c>
      <c r="U83" s="56">
        <f t="shared" si="49"/>
        <v>0</v>
      </c>
      <c r="V83" s="56">
        <f t="shared" si="49"/>
        <v>-67987.45</v>
      </c>
      <c r="W83" s="22">
        <f>SUM(W81:W82)</f>
        <v>0</v>
      </c>
    </row>
    <row r="84" spans="1:23" s="50" customFormat="1" ht="11.25">
      <c r="A84" s="238"/>
      <c r="B84" s="239"/>
      <c r="C84" s="240"/>
      <c r="D84" s="323"/>
      <c r="E84" s="70"/>
      <c r="F84" s="128"/>
      <c r="G84" s="47"/>
      <c r="H84" s="48"/>
      <c r="I84" s="48"/>
      <c r="J84" s="28"/>
      <c r="K84" s="49"/>
      <c r="L84" s="49"/>
      <c r="M84" s="28"/>
      <c r="N84" s="49"/>
      <c r="O84" s="49"/>
      <c r="P84" s="28"/>
      <c r="Q84" s="49"/>
      <c r="R84" s="49"/>
      <c r="S84" s="67"/>
      <c r="T84" s="49"/>
      <c r="U84" s="49"/>
      <c r="V84" s="28"/>
      <c r="W84" s="112"/>
    </row>
    <row r="85" spans="1:23" s="2" customFormat="1">
      <c r="A85" s="134"/>
      <c r="B85" s="236">
        <v>18608062</v>
      </c>
      <c r="C85" s="135" t="s">
        <v>137</v>
      </c>
      <c r="D85" s="332" t="s">
        <v>86</v>
      </c>
      <c r="E85" s="139" t="s">
        <v>87</v>
      </c>
      <c r="F85" s="139" t="s">
        <v>87</v>
      </c>
      <c r="G85" s="12">
        <v>-50267724.640000001</v>
      </c>
      <c r="H85" s="82">
        <v>0</v>
      </c>
      <c r="I85" s="82">
        <f>H85</f>
        <v>0</v>
      </c>
      <c r="J85" s="12">
        <v>0</v>
      </c>
      <c r="K85" s="12">
        <f>J85</f>
        <v>0</v>
      </c>
      <c r="L85" s="12">
        <f t="shared" ref="L85:U87" si="50">K85</f>
        <v>0</v>
      </c>
      <c r="M85" s="12">
        <f t="shared" si="50"/>
        <v>0</v>
      </c>
      <c r="N85" s="12">
        <f t="shared" si="50"/>
        <v>0</v>
      </c>
      <c r="O85" s="12">
        <f t="shared" si="50"/>
        <v>0</v>
      </c>
      <c r="P85" s="12">
        <f t="shared" si="50"/>
        <v>0</v>
      </c>
      <c r="Q85" s="12">
        <f t="shared" si="50"/>
        <v>0</v>
      </c>
      <c r="R85" s="12">
        <f t="shared" si="50"/>
        <v>0</v>
      </c>
      <c r="S85" s="12">
        <f t="shared" si="50"/>
        <v>0</v>
      </c>
      <c r="T85" s="12">
        <f t="shared" si="50"/>
        <v>0</v>
      </c>
      <c r="U85" s="12">
        <f t="shared" si="50"/>
        <v>0</v>
      </c>
      <c r="V85" s="12">
        <f>U85</f>
        <v>0</v>
      </c>
      <c r="W85" s="14">
        <f>SUM(G85:V85)</f>
        <v>-50267724.640000001</v>
      </c>
    </row>
    <row r="86" spans="1:23" s="2" customFormat="1">
      <c r="A86" s="134"/>
      <c r="B86" s="236">
        <v>18608062</v>
      </c>
      <c r="C86" s="135" t="s">
        <v>378</v>
      </c>
      <c r="D86" s="461" t="s">
        <v>93</v>
      </c>
      <c r="E86" s="139" t="s">
        <v>87</v>
      </c>
      <c r="F86" s="139" t="s">
        <v>87</v>
      </c>
      <c r="G86" s="201">
        <v>0</v>
      </c>
      <c r="H86" s="527">
        <v>0</v>
      </c>
      <c r="I86" s="527">
        <v>0</v>
      </c>
      <c r="J86" s="527">
        <v>0</v>
      </c>
      <c r="K86" s="527">
        <v>0</v>
      </c>
      <c r="L86" s="527">
        <v>0</v>
      </c>
      <c r="M86" s="527">
        <v>0</v>
      </c>
      <c r="N86" s="527">
        <v>0</v>
      </c>
      <c r="O86" s="527">
        <v>0</v>
      </c>
      <c r="P86" s="527">
        <v>0</v>
      </c>
      <c r="Q86" s="527">
        <v>0</v>
      </c>
      <c r="R86" s="527">
        <v>0</v>
      </c>
      <c r="S86" s="527">
        <v>0</v>
      </c>
      <c r="T86" s="527">
        <v>0</v>
      </c>
      <c r="U86" s="527">
        <v>0</v>
      </c>
      <c r="V86" s="201">
        <v>-210163</v>
      </c>
      <c r="W86" s="207">
        <f>SUM(G86:V86)</f>
        <v>-210163</v>
      </c>
    </row>
    <row r="87" spans="1:23" s="2" customFormat="1">
      <c r="A87" s="134"/>
      <c r="B87" s="236">
        <v>18608062</v>
      </c>
      <c r="C87" s="237" t="s">
        <v>30</v>
      </c>
      <c r="D87" s="316" t="s">
        <v>93</v>
      </c>
      <c r="E87" s="16">
        <v>43070</v>
      </c>
      <c r="F87" s="99" t="s">
        <v>16</v>
      </c>
      <c r="G87" s="17">
        <v>0</v>
      </c>
      <c r="H87" s="17">
        <v>0</v>
      </c>
      <c r="I87" s="17">
        <v>0</v>
      </c>
      <c r="J87" s="17">
        <v>0</v>
      </c>
      <c r="K87" s="17">
        <v>0</v>
      </c>
      <c r="L87" s="17">
        <v>0</v>
      </c>
      <c r="M87" s="17">
        <v>0</v>
      </c>
      <c r="N87" s="17">
        <v>0</v>
      </c>
      <c r="O87" s="17">
        <f>N87</f>
        <v>0</v>
      </c>
      <c r="P87" s="17">
        <f t="shared" si="50"/>
        <v>0</v>
      </c>
      <c r="Q87" s="17">
        <f t="shared" si="50"/>
        <v>0</v>
      </c>
      <c r="R87" s="17">
        <f t="shared" si="50"/>
        <v>0</v>
      </c>
      <c r="S87" s="17">
        <f t="shared" si="50"/>
        <v>0</v>
      </c>
      <c r="T87" s="17">
        <f t="shared" si="50"/>
        <v>0</v>
      </c>
      <c r="U87" s="17">
        <f t="shared" si="50"/>
        <v>0</v>
      </c>
      <c r="V87" s="17">
        <f>-'2017 GRC Stlmt'!D16</f>
        <v>29176115.83117523</v>
      </c>
      <c r="W87" s="18">
        <f t="shared" ref="W87" si="51">SUM(G87:V87)</f>
        <v>29176115.83117523</v>
      </c>
    </row>
    <row r="88" spans="1:23" s="2" customFormat="1">
      <c r="A88" s="134"/>
      <c r="B88" s="135"/>
      <c r="C88" s="199" t="s">
        <v>138</v>
      </c>
      <c r="D88" s="332"/>
      <c r="E88" s="60"/>
      <c r="F88" s="55"/>
      <c r="G88" s="56">
        <f t="shared" ref="G88:I88" si="52">SUM(G85:G87)</f>
        <v>-50267724.640000001</v>
      </c>
      <c r="H88" s="56">
        <f t="shared" si="52"/>
        <v>0</v>
      </c>
      <c r="I88" s="56">
        <f t="shared" si="52"/>
        <v>0</v>
      </c>
      <c r="J88" s="56">
        <f>SUM(J85:J87)</f>
        <v>0</v>
      </c>
      <c r="K88" s="56">
        <f t="shared" ref="K88:U88" si="53">SUM(K85:K87)</f>
        <v>0</v>
      </c>
      <c r="L88" s="56">
        <f t="shared" si="53"/>
        <v>0</v>
      </c>
      <c r="M88" s="56">
        <f t="shared" si="53"/>
        <v>0</v>
      </c>
      <c r="N88" s="56">
        <f t="shared" si="53"/>
        <v>0</v>
      </c>
      <c r="O88" s="56">
        <f t="shared" si="53"/>
        <v>0</v>
      </c>
      <c r="P88" s="56">
        <f t="shared" si="53"/>
        <v>0</v>
      </c>
      <c r="Q88" s="56">
        <f t="shared" si="53"/>
        <v>0</v>
      </c>
      <c r="R88" s="56">
        <f t="shared" si="53"/>
        <v>0</v>
      </c>
      <c r="S88" s="56">
        <f t="shared" si="53"/>
        <v>0</v>
      </c>
      <c r="T88" s="56">
        <f t="shared" si="53"/>
        <v>0</v>
      </c>
      <c r="U88" s="56">
        <f t="shared" si="53"/>
        <v>0</v>
      </c>
      <c r="V88" s="56">
        <f>SUM(V85:V87)</f>
        <v>28965952.83117523</v>
      </c>
      <c r="W88" s="22">
        <f>SUM(W85:W87)</f>
        <v>-21301771.80882477</v>
      </c>
    </row>
    <row r="89" spans="1:23" s="50" customFormat="1" ht="11.25">
      <c r="A89" s="238"/>
      <c r="B89" s="239"/>
      <c r="C89" s="240"/>
      <c r="D89" s="323"/>
      <c r="E89" s="70"/>
      <c r="F89" s="46"/>
      <c r="G89" s="47"/>
      <c r="H89" s="48"/>
      <c r="I89" s="48"/>
      <c r="J89" s="28"/>
      <c r="K89" s="49"/>
      <c r="L89" s="49"/>
      <c r="M89" s="28"/>
      <c r="N89" s="49"/>
      <c r="O89" s="49"/>
      <c r="P89" s="28"/>
      <c r="Q89" s="49"/>
      <c r="R89" s="49"/>
      <c r="S89" s="67"/>
      <c r="T89" s="49"/>
      <c r="U89" s="49"/>
      <c r="V89" s="28"/>
      <c r="W89" s="112"/>
    </row>
    <row r="90" spans="1:23" s="2" customFormat="1">
      <c r="A90" s="134"/>
      <c r="B90" s="135"/>
      <c r="C90" s="135"/>
      <c r="D90" s="324"/>
      <c r="E90" s="142"/>
      <c r="F90" s="143"/>
      <c r="G90" s="84"/>
      <c r="H90" s="84"/>
      <c r="I90" s="84"/>
      <c r="J90" s="84"/>
      <c r="K90" s="84"/>
      <c r="L90" s="84"/>
      <c r="M90" s="84"/>
      <c r="N90" s="84"/>
      <c r="O90" s="84"/>
      <c r="P90" s="84"/>
      <c r="Q90" s="84"/>
      <c r="R90" s="84"/>
      <c r="S90" s="84"/>
      <c r="T90" s="84"/>
      <c r="U90" s="84"/>
      <c r="V90" s="84"/>
      <c r="W90" s="195"/>
    </row>
    <row r="91" spans="1:23" s="2" customFormat="1" ht="15.75" thickBot="1">
      <c r="A91" s="134"/>
      <c r="B91" s="135"/>
      <c r="C91" s="199" t="s">
        <v>89</v>
      </c>
      <c r="D91" s="334"/>
      <c r="E91" s="146"/>
      <c r="F91" s="147"/>
      <c r="G91" s="148">
        <f>G8+G16+G22+G26+G35+G39+G44+G48+G54+G59+G63+G67+G71+G75+G79+G83+G88</f>
        <v>21924758.799999982</v>
      </c>
      <c r="H91" s="148">
        <f t="shared" ref="H91:W91" si="54">H8+H16+H22+H26+H35+H39+H44+H48+H54+H59+H63+H67+H71+H75+H79+H83+H88</f>
        <v>106174.56999999999</v>
      </c>
      <c r="I91" s="148">
        <f t="shared" si="54"/>
        <v>404292.75999999995</v>
      </c>
      <c r="J91" s="148">
        <f t="shared" si="54"/>
        <v>288010.77</v>
      </c>
      <c r="K91" s="148">
        <f t="shared" si="54"/>
        <v>156797.41999999998</v>
      </c>
      <c r="L91" s="148">
        <f t="shared" si="54"/>
        <v>164964.31</v>
      </c>
      <c r="M91" s="148">
        <f t="shared" si="54"/>
        <v>16090.04</v>
      </c>
      <c r="N91" s="148">
        <f t="shared" si="54"/>
        <v>47865.17</v>
      </c>
      <c r="O91" s="148">
        <f t="shared" si="54"/>
        <v>593896.52</v>
      </c>
      <c r="P91" s="148">
        <f t="shared" si="54"/>
        <v>243689.24</v>
      </c>
      <c r="Q91" s="148">
        <f t="shared" si="54"/>
        <v>492346.43999999994</v>
      </c>
      <c r="R91" s="148">
        <f t="shared" si="54"/>
        <v>209016.64</v>
      </c>
      <c r="S91" s="148">
        <f t="shared" si="54"/>
        <v>100890.5</v>
      </c>
      <c r="T91" s="148">
        <f t="shared" si="54"/>
        <v>317511.51</v>
      </c>
      <c r="U91" s="148">
        <f t="shared" si="54"/>
        <v>206112.68</v>
      </c>
      <c r="V91" s="148">
        <f t="shared" si="54"/>
        <v>-42897670.498824753</v>
      </c>
      <c r="W91" s="149">
        <f t="shared" si="54"/>
        <v>-17625253.128824763</v>
      </c>
    </row>
    <row r="92" spans="1:23"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92"/>
      <c r="W92" s="196"/>
    </row>
    <row r="93" spans="1:23">
      <c r="A93" s="151"/>
      <c r="B93" s="2"/>
      <c r="C93" s="2"/>
      <c r="F93" s="35"/>
      <c r="G93" s="35"/>
      <c r="H93" s="35"/>
      <c r="I93" s="35"/>
    </row>
    <row r="94" spans="1:23">
      <c r="A94" s="151"/>
      <c r="B94" s="2"/>
      <c r="C94" s="2"/>
      <c r="F94" s="35"/>
      <c r="G94" s="35"/>
      <c r="H94" s="35"/>
      <c r="I94" s="35"/>
      <c r="V94" s="529"/>
      <c r="W94" s="534"/>
    </row>
    <row r="95" spans="1:23">
      <c r="A95" s="151"/>
      <c r="B95" s="2"/>
      <c r="C95" s="2"/>
      <c r="F95" s="35"/>
      <c r="G95" s="35"/>
      <c r="H95" s="35"/>
      <c r="I95" s="35"/>
    </row>
    <row r="96" spans="1:23">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
  <sheetViews>
    <sheetView workbookViewId="0">
      <selection activeCell="G9" sqref="G9"/>
    </sheetView>
  </sheetViews>
  <sheetFormatPr defaultRowHeight="15"/>
  <sheetData>
    <row r="1" spans="1:1">
      <c r="A1" s="554" t="s">
        <v>407</v>
      </c>
    </row>
    <row r="4" spans="1:1">
      <c r="A4" t="s">
        <v>399</v>
      </c>
    </row>
    <row r="5" spans="1:1">
      <c r="A5" t="s">
        <v>247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5"/>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R32" sqref="R32"/>
    </sheetView>
  </sheetViews>
  <sheetFormatPr defaultRowHeight="15"/>
  <cols>
    <col min="1" max="1" width="12" bestFit="1" customWidth="1"/>
    <col min="2" max="2" width="58.5703125" customWidth="1"/>
    <col min="3" max="3" width="12.42578125" customWidth="1"/>
    <col min="4" max="4" width="12.85546875" customWidth="1"/>
    <col min="5" max="5" width="7" style="2" bestFit="1" customWidth="1"/>
    <col min="6" max="6" width="7.28515625" style="2" bestFit="1" customWidth="1"/>
    <col min="7" max="7" width="7.7109375" style="2" bestFit="1" customWidth="1"/>
    <col min="8" max="8" width="6.7109375" style="2" bestFit="1" customWidth="1"/>
    <col min="9" max="9" width="7.140625" style="2" bestFit="1" customWidth="1"/>
    <col min="10" max="10" width="7.42578125" style="2" bestFit="1" customWidth="1"/>
    <col min="11" max="11" width="7" style="2" bestFit="1" customWidth="1"/>
    <col min="12" max="12" width="7.7109375" style="2" bestFit="1" customWidth="1"/>
    <col min="13" max="13" width="6.7109375" style="2" bestFit="1" customWidth="1"/>
    <col min="14" max="14" width="6.28515625" style="2" bestFit="1" customWidth="1"/>
    <col min="15" max="15" width="7.28515625" style="2" bestFit="1" customWidth="1"/>
    <col min="16" max="16" width="7.140625" style="2" bestFit="1" customWidth="1"/>
    <col min="17" max="17" width="7" style="2" bestFit="1" customWidth="1"/>
    <col min="18" max="18" width="7.28515625" bestFit="1" customWidth="1"/>
    <col min="19" max="19" width="13.28515625" bestFit="1" customWidth="1"/>
    <col min="20" max="20" width="12.85546875" customWidth="1"/>
    <col min="21" max="21" width="19.28515625" customWidth="1"/>
  </cols>
  <sheetData>
    <row r="1" spans="1:25">
      <c r="A1" s="335" t="s">
        <v>0</v>
      </c>
      <c r="B1" s="335"/>
      <c r="C1" s="335"/>
      <c r="D1" s="335"/>
      <c r="E1" s="335"/>
      <c r="F1" s="335"/>
      <c r="G1" s="335"/>
      <c r="H1" s="335"/>
      <c r="I1" s="335"/>
      <c r="J1" s="335"/>
      <c r="K1" s="335"/>
      <c r="L1" s="335"/>
      <c r="M1" s="335"/>
      <c r="N1" s="335"/>
      <c r="O1" s="335"/>
      <c r="P1" s="335"/>
      <c r="Q1" s="335"/>
      <c r="R1" s="335"/>
      <c r="S1" s="335"/>
      <c r="T1" s="335"/>
      <c r="U1" s="217"/>
      <c r="V1" s="217"/>
      <c r="W1" s="217"/>
      <c r="X1" s="217"/>
      <c r="Y1" s="217"/>
    </row>
    <row r="2" spans="1:25">
      <c r="A2" s="335" t="s">
        <v>200</v>
      </c>
      <c r="B2" s="335"/>
      <c r="C2" s="335"/>
      <c r="D2" s="335"/>
      <c r="E2" s="335"/>
      <c r="F2" s="335"/>
      <c r="G2" s="335"/>
      <c r="H2" s="335"/>
      <c r="I2" s="335"/>
      <c r="J2" s="335"/>
      <c r="K2" s="335"/>
      <c r="L2" s="335"/>
      <c r="M2" s="335"/>
      <c r="N2" s="335"/>
      <c r="O2" s="335"/>
      <c r="P2" s="335"/>
      <c r="Q2" s="335"/>
      <c r="R2" s="335"/>
      <c r="S2" s="335"/>
      <c r="T2" s="335"/>
      <c r="U2" s="217"/>
      <c r="V2" s="217"/>
      <c r="W2" s="217"/>
      <c r="X2" s="217"/>
      <c r="Y2" s="217"/>
    </row>
    <row r="3" spans="1:25" ht="21">
      <c r="A3" s="336" t="s">
        <v>2</v>
      </c>
      <c r="B3" s="336"/>
      <c r="C3" s="336"/>
      <c r="D3" s="336"/>
      <c r="E3" s="336"/>
      <c r="F3" s="336"/>
      <c r="G3" s="336"/>
      <c r="H3" s="336"/>
      <c r="I3" s="336"/>
      <c r="J3" s="336"/>
      <c r="K3" s="336"/>
      <c r="L3" s="336"/>
      <c r="M3" s="336"/>
      <c r="N3" s="336"/>
      <c r="O3" s="336"/>
      <c r="P3" s="336"/>
      <c r="Q3" s="336"/>
      <c r="R3" s="336"/>
      <c r="S3" s="336"/>
      <c r="T3" s="336"/>
      <c r="U3" s="218"/>
      <c r="V3" s="218"/>
      <c r="W3" s="218"/>
      <c r="X3" s="218"/>
      <c r="Y3" s="218"/>
    </row>
    <row r="4" spans="1:25" ht="7.15" customHeight="1" thickBot="1"/>
    <row r="5" spans="1:25" s="8" customFormat="1" ht="43.9" customHeight="1" thickBot="1">
      <c r="A5" s="3" t="s">
        <v>4</v>
      </c>
      <c r="B5" s="5" t="s">
        <v>5</v>
      </c>
      <c r="C5" s="4" t="s">
        <v>373</v>
      </c>
      <c r="D5" s="6" t="s">
        <v>176</v>
      </c>
      <c r="E5" s="6">
        <v>42644</v>
      </c>
      <c r="F5" s="6">
        <v>42675</v>
      </c>
      <c r="G5" s="6" t="s">
        <v>10</v>
      </c>
      <c r="H5" s="6">
        <v>42736</v>
      </c>
      <c r="I5" s="6">
        <v>42767</v>
      </c>
      <c r="J5" s="6">
        <v>42795</v>
      </c>
      <c r="K5" s="6">
        <v>42826</v>
      </c>
      <c r="L5" s="6">
        <v>42856</v>
      </c>
      <c r="M5" s="6">
        <v>42887</v>
      </c>
      <c r="N5" s="6">
        <v>42917</v>
      </c>
      <c r="O5" s="6">
        <v>42948</v>
      </c>
      <c r="P5" s="6">
        <v>42979</v>
      </c>
      <c r="Q5" s="6">
        <v>43009</v>
      </c>
      <c r="R5" s="6">
        <v>43040</v>
      </c>
      <c r="S5" s="6">
        <v>43070</v>
      </c>
      <c r="T5" s="7" t="s">
        <v>212</v>
      </c>
    </row>
    <row r="6" spans="1:25" s="2" customFormat="1">
      <c r="A6" s="235" t="s">
        <v>201</v>
      </c>
      <c r="B6" s="197" t="s">
        <v>371</v>
      </c>
      <c r="C6" s="205" t="s">
        <v>374</v>
      </c>
      <c r="D6" s="12">
        <v>0</v>
      </c>
      <c r="E6" s="13">
        <v>0</v>
      </c>
      <c r="F6" s="13">
        <v>0</v>
      </c>
      <c r="G6" s="13">
        <v>0</v>
      </c>
      <c r="H6" s="13">
        <v>0</v>
      </c>
      <c r="I6" s="13">
        <v>0</v>
      </c>
      <c r="J6" s="13">
        <v>0</v>
      </c>
      <c r="K6" s="13">
        <v>0</v>
      </c>
      <c r="L6" s="13">
        <v>0</v>
      </c>
      <c r="M6" s="13">
        <v>0</v>
      </c>
      <c r="N6" s="13">
        <v>0</v>
      </c>
      <c r="O6" s="13">
        <v>0</v>
      </c>
      <c r="P6" s="13">
        <v>0</v>
      </c>
      <c r="Q6" s="13">
        <v>0</v>
      </c>
      <c r="R6" s="13">
        <v>0</v>
      </c>
      <c r="S6" s="12">
        <f>'2017 GRC Stlmt'!C26</f>
        <v>8862686.9900000002</v>
      </c>
      <c r="T6" s="174">
        <f>SUM(D6:S6)</f>
        <v>8862686.9900000002</v>
      </c>
    </row>
    <row r="7" spans="1:25" s="2" customFormat="1">
      <c r="A7" s="235" t="s">
        <v>201</v>
      </c>
      <c r="B7" s="198" t="s">
        <v>248</v>
      </c>
      <c r="C7" s="465">
        <v>44913</v>
      </c>
      <c r="D7" s="17">
        <v>0</v>
      </c>
      <c r="E7" s="17">
        <v>0</v>
      </c>
      <c r="F7" s="17">
        <v>0</v>
      </c>
      <c r="G7" s="17">
        <v>0</v>
      </c>
      <c r="H7" s="17">
        <v>0</v>
      </c>
      <c r="I7" s="17">
        <v>0</v>
      </c>
      <c r="J7" s="17">
        <v>0</v>
      </c>
      <c r="K7" s="17">
        <v>0</v>
      </c>
      <c r="L7" s="17">
        <v>0</v>
      </c>
      <c r="M7" s="17">
        <v>0</v>
      </c>
      <c r="N7" s="17">
        <v>0</v>
      </c>
      <c r="O7" s="17">
        <v>0</v>
      </c>
      <c r="P7" s="17">
        <v>0</v>
      </c>
      <c r="Q7" s="17">
        <v>0</v>
      </c>
      <c r="R7" s="17">
        <v>0</v>
      </c>
      <c r="S7" s="17">
        <f>-'2017 GRC Stlmt'!C12/5/12*13/31</f>
        <v>-67721.278677419352</v>
      </c>
      <c r="T7" s="18">
        <f>SUM(D7:S7)</f>
        <v>-67721.278677419352</v>
      </c>
    </row>
    <row r="8" spans="1:25" s="2" customFormat="1">
      <c r="A8" s="235"/>
      <c r="B8" s="199" t="s">
        <v>202</v>
      </c>
      <c r="C8" s="199"/>
      <c r="D8" s="75">
        <f t="shared" ref="D8:R8" si="0">SUM(D6:D7)</f>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SUM(S6:S7)</f>
        <v>8794965.7113225814</v>
      </c>
      <c r="T8" s="200">
        <f>SUM(T6:T7)</f>
        <v>8794965.7113225814</v>
      </c>
    </row>
    <row r="9" spans="1:25" s="2" customFormat="1" ht="6" customHeight="1">
      <c r="A9" s="235"/>
      <c r="B9" s="198"/>
      <c r="C9" s="204"/>
      <c r="D9" s="212"/>
      <c r="E9" s="213"/>
      <c r="F9" s="213"/>
      <c r="G9" s="213"/>
      <c r="H9" s="213"/>
      <c r="I9" s="213"/>
      <c r="J9" s="213"/>
      <c r="K9" s="213"/>
      <c r="L9" s="213"/>
      <c r="M9" s="213"/>
      <c r="N9" s="213"/>
      <c r="O9" s="213"/>
      <c r="P9" s="213"/>
      <c r="Q9" s="214"/>
      <c r="R9" s="214"/>
      <c r="S9" s="215"/>
      <c r="T9" s="216"/>
    </row>
    <row r="10" spans="1:25" s="2" customFormat="1">
      <c r="A10" s="235" t="s">
        <v>203</v>
      </c>
      <c r="B10" s="135" t="s">
        <v>372</v>
      </c>
      <c r="C10" s="463" t="s">
        <v>374</v>
      </c>
      <c r="D10" s="12">
        <v>0</v>
      </c>
      <c r="E10" s="12">
        <v>0</v>
      </c>
      <c r="F10" s="12">
        <v>0</v>
      </c>
      <c r="G10" s="12">
        <v>0</v>
      </c>
      <c r="H10" s="12">
        <v>0</v>
      </c>
      <c r="I10" s="12">
        <v>0</v>
      </c>
      <c r="J10" s="12">
        <v>0</v>
      </c>
      <c r="K10" s="12">
        <v>0</v>
      </c>
      <c r="L10" s="12">
        <v>0</v>
      </c>
      <c r="M10" s="12">
        <v>0</v>
      </c>
      <c r="N10" s="12">
        <v>0</v>
      </c>
      <c r="O10" s="12">
        <v>0</v>
      </c>
      <c r="P10" s="12">
        <v>0</v>
      </c>
      <c r="Q10" s="12">
        <v>0</v>
      </c>
      <c r="R10" s="12">
        <v>0</v>
      </c>
      <c r="S10" s="12">
        <v>-1743761.81</v>
      </c>
      <c r="T10" s="14">
        <f>SUM(D10:S10)</f>
        <v>-1743761.81</v>
      </c>
    </row>
    <row r="11" spans="1:25" s="2" customFormat="1">
      <c r="A11" s="235" t="s">
        <v>203</v>
      </c>
      <c r="B11" s="135" t="s">
        <v>249</v>
      </c>
      <c r="C11" s="465">
        <v>44913</v>
      </c>
      <c r="D11" s="37"/>
      <c r="E11" s="37"/>
      <c r="F11" s="37"/>
      <c r="G11" s="37"/>
      <c r="H11" s="37"/>
      <c r="I11" s="37"/>
      <c r="J11" s="37"/>
      <c r="K11" s="37"/>
      <c r="L11" s="37"/>
      <c r="M11" s="37"/>
      <c r="N11" s="37"/>
      <c r="O11" s="37"/>
      <c r="P11" s="37"/>
      <c r="Q11" s="37"/>
      <c r="R11" s="37"/>
      <c r="S11" s="37">
        <f>-'2017 GRC Stlmt'!C16/5/12*13/31</f>
        <v>17965.35167352654</v>
      </c>
      <c r="T11" s="18">
        <f>SUM(D11:S11)</f>
        <v>17965.35167352654</v>
      </c>
    </row>
    <row r="12" spans="1:25" s="2" customFormat="1">
      <c r="A12" s="235"/>
      <c r="B12" s="199" t="s">
        <v>204</v>
      </c>
      <c r="C12" s="199"/>
      <c r="D12" s="21">
        <f t="shared" ref="D12:R12" si="1">SUM(D10:D11)</f>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SUM(S10:S11)</f>
        <v>-1725796.4583264736</v>
      </c>
      <c r="T12" s="200">
        <f>SUM(T10:T11)</f>
        <v>-1725796.4583264736</v>
      </c>
    </row>
    <row r="13" spans="1:25">
      <c r="A13" s="76"/>
      <c r="B13" s="77"/>
      <c r="C13" s="462"/>
      <c r="D13" s="83"/>
      <c r="E13" s="84"/>
      <c r="F13" s="84"/>
      <c r="G13" s="84"/>
      <c r="H13" s="84"/>
      <c r="I13" s="84"/>
      <c r="J13" s="84"/>
      <c r="K13" s="84"/>
      <c r="L13" s="84"/>
      <c r="M13" s="84"/>
      <c r="N13" s="84"/>
      <c r="O13" s="84"/>
      <c r="P13" s="84"/>
      <c r="Q13" s="84"/>
      <c r="R13" s="83"/>
      <c r="S13" s="83"/>
      <c r="T13" s="176"/>
    </row>
    <row r="14" spans="1:25" ht="15.75" thickBot="1">
      <c r="A14" s="76"/>
      <c r="B14" s="241" t="s">
        <v>89</v>
      </c>
      <c r="C14" s="241"/>
      <c r="D14" s="86">
        <f>D12+D8</f>
        <v>0</v>
      </c>
      <c r="E14" s="86">
        <f t="shared" ref="E14:S14" si="2">E12+E8</f>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0</v>
      </c>
      <c r="S14" s="86">
        <f t="shared" si="2"/>
        <v>7069169.2529961076</v>
      </c>
      <c r="T14" s="87">
        <f>T12+T8</f>
        <v>7069169.2529961076</v>
      </c>
    </row>
    <row r="15" spans="1:25" s="50" customFormat="1" ht="12.75" thickTop="1" thickBot="1">
      <c r="A15" s="88"/>
      <c r="B15" s="90"/>
      <c r="C15" s="90"/>
      <c r="D15" s="92"/>
      <c r="E15" s="91"/>
      <c r="F15" s="91"/>
      <c r="G15" s="92"/>
      <c r="H15" s="93"/>
      <c r="I15" s="93"/>
      <c r="J15" s="92"/>
      <c r="K15" s="93"/>
      <c r="L15" s="93"/>
      <c r="M15" s="92"/>
      <c r="N15" s="93"/>
      <c r="O15" s="93"/>
      <c r="P15" s="92"/>
      <c r="Q15" s="93"/>
      <c r="R15" s="93"/>
      <c r="S15" s="92"/>
      <c r="T15" s="150"/>
    </row>
    <row r="16" spans="1:25">
      <c r="T16" s="35"/>
    </row>
    <row r="17" spans="1:21">
      <c r="T17" s="35"/>
    </row>
    <row r="18" spans="1:21">
      <c r="A18" s="177" t="s">
        <v>380</v>
      </c>
      <c r="T18" s="35"/>
    </row>
    <row r="19" spans="1:21">
      <c r="A19" s="203"/>
      <c r="B19" s="204"/>
      <c r="C19" s="204"/>
      <c r="T19" s="35"/>
    </row>
    <row r="20" spans="1:21" s="2" customFormat="1">
      <c r="A20" s="203"/>
      <c r="B20" s="204"/>
      <c r="C20" s="204"/>
      <c r="D20" s="94"/>
      <c r="R20"/>
      <c r="S20"/>
      <c r="T20" s="35"/>
      <c r="U20"/>
    </row>
    <row r="21" spans="1:21">
      <c r="A21" s="203"/>
      <c r="B21" s="204"/>
      <c r="C21" s="204"/>
      <c r="T21" s="35"/>
    </row>
    <row r="22" spans="1:21">
      <c r="T22" s="35"/>
    </row>
    <row r="23" spans="1:21">
      <c r="D23" s="464"/>
      <c r="T23" s="35"/>
    </row>
    <row r="24" spans="1:21">
      <c r="D24" s="464"/>
      <c r="T24" s="35"/>
    </row>
    <row r="25" spans="1:21">
      <c r="D25" s="464"/>
      <c r="T25" s="35"/>
    </row>
    <row r="26" spans="1:21">
      <c r="D26" s="466"/>
      <c r="T26" s="35"/>
    </row>
    <row r="27" spans="1:21">
      <c r="D27" s="466"/>
      <c r="T27" s="35"/>
    </row>
    <row r="28" spans="1:21">
      <c r="D28" s="464"/>
      <c r="T28" s="35"/>
    </row>
    <row r="29" spans="1:21">
      <c r="D29" s="464"/>
      <c r="T29" s="35"/>
    </row>
    <row r="30" spans="1:21">
      <c r="D30" s="464"/>
      <c r="T30" s="35"/>
    </row>
    <row r="31" spans="1:21">
      <c r="D31" s="464"/>
    </row>
    <row r="32" spans="1:21">
      <c r="D32" s="464"/>
    </row>
    <row r="33" spans="4:4">
      <c r="D33" s="464"/>
    </row>
    <row r="34" spans="4:4">
      <c r="D34" s="464"/>
    </row>
    <row r="35" spans="4:4">
      <c r="D35" s="464"/>
    </row>
    <row r="36" spans="4:4">
      <c r="D36" s="464"/>
    </row>
    <row r="37" spans="4:4">
      <c r="D37" s="464"/>
    </row>
    <row r="38" spans="4:4" ht="13.15" customHeight="1">
      <c r="D38" s="464"/>
    </row>
    <row r="39" spans="4:4">
      <c r="D39" s="464"/>
    </row>
    <row r="40" spans="4:4">
      <c r="D40" s="464"/>
    </row>
    <row r="41" spans="4:4">
      <c r="D41" s="464"/>
    </row>
    <row r="42" spans="4:4">
      <c r="D42" s="464"/>
    </row>
    <row r="43" spans="4:4">
      <c r="D43" s="464"/>
    </row>
    <row r="44" spans="4:4">
      <c r="D44" s="464"/>
    </row>
    <row r="45" spans="4:4">
      <c r="D45" s="464"/>
    </row>
    <row r="46" spans="4:4">
      <c r="D46" s="464"/>
    </row>
    <row r="47" spans="4:4">
      <c r="D47" s="464"/>
    </row>
    <row r="48" spans="4:4">
      <c r="D48" s="464"/>
    </row>
    <row r="49" spans="4:4">
      <c r="D49" s="464"/>
    </row>
    <row r="50" spans="4:4">
      <c r="D50" s="464"/>
    </row>
    <row r="51" spans="4:4">
      <c r="D51" s="464"/>
    </row>
    <row r="52" spans="4:4">
      <c r="D52" s="464"/>
    </row>
    <row r="53" spans="4:4">
      <c r="D53" s="464"/>
    </row>
    <row r="54" spans="4:4">
      <c r="D54" s="464"/>
    </row>
    <row r="55" spans="4:4">
      <c r="D55" s="464"/>
    </row>
    <row r="56" spans="4:4">
      <c r="D56" s="464"/>
    </row>
    <row r="57" spans="4:4">
      <c r="D57" s="464"/>
    </row>
    <row r="58" spans="4:4">
      <c r="D58" s="464"/>
    </row>
    <row r="59" spans="4:4">
      <c r="D59" s="464"/>
    </row>
    <row r="60" spans="4:4">
      <c r="D60" s="464"/>
    </row>
    <row r="61" spans="4:4">
      <c r="D61" s="464"/>
    </row>
    <row r="62" spans="4:4">
      <c r="D62" s="464"/>
    </row>
    <row r="63" spans="4:4">
      <c r="D63" s="464"/>
    </row>
    <row r="64" spans="4:4">
      <c r="D64" s="464"/>
    </row>
    <row r="65" spans="4:4">
      <c r="D65" s="464"/>
    </row>
    <row r="66" spans="4:4">
      <c r="D66" s="464"/>
    </row>
    <row r="67" spans="4:4">
      <c r="D67" s="464"/>
    </row>
    <row r="68" spans="4:4">
      <c r="D68" s="464"/>
    </row>
    <row r="69" spans="4:4">
      <c r="D69" s="464"/>
    </row>
    <row r="70" spans="4:4">
      <c r="D70" s="464"/>
    </row>
    <row r="71" spans="4:4">
      <c r="D71" s="464"/>
    </row>
    <row r="72" spans="4:4">
      <c r="D72" s="464"/>
    </row>
    <row r="73" spans="4:4">
      <c r="D73" s="464"/>
    </row>
    <row r="74" spans="4:4">
      <c r="D74" s="464"/>
    </row>
    <row r="75" spans="4:4">
      <c r="D75" s="464"/>
    </row>
    <row r="76" spans="4:4">
      <c r="D76" s="464"/>
    </row>
    <row r="77" spans="4:4">
      <c r="D77" s="464"/>
    </row>
    <row r="78" spans="4:4">
      <c r="D78" s="464"/>
    </row>
    <row r="79" spans="4:4">
      <c r="D79" s="464"/>
    </row>
    <row r="80" spans="4:4">
      <c r="D80" s="464"/>
    </row>
    <row r="81" spans="4:4">
      <c r="D81" s="464"/>
    </row>
    <row r="82" spans="4:4">
      <c r="D82" s="464"/>
    </row>
    <row r="83" spans="4:4">
      <c r="D83" s="464"/>
    </row>
    <row r="84" spans="4:4">
      <c r="D84" s="464"/>
    </row>
    <row r="85" spans="4:4">
      <c r="D85" s="464"/>
    </row>
    <row r="86" spans="4:4">
      <c r="D86" s="464"/>
    </row>
    <row r="87" spans="4:4">
      <c r="D87" s="464"/>
    </row>
    <row r="88" spans="4:4">
      <c r="D88" s="464"/>
    </row>
    <row r="89" spans="4:4">
      <c r="D89" s="464"/>
    </row>
    <row r="90" spans="4:4">
      <c r="D90" s="464"/>
    </row>
    <row r="91" spans="4:4">
      <c r="D91" s="464"/>
    </row>
    <row r="92" spans="4:4">
      <c r="D92" s="464"/>
    </row>
    <row r="93" spans="4:4">
      <c r="D93" s="464"/>
    </row>
    <row r="94" spans="4:4">
      <c r="D94" s="464"/>
    </row>
    <row r="95" spans="4:4">
      <c r="D95" s="464"/>
    </row>
    <row r="96" spans="4:4">
      <c r="D96" s="464"/>
    </row>
    <row r="97" spans="4:4">
      <c r="D97" s="464"/>
    </row>
    <row r="98" spans="4:4">
      <c r="D98" s="464"/>
    </row>
    <row r="99" spans="4:4">
      <c r="D99" s="464"/>
    </row>
    <row r="100" spans="4:4">
      <c r="D100" s="464"/>
    </row>
    <row r="101" spans="4:4">
      <c r="D101" s="464"/>
    </row>
    <row r="102" spans="4:4">
      <c r="D102" s="464"/>
    </row>
    <row r="103" spans="4:4">
      <c r="D103" s="464"/>
    </row>
    <row r="104" spans="4:4">
      <c r="D104" s="464"/>
    </row>
    <row r="105" spans="4:4">
      <c r="D105" s="464"/>
    </row>
    <row r="106" spans="4:4">
      <c r="D106" s="464"/>
    </row>
    <row r="107" spans="4:4">
      <c r="D107" s="464"/>
    </row>
    <row r="108" spans="4:4">
      <c r="D108" s="464"/>
    </row>
    <row r="109" spans="4:4">
      <c r="D109" s="464"/>
    </row>
    <row r="110" spans="4:4">
      <c r="D110" s="464"/>
    </row>
    <row r="111" spans="4:4">
      <c r="D111" s="464"/>
    </row>
    <row r="112" spans="4:4">
      <c r="D112" s="464"/>
    </row>
    <row r="113" spans="4:4">
      <c r="D113" s="464"/>
    </row>
    <row r="114" spans="4:4">
      <c r="D114" s="464"/>
    </row>
    <row r="115" spans="4:4">
      <c r="D115" s="464"/>
    </row>
    <row r="116" spans="4:4">
      <c r="D116" s="464"/>
    </row>
    <row r="117" spans="4:4">
      <c r="D117" s="464"/>
    </row>
    <row r="118" spans="4:4">
      <c r="D118" s="464"/>
    </row>
    <row r="119" spans="4:4">
      <c r="D119" s="464"/>
    </row>
    <row r="120" spans="4:4">
      <c r="D120" s="464"/>
    </row>
    <row r="121" spans="4:4">
      <c r="D121" s="464"/>
    </row>
    <row r="122" spans="4:4">
      <c r="D122" s="464"/>
    </row>
    <row r="123" spans="4:4">
      <c r="D123" s="464"/>
    </row>
    <row r="124" spans="4:4">
      <c r="D124" s="464"/>
    </row>
    <row r="125" spans="4:4">
      <c r="D125" s="464"/>
    </row>
    <row r="126" spans="4:4">
      <c r="D126" s="464"/>
    </row>
    <row r="127" spans="4:4">
      <c r="D127" s="464"/>
    </row>
    <row r="128" spans="4:4">
      <c r="D128" s="464"/>
    </row>
    <row r="129" spans="4:4">
      <c r="D129" s="464"/>
    </row>
    <row r="130" spans="4:4">
      <c r="D130" s="464"/>
    </row>
    <row r="131" spans="4:4">
      <c r="D131" s="464"/>
    </row>
    <row r="132" spans="4:4">
      <c r="D132" s="464"/>
    </row>
    <row r="133" spans="4:4">
      <c r="D133" s="464"/>
    </row>
    <row r="134" spans="4:4">
      <c r="D134" s="464"/>
    </row>
    <row r="135" spans="4:4">
      <c r="D135" s="464"/>
    </row>
  </sheetData>
  <printOptions horizontalCentered="1"/>
  <pageMargins left="0.2" right="0.2"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F37" sqref="F37"/>
    </sheetView>
  </sheetViews>
  <sheetFormatPr defaultRowHeight="15"/>
  <cols>
    <col min="1" max="1" width="12" bestFit="1" customWidth="1"/>
    <col min="2" max="2" width="57.28515625" customWidth="1"/>
    <col min="3" max="3" width="12.85546875" customWidth="1"/>
    <col min="4" max="4" width="7" style="2" bestFit="1" customWidth="1"/>
    <col min="5" max="5" width="7.28515625" style="2" bestFit="1" customWidth="1"/>
    <col min="6" max="6" width="7.7109375" style="2" bestFit="1" customWidth="1"/>
    <col min="7" max="7" width="6.7109375" style="2" bestFit="1" customWidth="1"/>
    <col min="8" max="8" width="7.140625" style="2" bestFit="1" customWidth="1"/>
    <col min="9" max="9" width="7.42578125" style="2" bestFit="1" customWidth="1"/>
    <col min="10" max="10" width="7" style="2" bestFit="1" customWidth="1"/>
    <col min="11" max="11" width="7.7109375" style="2" bestFit="1" customWidth="1"/>
    <col min="12" max="12" width="6.7109375" style="2" bestFit="1" customWidth="1"/>
    <col min="13" max="13" width="6.28515625" style="2" bestFit="1" customWidth="1"/>
    <col min="14" max="14" width="7.28515625" style="2" bestFit="1" customWidth="1"/>
    <col min="15" max="15" width="7.140625" style="2" bestFit="1" customWidth="1"/>
    <col min="16" max="16" width="7" style="2" bestFit="1" customWidth="1"/>
    <col min="17" max="17" width="7.28515625" bestFit="1" customWidth="1"/>
    <col min="18" max="18" width="13.28515625" bestFit="1" customWidth="1"/>
    <col min="19" max="19" width="13.42578125" customWidth="1"/>
    <col min="20" max="20" width="19.28515625" customWidth="1"/>
  </cols>
  <sheetData>
    <row r="1" spans="1:24">
      <c r="A1" s="335" t="s">
        <v>0</v>
      </c>
      <c r="B1" s="335"/>
      <c r="C1" s="335"/>
      <c r="D1" s="335"/>
      <c r="E1" s="335"/>
      <c r="F1" s="335"/>
      <c r="G1" s="335"/>
      <c r="H1" s="335"/>
      <c r="I1" s="335"/>
      <c r="J1" s="335"/>
      <c r="K1" s="335"/>
      <c r="L1" s="335"/>
      <c r="M1" s="335"/>
      <c r="N1" s="335"/>
      <c r="O1" s="335"/>
      <c r="P1" s="335"/>
      <c r="Q1" s="335"/>
      <c r="R1" s="335"/>
      <c r="S1" s="335"/>
      <c r="T1" s="217"/>
      <c r="U1" s="217"/>
      <c r="V1" s="217"/>
      <c r="W1" s="217"/>
      <c r="X1" s="217"/>
    </row>
    <row r="2" spans="1:24">
      <c r="A2" s="335" t="s">
        <v>205</v>
      </c>
      <c r="B2" s="335"/>
      <c r="C2" s="335"/>
      <c r="D2" s="335"/>
      <c r="E2" s="335"/>
      <c r="F2" s="335"/>
      <c r="G2" s="335"/>
      <c r="H2" s="335"/>
      <c r="I2" s="335"/>
      <c r="J2" s="335"/>
      <c r="K2" s="335"/>
      <c r="L2" s="335"/>
      <c r="M2" s="335"/>
      <c r="N2" s="335"/>
      <c r="O2" s="335"/>
      <c r="P2" s="335"/>
      <c r="Q2" s="335"/>
      <c r="R2" s="335"/>
      <c r="S2" s="335"/>
      <c r="T2" s="217"/>
      <c r="U2" s="217"/>
      <c r="V2" s="217"/>
      <c r="W2" s="217"/>
      <c r="X2" s="217"/>
    </row>
    <row r="3" spans="1:24" ht="21">
      <c r="A3" s="336" t="s">
        <v>2</v>
      </c>
      <c r="B3" s="336"/>
      <c r="C3" s="336"/>
      <c r="D3" s="336"/>
      <c r="E3" s="336"/>
      <c r="F3" s="336"/>
      <c r="G3" s="336"/>
      <c r="H3" s="336"/>
      <c r="I3" s="336"/>
      <c r="J3" s="336"/>
      <c r="K3" s="336"/>
      <c r="L3" s="336"/>
      <c r="M3" s="336"/>
      <c r="N3" s="336"/>
      <c r="O3" s="336"/>
      <c r="P3" s="336"/>
      <c r="Q3" s="336"/>
      <c r="R3" s="336"/>
      <c r="S3" s="336"/>
      <c r="T3" s="218"/>
      <c r="U3" s="218"/>
      <c r="V3" s="218"/>
      <c r="W3" s="218"/>
      <c r="X3" s="218"/>
    </row>
    <row r="4" spans="1:24" ht="7.15" customHeight="1" thickBot="1"/>
    <row r="5" spans="1:24" s="8" customFormat="1" ht="45.75" thickBot="1">
      <c r="A5" s="3" t="s">
        <v>4</v>
      </c>
      <c r="B5" s="5" t="s">
        <v>5</v>
      </c>
      <c r="C5" s="6" t="s">
        <v>176</v>
      </c>
      <c r="D5" s="6">
        <v>42644</v>
      </c>
      <c r="E5" s="6">
        <v>42675</v>
      </c>
      <c r="F5" s="6" t="s">
        <v>10</v>
      </c>
      <c r="G5" s="6">
        <v>42736</v>
      </c>
      <c r="H5" s="6">
        <v>42767</v>
      </c>
      <c r="I5" s="6">
        <v>42795</v>
      </c>
      <c r="J5" s="6">
        <v>42826</v>
      </c>
      <c r="K5" s="6">
        <v>42856</v>
      </c>
      <c r="L5" s="6">
        <v>42887</v>
      </c>
      <c r="M5" s="6">
        <v>42917</v>
      </c>
      <c r="N5" s="6">
        <v>42948</v>
      </c>
      <c r="O5" s="6">
        <v>42979</v>
      </c>
      <c r="P5" s="6">
        <v>43009</v>
      </c>
      <c r="Q5" s="6">
        <v>43040</v>
      </c>
      <c r="R5" s="6">
        <v>43070</v>
      </c>
      <c r="S5" s="7" t="s">
        <v>212</v>
      </c>
    </row>
    <row r="6" spans="1:24" s="2" customFormat="1">
      <c r="A6" s="32" t="s">
        <v>206</v>
      </c>
      <c r="B6" s="205" t="s">
        <v>207</v>
      </c>
      <c r="C6" s="12">
        <v>0</v>
      </c>
      <c r="D6" s="13">
        <v>0</v>
      </c>
      <c r="E6" s="13">
        <v>0</v>
      </c>
      <c r="F6" s="13">
        <v>0</v>
      </c>
      <c r="G6" s="13">
        <v>0</v>
      </c>
      <c r="H6" s="13">
        <v>0</v>
      </c>
      <c r="I6" s="13">
        <v>0</v>
      </c>
      <c r="J6" s="13">
        <v>0</v>
      </c>
      <c r="K6" s="13">
        <v>0</v>
      </c>
      <c r="L6" s="13">
        <v>0</v>
      </c>
      <c r="M6" s="13">
        <v>0</v>
      </c>
      <c r="N6" s="13">
        <v>0</v>
      </c>
      <c r="O6" s="13">
        <v>0</v>
      </c>
      <c r="P6" s="13">
        <v>0</v>
      </c>
      <c r="Q6" s="13">
        <v>0</v>
      </c>
      <c r="R6" s="12">
        <f>'2017 GRC Stlmt'!D12</f>
        <v>72192483.439999983</v>
      </c>
      <c r="S6" s="174">
        <f>SUM(C6:R6)</f>
        <v>72192483.439999983</v>
      </c>
    </row>
    <row r="7" spans="1:24" s="2" customFormat="1" ht="19.899999999999999" customHeight="1">
      <c r="A7" s="32" t="s">
        <v>206</v>
      </c>
      <c r="B7" s="135" t="s">
        <v>250</v>
      </c>
      <c r="C7" s="17"/>
      <c r="D7" s="206"/>
      <c r="E7" s="206"/>
      <c r="F7" s="206"/>
      <c r="G7" s="206"/>
      <c r="H7" s="206"/>
      <c r="I7" s="206"/>
      <c r="J7" s="206"/>
      <c r="K7" s="206"/>
      <c r="L7" s="206"/>
      <c r="M7" s="206"/>
      <c r="N7" s="206"/>
      <c r="O7" s="206"/>
      <c r="P7" s="206"/>
      <c r="Q7" s="206"/>
      <c r="R7" s="17">
        <f>-'2017 GRC Stlmt'!D12/5/12*13/31</f>
        <v>-504571.12081720424</v>
      </c>
      <c r="S7" s="18">
        <f>SUM(C7:R7)</f>
        <v>-504571.12081720424</v>
      </c>
    </row>
    <row r="8" spans="1:24" s="2" customFormat="1">
      <c r="A8" s="32"/>
      <c r="B8" s="199" t="s">
        <v>208</v>
      </c>
      <c r="C8" s="75">
        <f t="shared" ref="C8:Q8" si="0">SUM(C6:C7)</f>
        <v>0</v>
      </c>
      <c r="D8" s="75">
        <f t="shared" si="0"/>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SUM(R6:R7)</f>
        <v>71687912.319182783</v>
      </c>
      <c r="S8" s="200">
        <f>SUM(S6:S7)</f>
        <v>71687912.319182783</v>
      </c>
    </row>
    <row r="9" spans="1:24" s="2" customFormat="1">
      <c r="A9" s="32"/>
      <c r="B9" s="135"/>
      <c r="C9" s="201"/>
      <c r="D9" s="202"/>
      <c r="E9" s="202"/>
      <c r="F9" s="202"/>
      <c r="G9" s="202"/>
      <c r="H9" s="202"/>
      <c r="I9" s="202"/>
      <c r="J9" s="202"/>
      <c r="K9" s="202"/>
      <c r="L9" s="202"/>
      <c r="M9" s="202"/>
      <c r="N9" s="202"/>
      <c r="O9" s="202"/>
      <c r="P9" s="202"/>
      <c r="Q9" s="202"/>
      <c r="R9" s="201"/>
      <c r="S9" s="207"/>
    </row>
    <row r="10" spans="1:24" s="2" customFormat="1">
      <c r="A10" s="32" t="s">
        <v>209</v>
      </c>
      <c r="B10" s="135" t="s">
        <v>210</v>
      </c>
      <c r="C10" s="12">
        <v>0</v>
      </c>
      <c r="D10" s="12">
        <v>0</v>
      </c>
      <c r="E10" s="12">
        <v>0</v>
      </c>
      <c r="F10" s="12">
        <v>0</v>
      </c>
      <c r="G10" s="12">
        <v>0</v>
      </c>
      <c r="H10" s="12">
        <v>0</v>
      </c>
      <c r="I10" s="12">
        <v>0</v>
      </c>
      <c r="J10" s="12">
        <v>0</v>
      </c>
      <c r="K10" s="12">
        <v>0</v>
      </c>
      <c r="L10" s="12">
        <v>0</v>
      </c>
      <c r="M10" s="12">
        <v>0</v>
      </c>
      <c r="N10" s="12">
        <v>0</v>
      </c>
      <c r="O10" s="12">
        <v>0</v>
      </c>
      <c r="P10" s="12">
        <v>0</v>
      </c>
      <c r="Q10" s="12">
        <v>0</v>
      </c>
      <c r="R10" s="12">
        <f>'2017 GRC Stlmt'!D16</f>
        <v>-29176115.83117523</v>
      </c>
      <c r="S10" s="14">
        <f>SUM(C10:R10)</f>
        <v>-29176115.83117523</v>
      </c>
    </row>
    <row r="11" spans="1:24" s="2" customFormat="1">
      <c r="A11" s="32" t="s">
        <v>209</v>
      </c>
      <c r="B11" s="135" t="s">
        <v>251</v>
      </c>
      <c r="C11" s="37"/>
      <c r="D11" s="37"/>
      <c r="E11" s="37"/>
      <c r="F11" s="37"/>
      <c r="G11" s="37"/>
      <c r="H11" s="37"/>
      <c r="I11" s="37"/>
      <c r="J11" s="37"/>
      <c r="K11" s="37"/>
      <c r="L11" s="37"/>
      <c r="M11" s="37"/>
      <c r="N11" s="37"/>
      <c r="O11" s="37"/>
      <c r="P11" s="37"/>
      <c r="Q11" s="37"/>
      <c r="R11" s="37">
        <f>-'2017 GRC Stlmt'!D16/5/12*13/31</f>
        <v>203919.0891426226</v>
      </c>
      <c r="S11" s="18">
        <f>SUM(C11:R11)</f>
        <v>203919.0891426226</v>
      </c>
    </row>
    <row r="12" spans="1:24" s="2" customFormat="1">
      <c r="A12" s="32"/>
      <c r="B12" s="199" t="s">
        <v>211</v>
      </c>
      <c r="C12" s="21">
        <f t="shared" ref="C12:Q12" si="1">SUM(C10:C11)</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SUM(R10:R11)</f>
        <v>-28972196.742032606</v>
      </c>
      <c r="S12" s="22">
        <f>SUM(S10:S11)</f>
        <v>-28972196.742032606</v>
      </c>
    </row>
    <row r="13" spans="1:24">
      <c r="A13" s="79"/>
      <c r="B13" s="80"/>
      <c r="C13" s="83"/>
      <c r="D13" s="84"/>
      <c r="E13" s="84"/>
      <c r="F13" s="84"/>
      <c r="G13" s="84"/>
      <c r="H13" s="84"/>
      <c r="I13" s="84"/>
      <c r="J13" s="84"/>
      <c r="K13" s="84"/>
      <c r="L13" s="84"/>
      <c r="M13" s="84"/>
      <c r="N13" s="84"/>
      <c r="O13" s="84"/>
      <c r="P13" s="84"/>
      <c r="Q13" s="83"/>
      <c r="R13" s="83"/>
      <c r="S13" s="176"/>
    </row>
    <row r="14" spans="1:24" ht="15.75" thickBot="1">
      <c r="A14" s="79"/>
      <c r="B14" s="85" t="s">
        <v>89</v>
      </c>
      <c r="C14" s="86">
        <f>C12+C8</f>
        <v>0</v>
      </c>
      <c r="D14" s="86">
        <f t="shared" ref="D14:S14" si="2">D12+D8</f>
        <v>0</v>
      </c>
      <c r="E14" s="86">
        <f t="shared" si="2"/>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42715715.577150181</v>
      </c>
      <c r="S14" s="87">
        <f t="shared" si="2"/>
        <v>42715715.577150181</v>
      </c>
    </row>
    <row r="15" spans="1:24" s="50" customFormat="1" ht="12.75" thickTop="1" thickBot="1">
      <c r="A15" s="88"/>
      <c r="B15" s="90"/>
      <c r="C15" s="92"/>
      <c r="D15" s="91"/>
      <c r="E15" s="91"/>
      <c r="F15" s="92"/>
      <c r="G15" s="93"/>
      <c r="H15" s="93"/>
      <c r="I15" s="92"/>
      <c r="J15" s="93"/>
      <c r="K15" s="93"/>
      <c r="L15" s="92"/>
      <c r="M15" s="93"/>
      <c r="N15" s="93"/>
      <c r="O15" s="92"/>
      <c r="P15" s="93"/>
      <c r="Q15" s="93"/>
      <c r="R15" s="92"/>
      <c r="S15" s="150"/>
    </row>
    <row r="16" spans="1:24">
      <c r="S16" s="35"/>
    </row>
    <row r="17" spans="1:20">
      <c r="S17" s="35"/>
    </row>
    <row r="18" spans="1:20">
      <c r="S18" s="35"/>
    </row>
    <row r="19" spans="1:20">
      <c r="A19" s="203"/>
      <c r="B19" s="204"/>
      <c r="S19" s="35"/>
    </row>
    <row r="20" spans="1:20" s="2" customFormat="1">
      <c r="A20" s="203"/>
      <c r="B20" s="204"/>
      <c r="C20" s="94"/>
      <c r="Q20"/>
      <c r="R20"/>
      <c r="S20" s="35"/>
      <c r="T20"/>
    </row>
    <row r="21" spans="1:20">
      <c r="A21" s="203"/>
      <c r="B21" s="204"/>
      <c r="S21" s="35"/>
    </row>
    <row r="22" spans="1:20">
      <c r="S22" s="35"/>
    </row>
    <row r="23" spans="1:20">
      <c r="S23" s="35"/>
    </row>
    <row r="24" spans="1:20">
      <c r="S24" s="35"/>
    </row>
    <row r="25" spans="1:20">
      <c r="S25" s="35"/>
    </row>
    <row r="26" spans="1:20">
      <c r="S26" s="35"/>
    </row>
    <row r="27" spans="1:20">
      <c r="S27" s="35"/>
    </row>
    <row r="28" spans="1:20">
      <c r="S28" s="35"/>
    </row>
    <row r="29" spans="1:20">
      <c r="S29" s="35"/>
    </row>
    <row r="30" spans="1:20">
      <c r="S30" s="35"/>
    </row>
  </sheetData>
  <printOptions horizontalCentered="1"/>
  <pageMargins left="0.2" right="0.2"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D15" sqref="D15"/>
    </sheetView>
  </sheetViews>
  <sheetFormatPr defaultColWidth="9.140625" defaultRowHeight="15"/>
  <cols>
    <col min="1" max="1" width="4.7109375" style="339" bestFit="1" customWidth="1"/>
    <col min="2" max="2" width="68.140625" style="339" bestFit="1" customWidth="1"/>
    <col min="3" max="4" width="15.85546875" style="339" customWidth="1"/>
    <col min="5" max="5" width="11.28515625" style="339" bestFit="1" customWidth="1"/>
    <col min="6" max="6" width="12.28515625" style="339" bestFit="1" customWidth="1"/>
    <col min="7" max="7" width="10.7109375" style="339" bestFit="1" customWidth="1"/>
    <col min="8" max="16384" width="9.140625" style="339"/>
  </cols>
  <sheetData>
    <row r="1" spans="1:6">
      <c r="A1" s="340" t="s">
        <v>276</v>
      </c>
      <c r="B1" s="340"/>
      <c r="C1" s="340"/>
      <c r="D1" s="446"/>
    </row>
    <row r="2" spans="1:6">
      <c r="A2" s="340" t="s">
        <v>275</v>
      </c>
      <c r="B2" s="340"/>
      <c r="C2" s="340"/>
      <c r="D2" s="446"/>
    </row>
    <row r="3" spans="1:6">
      <c r="A3" s="340" t="s">
        <v>274</v>
      </c>
      <c r="B3" s="340"/>
      <c r="C3" s="340"/>
      <c r="D3" s="446"/>
    </row>
    <row r="4" spans="1:6">
      <c r="A4" s="340" t="s">
        <v>273</v>
      </c>
      <c r="B4" s="340"/>
      <c r="C4" s="340"/>
      <c r="D4" s="446"/>
    </row>
    <row r="7" spans="1:6">
      <c r="A7" s="437" t="s">
        <v>342</v>
      </c>
      <c r="B7" s="437" t="s">
        <v>272</v>
      </c>
      <c r="C7" s="437" t="s">
        <v>271</v>
      </c>
      <c r="D7" s="437" t="s">
        <v>270</v>
      </c>
    </row>
    <row r="8" spans="1:6">
      <c r="B8" s="438"/>
      <c r="C8" s="439"/>
      <c r="D8" s="439"/>
    </row>
    <row r="9" spans="1:6">
      <c r="A9" s="447">
        <v>1</v>
      </c>
      <c r="B9" s="538" t="s">
        <v>343</v>
      </c>
      <c r="C9" s="439"/>
      <c r="D9" s="439"/>
    </row>
    <row r="10" spans="1:6">
      <c r="A10" s="447">
        <v>2</v>
      </c>
      <c r="B10" s="438" t="s">
        <v>269</v>
      </c>
      <c r="C10" s="440">
        <f>Electric!D34</f>
        <v>9689352.1799999997</v>
      </c>
      <c r="D10" s="440">
        <f>Gas!D47-Gas!D30-Gas!D27-Gas!D11-Gas!D7</f>
        <v>77757936.109999985</v>
      </c>
    </row>
    <row r="11" spans="1:6" ht="15.75" thickBot="1">
      <c r="A11" s="447">
        <v>3</v>
      </c>
      <c r="B11" s="438" t="s">
        <v>268</v>
      </c>
      <c r="C11" s="441"/>
      <c r="D11" s="441">
        <f>SUM(Gas!D30,Gas!D27,Gas!D11,Gas!D7)</f>
        <v>-5565452.6699999999</v>
      </c>
    </row>
    <row r="12" spans="1:6" ht="15.75" thickBot="1">
      <c r="A12" s="447">
        <v>4</v>
      </c>
      <c r="B12" s="438" t="s">
        <v>267</v>
      </c>
      <c r="C12" s="441">
        <f>SUM(C10:C11)</f>
        <v>9689352.1799999997</v>
      </c>
      <c r="D12" s="441">
        <f>SUM(D10:D11)</f>
        <v>72192483.439999983</v>
      </c>
    </row>
    <row r="13" spans="1:6">
      <c r="A13" s="447">
        <v>5</v>
      </c>
    </row>
    <row r="14" spans="1:6">
      <c r="A14" s="447">
        <v>6</v>
      </c>
      <c r="B14" s="438" t="s">
        <v>266</v>
      </c>
      <c r="C14" s="442">
        <f>Electric!E34</f>
        <v>-5437149.2700000005</v>
      </c>
      <c r="D14" s="442">
        <f>Gas!E47</f>
        <v>-50477888.110000007</v>
      </c>
    </row>
    <row r="15" spans="1:6" ht="15.75" thickBot="1">
      <c r="A15" s="447">
        <v>7</v>
      </c>
      <c r="B15" s="438" t="s">
        <v>265</v>
      </c>
      <c r="C15" s="443">
        <f>Electric!D38</f>
        <v>0.47275274446217808</v>
      </c>
      <c r="D15" s="443">
        <f>Gas!D51</f>
        <v>0.57799794966848561</v>
      </c>
    </row>
    <row r="16" spans="1:6" ht="15.75" thickBot="1">
      <c r="A16" s="447">
        <v>8</v>
      </c>
      <c r="B16" s="438" t="s">
        <v>264</v>
      </c>
      <c r="C16" s="441">
        <f>C14*C15</f>
        <v>-2570427.2394430283</v>
      </c>
      <c r="D16" s="441">
        <f>D14*D15</f>
        <v>-29176115.83117523</v>
      </c>
      <c r="E16" s="456"/>
      <c r="F16" s="456"/>
    </row>
    <row r="17" spans="1:6" ht="15.75" thickBot="1">
      <c r="A17" s="447">
        <v>9</v>
      </c>
      <c r="B17" s="438" t="s">
        <v>263</v>
      </c>
      <c r="C17" s="441">
        <f>C12+C16</f>
        <v>7118924.9405569714</v>
      </c>
      <c r="D17" s="441">
        <f>D12+D16</f>
        <v>43016367.608824752</v>
      </c>
    </row>
    <row r="18" spans="1:6" ht="15.75" thickBot="1">
      <c r="A18" s="447">
        <v>10</v>
      </c>
      <c r="B18" s="438" t="s">
        <v>262</v>
      </c>
      <c r="C18" s="441">
        <f>C17/5</f>
        <v>1423784.9881113942</v>
      </c>
      <c r="D18" s="441">
        <f>D17/5</f>
        <v>8603273.5217649508</v>
      </c>
    </row>
    <row r="19" spans="1:6" ht="15.75" thickBot="1">
      <c r="A19" s="447">
        <v>11</v>
      </c>
      <c r="B19" s="438" t="s">
        <v>261</v>
      </c>
      <c r="C19" s="444">
        <f>-C18*0.65</f>
        <v>-925460.24227240623</v>
      </c>
      <c r="D19" s="444">
        <f>-D18*0.65</f>
        <v>-5592127.7891472187</v>
      </c>
    </row>
    <row r="20" spans="1:6" ht="15.75" thickTop="1">
      <c r="A20" s="447">
        <v>12</v>
      </c>
    </row>
    <row r="21" spans="1:6">
      <c r="A21" s="447">
        <v>13</v>
      </c>
    </row>
    <row r="22" spans="1:6">
      <c r="A22" s="447">
        <v>14</v>
      </c>
      <c r="B22" s="538" t="s">
        <v>377</v>
      </c>
    </row>
    <row r="23" spans="1:6">
      <c r="A23" s="447">
        <v>15</v>
      </c>
      <c r="B23" s="438" t="s">
        <v>339</v>
      </c>
    </row>
    <row r="24" spans="1:6">
      <c r="A24" s="447">
        <v>16</v>
      </c>
      <c r="B24" s="445" t="s">
        <v>341</v>
      </c>
      <c r="C24" s="435">
        <f>C10</f>
        <v>9689352.1799999997</v>
      </c>
      <c r="D24" s="435">
        <f>D12</f>
        <v>72192483.439999983</v>
      </c>
    </row>
    <row r="25" spans="1:6">
      <c r="A25" s="447">
        <v>17</v>
      </c>
      <c r="B25" s="445" t="s">
        <v>376</v>
      </c>
      <c r="C25" s="442">
        <f>C39</f>
        <v>-826665.19000000006</v>
      </c>
      <c r="D25" s="448" t="s">
        <v>336</v>
      </c>
    </row>
    <row r="26" spans="1:6" ht="15.75" thickBot="1">
      <c r="A26" s="447">
        <v>18</v>
      </c>
      <c r="B26" s="445" t="s">
        <v>338</v>
      </c>
      <c r="C26" s="436">
        <f>SUM(C24:C25)</f>
        <v>8862686.9900000002</v>
      </c>
      <c r="D26" s="436">
        <f>SUM(D24:D25)</f>
        <v>72192483.439999983</v>
      </c>
    </row>
    <row r="27" spans="1:6" ht="15.75" thickTop="1">
      <c r="A27" s="447">
        <v>19</v>
      </c>
    </row>
    <row r="28" spans="1:6">
      <c r="A28" s="447">
        <v>20</v>
      </c>
      <c r="B28" s="339" t="s">
        <v>340</v>
      </c>
    </row>
    <row r="29" spans="1:6">
      <c r="A29" s="447">
        <v>21</v>
      </c>
      <c r="B29" s="445" t="s">
        <v>341</v>
      </c>
      <c r="C29" s="435">
        <f>C16</f>
        <v>-2570427.2394430283</v>
      </c>
      <c r="D29" s="435">
        <f>D16</f>
        <v>-29176115.83117523</v>
      </c>
    </row>
    <row r="30" spans="1:6">
      <c r="A30" s="447">
        <v>22</v>
      </c>
      <c r="B30" s="445" t="s">
        <v>337</v>
      </c>
      <c r="C30" s="442">
        <f>-C25</f>
        <v>826665.19000000006</v>
      </c>
      <c r="D30" s="448" t="s">
        <v>336</v>
      </c>
    </row>
    <row r="31" spans="1:6" ht="15.75" thickBot="1">
      <c r="A31" s="447">
        <v>23</v>
      </c>
      <c r="B31" s="445" t="s">
        <v>338</v>
      </c>
      <c r="C31" s="436">
        <f>SUM(C29:C30)</f>
        <v>-1743762.0494430284</v>
      </c>
      <c r="D31" s="436">
        <f>SUM(D29:D30)</f>
        <v>-29176115.83117523</v>
      </c>
      <c r="F31" s="456"/>
    </row>
    <row r="32" spans="1:6" ht="15.75" thickTop="1">
      <c r="A32" s="447">
        <v>24</v>
      </c>
    </row>
    <row r="33" spans="1:7" ht="15.75" thickBot="1">
      <c r="A33" s="447">
        <v>25</v>
      </c>
      <c r="B33" s="450" t="s">
        <v>344</v>
      </c>
      <c r="C33" s="449">
        <f>(C26+C31)/5*-0.65</f>
        <v>-925460.24227240623</v>
      </c>
      <c r="D33" s="449">
        <f>(D26+D31)/5*-0.65</f>
        <v>-5592127.7891472187</v>
      </c>
    </row>
    <row r="34" spans="1:7" ht="15.75" thickTop="1">
      <c r="A34" s="447">
        <v>26</v>
      </c>
    </row>
    <row r="35" spans="1:7">
      <c r="A35" s="447">
        <v>27</v>
      </c>
    </row>
    <row r="36" spans="1:7">
      <c r="A36" s="447">
        <v>28</v>
      </c>
      <c r="B36" s="339" t="s">
        <v>345</v>
      </c>
      <c r="C36" s="435">
        <f>Electric!E8</f>
        <v>-71171.44</v>
      </c>
      <c r="D36" s="448" t="s">
        <v>336</v>
      </c>
    </row>
    <row r="37" spans="1:7">
      <c r="A37" s="447">
        <v>29</v>
      </c>
      <c r="B37" s="339" t="s">
        <v>346</v>
      </c>
      <c r="C37" s="442">
        <f>Electric!E16</f>
        <v>-662553.87</v>
      </c>
      <c r="D37" s="448" t="s">
        <v>336</v>
      </c>
    </row>
    <row r="38" spans="1:7">
      <c r="A38" s="447">
        <v>30</v>
      </c>
      <c r="B38" s="339" t="s">
        <v>347</v>
      </c>
      <c r="C38" s="442">
        <f>Electric!E24</f>
        <v>-92939.88</v>
      </c>
      <c r="D38" s="448" t="s">
        <v>336</v>
      </c>
    </row>
    <row r="39" spans="1:7" ht="15.75" thickBot="1">
      <c r="A39" s="447">
        <v>31</v>
      </c>
      <c r="B39" s="339" t="s">
        <v>348</v>
      </c>
      <c r="C39" s="436">
        <f>SUM(C36:C38)</f>
        <v>-826665.19000000006</v>
      </c>
      <c r="D39" s="436">
        <f>SUM(D36:D38)</f>
        <v>0</v>
      </c>
    </row>
    <row r="40" spans="1:7" ht="15.75" thickTop="1">
      <c r="A40" s="447">
        <v>32</v>
      </c>
    </row>
    <row r="41" spans="1:7">
      <c r="A41" s="447">
        <v>33</v>
      </c>
      <c r="B41" s="339" t="s">
        <v>355</v>
      </c>
      <c r="C41" s="435">
        <f>C18</f>
        <v>1423784.9881113942</v>
      </c>
      <c r="D41" s="435">
        <f>D18</f>
        <v>8603273.5217649508</v>
      </c>
    </row>
    <row r="42" spans="1:7">
      <c r="A42" s="447">
        <v>34</v>
      </c>
      <c r="B42" s="339" t="s">
        <v>353</v>
      </c>
      <c r="C42" s="456">
        <v>12</v>
      </c>
      <c r="D42" s="456">
        <v>12</v>
      </c>
    </row>
    <row r="43" spans="1:7">
      <c r="A43" s="447">
        <v>35</v>
      </c>
      <c r="B43" s="339" t="s">
        <v>354</v>
      </c>
      <c r="C43" s="458">
        <f>C41/C42</f>
        <v>118648.74900928285</v>
      </c>
      <c r="D43" s="458">
        <f>D41/D42</f>
        <v>716939.4601470792</v>
      </c>
    </row>
    <row r="44" spans="1:7">
      <c r="A44" s="447">
        <v>36</v>
      </c>
      <c r="B44" s="339" t="s">
        <v>350</v>
      </c>
      <c r="C44" s="457">
        <f>13/31</f>
        <v>0.41935483870967744</v>
      </c>
      <c r="D44" s="457">
        <f>13/31</f>
        <v>0.41935483870967744</v>
      </c>
    </row>
    <row r="45" spans="1:7">
      <c r="A45" s="447">
        <v>37</v>
      </c>
      <c r="B45" s="339" t="s">
        <v>351</v>
      </c>
      <c r="C45" s="460">
        <f>C43*C44</f>
        <v>49755.927003892808</v>
      </c>
      <c r="D45" s="458">
        <f>D43*D44</f>
        <v>300652.03167458164</v>
      </c>
      <c r="G45" s="459"/>
    </row>
    <row r="46" spans="1:7">
      <c r="A46" s="447">
        <v>38</v>
      </c>
      <c r="B46" s="339" t="s">
        <v>352</v>
      </c>
      <c r="C46" s="442">
        <f>-'ELEC Amort '!S7-'ELEC Amort '!S11</f>
        <v>49755.927003892808</v>
      </c>
      <c r="D46" s="442">
        <f>-'GAS Amort'!R7-'GAS Amort'!R11</f>
        <v>300652.03167458164</v>
      </c>
      <c r="G46" s="459"/>
    </row>
    <row r="47" spans="1:7" ht="15.75" thickBot="1">
      <c r="A47" s="447">
        <v>39</v>
      </c>
      <c r="B47" s="339" t="s">
        <v>356</v>
      </c>
      <c r="C47" s="436">
        <f>C45-C46</f>
        <v>0</v>
      </c>
      <c r="D47" s="436">
        <f>D45-D46</f>
        <v>0</v>
      </c>
      <c r="G47" s="459"/>
    </row>
    <row r="48" spans="1:7" ht="15.75" thickTop="1">
      <c r="G48" s="459"/>
    </row>
    <row r="49" spans="1:7">
      <c r="A49" s="447" t="s">
        <v>370</v>
      </c>
      <c r="G49" s="459"/>
    </row>
    <row r="50" spans="1:7">
      <c r="A50" s="451" t="s">
        <v>381</v>
      </c>
      <c r="G50" s="459"/>
    </row>
    <row r="51" spans="1:7">
      <c r="A51" s="451" t="s">
        <v>349</v>
      </c>
      <c r="G51" s="459"/>
    </row>
    <row r="52" spans="1:7">
      <c r="A52" s="451" t="s">
        <v>379</v>
      </c>
      <c r="G52" s="459"/>
    </row>
    <row r="53" spans="1:7">
      <c r="A53" s="451" t="s">
        <v>361</v>
      </c>
      <c r="G53" s="459"/>
    </row>
    <row r="54" spans="1:7">
      <c r="A54" s="451" t="s">
        <v>362</v>
      </c>
      <c r="G54" s="459"/>
    </row>
    <row r="55" spans="1:7">
      <c r="A55" s="451" t="s">
        <v>363</v>
      </c>
      <c r="G55" s="459"/>
    </row>
    <row r="56" spans="1:7">
      <c r="A56" s="451" t="s">
        <v>364</v>
      </c>
      <c r="G56" s="459"/>
    </row>
    <row r="57" spans="1:7">
      <c r="A57" s="451" t="s">
        <v>365</v>
      </c>
      <c r="G57" s="459"/>
    </row>
    <row r="58" spans="1:7">
      <c r="A58" s="451" t="s">
        <v>366</v>
      </c>
    </row>
    <row r="59" spans="1:7">
      <c r="A59" s="451" t="s">
        <v>367</v>
      </c>
    </row>
    <row r="60" spans="1:7">
      <c r="A60" s="451" t="s">
        <v>368</v>
      </c>
    </row>
    <row r="61" spans="1:7">
      <c r="A61" s="451"/>
    </row>
    <row r="62" spans="1:7">
      <c r="A62" s="447" t="s">
        <v>358</v>
      </c>
      <c r="B62" s="203" t="s">
        <v>357</v>
      </c>
      <c r="C62" s="435">
        <f>-C39*(1-Electric!D38)</f>
        <v>435856.95267615217</v>
      </c>
      <c r="F62" s="536"/>
    </row>
    <row r="63" spans="1:7">
      <c r="A63" s="447" t="s">
        <v>359</v>
      </c>
      <c r="B63" s="339" t="s">
        <v>345</v>
      </c>
      <c r="D63" s="435">
        <f>C36*(1-Electric!$D$38)</f>
        <v>-37524.946412674763</v>
      </c>
    </row>
    <row r="64" spans="1:7">
      <c r="A64" s="447" t="s">
        <v>359</v>
      </c>
      <c r="B64" s="339" t="s">
        <v>346</v>
      </c>
      <c r="D64" s="435">
        <f>C37*(1-Electric!$D$38)</f>
        <v>-349329.70960346283</v>
      </c>
    </row>
    <row r="65" spans="1:4">
      <c r="A65" s="447" t="s">
        <v>359</v>
      </c>
      <c r="B65" s="339" t="s">
        <v>347</v>
      </c>
      <c r="D65" s="435">
        <f>C38*(1-Electric!$D$38)</f>
        <v>-49002.296660014508</v>
      </c>
    </row>
    <row r="67" spans="1:4">
      <c r="A67" s="447" t="s">
        <v>358</v>
      </c>
      <c r="B67" s="339" t="s">
        <v>369</v>
      </c>
      <c r="C67" s="435">
        <f>C30</f>
        <v>826665.19000000006</v>
      </c>
    </row>
    <row r="68" spans="1:4">
      <c r="A68" s="447" t="s">
        <v>359</v>
      </c>
      <c r="B68" s="339" t="s">
        <v>360</v>
      </c>
      <c r="D68" s="435">
        <f>-C67</f>
        <v>-826665.19000000006</v>
      </c>
    </row>
  </sheetData>
  <printOptions horizontalCentered="1"/>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3"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9.140625" defaultRowHeight="15"/>
  <cols>
    <col min="1" max="1" width="10.7109375" style="343" customWidth="1"/>
    <col min="2" max="2" width="12" style="341" bestFit="1" customWidth="1"/>
    <col min="3" max="3" width="62.42578125" style="341" customWidth="1"/>
    <col min="4" max="4" width="16.28515625" style="342" customWidth="1"/>
    <col min="5" max="5" width="16.85546875" style="341" customWidth="1"/>
    <col min="6" max="6" width="9.140625" style="341"/>
    <col min="7" max="7" width="10" style="341" bestFit="1" customWidth="1"/>
    <col min="8" max="8" width="10.140625" style="341" customWidth="1"/>
    <col min="9" max="16384" width="9.140625" style="341"/>
  </cols>
  <sheetData>
    <row r="1" spans="1:9" ht="15.75" thickBot="1"/>
    <row r="2" spans="1:9" s="369" customFormat="1" ht="60" customHeight="1" thickBot="1">
      <c r="A2" s="3" t="s">
        <v>3</v>
      </c>
      <c r="B2" s="4" t="s">
        <v>4</v>
      </c>
      <c r="C2" s="5" t="s">
        <v>5</v>
      </c>
      <c r="D2" s="4" t="s">
        <v>296</v>
      </c>
      <c r="E2" s="370" t="s">
        <v>295</v>
      </c>
    </row>
    <row r="3" spans="1:9">
      <c r="A3" s="362"/>
      <c r="B3" s="361"/>
      <c r="C3" s="360"/>
      <c r="D3" s="358"/>
      <c r="E3" s="358"/>
    </row>
    <row r="4" spans="1:9">
      <c r="A4" s="366">
        <v>18230010</v>
      </c>
      <c r="B4" s="365" t="s">
        <v>11</v>
      </c>
      <c r="C4" s="364" t="s">
        <v>294</v>
      </c>
      <c r="D4" s="353">
        <v>5906.25</v>
      </c>
      <c r="E4" s="363"/>
    </row>
    <row r="5" spans="1:9">
      <c r="A5" s="367"/>
      <c r="B5" s="361"/>
      <c r="C5" s="360"/>
      <c r="D5" s="359"/>
      <c r="E5" s="358"/>
    </row>
    <row r="6" spans="1:9">
      <c r="A6" s="368">
        <v>18230009</v>
      </c>
      <c r="B6" s="365" t="s">
        <v>18</v>
      </c>
      <c r="C6" s="364" t="s">
        <v>293</v>
      </c>
      <c r="D6" s="353">
        <v>2147559.11</v>
      </c>
      <c r="E6" s="363"/>
    </row>
    <row r="7" spans="1:9">
      <c r="A7" s="367"/>
      <c r="B7" s="361"/>
      <c r="C7" s="360"/>
      <c r="D7" s="359"/>
      <c r="E7" s="358"/>
    </row>
    <row r="8" spans="1:9">
      <c r="A8" s="368">
        <v>18230021</v>
      </c>
      <c r="B8" s="365" t="s">
        <v>21</v>
      </c>
      <c r="C8" s="364" t="s">
        <v>292</v>
      </c>
      <c r="D8" s="353">
        <v>465045.94</v>
      </c>
      <c r="E8" s="353">
        <v>-71171.44</v>
      </c>
      <c r="G8" s="541"/>
      <c r="H8" s="541"/>
      <c r="I8" s="541"/>
    </row>
    <row r="9" spans="1:9">
      <c r="A9" s="367"/>
      <c r="B9" s="361"/>
      <c r="C9" s="360"/>
      <c r="D9" s="359"/>
      <c r="E9" s="358"/>
    </row>
    <row r="10" spans="1:9">
      <c r="A10" s="368" t="s">
        <v>26</v>
      </c>
      <c r="B10" s="365" t="s">
        <v>27</v>
      </c>
      <c r="C10" s="364" t="s">
        <v>291</v>
      </c>
      <c r="D10" s="353">
        <v>198092.16</v>
      </c>
      <c r="E10" s="363"/>
    </row>
    <row r="11" spans="1:9">
      <c r="A11" s="367"/>
      <c r="B11" s="361"/>
      <c r="C11" s="360"/>
      <c r="D11" s="359"/>
      <c r="E11" s="358"/>
    </row>
    <row r="12" spans="1:9">
      <c r="A12" s="368" t="s">
        <v>32</v>
      </c>
      <c r="B12" s="365" t="s">
        <v>33</v>
      </c>
      <c r="C12" s="364" t="s">
        <v>290</v>
      </c>
      <c r="D12" s="353">
        <v>440996.89</v>
      </c>
      <c r="E12" s="363"/>
    </row>
    <row r="13" spans="1:9">
      <c r="A13" s="367"/>
      <c r="B13" s="361"/>
      <c r="C13" s="360"/>
      <c r="D13" s="359"/>
      <c r="E13" s="358"/>
    </row>
    <row r="14" spans="1:9">
      <c r="A14" s="368" t="s">
        <v>37</v>
      </c>
      <c r="B14" s="365" t="s">
        <v>38</v>
      </c>
      <c r="C14" s="364" t="s">
        <v>289</v>
      </c>
      <c r="D14" s="353">
        <v>2254508.17</v>
      </c>
      <c r="E14" s="363"/>
    </row>
    <row r="15" spans="1:9">
      <c r="A15" s="367"/>
      <c r="B15" s="361"/>
      <c r="C15" s="360"/>
      <c r="D15" s="359"/>
      <c r="E15" s="358"/>
    </row>
    <row r="16" spans="1:9">
      <c r="A16" s="368" t="s">
        <v>42</v>
      </c>
      <c r="B16" s="365" t="s">
        <v>43</v>
      </c>
      <c r="C16" s="364" t="s">
        <v>288</v>
      </c>
      <c r="D16" s="353">
        <v>2242411.06</v>
      </c>
      <c r="E16" s="353">
        <v>-662553.87</v>
      </c>
      <c r="G16" s="541"/>
      <c r="H16" s="541"/>
    </row>
    <row r="17" spans="1:8">
      <c r="A17" s="367"/>
      <c r="B17" s="361"/>
      <c r="C17" s="360"/>
      <c r="D17" s="359"/>
      <c r="E17" s="358"/>
    </row>
    <row r="18" spans="1:8">
      <c r="A18" s="368" t="s">
        <v>48</v>
      </c>
      <c r="B18" s="365" t="s">
        <v>49</v>
      </c>
      <c r="C18" s="364" t="s">
        <v>287</v>
      </c>
      <c r="D18" s="353">
        <v>659654.59</v>
      </c>
      <c r="E18" s="363"/>
    </row>
    <row r="19" spans="1:8">
      <c r="A19" s="367"/>
      <c r="B19" s="361"/>
      <c r="C19" s="360"/>
      <c r="D19" s="359"/>
      <c r="E19" s="358"/>
    </row>
    <row r="20" spans="1:8">
      <c r="A20" s="368" t="s">
        <v>52</v>
      </c>
      <c r="B20" s="365" t="s">
        <v>53</v>
      </c>
      <c r="C20" s="364" t="s">
        <v>286</v>
      </c>
      <c r="D20" s="353">
        <v>224879.76</v>
      </c>
      <c r="E20" s="363"/>
    </row>
    <row r="21" spans="1:8">
      <c r="A21" s="367"/>
      <c r="B21" s="361"/>
      <c r="C21" s="360"/>
      <c r="D21" s="359"/>
      <c r="E21" s="358"/>
    </row>
    <row r="22" spans="1:8">
      <c r="A22" s="366">
        <v>18601130</v>
      </c>
      <c r="B22" s="365" t="s">
        <v>57</v>
      </c>
      <c r="C22" s="364" t="s">
        <v>285</v>
      </c>
      <c r="D22" s="353">
        <v>400495.47</v>
      </c>
      <c r="E22" s="363"/>
    </row>
    <row r="23" spans="1:8">
      <c r="A23" s="362"/>
      <c r="B23" s="361"/>
      <c r="C23" s="360"/>
      <c r="D23" s="359"/>
      <c r="E23" s="358"/>
    </row>
    <row r="24" spans="1:8">
      <c r="A24" s="366" t="s">
        <v>60</v>
      </c>
      <c r="B24" s="365" t="s">
        <v>61</v>
      </c>
      <c r="C24" s="364" t="s">
        <v>284</v>
      </c>
      <c r="D24" s="353">
        <v>324638.12</v>
      </c>
      <c r="E24" s="353">
        <v>-92939.88</v>
      </c>
      <c r="G24" s="541"/>
      <c r="H24" s="541"/>
    </row>
    <row r="25" spans="1:8">
      <c r="A25" s="362"/>
      <c r="B25" s="361"/>
      <c r="C25" s="360"/>
      <c r="D25" s="359"/>
      <c r="E25" s="358"/>
    </row>
    <row r="26" spans="1:8">
      <c r="A26" s="366" t="s">
        <v>67</v>
      </c>
      <c r="B26" s="365" t="s">
        <v>68</v>
      </c>
      <c r="C26" s="364" t="s">
        <v>283</v>
      </c>
      <c r="D26" s="353">
        <v>695.75</v>
      </c>
      <c r="E26" s="363"/>
    </row>
    <row r="27" spans="1:8">
      <c r="A27" s="362"/>
      <c r="B27" s="361"/>
      <c r="C27" s="360"/>
      <c r="D27" s="359"/>
      <c r="E27" s="358"/>
    </row>
    <row r="28" spans="1:8">
      <c r="A28" s="366">
        <v>18601129</v>
      </c>
      <c r="B28" s="365" t="s">
        <v>71</v>
      </c>
      <c r="C28" s="364" t="s">
        <v>282</v>
      </c>
      <c r="D28" s="353">
        <v>212588.68</v>
      </c>
      <c r="E28" s="363"/>
    </row>
    <row r="29" spans="1:8">
      <c r="A29" s="362"/>
      <c r="B29" s="361"/>
      <c r="C29" s="360"/>
      <c r="D29" s="359"/>
      <c r="E29" s="358"/>
    </row>
    <row r="30" spans="1:8">
      <c r="A30" s="366">
        <v>18601151</v>
      </c>
      <c r="B30" s="365" t="s">
        <v>74</v>
      </c>
      <c r="C30" s="364" t="s">
        <v>281</v>
      </c>
      <c r="D30" s="353">
        <v>111880.23</v>
      </c>
      <c r="E30" s="363"/>
    </row>
    <row r="31" spans="1:8">
      <c r="A31" s="362"/>
      <c r="B31" s="361"/>
      <c r="C31" s="360"/>
      <c r="D31" s="359"/>
      <c r="E31" s="358"/>
    </row>
    <row r="32" spans="1:8" ht="15.75" thickBot="1">
      <c r="A32" s="357"/>
      <c r="B32" s="356" t="s">
        <v>84</v>
      </c>
      <c r="C32" s="355" t="s">
        <v>85</v>
      </c>
      <c r="D32" s="354">
        <v>0</v>
      </c>
      <c r="E32" s="353">
        <v>-4610484.08</v>
      </c>
    </row>
    <row r="33" spans="3:7">
      <c r="F33" s="352"/>
      <c r="G33" s="352"/>
    </row>
    <row r="34" spans="3:7">
      <c r="C34" s="351" t="s">
        <v>280</v>
      </c>
      <c r="D34" s="543">
        <f>SUM(D4:D32)</f>
        <v>9689352.1799999997</v>
      </c>
      <c r="E34" s="543">
        <f>SUM(E4:E32)</f>
        <v>-5437149.2700000005</v>
      </c>
    </row>
    <row r="35" spans="3:7" ht="17.25">
      <c r="C35" s="350" t="s">
        <v>279</v>
      </c>
      <c r="D35" s="537">
        <f>'Future Costs Totals'!H6</f>
        <v>10806250</v>
      </c>
      <c r="E35" s="348"/>
    </row>
    <row r="36" spans="3:7">
      <c r="C36" s="347" t="s">
        <v>278</v>
      </c>
      <c r="D36" s="346">
        <f>SUM(D34:D35)</f>
        <v>20495602.18</v>
      </c>
    </row>
    <row r="38" spans="3:7">
      <c r="C38" s="345" t="s">
        <v>277</v>
      </c>
      <c r="D38" s="344">
        <f>D34/D36</f>
        <v>0.47275274446217808</v>
      </c>
    </row>
    <row r="39" spans="3:7" ht="15.75" thickBot="1">
      <c r="D39" s="539"/>
    </row>
    <row r="40" spans="3:7" ht="15.75" thickBot="1">
      <c r="D40" s="540">
        <f>E34*D38</f>
        <v>-2570427.2394430283</v>
      </c>
    </row>
    <row r="41" spans="3:7">
      <c r="D41" s="466"/>
    </row>
    <row r="43" spans="3:7">
      <c r="E43" s="544"/>
    </row>
    <row r="45" spans="3:7">
      <c r="D45" s="539"/>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pane ySplit="2" topLeftCell="A3" activePane="bottomLeft" state="frozen"/>
      <selection activeCell="B35" sqref="B35"/>
      <selection pane="bottomLeft" activeCell="E56" sqref="E56"/>
    </sheetView>
  </sheetViews>
  <sheetFormatPr defaultRowHeight="15"/>
  <cols>
    <col min="1" max="1" width="10.7109375" style="1" customWidth="1"/>
    <col min="2" max="2" width="12" bestFit="1" customWidth="1"/>
    <col min="3" max="3" width="62.42578125" customWidth="1"/>
    <col min="4" max="4" width="19.28515625" style="371" customWidth="1"/>
    <col min="5" max="5" width="24.7109375" customWidth="1"/>
    <col min="6" max="6" width="1.7109375" customWidth="1"/>
    <col min="7" max="7" width="38.28515625" bestFit="1" customWidth="1"/>
  </cols>
  <sheetData>
    <row r="1" spans="1:7" ht="15.75" thickBot="1">
      <c r="A1" s="558"/>
      <c r="B1" s="558"/>
      <c r="C1" s="558"/>
      <c r="D1" s="558"/>
      <c r="E1" s="558"/>
    </row>
    <row r="2" spans="1:7" s="8" customFormat="1" ht="45.75" thickBot="1">
      <c r="A2" s="3" t="s">
        <v>3</v>
      </c>
      <c r="B2" s="4" t="s">
        <v>4</v>
      </c>
      <c r="C2" s="5" t="s">
        <v>5</v>
      </c>
      <c r="D2" s="4" t="s">
        <v>296</v>
      </c>
      <c r="E2" s="370" t="s">
        <v>295</v>
      </c>
      <c r="F2"/>
      <c r="G2"/>
    </row>
    <row r="3" spans="1:7">
      <c r="A3" s="403"/>
      <c r="B3" s="402"/>
      <c r="C3" s="66"/>
      <c r="D3" s="387"/>
      <c r="E3" s="387"/>
    </row>
    <row r="4" spans="1:7">
      <c r="A4" s="398">
        <v>18606102</v>
      </c>
      <c r="B4" s="396">
        <v>18608612</v>
      </c>
      <c r="C4" s="405" t="s">
        <v>325</v>
      </c>
      <c r="D4" s="353">
        <v>785957.33</v>
      </c>
      <c r="E4" s="395"/>
    </row>
    <row r="5" spans="1:7">
      <c r="A5" s="403"/>
      <c r="B5" s="402"/>
      <c r="C5" s="407"/>
      <c r="D5" s="387"/>
      <c r="E5" s="387"/>
    </row>
    <row r="6" spans="1:7">
      <c r="A6" s="401">
        <v>18607102</v>
      </c>
      <c r="B6" s="204">
        <v>18608712</v>
      </c>
      <c r="C6" s="195" t="s">
        <v>324</v>
      </c>
      <c r="D6" s="406">
        <v>5361208.37</v>
      </c>
      <c r="E6" s="387"/>
    </row>
    <row r="7" spans="1:7">
      <c r="A7" s="401"/>
      <c r="B7" s="204">
        <v>18608772</v>
      </c>
      <c r="C7" s="195" t="s">
        <v>323</v>
      </c>
      <c r="D7" s="359">
        <v>-3488999.0999999996</v>
      </c>
      <c r="E7" s="359"/>
    </row>
    <row r="8" spans="1:7">
      <c r="A8" s="398">
        <v>18607103</v>
      </c>
      <c r="B8" s="396">
        <v>18608722</v>
      </c>
      <c r="C8" s="405" t="s">
        <v>97</v>
      </c>
      <c r="D8" s="353">
        <v>8781.25</v>
      </c>
      <c r="E8" s="395"/>
    </row>
    <row r="9" spans="1:7">
      <c r="A9" s="408"/>
      <c r="B9" s="393"/>
      <c r="C9" s="407"/>
      <c r="D9" s="387"/>
      <c r="E9" s="387"/>
    </row>
    <row r="10" spans="1:7">
      <c r="A10" s="401">
        <v>18602102</v>
      </c>
      <c r="B10" s="204">
        <v>18608212</v>
      </c>
      <c r="C10" s="195" t="s">
        <v>322</v>
      </c>
      <c r="D10" s="406">
        <v>1470852.25</v>
      </c>
      <c r="E10" s="406"/>
    </row>
    <row r="11" spans="1:7">
      <c r="A11" s="398"/>
      <c r="B11" s="396">
        <v>18608782</v>
      </c>
      <c r="C11" s="405" t="s">
        <v>321</v>
      </c>
      <c r="D11" s="404">
        <v>-801550.75</v>
      </c>
      <c r="E11" s="404"/>
    </row>
    <row r="12" spans="1:7">
      <c r="A12" s="408"/>
      <c r="B12" s="393"/>
      <c r="C12" s="407"/>
      <c r="D12" s="387"/>
      <c r="E12" s="387"/>
    </row>
    <row r="13" spans="1:7">
      <c r="A13" s="398">
        <v>18603102</v>
      </c>
      <c r="B13" s="396">
        <v>18608312</v>
      </c>
      <c r="C13" s="405" t="s">
        <v>320</v>
      </c>
      <c r="D13" s="353">
        <v>3961262</v>
      </c>
      <c r="E13" s="395"/>
    </row>
    <row r="14" spans="1:7">
      <c r="A14" s="403"/>
      <c r="B14" s="402"/>
      <c r="C14" s="66"/>
      <c r="D14" s="387"/>
      <c r="E14" s="387"/>
    </row>
    <row r="15" spans="1:7">
      <c r="A15" s="401">
        <v>18606302</v>
      </c>
      <c r="B15" s="204">
        <v>18609432</v>
      </c>
      <c r="C15" s="66" t="s">
        <v>319</v>
      </c>
      <c r="D15" s="406">
        <v>6872373.6200000001</v>
      </c>
      <c r="E15" s="387"/>
    </row>
    <row r="16" spans="1:7">
      <c r="A16" s="401">
        <v>18604102</v>
      </c>
      <c r="B16" s="204">
        <v>18608412</v>
      </c>
      <c r="C16" s="66" t="s">
        <v>318</v>
      </c>
      <c r="D16" s="406">
        <v>2651381.7400000002</v>
      </c>
      <c r="E16" s="387"/>
    </row>
    <row r="17" spans="1:5">
      <c r="A17" s="398">
        <v>18614102</v>
      </c>
      <c r="B17" s="396">
        <v>18609312</v>
      </c>
      <c r="C17" s="405" t="s">
        <v>317</v>
      </c>
      <c r="D17" s="404">
        <v>12405154.710000001</v>
      </c>
      <c r="E17" s="395"/>
    </row>
    <row r="18" spans="1:5">
      <c r="A18" s="408"/>
      <c r="B18" s="393"/>
      <c r="C18" s="407"/>
      <c r="D18" s="387"/>
      <c r="E18" s="387"/>
    </row>
    <row r="19" spans="1:5">
      <c r="A19" s="398">
        <v>18612102</v>
      </c>
      <c r="B19" s="396">
        <v>18609512</v>
      </c>
      <c r="C19" s="405" t="s">
        <v>316</v>
      </c>
      <c r="D19" s="404">
        <v>227819.36</v>
      </c>
      <c r="E19" s="395"/>
    </row>
    <row r="20" spans="1:5">
      <c r="A20" s="403"/>
      <c r="B20" s="402"/>
      <c r="C20" s="66"/>
      <c r="D20" s="387"/>
      <c r="E20" s="387"/>
    </row>
    <row r="21" spans="1:5">
      <c r="A21" s="401">
        <v>18601102</v>
      </c>
      <c r="B21" s="204">
        <v>18608112</v>
      </c>
      <c r="C21" s="66" t="s">
        <v>315</v>
      </c>
      <c r="D21" s="359">
        <v>4147808.85</v>
      </c>
      <c r="E21" s="387"/>
    </row>
    <row r="22" spans="1:5">
      <c r="A22" s="398">
        <v>18601102</v>
      </c>
      <c r="B22" s="396">
        <v>18608112</v>
      </c>
      <c r="C22" s="405" t="s">
        <v>314</v>
      </c>
      <c r="D22" s="410">
        <v>34881722.379999995</v>
      </c>
      <c r="E22" s="395"/>
    </row>
    <row r="23" spans="1:5">
      <c r="A23" s="403"/>
      <c r="B23" s="402"/>
      <c r="C23" s="66"/>
      <c r="D23" s="387"/>
      <c r="E23" s="387"/>
    </row>
    <row r="24" spans="1:5">
      <c r="A24" s="398">
        <v>18603202</v>
      </c>
      <c r="B24" s="396">
        <v>18609532</v>
      </c>
      <c r="C24" s="380" t="s">
        <v>313</v>
      </c>
      <c r="D24" s="410">
        <v>436858.74</v>
      </c>
      <c r="E24" s="395"/>
    </row>
    <row r="25" spans="1:5">
      <c r="A25" s="403"/>
      <c r="B25" s="402"/>
      <c r="C25" s="66"/>
      <c r="D25" s="387"/>
      <c r="E25" s="387"/>
    </row>
    <row r="26" spans="1:5">
      <c r="A26" s="401">
        <v>18614402</v>
      </c>
      <c r="B26" s="204">
        <v>18609542</v>
      </c>
      <c r="C26" s="66" t="s">
        <v>312</v>
      </c>
      <c r="D26" s="406">
        <v>1263973.54</v>
      </c>
      <c r="E26" s="406"/>
    </row>
    <row r="27" spans="1:5">
      <c r="A27" s="398"/>
      <c r="B27" s="396">
        <v>18608792</v>
      </c>
      <c r="C27" s="405" t="s">
        <v>311</v>
      </c>
      <c r="D27" s="409">
        <v>-160310.15</v>
      </c>
      <c r="E27" s="404"/>
    </row>
    <row r="28" spans="1:5">
      <c r="A28" s="408"/>
      <c r="B28" s="393"/>
      <c r="C28" s="407"/>
      <c r="D28" s="387"/>
      <c r="E28" s="387"/>
    </row>
    <row r="29" spans="1:5">
      <c r="A29" s="401">
        <v>18608302</v>
      </c>
      <c r="B29" s="204">
        <v>18608752</v>
      </c>
      <c r="C29" s="195" t="s">
        <v>310</v>
      </c>
      <c r="D29" s="406">
        <v>2050122.67</v>
      </c>
      <c r="E29" s="406"/>
    </row>
    <row r="30" spans="1:5">
      <c r="A30" s="398">
        <v>18608304</v>
      </c>
      <c r="B30" s="396">
        <v>18608752</v>
      </c>
      <c r="C30" s="405" t="s">
        <v>309</v>
      </c>
      <c r="D30" s="404">
        <v>-1114592.67</v>
      </c>
      <c r="E30" s="404"/>
    </row>
    <row r="31" spans="1:5">
      <c r="A31" s="403"/>
      <c r="B31" s="402"/>
      <c r="C31" s="66"/>
      <c r="D31" s="387"/>
      <c r="E31" s="387"/>
    </row>
    <row r="32" spans="1:5">
      <c r="A32" s="398">
        <v>18607104</v>
      </c>
      <c r="B32" s="396">
        <v>18608002</v>
      </c>
      <c r="C32" s="380" t="s">
        <v>308</v>
      </c>
      <c r="D32" s="353">
        <v>518202.47</v>
      </c>
      <c r="E32" s="395"/>
    </row>
    <row r="33" spans="1:5">
      <c r="A33" s="403"/>
      <c r="B33" s="402"/>
      <c r="C33" s="66"/>
      <c r="D33" s="387"/>
      <c r="E33" s="387"/>
    </row>
    <row r="34" spans="1:5">
      <c r="A34" s="401"/>
      <c r="B34" s="204"/>
      <c r="C34" s="400" t="s">
        <v>307</v>
      </c>
      <c r="D34" s="387"/>
      <c r="E34" s="387"/>
    </row>
    <row r="35" spans="1:5">
      <c r="A35" s="398">
        <v>18230212</v>
      </c>
      <c r="B35" s="396">
        <v>18237112</v>
      </c>
      <c r="C35" s="380" t="s">
        <v>306</v>
      </c>
      <c r="D35" s="353">
        <v>289121.19</v>
      </c>
      <c r="E35" s="395"/>
    </row>
    <row r="36" spans="1:5">
      <c r="A36" s="398"/>
      <c r="B36" s="396">
        <v>18237122</v>
      </c>
      <c r="C36" s="399" t="s">
        <v>305</v>
      </c>
      <c r="D36" s="353">
        <v>169602.13</v>
      </c>
      <c r="E36" s="395"/>
    </row>
    <row r="37" spans="1:5">
      <c r="A37" s="398"/>
      <c r="B37" s="396">
        <v>18237132</v>
      </c>
      <c r="C37" s="380" t="s">
        <v>304</v>
      </c>
      <c r="D37" s="353">
        <v>133750.43</v>
      </c>
      <c r="E37" s="395"/>
    </row>
    <row r="38" spans="1:5">
      <c r="A38" s="398"/>
      <c r="B38" s="396">
        <v>18237142</v>
      </c>
      <c r="C38" s="380" t="s">
        <v>303</v>
      </c>
      <c r="D38" s="353">
        <v>53995.63</v>
      </c>
      <c r="E38" s="395"/>
    </row>
    <row r="39" spans="1:5">
      <c r="A39" s="398"/>
      <c r="B39" s="396">
        <v>18237152</v>
      </c>
      <c r="C39" s="380" t="s">
        <v>302</v>
      </c>
      <c r="D39" s="353">
        <v>67987.45</v>
      </c>
      <c r="E39" s="395"/>
    </row>
    <row r="40" spans="1:5">
      <c r="A40" s="394"/>
      <c r="B40" s="393"/>
      <c r="C40" s="392"/>
      <c r="D40" s="387"/>
      <c r="E40" s="387"/>
    </row>
    <row r="41" spans="1:5">
      <c r="A41" s="397"/>
      <c r="B41" s="396">
        <v>18608062</v>
      </c>
      <c r="C41" s="380" t="s">
        <v>301</v>
      </c>
      <c r="D41" s="395"/>
      <c r="E41" s="353">
        <v>-50267724.640000001</v>
      </c>
    </row>
    <row r="42" spans="1:5">
      <c r="A42" s="394"/>
      <c r="B42" s="393"/>
      <c r="C42" s="392"/>
      <c r="D42" s="391"/>
      <c r="E42" s="390"/>
    </row>
    <row r="43" spans="1:5">
      <c r="A43" s="389"/>
      <c r="B43" s="66"/>
      <c r="C43" s="388" t="s">
        <v>300</v>
      </c>
      <c r="D43" s="387"/>
      <c r="E43" s="386"/>
    </row>
    <row r="44" spans="1:5">
      <c r="A44" s="385"/>
      <c r="B44" s="35"/>
      <c r="C44" s="66" t="s">
        <v>299</v>
      </c>
      <c r="D44" s="384"/>
      <c r="E44" s="383">
        <v>-209796.52</v>
      </c>
    </row>
    <row r="45" spans="1:5">
      <c r="A45" s="382"/>
      <c r="B45" s="381"/>
      <c r="C45" s="380" t="s">
        <v>298</v>
      </c>
      <c r="D45" s="379"/>
      <c r="E45" s="378">
        <v>-366.95</v>
      </c>
    </row>
    <row r="46" spans="1:5">
      <c r="C46" s="377"/>
    </row>
    <row r="47" spans="1:5" ht="15.75" thickBot="1">
      <c r="C47" s="376" t="s">
        <v>297</v>
      </c>
      <c r="D47" s="375">
        <f>SUM(D3:D46)</f>
        <v>72192483.439999983</v>
      </c>
      <c r="E47" s="375">
        <f>SUM(E3:E46)</f>
        <v>-50477888.110000007</v>
      </c>
    </row>
    <row r="48" spans="1:5" ht="15.75" thickTop="1">
      <c r="C48" s="350" t="s">
        <v>279</v>
      </c>
      <c r="D48" s="349">
        <f>'Future Costs Totals'!H5</f>
        <v>52708450</v>
      </c>
      <c r="E48" s="374"/>
    </row>
    <row r="49" spans="1:5">
      <c r="A49" s="373"/>
      <c r="C49" s="347" t="s">
        <v>278</v>
      </c>
      <c r="D49" s="346">
        <f>SUM(D47:D48)</f>
        <v>124900933.43999998</v>
      </c>
    </row>
    <row r="50" spans="1:5">
      <c r="A50" s="373"/>
      <c r="C50" s="341"/>
      <c r="D50" s="342"/>
    </row>
    <row r="51" spans="1:5">
      <c r="A51" s="372"/>
      <c r="C51" s="345" t="s">
        <v>277</v>
      </c>
      <c r="D51" s="344">
        <f>D47/D49</f>
        <v>0.57799794966848561</v>
      </c>
    </row>
    <row r="52" spans="1:5" ht="15.75" thickBot="1"/>
    <row r="53" spans="1:5" ht="15.75" thickBot="1">
      <c r="D53" s="542">
        <f>E47*D51</f>
        <v>-29176115.83117523</v>
      </c>
    </row>
    <row r="56" spans="1:5">
      <c r="E56" s="62"/>
    </row>
  </sheetData>
  <mergeCells count="1">
    <mergeCell ref="A1:E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election activeCell="F21" sqref="F21"/>
    </sheetView>
  </sheetViews>
  <sheetFormatPr defaultColWidth="10.140625" defaultRowHeight="15"/>
  <cols>
    <col min="1" max="1" width="4.28515625" style="412" customWidth="1"/>
    <col min="2" max="2" width="4.140625" style="411" customWidth="1"/>
    <col min="3" max="3" width="23.42578125" style="411" customWidth="1"/>
    <col min="4" max="4" width="4.140625" style="411" customWidth="1"/>
    <col min="5" max="5" width="13.42578125" style="411" customWidth="1"/>
    <col min="6" max="6" width="22.140625" style="411" bestFit="1" customWidth="1"/>
    <col min="7" max="7" width="16.5703125" style="411" bestFit="1" customWidth="1"/>
    <col min="8" max="8" width="21.85546875" style="411" bestFit="1" customWidth="1"/>
    <col min="9" max="9" width="16.5703125" style="411" customWidth="1"/>
    <col min="10" max="16384" width="10.140625" style="411"/>
  </cols>
  <sheetData>
    <row r="1" spans="1:10" ht="34.5" customHeight="1">
      <c r="A1" s="559" t="s">
        <v>335</v>
      </c>
      <c r="B1" s="559"/>
      <c r="C1" s="559"/>
      <c r="D1" s="559"/>
      <c r="E1" s="559"/>
      <c r="F1" s="559"/>
      <c r="G1" s="559"/>
      <c r="H1" s="434"/>
    </row>
    <row r="2" spans="1:10" s="412" customFormat="1">
      <c r="A2" s="429"/>
      <c r="B2" s="418"/>
      <c r="C2" s="433"/>
      <c r="D2" s="418"/>
      <c r="E2" s="417"/>
      <c r="F2" s="417"/>
      <c r="G2" s="417"/>
    </row>
    <row r="3" spans="1:10" s="412" customFormat="1" ht="31.9" customHeight="1">
      <c r="A3" s="429"/>
      <c r="B3" s="418"/>
      <c r="E3" s="416"/>
      <c r="F3" s="432" t="s">
        <v>334</v>
      </c>
      <c r="G3" s="432" t="s">
        <v>333</v>
      </c>
      <c r="H3" s="432" t="s">
        <v>332</v>
      </c>
      <c r="I3" s="431"/>
    </row>
    <row r="4" spans="1:10" s="412" customFormat="1" ht="21.6" customHeight="1">
      <c r="A4" s="429"/>
      <c r="B4" s="418"/>
      <c r="E4" s="416"/>
      <c r="F4" s="430" t="s">
        <v>331</v>
      </c>
      <c r="G4" s="430" t="s">
        <v>330</v>
      </c>
      <c r="H4" s="430" t="s">
        <v>329</v>
      </c>
      <c r="I4" s="416"/>
      <c r="J4" s="416"/>
    </row>
    <row r="5" spans="1:10" s="412" customFormat="1" ht="16.899999999999999" customHeight="1">
      <c r="A5" s="429"/>
      <c r="B5" s="418"/>
      <c r="C5" s="419" t="s">
        <v>328</v>
      </c>
      <c r="D5" s="418"/>
      <c r="E5" s="417"/>
      <c r="F5" s="423">
        <v>38018200</v>
      </c>
      <c r="G5" s="423">
        <v>67398700</v>
      </c>
      <c r="H5" s="425">
        <f>AVERAGE(F5:G5)</f>
        <v>52708450</v>
      </c>
      <c r="I5" s="424"/>
      <c r="J5" s="427"/>
    </row>
    <row r="6" spans="1:10" s="416" customFormat="1" ht="16.149999999999999" customHeight="1">
      <c r="A6" s="419"/>
      <c r="B6" s="418"/>
      <c r="C6" s="419" t="s">
        <v>327</v>
      </c>
      <c r="D6" s="418"/>
      <c r="E6" s="426"/>
      <c r="F6" s="420">
        <v>4876000</v>
      </c>
      <c r="G6" s="420">
        <v>16736500</v>
      </c>
      <c r="H6" s="428">
        <f>AVERAGE(F6:G6)</f>
        <v>10806250</v>
      </c>
      <c r="I6" s="424"/>
      <c r="J6" s="427"/>
    </row>
    <row r="7" spans="1:10" s="416" customFormat="1">
      <c r="A7" s="419"/>
      <c r="B7" s="418"/>
      <c r="C7" s="418" t="s">
        <v>326</v>
      </c>
      <c r="D7" s="419"/>
      <c r="E7" s="426"/>
      <c r="F7" s="423">
        <f>SUM(F5:F6)</f>
        <v>42894200</v>
      </c>
      <c r="G7" s="423">
        <f>SUM(G5:G6)</f>
        <v>84135200</v>
      </c>
      <c r="H7" s="425">
        <f>SUM(H5:H6)</f>
        <v>63514700</v>
      </c>
      <c r="I7" s="424"/>
    </row>
    <row r="8" spans="1:10" s="416" customFormat="1">
      <c r="A8" s="419"/>
      <c r="B8" s="418"/>
      <c r="C8"/>
      <c r="D8"/>
      <c r="E8"/>
      <c r="F8" s="2"/>
      <c r="G8" s="423"/>
      <c r="H8" s="423"/>
    </row>
    <row r="9" spans="1:10" s="416" customFormat="1">
      <c r="A9" s="419"/>
      <c r="B9" s="418"/>
      <c r="C9"/>
      <c r="D9"/>
      <c r="E9"/>
      <c r="F9" s="2"/>
      <c r="G9" s="423"/>
      <c r="H9" s="423"/>
    </row>
    <row r="10" spans="1:10" s="416" customFormat="1">
      <c r="A10" s="419"/>
      <c r="B10" s="418"/>
      <c r="C10" s="418"/>
      <c r="D10" s="418"/>
      <c r="E10" s="422"/>
      <c r="F10" s="421"/>
      <c r="G10" s="421"/>
      <c r="H10" s="420"/>
    </row>
    <row r="11" spans="1:10" s="415" customFormat="1">
      <c r="A11" s="419"/>
      <c r="B11" s="418"/>
      <c r="C11"/>
      <c r="D11"/>
      <c r="E11"/>
      <c r="F11"/>
      <c r="G11"/>
    </row>
    <row r="12" spans="1:10" s="415" customFormat="1">
      <c r="A12" s="419"/>
      <c r="B12" s="418"/>
      <c r="C12"/>
      <c r="D12"/>
      <c r="E12"/>
      <c r="F12"/>
      <c r="G12"/>
    </row>
    <row r="13" spans="1:10" s="415" customFormat="1">
      <c r="A13" s="419"/>
      <c r="B13" s="418"/>
      <c r="C13"/>
      <c r="D13"/>
      <c r="E13"/>
      <c r="F13"/>
      <c r="G13"/>
    </row>
    <row r="14" spans="1:10" s="415" customFormat="1">
      <c r="A14" s="419"/>
      <c r="B14" s="418"/>
      <c r="C14" s="418"/>
      <c r="D14" s="418"/>
      <c r="E14" s="417"/>
      <c r="F14" s="417"/>
      <c r="G14" s="417"/>
    </row>
    <row r="15" spans="1:10" s="415" customFormat="1">
      <c r="A15" s="419"/>
      <c r="B15" s="418"/>
      <c r="C15" s="418"/>
      <c r="D15" s="418"/>
      <c r="E15" s="417"/>
      <c r="F15" s="417"/>
      <c r="G15" s="417"/>
    </row>
    <row r="16" spans="1:10" s="415" customFormat="1">
      <c r="A16" s="419"/>
      <c r="B16" s="418"/>
      <c r="C16" s="418"/>
      <c r="D16" s="418"/>
      <c r="E16" s="417"/>
      <c r="F16" s="417"/>
      <c r="G16" s="417"/>
    </row>
    <row r="17" spans="1:7" s="415" customFormat="1">
      <c r="A17" s="419"/>
      <c r="B17" s="418"/>
      <c r="C17" s="418"/>
      <c r="D17" s="418"/>
      <c r="E17" s="417"/>
      <c r="F17" s="417"/>
      <c r="G17" s="417"/>
    </row>
    <row r="18" spans="1:7" s="415" customFormat="1">
      <c r="A18" s="419"/>
      <c r="B18" s="418"/>
      <c r="C18" s="418"/>
      <c r="D18" s="418"/>
      <c r="E18" s="417"/>
      <c r="F18" s="417"/>
      <c r="G18" s="417"/>
    </row>
    <row r="19" spans="1:7" s="415" customFormat="1">
      <c r="A19" s="416"/>
      <c r="E19" s="414"/>
      <c r="F19" s="414"/>
      <c r="G19" s="414"/>
    </row>
    <row r="20" spans="1:7" s="415" customFormat="1">
      <c r="A20" s="416"/>
      <c r="E20" s="414"/>
      <c r="F20" s="414"/>
      <c r="G20" s="414"/>
    </row>
    <row r="21" spans="1:7" s="416" customFormat="1">
      <c r="B21" s="415"/>
      <c r="C21" s="415"/>
      <c r="D21" s="415"/>
      <c r="E21" s="414"/>
      <c r="F21" s="414"/>
      <c r="G21" s="414"/>
    </row>
    <row r="22" spans="1:7" s="416" customFormat="1">
      <c r="B22" s="415"/>
      <c r="C22" s="415"/>
      <c r="D22" s="415"/>
      <c r="E22" s="414"/>
      <c r="F22" s="414"/>
      <c r="G22" s="414"/>
    </row>
    <row r="23" spans="1:7" s="416" customFormat="1">
      <c r="B23" s="415"/>
      <c r="C23" s="415"/>
      <c r="D23" s="415"/>
      <c r="E23" s="414"/>
      <c r="F23" s="414"/>
      <c r="G23" s="414"/>
    </row>
    <row r="24" spans="1:7" s="416" customFormat="1">
      <c r="B24" s="415"/>
      <c r="C24" s="415"/>
      <c r="D24" s="415"/>
      <c r="E24" s="414"/>
      <c r="F24" s="414"/>
      <c r="G24" s="414"/>
    </row>
    <row r="25" spans="1:7" s="416" customFormat="1">
      <c r="B25" s="415"/>
      <c r="C25" s="415"/>
      <c r="D25" s="415"/>
      <c r="E25" s="414"/>
      <c r="F25" s="414"/>
      <c r="G25" s="414"/>
    </row>
    <row r="26" spans="1:7" s="416" customFormat="1">
      <c r="B26" s="415"/>
      <c r="C26" s="415"/>
      <c r="D26" s="415"/>
      <c r="E26" s="414"/>
      <c r="F26" s="414"/>
      <c r="G26" s="414"/>
    </row>
    <row r="27" spans="1:7" s="416" customFormat="1">
      <c r="B27" s="415"/>
      <c r="C27" s="415"/>
      <c r="D27" s="415"/>
      <c r="E27" s="414"/>
      <c r="F27" s="414"/>
      <c r="G27" s="414"/>
    </row>
    <row r="28" spans="1:7" s="416" customFormat="1">
      <c r="B28" s="415"/>
      <c r="C28" s="415"/>
      <c r="D28" s="415"/>
      <c r="E28" s="414"/>
      <c r="F28" s="414"/>
      <c r="G28" s="414"/>
    </row>
    <row r="29" spans="1:7" s="416" customFormat="1">
      <c r="B29" s="415"/>
      <c r="C29" s="415"/>
      <c r="D29" s="415"/>
      <c r="E29" s="414"/>
      <c r="F29" s="414"/>
      <c r="G29" s="414"/>
    </row>
    <row r="30" spans="1:7" s="416" customFormat="1">
      <c r="B30" s="415"/>
      <c r="C30" s="415"/>
      <c r="D30" s="415"/>
      <c r="E30" s="414"/>
      <c r="F30" s="414"/>
      <c r="G30" s="414"/>
    </row>
    <row r="31" spans="1:7" s="416" customFormat="1">
      <c r="B31" s="415"/>
      <c r="C31" s="415"/>
      <c r="D31" s="415"/>
      <c r="E31" s="414"/>
      <c r="F31" s="414"/>
      <c r="G31" s="414"/>
    </row>
    <row r="32" spans="1:7" s="416" customFormat="1">
      <c r="B32" s="415"/>
      <c r="C32" s="415"/>
      <c r="D32" s="415"/>
      <c r="E32" s="414"/>
      <c r="F32" s="414"/>
      <c r="G32" s="414"/>
    </row>
    <row r="33" spans="2:7" s="416" customFormat="1">
      <c r="B33" s="415"/>
      <c r="C33" s="415"/>
      <c r="D33" s="415"/>
      <c r="E33" s="414"/>
      <c r="F33" s="414"/>
      <c r="G33" s="414"/>
    </row>
    <row r="34" spans="2:7" s="416" customFormat="1">
      <c r="B34" s="415"/>
      <c r="C34" s="415"/>
      <c r="D34" s="415"/>
      <c r="E34" s="414"/>
      <c r="F34" s="414"/>
      <c r="G34" s="414"/>
    </row>
    <row r="35" spans="2:7" s="416" customFormat="1">
      <c r="B35" s="415"/>
      <c r="C35" s="415"/>
      <c r="D35" s="415"/>
      <c r="E35" s="414"/>
      <c r="F35" s="414"/>
      <c r="G35" s="414"/>
    </row>
    <row r="36" spans="2:7" s="416" customFormat="1">
      <c r="B36" s="415"/>
      <c r="C36" s="415"/>
      <c r="D36" s="415"/>
      <c r="E36" s="414"/>
      <c r="F36" s="414"/>
      <c r="G36" s="414"/>
    </row>
    <row r="37" spans="2:7" s="416" customFormat="1">
      <c r="B37" s="415"/>
      <c r="C37" s="415"/>
      <c r="D37" s="415"/>
      <c r="E37" s="414"/>
      <c r="F37" s="414"/>
      <c r="G37" s="414"/>
    </row>
    <row r="38" spans="2:7" s="416" customFormat="1">
      <c r="B38" s="415"/>
      <c r="C38" s="415"/>
      <c r="D38" s="415"/>
      <c r="E38" s="414"/>
      <c r="F38" s="414"/>
      <c r="G38" s="414"/>
    </row>
    <row r="39" spans="2:7" s="416" customFormat="1">
      <c r="B39" s="415"/>
      <c r="C39" s="415"/>
      <c r="D39" s="415"/>
      <c r="E39" s="414"/>
      <c r="F39" s="414"/>
      <c r="G39" s="414"/>
    </row>
    <row r="40" spans="2:7" s="416" customFormat="1">
      <c r="B40" s="415"/>
      <c r="C40" s="415"/>
      <c r="D40" s="415"/>
      <c r="E40" s="414"/>
      <c r="F40" s="414"/>
      <c r="G40" s="414"/>
    </row>
    <row r="41" spans="2:7" s="416" customFormat="1">
      <c r="B41" s="415"/>
      <c r="C41" s="415"/>
      <c r="D41" s="415"/>
      <c r="E41" s="414"/>
      <c r="F41" s="414"/>
      <c r="G41" s="414"/>
    </row>
    <row r="42" spans="2:7" s="416" customFormat="1">
      <c r="B42" s="415"/>
      <c r="C42" s="415"/>
      <c r="D42" s="415"/>
      <c r="E42" s="414"/>
      <c r="F42" s="414"/>
      <c r="G42" s="414"/>
    </row>
    <row r="43" spans="2:7" s="416" customFormat="1">
      <c r="B43" s="415"/>
      <c r="C43" s="415"/>
      <c r="D43" s="415"/>
      <c r="E43" s="414"/>
      <c r="F43" s="414"/>
      <c r="G43" s="414"/>
    </row>
    <row r="44" spans="2:7" s="416" customFormat="1">
      <c r="B44" s="415"/>
      <c r="C44" s="415"/>
      <c r="D44" s="415"/>
      <c r="E44" s="414"/>
      <c r="F44" s="414"/>
      <c r="G44" s="414"/>
    </row>
    <row r="45" spans="2:7" s="416" customFormat="1">
      <c r="B45" s="415"/>
      <c r="C45" s="415"/>
      <c r="D45" s="415"/>
      <c r="E45" s="414"/>
      <c r="F45" s="414"/>
      <c r="G45" s="414"/>
    </row>
    <row r="46" spans="2:7" s="416" customFormat="1">
      <c r="B46" s="415"/>
      <c r="C46" s="415"/>
      <c r="D46" s="415"/>
      <c r="E46" s="414"/>
      <c r="F46" s="414"/>
      <c r="G46" s="414"/>
    </row>
    <row r="47" spans="2:7" s="416" customFormat="1">
      <c r="B47" s="415"/>
      <c r="C47" s="415"/>
      <c r="D47" s="415"/>
      <c r="E47" s="414"/>
      <c r="F47" s="414"/>
      <c r="G47" s="414"/>
    </row>
    <row r="48" spans="2:7" s="416" customFormat="1">
      <c r="B48" s="415"/>
      <c r="C48" s="415"/>
      <c r="D48" s="415"/>
      <c r="E48" s="414"/>
      <c r="F48" s="414"/>
      <c r="G48" s="414"/>
    </row>
    <row r="49" spans="2:7" s="416" customFormat="1">
      <c r="B49" s="415"/>
      <c r="C49" s="415"/>
      <c r="D49" s="415"/>
      <c r="E49" s="414"/>
      <c r="F49" s="414"/>
      <c r="G49" s="414"/>
    </row>
    <row r="50" spans="2:7" s="416" customFormat="1">
      <c r="B50" s="415"/>
      <c r="C50" s="415"/>
      <c r="D50" s="415"/>
      <c r="E50" s="414"/>
      <c r="F50" s="414"/>
      <c r="G50" s="414"/>
    </row>
    <row r="51" spans="2:7" s="416" customFormat="1">
      <c r="B51" s="415"/>
      <c r="C51" s="415"/>
      <c r="D51" s="415"/>
      <c r="E51" s="414"/>
      <c r="F51" s="414"/>
      <c r="G51" s="414"/>
    </row>
    <row r="52" spans="2:7" s="416" customFormat="1">
      <c r="B52" s="415"/>
      <c r="C52" s="415"/>
      <c r="D52" s="415"/>
      <c r="E52" s="414"/>
      <c r="F52" s="414"/>
      <c r="G52" s="414"/>
    </row>
    <row r="53" spans="2:7" s="416" customFormat="1">
      <c r="B53" s="415"/>
      <c r="C53" s="415"/>
      <c r="D53" s="415"/>
      <c r="E53" s="414"/>
      <c r="F53" s="414"/>
      <c r="G53" s="414"/>
    </row>
    <row r="54" spans="2:7" s="416" customFormat="1">
      <c r="B54" s="415"/>
      <c r="C54" s="415"/>
      <c r="D54" s="415"/>
      <c r="E54" s="414"/>
      <c r="F54" s="414"/>
      <c r="G54" s="414"/>
    </row>
    <row r="55" spans="2:7" s="416" customFormat="1">
      <c r="B55" s="415"/>
      <c r="C55" s="415"/>
      <c r="D55" s="415"/>
      <c r="E55" s="414"/>
      <c r="F55" s="414"/>
      <c r="G55" s="414"/>
    </row>
    <row r="56" spans="2:7" s="416" customFormat="1">
      <c r="B56" s="415"/>
      <c r="C56" s="415"/>
      <c r="D56" s="415"/>
      <c r="E56" s="414"/>
      <c r="F56" s="414"/>
      <c r="G56" s="414"/>
    </row>
    <row r="57" spans="2:7" s="416" customFormat="1">
      <c r="B57" s="415"/>
      <c r="C57" s="415"/>
      <c r="D57" s="415"/>
      <c r="E57" s="414"/>
      <c r="F57" s="414"/>
      <c r="G57" s="414"/>
    </row>
    <row r="58" spans="2:7" s="416" customFormat="1">
      <c r="B58" s="415"/>
      <c r="C58" s="415"/>
      <c r="D58" s="415"/>
      <c r="E58" s="414"/>
      <c r="F58" s="414"/>
      <c r="G58" s="414"/>
    </row>
    <row r="59" spans="2:7" s="416" customFormat="1">
      <c r="B59" s="415"/>
      <c r="C59" s="415"/>
      <c r="D59" s="415"/>
      <c r="E59" s="414"/>
      <c r="F59" s="414"/>
      <c r="G59" s="414"/>
    </row>
    <row r="60" spans="2:7" s="416" customFormat="1">
      <c r="B60" s="415"/>
      <c r="C60" s="415"/>
      <c r="D60" s="415"/>
      <c r="E60" s="414"/>
      <c r="F60" s="414"/>
      <c r="G60" s="414"/>
    </row>
    <row r="61" spans="2:7" s="416" customFormat="1">
      <c r="B61" s="415"/>
      <c r="C61" s="415"/>
      <c r="D61" s="415"/>
      <c r="E61" s="414"/>
      <c r="F61" s="414"/>
      <c r="G61" s="414"/>
    </row>
    <row r="62" spans="2:7" s="416" customFormat="1">
      <c r="B62" s="415"/>
      <c r="C62" s="415"/>
      <c r="D62" s="415"/>
      <c r="E62" s="414"/>
      <c r="F62" s="414"/>
      <c r="G62" s="414"/>
    </row>
    <row r="63" spans="2:7" s="416" customFormat="1">
      <c r="B63" s="415"/>
      <c r="C63" s="415"/>
      <c r="D63" s="415"/>
      <c r="E63" s="414"/>
      <c r="F63" s="414"/>
      <c r="G63" s="414"/>
    </row>
    <row r="64" spans="2:7" s="416" customFormat="1">
      <c r="B64" s="415"/>
      <c r="C64" s="415"/>
      <c r="D64" s="415"/>
      <c r="E64" s="414"/>
      <c r="F64" s="414"/>
      <c r="G64" s="414"/>
    </row>
    <row r="65" spans="2:7" s="416" customFormat="1">
      <c r="B65" s="415"/>
      <c r="C65" s="415"/>
      <c r="D65" s="415"/>
      <c r="E65" s="414"/>
      <c r="F65" s="414"/>
      <c r="G65" s="414"/>
    </row>
    <row r="66" spans="2:7" s="416" customFormat="1">
      <c r="B66" s="415"/>
      <c r="C66" s="415"/>
      <c r="D66" s="415"/>
      <c r="E66" s="414"/>
      <c r="F66" s="414"/>
      <c r="G66" s="414"/>
    </row>
    <row r="67" spans="2:7" s="416" customFormat="1">
      <c r="B67" s="415"/>
      <c r="C67" s="415"/>
      <c r="D67" s="415"/>
      <c r="E67" s="414"/>
      <c r="F67" s="414"/>
      <c r="G67" s="414"/>
    </row>
    <row r="68" spans="2:7" s="416" customFormat="1">
      <c r="B68" s="415"/>
      <c r="C68" s="415"/>
      <c r="D68" s="415"/>
      <c r="E68" s="414"/>
      <c r="F68" s="414"/>
      <c r="G68" s="414"/>
    </row>
    <row r="69" spans="2:7" s="416" customFormat="1">
      <c r="B69" s="415"/>
      <c r="C69" s="415"/>
      <c r="D69" s="415"/>
      <c r="E69" s="414"/>
      <c r="F69" s="414"/>
      <c r="G69" s="414"/>
    </row>
    <row r="70" spans="2:7" s="416" customFormat="1">
      <c r="B70" s="415"/>
      <c r="C70" s="415"/>
      <c r="D70" s="415"/>
      <c r="E70" s="414"/>
      <c r="F70" s="414"/>
      <c r="G70" s="414"/>
    </row>
    <row r="71" spans="2:7" s="416" customFormat="1">
      <c r="B71" s="415"/>
      <c r="C71" s="415"/>
      <c r="D71" s="415"/>
      <c r="E71" s="414"/>
      <c r="F71" s="414"/>
      <c r="G71" s="414"/>
    </row>
    <row r="72" spans="2:7" s="416" customFormat="1">
      <c r="B72" s="415"/>
      <c r="C72" s="415"/>
      <c r="D72" s="415"/>
      <c r="E72" s="414"/>
      <c r="F72" s="414"/>
      <c r="G72" s="414"/>
    </row>
    <row r="73" spans="2:7" s="416" customFormat="1">
      <c r="B73" s="415"/>
      <c r="C73" s="415"/>
      <c r="D73" s="415"/>
      <c r="E73" s="414"/>
      <c r="F73" s="414"/>
      <c r="G73" s="414"/>
    </row>
    <row r="74" spans="2:7" s="416" customFormat="1">
      <c r="B74" s="415"/>
      <c r="C74" s="415"/>
      <c r="D74" s="415"/>
      <c r="E74" s="414"/>
      <c r="F74" s="414"/>
      <c r="G74" s="414"/>
    </row>
    <row r="75" spans="2:7" s="416" customFormat="1">
      <c r="B75" s="415"/>
      <c r="C75" s="415"/>
      <c r="D75" s="415"/>
      <c r="E75" s="414"/>
      <c r="F75" s="414"/>
      <c r="G75" s="414"/>
    </row>
    <row r="76" spans="2:7" s="416" customFormat="1">
      <c r="B76" s="415"/>
      <c r="C76" s="415"/>
      <c r="D76" s="415"/>
      <c r="E76" s="414"/>
      <c r="F76" s="414"/>
      <c r="G76" s="414"/>
    </row>
    <row r="77" spans="2:7" s="416" customFormat="1">
      <c r="B77" s="415"/>
      <c r="C77" s="415"/>
      <c r="D77" s="415"/>
      <c r="E77" s="414"/>
      <c r="F77" s="414"/>
      <c r="G77" s="414"/>
    </row>
    <row r="78" spans="2:7" s="416" customFormat="1">
      <c r="B78" s="415"/>
      <c r="C78" s="415"/>
      <c r="D78" s="415"/>
      <c r="E78" s="414"/>
      <c r="F78" s="414"/>
      <c r="G78" s="414"/>
    </row>
    <row r="79" spans="2:7" s="416" customFormat="1">
      <c r="B79" s="415"/>
      <c r="C79" s="415"/>
      <c r="D79" s="415"/>
      <c r="E79" s="414"/>
      <c r="F79" s="414"/>
      <c r="G79" s="414"/>
    </row>
    <row r="80" spans="2:7" s="412" customFormat="1">
      <c r="B80" s="415"/>
      <c r="C80" s="415"/>
      <c r="D80" s="415"/>
      <c r="E80" s="414"/>
      <c r="F80" s="414"/>
      <c r="G80" s="414"/>
    </row>
    <row r="81" spans="2:7" s="412" customFormat="1">
      <c r="B81" s="415"/>
      <c r="C81" s="415"/>
      <c r="D81" s="415"/>
      <c r="E81" s="414"/>
      <c r="F81" s="414"/>
      <c r="G81" s="414"/>
    </row>
    <row r="82" spans="2:7" s="412" customFormat="1">
      <c r="B82" s="415"/>
      <c r="C82" s="415"/>
      <c r="D82" s="415"/>
      <c r="E82" s="414"/>
      <c r="F82" s="414"/>
      <c r="G82" s="414"/>
    </row>
    <row r="83" spans="2:7" s="412" customFormat="1">
      <c r="B83" s="415"/>
      <c r="C83" s="411"/>
      <c r="D83" s="415"/>
      <c r="E83" s="414"/>
      <c r="F83" s="414"/>
      <c r="G83" s="414"/>
    </row>
    <row r="84" spans="2:7" s="412" customFormat="1">
      <c r="B84" s="411"/>
      <c r="C84" s="411"/>
      <c r="D84" s="411"/>
      <c r="E84" s="413"/>
      <c r="F84" s="413"/>
      <c r="G84" s="413"/>
    </row>
    <row r="85" spans="2:7">
      <c r="E85" s="413"/>
      <c r="F85" s="413"/>
      <c r="G85" s="413"/>
    </row>
    <row r="86" spans="2:7">
      <c r="E86" s="413"/>
      <c r="F86" s="413"/>
      <c r="G86" s="413"/>
    </row>
    <row r="87" spans="2:7">
      <c r="E87" s="413"/>
      <c r="F87" s="413"/>
      <c r="G87" s="413"/>
    </row>
    <row r="88" spans="2:7">
      <c r="E88" s="413"/>
      <c r="F88" s="413"/>
      <c r="G88" s="413"/>
    </row>
    <row r="89" spans="2:7">
      <c r="E89" s="413"/>
      <c r="F89" s="413"/>
      <c r="G89" s="413"/>
    </row>
  </sheetData>
  <mergeCells count="1">
    <mergeCell ref="A1:G1"/>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23"/>
  <sheetViews>
    <sheetView workbookViewId="0">
      <selection activeCell="K32" sqref="K32"/>
    </sheetView>
  </sheetViews>
  <sheetFormatPr defaultRowHeight="15"/>
  <sheetData>
    <row r="11" spans="1:9" ht="28.5">
      <c r="A11" s="560" t="s">
        <v>394</v>
      </c>
      <c r="B11" s="560"/>
      <c r="C11" s="560"/>
      <c r="D11" s="560"/>
      <c r="E11" s="560"/>
      <c r="F11" s="560"/>
      <c r="G11" s="560"/>
      <c r="H11" s="560"/>
      <c r="I11" s="560"/>
    </row>
    <row r="14" spans="1:9">
      <c r="A14" t="s">
        <v>396</v>
      </c>
    </row>
    <row r="15" spans="1:9">
      <c r="A15" t="s">
        <v>213</v>
      </c>
    </row>
    <row r="16" spans="1:9">
      <c r="A16" t="s">
        <v>214</v>
      </c>
    </row>
    <row r="17" spans="1:1">
      <c r="A17" t="s">
        <v>215</v>
      </c>
    </row>
    <row r="19" spans="1:1">
      <c r="A19" t="s">
        <v>216</v>
      </c>
    </row>
    <row r="20" spans="1:1">
      <c r="A20" t="s">
        <v>217</v>
      </c>
    </row>
    <row r="21" spans="1:1">
      <c r="A21" t="s">
        <v>218</v>
      </c>
    </row>
    <row r="22" spans="1:1">
      <c r="A22" t="s">
        <v>219</v>
      </c>
    </row>
    <row r="23" spans="1:1">
      <c r="A23" t="s">
        <v>220</v>
      </c>
    </row>
  </sheetData>
  <mergeCells count="1">
    <mergeCell ref="A11:I11"/>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8"/>
  <sheetViews>
    <sheetView view="pageBreakPreview" zoomScale="60" zoomScaleNormal="85" workbookViewId="0">
      <pane xSplit="3" ySplit="5" topLeftCell="D6" activePane="bottomRight" state="frozen"/>
      <selection activeCell="D12" sqref="D12"/>
      <selection pane="topRight" activeCell="D12" sqref="D12"/>
      <selection pane="bottomLeft" activeCell="D12" sqref="D12"/>
      <selection pane="bottomRight" activeCell="H51" sqref="H51"/>
    </sheetView>
  </sheetViews>
  <sheetFormatPr defaultRowHeight="15"/>
  <cols>
    <col min="1" max="1" width="10.7109375" style="1" customWidth="1"/>
    <col min="2" max="2" width="12" bestFit="1" customWidth="1"/>
    <col min="3" max="3" width="60.7109375" customWidth="1"/>
    <col min="4" max="4" width="14.5703125" customWidth="1"/>
    <col min="5" max="5" width="10.7109375" customWidth="1"/>
    <col min="6" max="6" width="12.7109375" customWidth="1"/>
    <col min="7" max="10" width="14.5703125" style="2" bestFit="1" customWidth="1"/>
    <col min="11" max="20" width="14.5703125" style="2" customWidth="1"/>
    <col min="21" max="21" width="14.5703125" bestFit="1"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1</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c r="A6" s="467">
        <v>18230010</v>
      </c>
      <c r="B6" s="468" t="s">
        <v>11</v>
      </c>
      <c r="C6" s="233" t="s">
        <v>12</v>
      </c>
      <c r="D6" s="469" t="s">
        <v>13</v>
      </c>
      <c r="E6" s="271"/>
      <c r="F6" s="271"/>
      <c r="G6" s="470">
        <v>5906.25</v>
      </c>
      <c r="H6" s="470">
        <v>8851</v>
      </c>
      <c r="I6" s="470">
        <v>20566.310000000001</v>
      </c>
      <c r="J6" s="245">
        <v>23976.81</v>
      </c>
      <c r="K6" s="245">
        <v>24446.81</v>
      </c>
      <c r="L6" s="245">
        <v>27271.439999999999</v>
      </c>
      <c r="M6" s="245">
        <v>28388.94</v>
      </c>
      <c r="N6" s="245">
        <v>29218.94</v>
      </c>
      <c r="O6" s="245">
        <v>29218.94</v>
      </c>
      <c r="P6" s="245">
        <v>31456.19</v>
      </c>
      <c r="Q6" s="245">
        <v>31456.19</v>
      </c>
      <c r="R6" s="245">
        <v>37765.54</v>
      </c>
      <c r="S6" s="245">
        <v>37765.54</v>
      </c>
      <c r="T6" s="245">
        <v>51661.66</v>
      </c>
      <c r="U6" s="245">
        <v>52554.16</v>
      </c>
      <c r="V6" s="471">
        <v>67166.16</v>
      </c>
    </row>
    <row r="7" spans="1:24">
      <c r="A7" s="472"/>
      <c r="B7" s="468" t="s">
        <v>11</v>
      </c>
      <c r="C7" s="233" t="s">
        <v>14</v>
      </c>
      <c r="D7" s="473" t="s">
        <v>15</v>
      </c>
      <c r="E7" s="251">
        <v>43070</v>
      </c>
      <c r="F7" s="251" t="s">
        <v>16</v>
      </c>
      <c r="G7" s="253">
        <v>0</v>
      </c>
      <c r="H7" s="253">
        <v>0</v>
      </c>
      <c r="I7" s="253">
        <v>0</v>
      </c>
      <c r="J7" s="253">
        <v>0</v>
      </c>
      <c r="K7" s="253">
        <v>0</v>
      </c>
      <c r="L7" s="253">
        <v>0</v>
      </c>
      <c r="M7" s="253">
        <v>0</v>
      </c>
      <c r="N7" s="253">
        <v>0</v>
      </c>
      <c r="O7" s="253">
        <v>0</v>
      </c>
      <c r="P7" s="253">
        <v>0</v>
      </c>
      <c r="Q7" s="253">
        <v>0</v>
      </c>
      <c r="R7" s="253">
        <v>0</v>
      </c>
      <c r="S7" s="253">
        <v>0</v>
      </c>
      <c r="T7" s="253">
        <v>0</v>
      </c>
      <c r="U7" s="253">
        <v>0</v>
      </c>
      <c r="V7" s="474">
        <v>-5906.25</v>
      </c>
    </row>
    <row r="8" spans="1:24">
      <c r="A8" s="472"/>
      <c r="B8" s="468"/>
      <c r="C8" s="475" t="s">
        <v>17</v>
      </c>
      <c r="D8" s="476"/>
      <c r="E8" s="477"/>
      <c r="F8" s="477"/>
      <c r="G8" s="478">
        <f t="shared" ref="G8:V8" si="0">SUM(G6:G7)</f>
        <v>5906.25</v>
      </c>
      <c r="H8" s="478">
        <f t="shared" si="0"/>
        <v>8851</v>
      </c>
      <c r="I8" s="478">
        <f t="shared" si="0"/>
        <v>20566.310000000001</v>
      </c>
      <c r="J8" s="478">
        <f t="shared" si="0"/>
        <v>23976.81</v>
      </c>
      <c r="K8" s="478">
        <f t="shared" si="0"/>
        <v>24446.81</v>
      </c>
      <c r="L8" s="478">
        <f t="shared" si="0"/>
        <v>27271.439999999999</v>
      </c>
      <c r="M8" s="478">
        <f t="shared" si="0"/>
        <v>28388.94</v>
      </c>
      <c r="N8" s="478">
        <f t="shared" si="0"/>
        <v>29218.94</v>
      </c>
      <c r="O8" s="478">
        <f t="shared" si="0"/>
        <v>29218.94</v>
      </c>
      <c r="P8" s="478">
        <f t="shared" si="0"/>
        <v>31456.19</v>
      </c>
      <c r="Q8" s="478">
        <f t="shared" si="0"/>
        <v>31456.19</v>
      </c>
      <c r="R8" s="478">
        <f t="shared" si="0"/>
        <v>37765.54</v>
      </c>
      <c r="S8" s="478">
        <f t="shared" si="0"/>
        <v>37765.54</v>
      </c>
      <c r="T8" s="478">
        <f t="shared" si="0"/>
        <v>51661.66</v>
      </c>
      <c r="U8" s="478">
        <f t="shared" si="0"/>
        <v>52554.16</v>
      </c>
      <c r="V8" s="259">
        <f t="shared" si="0"/>
        <v>61259.91</v>
      </c>
    </row>
    <row r="9" spans="1:24" s="31" customFormat="1" ht="11.45" customHeight="1">
      <c r="A9" s="479"/>
      <c r="B9" s="480"/>
      <c r="C9" s="481"/>
      <c r="D9" s="482"/>
      <c r="E9" s="483"/>
      <c r="F9" s="483"/>
      <c r="G9" s="484"/>
      <c r="H9" s="484"/>
      <c r="I9" s="484"/>
      <c r="J9" s="265"/>
      <c r="K9" s="265"/>
      <c r="L9" s="265"/>
      <c r="M9" s="265"/>
      <c r="N9" s="265"/>
      <c r="O9" s="265"/>
      <c r="P9" s="265"/>
      <c r="Q9" s="265"/>
      <c r="R9" s="265"/>
      <c r="S9" s="265"/>
      <c r="T9" s="265"/>
      <c r="U9" s="265"/>
      <c r="V9" s="485"/>
    </row>
    <row r="10" spans="1:24">
      <c r="A10" s="486">
        <v>18230009</v>
      </c>
      <c r="B10" s="468" t="s">
        <v>18</v>
      </c>
      <c r="C10" s="233" t="s">
        <v>19</v>
      </c>
      <c r="D10" s="476" t="s">
        <v>13</v>
      </c>
      <c r="E10" s="271"/>
      <c r="F10" s="271"/>
      <c r="G10" s="245">
        <v>2147559.1100000003</v>
      </c>
      <c r="H10" s="245">
        <v>2152934.86</v>
      </c>
      <c r="I10" s="245">
        <v>2154615.15</v>
      </c>
      <c r="J10" s="245">
        <v>2156485.4000000004</v>
      </c>
      <c r="K10" s="487">
        <v>2154845.11</v>
      </c>
      <c r="L10" s="487">
        <v>2157073.86</v>
      </c>
      <c r="M10" s="487">
        <v>2158734.15</v>
      </c>
      <c r="N10" s="487">
        <v>2158734.15</v>
      </c>
      <c r="O10" s="487">
        <v>2159291.36</v>
      </c>
      <c r="P10" s="487">
        <f>O10+7915.84</f>
        <v>2167207.1999999997</v>
      </c>
      <c r="Q10" s="487">
        <v>2167207.2000000002</v>
      </c>
      <c r="R10" s="487">
        <v>2167207.2000000002</v>
      </c>
      <c r="S10" s="487">
        <v>2167207.2000000002</v>
      </c>
      <c r="T10" s="487">
        <v>2167207.2000000002</v>
      </c>
      <c r="U10" s="487">
        <v>2167207.2000000002</v>
      </c>
      <c r="V10" s="488">
        <v>2170724.4500000002</v>
      </c>
      <c r="X10" s="35"/>
    </row>
    <row r="11" spans="1:24">
      <c r="A11" s="472"/>
      <c r="B11" s="468" t="s">
        <v>18</v>
      </c>
      <c r="C11" s="233" t="s">
        <v>14</v>
      </c>
      <c r="D11" s="489" t="s">
        <v>15</v>
      </c>
      <c r="E11" s="251">
        <v>43070</v>
      </c>
      <c r="F11" s="251" t="s">
        <v>16</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490">
        <v>-2147559.11</v>
      </c>
      <c r="X11" s="35"/>
    </row>
    <row r="12" spans="1:24">
      <c r="A12" s="491"/>
      <c r="B12" s="492"/>
      <c r="C12" s="493" t="s">
        <v>20</v>
      </c>
      <c r="D12" s="476"/>
      <c r="E12" s="494"/>
      <c r="F12" s="494"/>
      <c r="G12" s="478">
        <f t="shared" ref="G12:V12" si="1">SUM(G10:G11)</f>
        <v>2147559.1100000003</v>
      </c>
      <c r="H12" s="478">
        <f t="shared" si="1"/>
        <v>2152934.86</v>
      </c>
      <c r="I12" s="478">
        <f t="shared" si="1"/>
        <v>2154615.15</v>
      </c>
      <c r="J12" s="478">
        <f t="shared" si="1"/>
        <v>2156485.4000000004</v>
      </c>
      <c r="K12" s="478">
        <f t="shared" si="1"/>
        <v>2154845.11</v>
      </c>
      <c r="L12" s="478">
        <f t="shared" si="1"/>
        <v>2157073.86</v>
      </c>
      <c r="M12" s="478">
        <f t="shared" si="1"/>
        <v>2158734.15</v>
      </c>
      <c r="N12" s="478">
        <f t="shared" si="1"/>
        <v>2158734.15</v>
      </c>
      <c r="O12" s="478">
        <f t="shared" si="1"/>
        <v>2159291.36</v>
      </c>
      <c r="P12" s="478">
        <f t="shared" si="1"/>
        <v>2167207.1999999997</v>
      </c>
      <c r="Q12" s="478">
        <f t="shared" si="1"/>
        <v>2167207.2000000002</v>
      </c>
      <c r="R12" s="478">
        <f t="shared" si="1"/>
        <v>2167207.2000000002</v>
      </c>
      <c r="S12" s="478">
        <f t="shared" si="1"/>
        <v>2167207.2000000002</v>
      </c>
      <c r="T12" s="478">
        <f t="shared" si="1"/>
        <v>2167207.2000000002</v>
      </c>
      <c r="U12" s="478">
        <f t="shared" si="1"/>
        <v>2167207.2000000002</v>
      </c>
      <c r="V12" s="259">
        <f t="shared" si="1"/>
        <v>23165.340000000317</v>
      </c>
    </row>
    <row r="13" spans="1:24" s="50" customFormat="1" ht="11.25">
      <c r="A13" s="495"/>
      <c r="B13" s="496"/>
      <c r="C13" s="481"/>
      <c r="D13" s="497"/>
      <c r="E13" s="264"/>
      <c r="F13" s="264"/>
      <c r="G13" s="266"/>
      <c r="H13" s="266"/>
      <c r="I13" s="266"/>
      <c r="J13" s="265"/>
      <c r="K13" s="267"/>
      <c r="L13" s="267"/>
      <c r="M13" s="265"/>
      <c r="N13" s="267"/>
      <c r="O13" s="267"/>
      <c r="P13" s="265"/>
      <c r="Q13" s="267"/>
      <c r="R13" s="267"/>
      <c r="S13" s="265"/>
      <c r="T13" s="267"/>
      <c r="U13" s="267"/>
      <c r="V13" s="485"/>
    </row>
    <row r="14" spans="1:24">
      <c r="A14" s="486">
        <v>18230021</v>
      </c>
      <c r="B14" s="468" t="s">
        <v>21</v>
      </c>
      <c r="C14" s="233" t="s">
        <v>22</v>
      </c>
      <c r="D14" s="565" t="s">
        <v>23</v>
      </c>
      <c r="E14" s="566"/>
      <c r="F14" s="271"/>
      <c r="G14" s="272">
        <v>465045.93999999994</v>
      </c>
      <c r="H14" s="272">
        <f>G14-119907.1</f>
        <v>345138.83999999997</v>
      </c>
      <c r="I14" s="272">
        <f>H14+67490.49</f>
        <v>412629.32999999996</v>
      </c>
      <c r="J14" s="278">
        <v>467829.59999999992</v>
      </c>
      <c r="K14" s="278">
        <f>J14+62475</f>
        <v>530304.59999999986</v>
      </c>
      <c r="L14" s="278">
        <f>K14+39750.21</f>
        <v>570054.80999999982</v>
      </c>
      <c r="M14" s="278">
        <f>L14+58513.33</f>
        <v>628568.13999999978</v>
      </c>
      <c r="N14" s="278">
        <f>M14+76146.81</f>
        <v>704714.94999999972</v>
      </c>
      <c r="O14" s="278">
        <f>N14+41027.18</f>
        <v>745742.12999999977</v>
      </c>
      <c r="P14" s="278">
        <f>O14+23807.8</f>
        <v>769549.92999999982</v>
      </c>
      <c r="Q14" s="278">
        <f>P14</f>
        <v>769549.92999999982</v>
      </c>
      <c r="R14" s="278">
        <f>Q14</f>
        <v>769549.92999999982</v>
      </c>
      <c r="S14" s="278">
        <f>R14+71194.4</f>
        <v>840744.32999999984</v>
      </c>
      <c r="T14" s="278">
        <f>S14+8081.5</f>
        <v>848825.82999999984</v>
      </c>
      <c r="U14" s="278">
        <f>T14+3625.5</f>
        <v>852451.32999999984</v>
      </c>
      <c r="V14" s="247">
        <f>U14+5123.25</f>
        <v>857574.57999999984</v>
      </c>
    </row>
    <row r="15" spans="1:24">
      <c r="A15" s="486"/>
      <c r="B15" s="468" t="s">
        <v>21</v>
      </c>
      <c r="C15" s="233" t="s">
        <v>24</v>
      </c>
      <c r="D15" s="565"/>
      <c r="E15" s="566"/>
      <c r="F15" s="271"/>
      <c r="G15" s="245">
        <v>-71171.44</v>
      </c>
      <c r="H15" s="245">
        <f>G15</f>
        <v>-71171.44</v>
      </c>
      <c r="I15" s="272">
        <f>H15</f>
        <v>-71171.44</v>
      </c>
      <c r="J15" s="278">
        <v>-71171.44</v>
      </c>
      <c r="K15" s="278">
        <v>-71171.44</v>
      </c>
      <c r="L15" s="278">
        <v>-71171.44</v>
      </c>
      <c r="M15" s="278">
        <v>-71171.44</v>
      </c>
      <c r="N15" s="278">
        <v>-71171.44</v>
      </c>
      <c r="O15" s="278">
        <v>-71171.44</v>
      </c>
      <c r="P15" s="278">
        <v>-71171.44</v>
      </c>
      <c r="Q15" s="278">
        <v>-71171.44</v>
      </c>
      <c r="R15" s="278">
        <v>-71171.44</v>
      </c>
      <c r="S15" s="278">
        <f>R15-83215.12</f>
        <v>-154386.56</v>
      </c>
      <c r="T15" s="278">
        <f>S15</f>
        <v>-154386.56</v>
      </c>
      <c r="U15" s="278">
        <f>T15</f>
        <v>-154386.56</v>
      </c>
      <c r="V15" s="247">
        <f>U15-59263</f>
        <v>-213649.56</v>
      </c>
    </row>
    <row r="16" spans="1:24">
      <c r="A16" s="486"/>
      <c r="B16" s="468" t="s">
        <v>21</v>
      </c>
      <c r="C16" s="233" t="s">
        <v>14</v>
      </c>
      <c r="D16" s="489" t="s">
        <v>15</v>
      </c>
      <c r="E16" s="251">
        <v>43070</v>
      </c>
      <c r="F16" s="251" t="s">
        <v>16</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490">
        <v>-393874.5</v>
      </c>
    </row>
    <row r="17" spans="1:23">
      <c r="A17" s="491"/>
      <c r="B17" s="492"/>
      <c r="C17" s="493" t="s">
        <v>25</v>
      </c>
      <c r="D17" s="256"/>
      <c r="E17" s="257"/>
      <c r="F17" s="257"/>
      <c r="G17" s="258">
        <f t="shared" ref="G17:V17" si="2">SUM(G14:G16)</f>
        <v>393874.49999999994</v>
      </c>
      <c r="H17" s="258">
        <f t="shared" si="2"/>
        <v>273967.39999999997</v>
      </c>
      <c r="I17" s="258">
        <f t="shared" si="2"/>
        <v>341457.88999999996</v>
      </c>
      <c r="J17" s="258">
        <f t="shared" si="2"/>
        <v>396658.15999999992</v>
      </c>
      <c r="K17" s="258">
        <f t="shared" si="2"/>
        <v>459133.15999999986</v>
      </c>
      <c r="L17" s="258">
        <f t="shared" si="2"/>
        <v>498883.36999999982</v>
      </c>
      <c r="M17" s="258">
        <f t="shared" si="2"/>
        <v>557396.69999999972</v>
      </c>
      <c r="N17" s="258">
        <f t="shared" si="2"/>
        <v>633543.50999999978</v>
      </c>
      <c r="O17" s="258">
        <f t="shared" si="2"/>
        <v>674570.68999999971</v>
      </c>
      <c r="P17" s="258">
        <f t="shared" si="2"/>
        <v>698378.48999999976</v>
      </c>
      <c r="Q17" s="258">
        <f t="shared" si="2"/>
        <v>698378.48999999976</v>
      </c>
      <c r="R17" s="258">
        <f t="shared" si="2"/>
        <v>698378.48999999976</v>
      </c>
      <c r="S17" s="258">
        <f t="shared" si="2"/>
        <v>686357.76999999979</v>
      </c>
      <c r="T17" s="258">
        <f t="shared" si="2"/>
        <v>694439.26999999979</v>
      </c>
      <c r="U17" s="258">
        <f t="shared" si="2"/>
        <v>698064.76999999979</v>
      </c>
      <c r="V17" s="498">
        <f t="shared" si="2"/>
        <v>250050.51999999979</v>
      </c>
    </row>
    <row r="18" spans="1:23" s="50" customFormat="1" ht="11.25">
      <c r="A18" s="495"/>
      <c r="B18" s="496"/>
      <c r="C18" s="481"/>
      <c r="D18" s="482"/>
      <c r="E18" s="264"/>
      <c r="F18" s="264"/>
      <c r="G18" s="266"/>
      <c r="H18" s="266"/>
      <c r="I18" s="266"/>
      <c r="J18" s="265"/>
      <c r="K18" s="267"/>
      <c r="L18" s="267"/>
      <c r="M18" s="265"/>
      <c r="N18" s="267"/>
      <c r="O18" s="267"/>
      <c r="P18" s="265"/>
      <c r="Q18" s="267"/>
      <c r="R18" s="267"/>
      <c r="S18" s="265"/>
      <c r="T18" s="267"/>
      <c r="U18" s="267"/>
      <c r="V18" s="485"/>
    </row>
    <row r="19" spans="1:23">
      <c r="A19" s="486" t="s">
        <v>26</v>
      </c>
      <c r="B19" s="468" t="s">
        <v>27</v>
      </c>
      <c r="C19" s="233" t="s">
        <v>28</v>
      </c>
      <c r="D19" s="476" t="s">
        <v>29</v>
      </c>
      <c r="E19" s="271"/>
      <c r="F19" s="271"/>
      <c r="G19" s="272">
        <v>198092.16</v>
      </c>
      <c r="H19" s="272">
        <f>G19</f>
        <v>198092.16</v>
      </c>
      <c r="I19" s="272">
        <f>H19</f>
        <v>198092.16</v>
      </c>
      <c r="J19" s="278">
        <v>198092.16</v>
      </c>
      <c r="K19" s="278">
        <f>J19</f>
        <v>198092.16</v>
      </c>
      <c r="L19" s="278">
        <f t="shared" ref="L19:U19" si="3">K19</f>
        <v>198092.16</v>
      </c>
      <c r="M19" s="278">
        <f t="shared" si="3"/>
        <v>198092.16</v>
      </c>
      <c r="N19" s="278">
        <f t="shared" si="3"/>
        <v>198092.16</v>
      </c>
      <c r="O19" s="278">
        <f t="shared" si="3"/>
        <v>198092.16</v>
      </c>
      <c r="P19" s="278">
        <f t="shared" si="3"/>
        <v>198092.16</v>
      </c>
      <c r="Q19" s="278">
        <f t="shared" si="3"/>
        <v>198092.16</v>
      </c>
      <c r="R19" s="278">
        <f t="shared" si="3"/>
        <v>198092.16</v>
      </c>
      <c r="S19" s="278">
        <f t="shared" si="3"/>
        <v>198092.16</v>
      </c>
      <c r="T19" s="278">
        <f t="shared" si="3"/>
        <v>198092.16</v>
      </c>
      <c r="U19" s="278">
        <f t="shared" si="3"/>
        <v>198092.16</v>
      </c>
      <c r="V19" s="247">
        <v>198092.16</v>
      </c>
    </row>
    <row r="20" spans="1:23">
      <c r="A20" s="486"/>
      <c r="B20" s="468" t="s">
        <v>27</v>
      </c>
      <c r="C20" s="233" t="s">
        <v>30</v>
      </c>
      <c r="D20" s="489" t="s">
        <v>15</v>
      </c>
      <c r="E20" s="251">
        <v>43070</v>
      </c>
      <c r="F20" s="251" t="s">
        <v>16</v>
      </c>
      <c r="G20" s="252">
        <v>0</v>
      </c>
      <c r="H20" s="252">
        <v>0</v>
      </c>
      <c r="I20" s="252">
        <v>0</v>
      </c>
      <c r="J20" s="252">
        <v>0</v>
      </c>
      <c r="K20" s="252">
        <v>0</v>
      </c>
      <c r="L20" s="252">
        <v>0</v>
      </c>
      <c r="M20" s="252">
        <v>0</v>
      </c>
      <c r="N20" s="252">
        <v>0</v>
      </c>
      <c r="O20" s="252">
        <v>0</v>
      </c>
      <c r="P20" s="252">
        <v>0</v>
      </c>
      <c r="Q20" s="252">
        <v>0</v>
      </c>
      <c r="R20" s="252">
        <v>0</v>
      </c>
      <c r="S20" s="252">
        <v>0</v>
      </c>
      <c r="T20" s="252">
        <v>0</v>
      </c>
      <c r="U20" s="252">
        <v>0</v>
      </c>
      <c r="V20" s="490">
        <v>-198092.16</v>
      </c>
    </row>
    <row r="21" spans="1:23">
      <c r="A21" s="491"/>
      <c r="B21" s="492"/>
      <c r="C21" s="499" t="s">
        <v>31</v>
      </c>
      <c r="D21" s="500"/>
      <c r="E21" s="288"/>
      <c r="F21" s="288"/>
      <c r="G21" s="478">
        <f t="shared" ref="G21:V21" si="4">SUM(G19:G20)</f>
        <v>198092.16</v>
      </c>
      <c r="H21" s="478">
        <f t="shared" si="4"/>
        <v>198092.16</v>
      </c>
      <c r="I21" s="478">
        <f t="shared" si="4"/>
        <v>198092.16</v>
      </c>
      <c r="J21" s="478">
        <f t="shared" si="4"/>
        <v>198092.16</v>
      </c>
      <c r="K21" s="478">
        <f t="shared" si="4"/>
        <v>198092.16</v>
      </c>
      <c r="L21" s="478">
        <f t="shared" si="4"/>
        <v>198092.16</v>
      </c>
      <c r="M21" s="478">
        <f t="shared" si="4"/>
        <v>198092.16</v>
      </c>
      <c r="N21" s="478">
        <f t="shared" si="4"/>
        <v>198092.16</v>
      </c>
      <c r="O21" s="478">
        <f t="shared" si="4"/>
        <v>198092.16</v>
      </c>
      <c r="P21" s="478">
        <f t="shared" si="4"/>
        <v>198092.16</v>
      </c>
      <c r="Q21" s="478">
        <f t="shared" si="4"/>
        <v>198092.16</v>
      </c>
      <c r="R21" s="478">
        <f t="shared" si="4"/>
        <v>198092.16</v>
      </c>
      <c r="S21" s="478">
        <f t="shared" si="4"/>
        <v>198092.16</v>
      </c>
      <c r="T21" s="478">
        <f t="shared" si="4"/>
        <v>198092.16</v>
      </c>
      <c r="U21" s="478">
        <f t="shared" si="4"/>
        <v>198092.16</v>
      </c>
      <c r="V21" s="259">
        <f t="shared" si="4"/>
        <v>0</v>
      </c>
    </row>
    <row r="22" spans="1:23" s="50" customFormat="1" ht="11.25">
      <c r="A22" s="495"/>
      <c r="B22" s="496"/>
      <c r="C22" s="481"/>
      <c r="D22" s="497"/>
      <c r="E22" s="264"/>
      <c r="F22" s="264"/>
      <c r="G22" s="266"/>
      <c r="H22" s="266"/>
      <c r="I22" s="266"/>
      <c r="J22" s="265"/>
      <c r="K22" s="267"/>
      <c r="L22" s="267"/>
      <c r="M22" s="265"/>
      <c r="N22" s="267"/>
      <c r="O22" s="267"/>
      <c r="P22" s="265"/>
      <c r="Q22" s="267"/>
      <c r="R22" s="267"/>
      <c r="S22" s="265"/>
      <c r="T22" s="267"/>
      <c r="U22" s="267"/>
      <c r="V22" s="485"/>
    </row>
    <row r="23" spans="1:23">
      <c r="A23" s="486" t="s">
        <v>32</v>
      </c>
      <c r="B23" s="468" t="s">
        <v>33</v>
      </c>
      <c r="C23" s="233" t="s">
        <v>34</v>
      </c>
      <c r="D23" s="476" t="s">
        <v>35</v>
      </c>
      <c r="E23" s="271"/>
      <c r="F23" s="271"/>
      <c r="G23" s="272">
        <v>440996.89</v>
      </c>
      <c r="H23" s="272">
        <f>G23</f>
        <v>440996.89</v>
      </c>
      <c r="I23" s="272">
        <f>H23+896</f>
        <v>441892.89</v>
      </c>
      <c r="J23" s="245">
        <v>443378.14</v>
      </c>
      <c r="K23" s="245">
        <f>J23</f>
        <v>443378.14</v>
      </c>
      <c r="L23" s="245">
        <v>444306.14</v>
      </c>
      <c r="M23" s="245">
        <v>445917.94</v>
      </c>
      <c r="N23" s="245">
        <v>445917.94</v>
      </c>
      <c r="O23" s="245">
        <v>446845.94</v>
      </c>
      <c r="P23" s="245">
        <f>O23</f>
        <v>446845.94</v>
      </c>
      <c r="Q23" s="245">
        <f>P23+919</f>
        <v>447764.94</v>
      </c>
      <c r="R23" s="245">
        <f>Q23+5968.13</f>
        <v>453733.07</v>
      </c>
      <c r="S23" s="245">
        <f>R23+1436</f>
        <v>455169.07</v>
      </c>
      <c r="T23" s="245">
        <f>S23+3867.05</f>
        <v>459036.12</v>
      </c>
      <c r="U23" s="245">
        <f>T23+1024</f>
        <v>460060.12</v>
      </c>
      <c r="V23" s="471">
        <f>U23</f>
        <v>460060.12</v>
      </c>
    </row>
    <row r="24" spans="1:23">
      <c r="A24" s="486"/>
      <c r="B24" s="468" t="s">
        <v>33</v>
      </c>
      <c r="C24" s="233" t="s">
        <v>30</v>
      </c>
      <c r="D24" s="489" t="s">
        <v>15</v>
      </c>
      <c r="E24" s="251">
        <v>43070</v>
      </c>
      <c r="F24" s="251" t="s">
        <v>16</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490">
        <v>-440996.89</v>
      </c>
    </row>
    <row r="25" spans="1:23">
      <c r="A25" s="491"/>
      <c r="B25" s="492"/>
      <c r="C25" s="499" t="s">
        <v>36</v>
      </c>
      <c r="D25" s="500"/>
      <c r="E25" s="288"/>
      <c r="F25" s="288"/>
      <c r="G25" s="478">
        <f t="shared" ref="G25:V25" si="5">SUM(G23:G24)</f>
        <v>440996.89</v>
      </c>
      <c r="H25" s="478">
        <f t="shared" si="5"/>
        <v>440996.89</v>
      </c>
      <c r="I25" s="478">
        <f t="shared" si="5"/>
        <v>441892.89</v>
      </c>
      <c r="J25" s="478">
        <f t="shared" si="5"/>
        <v>443378.14</v>
      </c>
      <c r="K25" s="478">
        <f t="shared" si="5"/>
        <v>443378.14</v>
      </c>
      <c r="L25" s="478">
        <f t="shared" si="5"/>
        <v>444306.14</v>
      </c>
      <c r="M25" s="478">
        <f t="shared" si="5"/>
        <v>445917.94</v>
      </c>
      <c r="N25" s="478">
        <f t="shared" si="5"/>
        <v>445917.94</v>
      </c>
      <c r="O25" s="478">
        <f t="shared" si="5"/>
        <v>446845.94</v>
      </c>
      <c r="P25" s="478">
        <f t="shared" si="5"/>
        <v>446845.94</v>
      </c>
      <c r="Q25" s="478">
        <f t="shared" si="5"/>
        <v>447764.94</v>
      </c>
      <c r="R25" s="478">
        <f t="shared" si="5"/>
        <v>453733.07</v>
      </c>
      <c r="S25" s="478">
        <f t="shared" si="5"/>
        <v>455169.07</v>
      </c>
      <c r="T25" s="478">
        <f t="shared" si="5"/>
        <v>459036.12</v>
      </c>
      <c r="U25" s="478">
        <f t="shared" si="5"/>
        <v>460060.12</v>
      </c>
      <c r="V25" s="259">
        <f t="shared" si="5"/>
        <v>19063.229999999981</v>
      </c>
    </row>
    <row r="26" spans="1:23" s="50" customFormat="1" ht="11.25">
      <c r="A26" s="495"/>
      <c r="B26" s="496"/>
      <c r="C26" s="481"/>
      <c r="D26" s="497"/>
      <c r="E26" s="264"/>
      <c r="F26" s="264"/>
      <c r="G26" s="266"/>
      <c r="H26" s="266"/>
      <c r="I26" s="266"/>
      <c r="J26" s="265"/>
      <c r="K26" s="267"/>
      <c r="L26" s="267"/>
      <c r="M26" s="265"/>
      <c r="N26" s="267"/>
      <c r="O26" s="267"/>
      <c r="P26" s="265"/>
      <c r="Q26" s="267"/>
      <c r="R26" s="267"/>
      <c r="S26" s="265"/>
      <c r="T26" s="267"/>
      <c r="U26" s="267"/>
      <c r="V26" s="485"/>
    </row>
    <row r="27" spans="1:23">
      <c r="A27" s="486" t="s">
        <v>37</v>
      </c>
      <c r="B27" s="468" t="s">
        <v>38</v>
      </c>
      <c r="C27" s="233" t="s">
        <v>39</v>
      </c>
      <c r="D27" s="476" t="s">
        <v>40</v>
      </c>
      <c r="E27" s="271"/>
      <c r="F27" s="271"/>
      <c r="G27" s="272">
        <v>2254508.17</v>
      </c>
      <c r="H27" s="272">
        <f>G27</f>
        <v>2254508.17</v>
      </c>
      <c r="I27" s="272">
        <f>H27</f>
        <v>2254508.17</v>
      </c>
      <c r="J27" s="278">
        <v>2254508.17</v>
      </c>
      <c r="K27" s="278">
        <f>J27</f>
        <v>2254508.17</v>
      </c>
      <c r="L27" s="278">
        <f>K27</f>
        <v>2254508.17</v>
      </c>
      <c r="M27" s="278">
        <f>L27</f>
        <v>2254508.17</v>
      </c>
      <c r="N27" s="278">
        <f>M27</f>
        <v>2254508.17</v>
      </c>
      <c r="O27" s="278">
        <f t="shared" ref="O27:V27" si="6">N27</f>
        <v>2254508.17</v>
      </c>
      <c r="P27" s="278">
        <f t="shared" si="6"/>
        <v>2254508.17</v>
      </c>
      <c r="Q27" s="278">
        <f t="shared" si="6"/>
        <v>2254508.17</v>
      </c>
      <c r="R27" s="278">
        <f t="shared" si="6"/>
        <v>2254508.17</v>
      </c>
      <c r="S27" s="278">
        <f t="shared" si="6"/>
        <v>2254508.17</v>
      </c>
      <c r="T27" s="278">
        <f t="shared" si="6"/>
        <v>2254508.17</v>
      </c>
      <c r="U27" s="278">
        <f t="shared" si="6"/>
        <v>2254508.17</v>
      </c>
      <c r="V27" s="247">
        <f t="shared" si="6"/>
        <v>2254508.17</v>
      </c>
    </row>
    <row r="28" spans="1:23">
      <c r="A28" s="486"/>
      <c r="B28" s="468" t="s">
        <v>38</v>
      </c>
      <c r="C28" s="233" t="s">
        <v>30</v>
      </c>
      <c r="D28" s="489" t="s">
        <v>15</v>
      </c>
      <c r="E28" s="251">
        <v>43070</v>
      </c>
      <c r="F28" s="251" t="s">
        <v>16</v>
      </c>
      <c r="G28" s="252">
        <v>0</v>
      </c>
      <c r="H28" s="252">
        <v>0</v>
      </c>
      <c r="I28" s="252">
        <v>0</v>
      </c>
      <c r="J28" s="252">
        <v>0</v>
      </c>
      <c r="K28" s="252">
        <v>0</v>
      </c>
      <c r="L28" s="252">
        <v>0</v>
      </c>
      <c r="M28" s="252">
        <v>0</v>
      </c>
      <c r="N28" s="252">
        <v>0</v>
      </c>
      <c r="O28" s="252">
        <v>0</v>
      </c>
      <c r="P28" s="252">
        <v>0</v>
      </c>
      <c r="Q28" s="252">
        <v>0</v>
      </c>
      <c r="R28" s="252">
        <v>0</v>
      </c>
      <c r="S28" s="252">
        <v>0</v>
      </c>
      <c r="T28" s="252">
        <v>0</v>
      </c>
      <c r="U28" s="252">
        <v>0</v>
      </c>
      <c r="V28" s="490">
        <f>-2254508</f>
        <v>-2254508</v>
      </c>
    </row>
    <row r="29" spans="1:23">
      <c r="A29" s="491"/>
      <c r="B29" s="492"/>
      <c r="C29" s="499" t="s">
        <v>41</v>
      </c>
      <c r="D29" s="500"/>
      <c r="E29" s="288"/>
      <c r="F29" s="288"/>
      <c r="G29" s="478">
        <f t="shared" ref="G29:V29" si="7">SUM(G27:G28)</f>
        <v>2254508.17</v>
      </c>
      <c r="H29" s="478">
        <f t="shared" si="7"/>
        <v>2254508.17</v>
      </c>
      <c r="I29" s="478">
        <f t="shared" si="7"/>
        <v>2254508.17</v>
      </c>
      <c r="J29" s="478">
        <f t="shared" si="7"/>
        <v>2254508.17</v>
      </c>
      <c r="K29" s="478">
        <f t="shared" si="7"/>
        <v>2254508.17</v>
      </c>
      <c r="L29" s="478">
        <f t="shared" si="7"/>
        <v>2254508.17</v>
      </c>
      <c r="M29" s="478">
        <f t="shared" si="7"/>
        <v>2254508.17</v>
      </c>
      <c r="N29" s="478">
        <f t="shared" si="7"/>
        <v>2254508.17</v>
      </c>
      <c r="O29" s="478">
        <f t="shared" si="7"/>
        <v>2254508.17</v>
      </c>
      <c r="P29" s="478">
        <f t="shared" si="7"/>
        <v>2254508.17</v>
      </c>
      <c r="Q29" s="478">
        <f t="shared" si="7"/>
        <v>2254508.17</v>
      </c>
      <c r="R29" s="478">
        <f t="shared" si="7"/>
        <v>2254508.17</v>
      </c>
      <c r="S29" s="478">
        <f t="shared" si="7"/>
        <v>2254508.17</v>
      </c>
      <c r="T29" s="478">
        <f t="shared" si="7"/>
        <v>2254508.17</v>
      </c>
      <c r="U29" s="478">
        <f t="shared" si="7"/>
        <v>2254508.17</v>
      </c>
      <c r="V29" s="259">
        <f t="shared" si="7"/>
        <v>0.16999999992549419</v>
      </c>
    </row>
    <row r="30" spans="1:23" s="50" customFormat="1" ht="11.25">
      <c r="A30" s="495"/>
      <c r="B30" s="496"/>
      <c r="C30" s="481"/>
      <c r="D30" s="497"/>
      <c r="E30" s="264"/>
      <c r="F30" s="264"/>
      <c r="G30" s="266"/>
      <c r="H30" s="266"/>
      <c r="I30" s="266"/>
      <c r="J30" s="265"/>
      <c r="K30" s="267"/>
      <c r="L30" s="267"/>
      <c r="M30" s="265"/>
      <c r="N30" s="267"/>
      <c r="O30" s="267"/>
      <c r="P30" s="265"/>
      <c r="Q30" s="267"/>
      <c r="R30" s="267"/>
      <c r="S30" s="265"/>
      <c r="T30" s="267"/>
      <c r="U30" s="267"/>
      <c r="V30" s="501"/>
    </row>
    <row r="31" spans="1:23">
      <c r="A31" s="486" t="s">
        <v>42</v>
      </c>
      <c r="B31" s="468" t="s">
        <v>43</v>
      </c>
      <c r="C31" s="233" t="s">
        <v>44</v>
      </c>
      <c r="D31" s="565" t="s">
        <v>45</v>
      </c>
      <c r="E31" s="566"/>
      <c r="F31" s="271"/>
      <c r="G31" s="272">
        <v>2242411.06</v>
      </c>
      <c r="H31" s="272">
        <f>G31+3233</f>
        <v>2245644.06</v>
      </c>
      <c r="I31" s="272">
        <f>H31+138042.36</f>
        <v>2383686.42</v>
      </c>
      <c r="J31" s="278">
        <v>2276628.41</v>
      </c>
      <c r="K31" s="278">
        <f>J31+71087.66</f>
        <v>2347716.0700000003</v>
      </c>
      <c r="L31" s="278">
        <f>K31+5540.84</f>
        <v>2353256.91</v>
      </c>
      <c r="M31" s="278">
        <f>L31+260141.19</f>
        <v>2613398.1</v>
      </c>
      <c r="N31" s="278">
        <f>M31+8426.47</f>
        <v>2621824.5700000003</v>
      </c>
      <c r="O31" s="278">
        <f>N31+23288.75</f>
        <v>2645113.3200000003</v>
      </c>
      <c r="P31" s="278">
        <f>O31+77556.54</f>
        <v>2722669.8600000003</v>
      </c>
      <c r="Q31" s="278">
        <f>P31+50626.88</f>
        <v>2773296.74</v>
      </c>
      <c r="R31" s="278">
        <f>Q31+69375.59-36731</f>
        <v>2805941.33</v>
      </c>
      <c r="S31" s="278">
        <f>R31</f>
        <v>2805941.33</v>
      </c>
      <c r="T31" s="278">
        <f t="shared" ref="T31:U32" si="8">S31</f>
        <v>2805941.33</v>
      </c>
      <c r="U31" s="278">
        <f t="shared" si="8"/>
        <v>2805941.33</v>
      </c>
      <c r="V31" s="247">
        <f>U31+256932</f>
        <v>3062873.33</v>
      </c>
    </row>
    <row r="32" spans="1:23">
      <c r="A32" s="486"/>
      <c r="B32" s="502" t="s">
        <v>43</v>
      </c>
      <c r="C32" s="233" t="s">
        <v>46</v>
      </c>
      <c r="D32" s="565"/>
      <c r="E32" s="566"/>
      <c r="F32" s="271"/>
      <c r="G32" s="272">
        <v>-662553.87</v>
      </c>
      <c r="H32" s="272">
        <f>G32</f>
        <v>-662553.87</v>
      </c>
      <c r="I32" s="272">
        <f>H32</f>
        <v>-662553.87</v>
      </c>
      <c r="J32" s="278">
        <v>-662553.87</v>
      </c>
      <c r="K32" s="278">
        <f t="shared" ref="K32:R32" si="9">J32</f>
        <v>-662553.87</v>
      </c>
      <c r="L32" s="278">
        <f t="shared" si="9"/>
        <v>-662553.87</v>
      </c>
      <c r="M32" s="278">
        <f t="shared" si="9"/>
        <v>-662553.87</v>
      </c>
      <c r="N32" s="278">
        <f t="shared" si="9"/>
        <v>-662553.87</v>
      </c>
      <c r="O32" s="278">
        <f t="shared" si="9"/>
        <v>-662553.87</v>
      </c>
      <c r="P32" s="278">
        <f t="shared" si="9"/>
        <v>-662553.87</v>
      </c>
      <c r="Q32" s="278">
        <f t="shared" si="9"/>
        <v>-662553.87</v>
      </c>
      <c r="R32" s="278">
        <f t="shared" si="9"/>
        <v>-662553.87</v>
      </c>
      <c r="S32" s="278">
        <f>R32-3948</f>
        <v>-666501.87</v>
      </c>
      <c r="T32" s="278">
        <f t="shared" si="8"/>
        <v>-666501.87</v>
      </c>
      <c r="U32" s="278">
        <f t="shared" si="8"/>
        <v>-666501.87</v>
      </c>
      <c r="V32" s="247">
        <f>U32-5383.87</f>
        <v>-671885.74</v>
      </c>
      <c r="W32" s="62"/>
    </row>
    <row r="33" spans="1:23">
      <c r="A33" s="486"/>
      <c r="B33" s="468" t="s">
        <v>43</v>
      </c>
      <c r="C33" s="233" t="s">
        <v>30</v>
      </c>
      <c r="D33" s="489" t="s">
        <v>15</v>
      </c>
      <c r="E33" s="251">
        <v>43070</v>
      </c>
      <c r="F33" s="251" t="s">
        <v>16</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490">
        <v>-1579857.19</v>
      </c>
      <c r="W33" s="63"/>
    </row>
    <row r="34" spans="1:23" s="2" customFormat="1">
      <c r="A34" s="491"/>
      <c r="B34" s="492"/>
      <c r="C34" s="499" t="s">
        <v>47</v>
      </c>
      <c r="D34" s="500"/>
      <c r="E34" s="288"/>
      <c r="F34" s="288"/>
      <c r="G34" s="478">
        <f t="shared" ref="G34:V34" si="10">SUM(G31:G33)</f>
        <v>1579857.19</v>
      </c>
      <c r="H34" s="478">
        <f t="shared" si="10"/>
        <v>1583090.19</v>
      </c>
      <c r="I34" s="478">
        <f t="shared" si="10"/>
        <v>1721132.5499999998</v>
      </c>
      <c r="J34" s="478">
        <f t="shared" si="10"/>
        <v>1614074.54</v>
      </c>
      <c r="K34" s="478">
        <f t="shared" si="10"/>
        <v>1685162.2000000002</v>
      </c>
      <c r="L34" s="478">
        <f t="shared" si="10"/>
        <v>1690703.04</v>
      </c>
      <c r="M34" s="478">
        <f t="shared" si="10"/>
        <v>1950844.23</v>
      </c>
      <c r="N34" s="478">
        <f t="shared" si="10"/>
        <v>1959270.7000000002</v>
      </c>
      <c r="O34" s="478">
        <f t="shared" si="10"/>
        <v>1982559.4500000002</v>
      </c>
      <c r="P34" s="478">
        <f t="shared" si="10"/>
        <v>2060115.9900000002</v>
      </c>
      <c r="Q34" s="478">
        <f t="shared" si="10"/>
        <v>2110742.87</v>
      </c>
      <c r="R34" s="478">
        <f t="shared" si="10"/>
        <v>2143387.46</v>
      </c>
      <c r="S34" s="478">
        <f t="shared" si="10"/>
        <v>2139439.46</v>
      </c>
      <c r="T34" s="478">
        <f t="shared" si="10"/>
        <v>2139439.46</v>
      </c>
      <c r="U34" s="478">
        <f t="shared" si="10"/>
        <v>2139439.46</v>
      </c>
      <c r="V34" s="259">
        <f t="shared" si="10"/>
        <v>811130.39999999991</v>
      </c>
    </row>
    <row r="35" spans="1:23" s="50" customFormat="1" ht="11.25">
      <c r="A35" s="495"/>
      <c r="B35" s="496"/>
      <c r="C35" s="481"/>
      <c r="D35" s="497"/>
      <c r="E35" s="264"/>
      <c r="F35" s="264"/>
      <c r="G35" s="266"/>
      <c r="H35" s="266"/>
      <c r="I35" s="266"/>
      <c r="J35" s="265"/>
      <c r="K35" s="267"/>
      <c r="L35" s="267"/>
      <c r="M35" s="265"/>
      <c r="N35" s="267"/>
      <c r="O35" s="267"/>
      <c r="P35" s="265"/>
      <c r="Q35" s="267"/>
      <c r="R35" s="267"/>
      <c r="S35" s="265"/>
      <c r="T35" s="267"/>
      <c r="U35" s="267"/>
      <c r="V35" s="485"/>
    </row>
    <row r="36" spans="1:23">
      <c r="A36" s="486" t="s">
        <v>48</v>
      </c>
      <c r="B36" s="468" t="s">
        <v>49</v>
      </c>
      <c r="C36" s="233" t="s">
        <v>50</v>
      </c>
      <c r="D36" s="503" t="s">
        <v>35</v>
      </c>
      <c r="E36" s="271"/>
      <c r="F36" s="271"/>
      <c r="G36" s="272">
        <v>659654.59</v>
      </c>
      <c r="H36" s="272">
        <f>G36</f>
        <v>659654.59</v>
      </c>
      <c r="I36" s="272">
        <f>H36</f>
        <v>659654.59</v>
      </c>
      <c r="J36" s="278">
        <v>669654.71</v>
      </c>
      <c r="K36" s="278">
        <f>J36</f>
        <v>669654.71</v>
      </c>
      <c r="L36" s="278">
        <f t="shared" ref="L36:V36" si="11">K36</f>
        <v>669654.71</v>
      </c>
      <c r="M36" s="278">
        <f t="shared" si="11"/>
        <v>669654.71</v>
      </c>
      <c r="N36" s="278">
        <f t="shared" si="11"/>
        <v>669654.71</v>
      </c>
      <c r="O36" s="278">
        <f t="shared" si="11"/>
        <v>669654.71</v>
      </c>
      <c r="P36" s="278">
        <f t="shared" si="11"/>
        <v>669654.71</v>
      </c>
      <c r="Q36" s="278">
        <f t="shared" si="11"/>
        <v>669654.71</v>
      </c>
      <c r="R36" s="278">
        <f t="shared" si="11"/>
        <v>669654.71</v>
      </c>
      <c r="S36" s="278">
        <f t="shared" si="11"/>
        <v>669654.71</v>
      </c>
      <c r="T36" s="278">
        <f t="shared" si="11"/>
        <v>669654.71</v>
      </c>
      <c r="U36" s="278">
        <f t="shared" si="11"/>
        <v>669654.71</v>
      </c>
      <c r="V36" s="247">
        <f t="shared" si="11"/>
        <v>669654.71</v>
      </c>
    </row>
    <row r="37" spans="1:23">
      <c r="A37" s="486"/>
      <c r="B37" s="468" t="s">
        <v>49</v>
      </c>
      <c r="C37" s="233" t="s">
        <v>30</v>
      </c>
      <c r="D37" s="503" t="s">
        <v>15</v>
      </c>
      <c r="E37" s="251">
        <v>43070</v>
      </c>
      <c r="F37" s="251" t="s">
        <v>16</v>
      </c>
      <c r="G37" s="252">
        <v>0</v>
      </c>
      <c r="H37" s="252">
        <v>0</v>
      </c>
      <c r="I37" s="252">
        <v>0</v>
      </c>
      <c r="J37" s="252">
        <v>0</v>
      </c>
      <c r="K37" s="252">
        <v>0</v>
      </c>
      <c r="L37" s="252">
        <v>0</v>
      </c>
      <c r="M37" s="252">
        <v>0</v>
      </c>
      <c r="N37" s="252">
        <v>0</v>
      </c>
      <c r="O37" s="252">
        <v>0</v>
      </c>
      <c r="P37" s="252">
        <v>0</v>
      </c>
      <c r="Q37" s="252">
        <v>0</v>
      </c>
      <c r="R37" s="252">
        <v>0</v>
      </c>
      <c r="S37" s="252">
        <v>0</v>
      </c>
      <c r="T37" s="252">
        <v>0</v>
      </c>
      <c r="U37" s="252">
        <v>0</v>
      </c>
      <c r="V37" s="490">
        <f>-659655</f>
        <v>-659655</v>
      </c>
    </row>
    <row r="38" spans="1:23">
      <c r="A38" s="491"/>
      <c r="B38" s="492"/>
      <c r="C38" s="499" t="s">
        <v>51</v>
      </c>
      <c r="D38" s="500"/>
      <c r="E38" s="288"/>
      <c r="F38" s="288"/>
      <c r="G38" s="478">
        <f t="shared" ref="G38:V38" si="12">SUM(G36:G37)</f>
        <v>659654.59</v>
      </c>
      <c r="H38" s="478">
        <f t="shared" si="12"/>
        <v>659654.59</v>
      </c>
      <c r="I38" s="478">
        <f t="shared" si="12"/>
        <v>659654.59</v>
      </c>
      <c r="J38" s="478">
        <f t="shared" si="12"/>
        <v>669654.71</v>
      </c>
      <c r="K38" s="478">
        <f t="shared" si="12"/>
        <v>669654.71</v>
      </c>
      <c r="L38" s="478">
        <f t="shared" si="12"/>
        <v>669654.71</v>
      </c>
      <c r="M38" s="478">
        <f t="shared" si="12"/>
        <v>669654.71</v>
      </c>
      <c r="N38" s="478">
        <f t="shared" si="12"/>
        <v>669654.71</v>
      </c>
      <c r="O38" s="478">
        <f t="shared" si="12"/>
        <v>669654.71</v>
      </c>
      <c r="P38" s="478">
        <f t="shared" si="12"/>
        <v>669654.71</v>
      </c>
      <c r="Q38" s="478">
        <f t="shared" si="12"/>
        <v>669654.71</v>
      </c>
      <c r="R38" s="478">
        <f t="shared" si="12"/>
        <v>669654.71</v>
      </c>
      <c r="S38" s="478">
        <f t="shared" si="12"/>
        <v>669654.71</v>
      </c>
      <c r="T38" s="478">
        <f t="shared" si="12"/>
        <v>669654.71</v>
      </c>
      <c r="U38" s="478">
        <f t="shared" si="12"/>
        <v>669654.71</v>
      </c>
      <c r="V38" s="259">
        <f t="shared" si="12"/>
        <v>9999.7099999999627</v>
      </c>
    </row>
    <row r="39" spans="1:23" s="50" customFormat="1" ht="11.25">
      <c r="A39" s="495"/>
      <c r="B39" s="496"/>
      <c r="C39" s="481"/>
      <c r="D39" s="497"/>
      <c r="E39" s="264"/>
      <c r="F39" s="264"/>
      <c r="G39" s="266"/>
      <c r="H39" s="266"/>
      <c r="I39" s="266"/>
      <c r="J39" s="265"/>
      <c r="K39" s="267"/>
      <c r="L39" s="267"/>
      <c r="M39" s="265"/>
      <c r="N39" s="267"/>
      <c r="O39" s="267"/>
      <c r="P39" s="265"/>
      <c r="Q39" s="267"/>
      <c r="R39" s="267"/>
      <c r="S39" s="265"/>
      <c r="T39" s="267"/>
      <c r="U39" s="267"/>
      <c r="V39" s="485"/>
    </row>
    <row r="40" spans="1:23" ht="60">
      <c r="A40" s="486" t="s">
        <v>52</v>
      </c>
      <c r="B40" s="468" t="s">
        <v>53</v>
      </c>
      <c r="C40" s="233" t="s">
        <v>54</v>
      </c>
      <c r="D40" s="452" t="s">
        <v>375</v>
      </c>
      <c r="E40" s="271"/>
      <c r="F40" s="271"/>
      <c r="G40" s="272">
        <v>224879.76</v>
      </c>
      <c r="H40" s="272">
        <f>G40</f>
        <v>224879.76</v>
      </c>
      <c r="I40" s="272">
        <f>H40</f>
        <v>224879.76</v>
      </c>
      <c r="J40" s="278">
        <v>224879.76</v>
      </c>
      <c r="K40" s="278">
        <f>J40</f>
        <v>224879.76</v>
      </c>
      <c r="L40" s="278">
        <f t="shared" ref="L40:V40" si="13">K40</f>
        <v>224879.76</v>
      </c>
      <c r="M40" s="278">
        <f t="shared" si="13"/>
        <v>224879.76</v>
      </c>
      <c r="N40" s="278">
        <f t="shared" si="13"/>
        <v>224879.76</v>
      </c>
      <c r="O40" s="278">
        <f t="shared" si="13"/>
        <v>224879.76</v>
      </c>
      <c r="P40" s="278">
        <f t="shared" si="13"/>
        <v>224879.76</v>
      </c>
      <c r="Q40" s="278">
        <f>P40+1543.55</f>
        <v>226423.31</v>
      </c>
      <c r="R40" s="278">
        <f t="shared" si="13"/>
        <v>226423.31</v>
      </c>
      <c r="S40" s="278">
        <f t="shared" si="13"/>
        <v>226423.31</v>
      </c>
      <c r="T40" s="278">
        <f t="shared" si="13"/>
        <v>226423.31</v>
      </c>
      <c r="U40" s="278">
        <f t="shared" si="13"/>
        <v>226423.31</v>
      </c>
      <c r="V40" s="247">
        <f t="shared" si="13"/>
        <v>226423.31</v>
      </c>
    </row>
    <row r="41" spans="1:23">
      <c r="A41" s="486"/>
      <c r="B41" s="468" t="s">
        <v>53</v>
      </c>
      <c r="C41" s="233" t="s">
        <v>30</v>
      </c>
      <c r="D41" s="489" t="s">
        <v>15</v>
      </c>
      <c r="E41" s="251">
        <v>43070</v>
      </c>
      <c r="F41" s="251" t="s">
        <v>16</v>
      </c>
      <c r="G41" s="252">
        <v>0</v>
      </c>
      <c r="H41" s="252">
        <v>0</v>
      </c>
      <c r="I41" s="252">
        <v>0</v>
      </c>
      <c r="J41" s="252">
        <v>0</v>
      </c>
      <c r="K41" s="252">
        <v>0</v>
      </c>
      <c r="L41" s="252">
        <v>0</v>
      </c>
      <c r="M41" s="252">
        <v>0</v>
      </c>
      <c r="N41" s="252">
        <v>0</v>
      </c>
      <c r="O41" s="252">
        <v>0</v>
      </c>
      <c r="P41" s="252">
        <v>0</v>
      </c>
      <c r="Q41" s="252">
        <v>0</v>
      </c>
      <c r="R41" s="252">
        <v>0</v>
      </c>
      <c r="S41" s="252">
        <v>0</v>
      </c>
      <c r="T41" s="252">
        <v>0</v>
      </c>
      <c r="U41" s="252">
        <v>0</v>
      </c>
      <c r="V41" s="490">
        <f>-224880</f>
        <v>-224880</v>
      </c>
    </row>
    <row r="42" spans="1:23">
      <c r="A42" s="491"/>
      <c r="B42" s="492"/>
      <c r="C42" s="499" t="s">
        <v>56</v>
      </c>
      <c r="D42" s="500"/>
      <c r="E42" s="288"/>
      <c r="F42" s="288"/>
      <c r="G42" s="478">
        <f t="shared" ref="G42:V42" si="14">SUM(G40:G41)</f>
        <v>224879.76</v>
      </c>
      <c r="H42" s="478">
        <f t="shared" si="14"/>
        <v>224879.76</v>
      </c>
      <c r="I42" s="478">
        <f t="shared" si="14"/>
        <v>224879.76</v>
      </c>
      <c r="J42" s="478">
        <f t="shared" si="14"/>
        <v>224879.76</v>
      </c>
      <c r="K42" s="478">
        <f t="shared" si="14"/>
        <v>224879.76</v>
      </c>
      <c r="L42" s="478">
        <f t="shared" si="14"/>
        <v>224879.76</v>
      </c>
      <c r="M42" s="478">
        <f t="shared" si="14"/>
        <v>224879.76</v>
      </c>
      <c r="N42" s="478">
        <f t="shared" si="14"/>
        <v>224879.76</v>
      </c>
      <c r="O42" s="478">
        <f t="shared" si="14"/>
        <v>224879.76</v>
      </c>
      <c r="P42" s="478">
        <f t="shared" si="14"/>
        <v>224879.76</v>
      </c>
      <c r="Q42" s="478">
        <f t="shared" si="14"/>
        <v>226423.31</v>
      </c>
      <c r="R42" s="478">
        <f t="shared" si="14"/>
        <v>226423.31</v>
      </c>
      <c r="S42" s="478">
        <f t="shared" si="14"/>
        <v>226423.31</v>
      </c>
      <c r="T42" s="478">
        <f t="shared" si="14"/>
        <v>226423.31</v>
      </c>
      <c r="U42" s="478">
        <f t="shared" si="14"/>
        <v>226423.31</v>
      </c>
      <c r="V42" s="259">
        <f t="shared" si="14"/>
        <v>1543.3099999999977</v>
      </c>
    </row>
    <row r="43" spans="1:23" s="50" customFormat="1" ht="11.25">
      <c r="A43" s="495"/>
      <c r="B43" s="496"/>
      <c r="C43" s="481"/>
      <c r="D43" s="497"/>
      <c r="E43" s="264"/>
      <c r="F43" s="264"/>
      <c r="G43" s="266"/>
      <c r="H43" s="266"/>
      <c r="I43" s="266"/>
      <c r="J43" s="265"/>
      <c r="K43" s="267"/>
      <c r="L43" s="267"/>
      <c r="M43" s="265"/>
      <c r="N43" s="267"/>
      <c r="O43" s="267"/>
      <c r="P43" s="265"/>
      <c r="Q43" s="267"/>
      <c r="R43" s="267"/>
      <c r="S43" s="268"/>
      <c r="T43" s="267"/>
      <c r="U43" s="267"/>
      <c r="V43" s="485"/>
    </row>
    <row r="44" spans="1:23" ht="60">
      <c r="A44" s="486">
        <v>18601130</v>
      </c>
      <c r="B44" s="468" t="s">
        <v>57</v>
      </c>
      <c r="C44" s="233" t="s">
        <v>58</v>
      </c>
      <c r="D44" s="452" t="s">
        <v>55</v>
      </c>
      <c r="E44" s="271"/>
      <c r="F44" s="271"/>
      <c r="G44" s="272">
        <v>400495.47</v>
      </c>
      <c r="H44" s="272">
        <f>G44</f>
        <v>400495.47</v>
      </c>
      <c r="I44" s="272">
        <f>H44</f>
        <v>400495.47</v>
      </c>
      <c r="J44" s="245">
        <v>400495.47</v>
      </c>
      <c r="K44" s="245">
        <f>J44</f>
        <v>400495.47</v>
      </c>
      <c r="L44" s="245">
        <f t="shared" ref="L44:V45" si="15">K44</f>
        <v>400495.47</v>
      </c>
      <c r="M44" s="245">
        <f t="shared" si="15"/>
        <v>400495.47</v>
      </c>
      <c r="N44" s="245">
        <f t="shared" si="15"/>
        <v>400495.47</v>
      </c>
      <c r="O44" s="245">
        <f t="shared" si="15"/>
        <v>400495.47</v>
      </c>
      <c r="P44" s="245">
        <f t="shared" si="15"/>
        <v>400495.47</v>
      </c>
      <c r="Q44" s="245">
        <f t="shared" si="15"/>
        <v>400495.47</v>
      </c>
      <c r="R44" s="245">
        <f t="shared" si="15"/>
        <v>400495.47</v>
      </c>
      <c r="S44" s="245">
        <f t="shared" si="15"/>
        <v>400495.47</v>
      </c>
      <c r="T44" s="245">
        <f t="shared" si="15"/>
        <v>400495.47</v>
      </c>
      <c r="U44" s="245">
        <f t="shared" si="15"/>
        <v>400495.47</v>
      </c>
      <c r="V44" s="471">
        <f t="shared" si="15"/>
        <v>400495.47</v>
      </c>
      <c r="W44" s="2"/>
    </row>
    <row r="45" spans="1:23">
      <c r="A45" s="486"/>
      <c r="B45" s="468" t="s">
        <v>57</v>
      </c>
      <c r="C45" s="249" t="s">
        <v>30</v>
      </c>
      <c r="D45" s="473" t="s">
        <v>15</v>
      </c>
      <c r="E45" s="251">
        <v>43070</v>
      </c>
      <c r="F45" s="251" t="s">
        <v>16</v>
      </c>
      <c r="G45" s="253">
        <v>0</v>
      </c>
      <c r="H45" s="253">
        <v>0</v>
      </c>
      <c r="I45" s="253">
        <v>0</v>
      </c>
      <c r="J45" s="253">
        <v>0</v>
      </c>
      <c r="K45" s="253">
        <v>0</v>
      </c>
      <c r="L45" s="253">
        <f t="shared" si="15"/>
        <v>0</v>
      </c>
      <c r="M45" s="253">
        <f t="shared" si="15"/>
        <v>0</v>
      </c>
      <c r="N45" s="253">
        <f t="shared" si="15"/>
        <v>0</v>
      </c>
      <c r="O45" s="253">
        <f t="shared" si="15"/>
        <v>0</v>
      </c>
      <c r="P45" s="253">
        <f t="shared" si="15"/>
        <v>0</v>
      </c>
      <c r="Q45" s="253">
        <f t="shared" si="15"/>
        <v>0</v>
      </c>
      <c r="R45" s="253">
        <f t="shared" si="15"/>
        <v>0</v>
      </c>
      <c r="S45" s="253">
        <f t="shared" si="15"/>
        <v>0</v>
      </c>
      <c r="T45" s="253">
        <f t="shared" si="15"/>
        <v>0</v>
      </c>
      <c r="U45" s="253">
        <f t="shared" si="15"/>
        <v>0</v>
      </c>
      <c r="V45" s="474">
        <v>-400495</v>
      </c>
      <c r="W45" s="2"/>
    </row>
    <row r="46" spans="1:23">
      <c r="A46" s="486"/>
      <c r="B46" s="468"/>
      <c r="C46" s="255" t="s">
        <v>59</v>
      </c>
      <c r="D46" s="256"/>
      <c r="E46" s="257"/>
      <c r="F46" s="288"/>
      <c r="G46" s="478">
        <f t="shared" ref="G46:V46" si="16">SUM(G44:G45)</f>
        <v>400495.47</v>
      </c>
      <c r="H46" s="478">
        <f t="shared" si="16"/>
        <v>400495.47</v>
      </c>
      <c r="I46" s="478">
        <f t="shared" si="16"/>
        <v>400495.47</v>
      </c>
      <c r="J46" s="478">
        <f t="shared" si="16"/>
        <v>400495.47</v>
      </c>
      <c r="K46" s="478">
        <f t="shared" si="16"/>
        <v>400495.47</v>
      </c>
      <c r="L46" s="478">
        <f t="shared" si="16"/>
        <v>400495.47</v>
      </c>
      <c r="M46" s="478">
        <f t="shared" si="16"/>
        <v>400495.47</v>
      </c>
      <c r="N46" s="478">
        <f t="shared" si="16"/>
        <v>400495.47</v>
      </c>
      <c r="O46" s="478">
        <f t="shared" si="16"/>
        <v>400495.47</v>
      </c>
      <c r="P46" s="478">
        <f t="shared" si="16"/>
        <v>400495.47</v>
      </c>
      <c r="Q46" s="478">
        <f t="shared" si="16"/>
        <v>400495.47</v>
      </c>
      <c r="R46" s="478">
        <f t="shared" si="16"/>
        <v>400495.47</v>
      </c>
      <c r="S46" s="478">
        <f t="shared" si="16"/>
        <v>400495.47</v>
      </c>
      <c r="T46" s="478">
        <f t="shared" si="16"/>
        <v>400495.47</v>
      </c>
      <c r="U46" s="478">
        <f t="shared" si="16"/>
        <v>400495.47</v>
      </c>
      <c r="V46" s="259">
        <f t="shared" si="16"/>
        <v>0.46999999997206032</v>
      </c>
      <c r="W46" s="2"/>
    </row>
    <row r="47" spans="1:23" s="50" customFormat="1" ht="11.25">
      <c r="A47" s="495"/>
      <c r="B47" s="496"/>
      <c r="C47" s="481"/>
      <c r="D47" s="497"/>
      <c r="E47" s="273"/>
      <c r="F47" s="273"/>
      <c r="G47" s="275"/>
      <c r="H47" s="275"/>
      <c r="I47" s="275"/>
      <c r="J47" s="265"/>
      <c r="K47" s="267"/>
      <c r="L47" s="267"/>
      <c r="M47" s="265"/>
      <c r="N47" s="267"/>
      <c r="O47" s="267"/>
      <c r="P47" s="265"/>
      <c r="Q47" s="267"/>
      <c r="R47" s="267"/>
      <c r="S47" s="265"/>
      <c r="T47" s="267"/>
      <c r="U47" s="267"/>
      <c r="V47" s="485"/>
      <c r="W47" s="123"/>
    </row>
    <row r="48" spans="1:23" ht="41.45" customHeight="1">
      <c r="A48" s="486" t="s">
        <v>60</v>
      </c>
      <c r="B48" s="468" t="s">
        <v>61</v>
      </c>
      <c r="C48" s="233" t="s">
        <v>62</v>
      </c>
      <c r="D48" s="561" t="s">
        <v>55</v>
      </c>
      <c r="E48" s="563"/>
      <c r="F48" s="454"/>
      <c r="G48" s="246">
        <v>231698.24000000005</v>
      </c>
      <c r="H48" s="246">
        <f>G48</f>
        <v>231698.24000000005</v>
      </c>
      <c r="I48" s="246">
        <f>H48</f>
        <v>231698.24000000005</v>
      </c>
      <c r="J48" s="245">
        <v>231698.24000000005</v>
      </c>
      <c r="K48" s="245">
        <f>J48</f>
        <v>231698.24000000005</v>
      </c>
      <c r="L48" s="245">
        <f t="shared" ref="L48:V49" si="17">K48</f>
        <v>231698.24000000005</v>
      </c>
      <c r="M48" s="245">
        <f t="shared" si="17"/>
        <v>231698.24000000005</v>
      </c>
      <c r="N48" s="245">
        <f t="shared" si="17"/>
        <v>231698.24000000005</v>
      </c>
      <c r="O48" s="245">
        <f t="shared" si="17"/>
        <v>231698.24000000005</v>
      </c>
      <c r="P48" s="245">
        <f t="shared" si="17"/>
        <v>231698.24000000005</v>
      </c>
      <c r="Q48" s="245">
        <f t="shared" si="17"/>
        <v>231698.24000000005</v>
      </c>
      <c r="R48" s="245">
        <f>Q48+44269.09</f>
        <v>275967.33000000007</v>
      </c>
      <c r="S48" s="245">
        <f>R48+20967.05</f>
        <v>296934.38000000006</v>
      </c>
      <c r="T48" s="245">
        <f>S48+2305.82</f>
        <v>299240.20000000007</v>
      </c>
      <c r="U48" s="245">
        <f>T48</f>
        <v>299240.20000000007</v>
      </c>
      <c r="V48" s="471">
        <f>U48+1700000</f>
        <v>1999240.2000000002</v>
      </c>
      <c r="W48" s="2"/>
    </row>
    <row r="49" spans="1:24" ht="19.149999999999999" customHeight="1">
      <c r="A49" s="486" t="s">
        <v>63</v>
      </c>
      <c r="B49" s="468" t="s">
        <v>64</v>
      </c>
      <c r="C49" s="233" t="s">
        <v>65</v>
      </c>
      <c r="D49" s="562"/>
      <c r="E49" s="564"/>
      <c r="F49" s="455"/>
      <c r="G49" s="245">
        <v>0</v>
      </c>
      <c r="H49" s="245">
        <v>0</v>
      </c>
      <c r="I49" s="245">
        <v>0</v>
      </c>
      <c r="J49" s="245">
        <v>0</v>
      </c>
      <c r="K49" s="504">
        <v>0</v>
      </c>
      <c r="L49" s="504">
        <v>0</v>
      </c>
      <c r="M49" s="245">
        <v>-105008.2</v>
      </c>
      <c r="N49" s="245">
        <f>M49</f>
        <v>-105008.2</v>
      </c>
      <c r="O49" s="245">
        <f t="shared" si="17"/>
        <v>-105008.2</v>
      </c>
      <c r="P49" s="245">
        <f t="shared" si="17"/>
        <v>-105008.2</v>
      </c>
      <c r="Q49" s="245">
        <f t="shared" si="17"/>
        <v>-105008.2</v>
      </c>
      <c r="R49" s="245">
        <f t="shared" si="17"/>
        <v>-105008.2</v>
      </c>
      <c r="S49" s="245">
        <f t="shared" si="17"/>
        <v>-105008.2</v>
      </c>
      <c r="T49" s="245">
        <f t="shared" si="17"/>
        <v>-105008.2</v>
      </c>
      <c r="U49" s="245">
        <f t="shared" si="17"/>
        <v>-105008.2</v>
      </c>
      <c r="V49" s="471">
        <f t="shared" si="17"/>
        <v>-105008.2</v>
      </c>
      <c r="W49" s="2"/>
    </row>
    <row r="50" spans="1:24">
      <c r="A50" s="467"/>
      <c r="B50" s="468" t="s">
        <v>61</v>
      </c>
      <c r="C50" s="249" t="s">
        <v>30</v>
      </c>
      <c r="D50" s="473" t="s">
        <v>15</v>
      </c>
      <c r="E50" s="251">
        <v>43070</v>
      </c>
      <c r="F50" s="251" t="s">
        <v>16</v>
      </c>
      <c r="G50" s="252">
        <v>0</v>
      </c>
      <c r="H50" s="252">
        <v>0</v>
      </c>
      <c r="I50" s="252">
        <v>0</v>
      </c>
      <c r="J50" s="252">
        <v>0</v>
      </c>
      <c r="K50" s="253">
        <v>0</v>
      </c>
      <c r="L50" s="253">
        <f t="shared" ref="L50:U50" si="18">K50</f>
        <v>0</v>
      </c>
      <c r="M50" s="253">
        <f t="shared" si="18"/>
        <v>0</v>
      </c>
      <c r="N50" s="253">
        <f t="shared" si="18"/>
        <v>0</v>
      </c>
      <c r="O50" s="253">
        <f t="shared" si="18"/>
        <v>0</v>
      </c>
      <c r="P50" s="253">
        <f t="shared" si="18"/>
        <v>0</v>
      </c>
      <c r="Q50" s="253">
        <f t="shared" si="18"/>
        <v>0</v>
      </c>
      <c r="R50" s="253">
        <f t="shared" si="18"/>
        <v>0</v>
      </c>
      <c r="S50" s="253">
        <f t="shared" si="18"/>
        <v>0</v>
      </c>
      <c r="T50" s="253">
        <f t="shared" si="18"/>
        <v>0</v>
      </c>
      <c r="U50" s="253">
        <f t="shared" si="18"/>
        <v>0</v>
      </c>
      <c r="V50" s="474">
        <v>-231698</v>
      </c>
      <c r="W50" s="2"/>
    </row>
    <row r="51" spans="1:24">
      <c r="A51" s="486"/>
      <c r="B51" s="468"/>
      <c r="C51" s="255" t="s">
        <v>66</v>
      </c>
      <c r="D51" s="256"/>
      <c r="E51" s="257"/>
      <c r="F51" s="257"/>
      <c r="G51" s="258">
        <f t="shared" ref="G51:U51" si="19">SUM(G48:G50)</f>
        <v>231698.24000000005</v>
      </c>
      <c r="H51" s="258">
        <f t="shared" si="19"/>
        <v>231698.24000000005</v>
      </c>
      <c r="I51" s="258">
        <f t="shared" si="19"/>
        <v>231698.24000000005</v>
      </c>
      <c r="J51" s="258">
        <f t="shared" si="19"/>
        <v>231698.24000000005</v>
      </c>
      <c r="K51" s="258">
        <f t="shared" si="19"/>
        <v>231698.24000000005</v>
      </c>
      <c r="L51" s="258">
        <f t="shared" si="19"/>
        <v>231698.24000000005</v>
      </c>
      <c r="M51" s="258">
        <f t="shared" si="19"/>
        <v>126690.04000000005</v>
      </c>
      <c r="N51" s="258">
        <f t="shared" si="19"/>
        <v>126690.04000000005</v>
      </c>
      <c r="O51" s="258">
        <f t="shared" si="19"/>
        <v>126690.04000000005</v>
      </c>
      <c r="P51" s="258">
        <f t="shared" si="19"/>
        <v>126690.04000000005</v>
      </c>
      <c r="Q51" s="258">
        <f t="shared" si="19"/>
        <v>126690.04000000005</v>
      </c>
      <c r="R51" s="258">
        <f t="shared" si="19"/>
        <v>170959.13000000006</v>
      </c>
      <c r="S51" s="258">
        <f t="shared" si="19"/>
        <v>191926.18000000005</v>
      </c>
      <c r="T51" s="258">
        <f t="shared" si="19"/>
        <v>194232.00000000006</v>
      </c>
      <c r="U51" s="258">
        <f t="shared" si="19"/>
        <v>194232.00000000006</v>
      </c>
      <c r="V51" s="498">
        <f>SUM(V48:V50)</f>
        <v>1662534.0000000002</v>
      </c>
      <c r="W51" s="2"/>
    </row>
    <row r="52" spans="1:24" s="50" customFormat="1" ht="11.25">
      <c r="A52" s="495"/>
      <c r="B52" s="496"/>
      <c r="C52" s="481"/>
      <c r="D52" s="497"/>
      <c r="E52" s="264"/>
      <c r="F52" s="264"/>
      <c r="G52" s="266"/>
      <c r="H52" s="266"/>
      <c r="I52" s="266"/>
      <c r="J52" s="265"/>
      <c r="K52" s="267"/>
      <c r="L52" s="267"/>
      <c r="M52" s="265"/>
      <c r="N52" s="267"/>
      <c r="O52" s="267"/>
      <c r="P52" s="265"/>
      <c r="Q52" s="267"/>
      <c r="R52" s="267"/>
      <c r="S52" s="268"/>
      <c r="T52" s="267"/>
      <c r="U52" s="267"/>
      <c r="V52" s="485"/>
      <c r="W52" s="123"/>
    </row>
    <row r="53" spans="1:24">
      <c r="A53" s="486" t="s">
        <v>67</v>
      </c>
      <c r="B53" s="468" t="s">
        <v>68</v>
      </c>
      <c r="C53" s="233" t="s">
        <v>69</v>
      </c>
      <c r="D53" s="270" t="s">
        <v>29</v>
      </c>
      <c r="E53" s="271"/>
      <c r="F53" s="271"/>
      <c r="G53" s="272">
        <v>695.75</v>
      </c>
      <c r="H53" s="272">
        <f>G53</f>
        <v>695.75</v>
      </c>
      <c r="I53" s="505"/>
      <c r="J53" s="245">
        <v>695.75</v>
      </c>
      <c r="K53" s="245">
        <f>J53</f>
        <v>695.75</v>
      </c>
      <c r="L53" s="245">
        <f>K53</f>
        <v>695.75</v>
      </c>
      <c r="M53" s="245">
        <f t="shared" ref="M53:V54" si="20">L53</f>
        <v>695.75</v>
      </c>
      <c r="N53" s="245">
        <f t="shared" si="20"/>
        <v>695.75</v>
      </c>
      <c r="O53" s="245">
        <f t="shared" si="20"/>
        <v>695.75</v>
      </c>
      <c r="P53" s="245">
        <f t="shared" si="20"/>
        <v>695.75</v>
      </c>
      <c r="Q53" s="245">
        <f t="shared" si="20"/>
        <v>695.75</v>
      </c>
      <c r="R53" s="245">
        <f t="shared" si="20"/>
        <v>695.75</v>
      </c>
      <c r="S53" s="245">
        <f t="shared" si="20"/>
        <v>695.75</v>
      </c>
      <c r="T53" s="245">
        <f t="shared" si="20"/>
        <v>695.75</v>
      </c>
      <c r="U53" s="245">
        <f t="shared" si="20"/>
        <v>695.75</v>
      </c>
      <c r="V53" s="471">
        <f t="shared" si="20"/>
        <v>695.75</v>
      </c>
      <c r="W53" s="2"/>
    </row>
    <row r="54" spans="1:24">
      <c r="A54" s="486"/>
      <c r="B54" s="468"/>
      <c r="C54" s="249" t="s">
        <v>30</v>
      </c>
      <c r="D54" s="473" t="s">
        <v>15</v>
      </c>
      <c r="E54" s="251">
        <v>43070</v>
      </c>
      <c r="F54" s="251" t="s">
        <v>16</v>
      </c>
      <c r="G54" s="252">
        <v>0</v>
      </c>
      <c r="H54" s="252">
        <v>0</v>
      </c>
      <c r="I54" s="252">
        <v>0</v>
      </c>
      <c r="J54" s="252">
        <v>0</v>
      </c>
      <c r="K54" s="253">
        <v>0</v>
      </c>
      <c r="L54" s="253">
        <f t="shared" ref="L54" si="21">K54</f>
        <v>0</v>
      </c>
      <c r="M54" s="253">
        <f t="shared" si="20"/>
        <v>0</v>
      </c>
      <c r="N54" s="253">
        <f t="shared" si="20"/>
        <v>0</v>
      </c>
      <c r="O54" s="253">
        <f t="shared" si="20"/>
        <v>0</v>
      </c>
      <c r="P54" s="253">
        <f t="shared" si="20"/>
        <v>0</v>
      </c>
      <c r="Q54" s="253">
        <f t="shared" si="20"/>
        <v>0</v>
      </c>
      <c r="R54" s="253">
        <f t="shared" si="20"/>
        <v>0</v>
      </c>
      <c r="S54" s="253">
        <f t="shared" si="20"/>
        <v>0</v>
      </c>
      <c r="T54" s="253">
        <f t="shared" si="20"/>
        <v>0</v>
      </c>
      <c r="U54" s="253">
        <f t="shared" si="20"/>
        <v>0</v>
      </c>
      <c r="V54" s="474">
        <f>-695.75</f>
        <v>-695.75</v>
      </c>
      <c r="W54" s="2"/>
    </row>
    <row r="55" spans="1:24">
      <c r="A55" s="486"/>
      <c r="B55" s="468"/>
      <c r="C55" s="255" t="s">
        <v>70</v>
      </c>
      <c r="D55" s="256"/>
      <c r="E55" s="257"/>
      <c r="F55" s="257"/>
      <c r="G55" s="258">
        <f t="shared" ref="G55:V55" si="22">SUM(G53:G54)</f>
        <v>695.75</v>
      </c>
      <c r="H55" s="258">
        <f t="shared" si="22"/>
        <v>695.75</v>
      </c>
      <c r="I55" s="258">
        <f t="shared" si="22"/>
        <v>0</v>
      </c>
      <c r="J55" s="258">
        <f t="shared" si="22"/>
        <v>695.75</v>
      </c>
      <c r="K55" s="258">
        <f t="shared" si="22"/>
        <v>695.75</v>
      </c>
      <c r="L55" s="258">
        <f t="shared" si="22"/>
        <v>695.75</v>
      </c>
      <c r="M55" s="258">
        <f t="shared" si="22"/>
        <v>695.75</v>
      </c>
      <c r="N55" s="258">
        <f t="shared" si="22"/>
        <v>695.75</v>
      </c>
      <c r="O55" s="258">
        <f t="shared" si="22"/>
        <v>695.75</v>
      </c>
      <c r="P55" s="258">
        <f t="shared" si="22"/>
        <v>695.75</v>
      </c>
      <c r="Q55" s="258">
        <f t="shared" si="22"/>
        <v>695.75</v>
      </c>
      <c r="R55" s="258">
        <f t="shared" si="22"/>
        <v>695.75</v>
      </c>
      <c r="S55" s="258">
        <f t="shared" si="22"/>
        <v>695.75</v>
      </c>
      <c r="T55" s="258">
        <f t="shared" si="22"/>
        <v>695.75</v>
      </c>
      <c r="U55" s="258">
        <f t="shared" si="22"/>
        <v>695.75</v>
      </c>
      <c r="V55" s="498">
        <f t="shared" si="22"/>
        <v>0</v>
      </c>
      <c r="W55" s="2"/>
    </row>
    <row r="56" spans="1:24" s="50" customFormat="1" ht="11.25">
      <c r="A56" s="495"/>
      <c r="B56" s="496"/>
      <c r="C56" s="481"/>
      <c r="D56" s="497"/>
      <c r="E56" s="273"/>
      <c r="F56" s="273"/>
      <c r="G56" s="275"/>
      <c r="H56" s="275"/>
      <c r="I56" s="275"/>
      <c r="J56" s="265"/>
      <c r="K56" s="267"/>
      <c r="L56" s="267"/>
      <c r="M56" s="265"/>
      <c r="N56" s="267"/>
      <c r="O56" s="267"/>
      <c r="P56" s="265"/>
      <c r="Q56" s="267"/>
      <c r="R56" s="267"/>
      <c r="S56" s="268"/>
      <c r="T56" s="267"/>
      <c r="U56" s="267"/>
      <c r="V56" s="485"/>
      <c r="W56" s="123"/>
    </row>
    <row r="57" spans="1:24" ht="57.6" customHeight="1">
      <c r="A57" s="486">
        <v>18601129</v>
      </c>
      <c r="B57" s="468" t="s">
        <v>71</v>
      </c>
      <c r="C57" s="233" t="s">
        <v>72</v>
      </c>
      <c r="D57" s="452" t="s">
        <v>55</v>
      </c>
      <c r="E57" s="277">
        <v>2011</v>
      </c>
      <c r="F57" s="277"/>
      <c r="G57" s="272">
        <v>212588.68</v>
      </c>
      <c r="H57" s="272">
        <f>G57</f>
        <v>212588.68</v>
      </c>
      <c r="I57" s="272">
        <f>H57</f>
        <v>212588.68</v>
      </c>
      <c r="J57" s="278">
        <f>I57</f>
        <v>212588.68</v>
      </c>
      <c r="K57" s="278">
        <f>J57</f>
        <v>212588.68</v>
      </c>
      <c r="L57" s="278">
        <f t="shared" ref="L57:V58" si="23">K57</f>
        <v>212588.68</v>
      </c>
      <c r="M57" s="278">
        <f t="shared" si="23"/>
        <v>212588.68</v>
      </c>
      <c r="N57" s="278">
        <f t="shared" si="23"/>
        <v>212588.68</v>
      </c>
      <c r="O57" s="278">
        <f t="shared" si="23"/>
        <v>212588.68</v>
      </c>
      <c r="P57" s="278">
        <f t="shared" si="23"/>
        <v>212588.68</v>
      </c>
      <c r="Q57" s="278">
        <f t="shared" si="23"/>
        <v>212588.68</v>
      </c>
      <c r="R57" s="278">
        <f t="shared" si="23"/>
        <v>212588.68</v>
      </c>
      <c r="S57" s="278">
        <f t="shared" si="23"/>
        <v>212588.68</v>
      </c>
      <c r="T57" s="278">
        <f t="shared" si="23"/>
        <v>212588.68</v>
      </c>
      <c r="U57" s="278">
        <f t="shared" si="23"/>
        <v>212588.68</v>
      </c>
      <c r="V57" s="247">
        <f t="shared" si="23"/>
        <v>212588.68</v>
      </c>
    </row>
    <row r="58" spans="1:24">
      <c r="A58" s="486"/>
      <c r="B58" s="468" t="s">
        <v>71</v>
      </c>
      <c r="C58" s="249" t="s">
        <v>30</v>
      </c>
      <c r="D58" s="473" t="s">
        <v>15</v>
      </c>
      <c r="E58" s="251">
        <v>43070</v>
      </c>
      <c r="F58" s="251" t="s">
        <v>16</v>
      </c>
      <c r="G58" s="252">
        <v>0</v>
      </c>
      <c r="H58" s="252">
        <v>0</v>
      </c>
      <c r="I58" s="252">
        <v>0</v>
      </c>
      <c r="J58" s="252">
        <v>0</v>
      </c>
      <c r="K58" s="253">
        <v>0</v>
      </c>
      <c r="L58" s="253">
        <f t="shared" si="23"/>
        <v>0</v>
      </c>
      <c r="M58" s="253">
        <f t="shared" si="23"/>
        <v>0</v>
      </c>
      <c r="N58" s="253">
        <f t="shared" si="23"/>
        <v>0</v>
      </c>
      <c r="O58" s="253">
        <f t="shared" si="23"/>
        <v>0</v>
      </c>
      <c r="P58" s="253">
        <f t="shared" si="23"/>
        <v>0</v>
      </c>
      <c r="Q58" s="253">
        <f t="shared" si="23"/>
        <v>0</v>
      </c>
      <c r="R58" s="253">
        <f t="shared" si="23"/>
        <v>0</v>
      </c>
      <c r="S58" s="253">
        <f t="shared" si="23"/>
        <v>0</v>
      </c>
      <c r="T58" s="253">
        <f t="shared" si="23"/>
        <v>0</v>
      </c>
      <c r="U58" s="253">
        <f t="shared" si="23"/>
        <v>0</v>
      </c>
      <c r="V58" s="474">
        <v>-212589</v>
      </c>
    </row>
    <row r="59" spans="1:24">
      <c r="A59" s="486"/>
      <c r="B59" s="468"/>
      <c r="C59" s="255" t="s">
        <v>73</v>
      </c>
      <c r="D59" s="453"/>
      <c r="E59" s="257"/>
      <c r="F59" s="257"/>
      <c r="G59" s="258">
        <f>SUM(G57:G58)</f>
        <v>212588.68</v>
      </c>
      <c r="H59" s="258">
        <f t="shared" ref="H59:I59" si="24">SUM(H57:H58)</f>
        <v>212588.68</v>
      </c>
      <c r="I59" s="258">
        <f t="shared" si="24"/>
        <v>212588.68</v>
      </c>
      <c r="J59" s="258">
        <f>SUM(J57:J58)</f>
        <v>212588.68</v>
      </c>
      <c r="K59" s="258">
        <f t="shared" ref="K59:V59" si="25">SUM(K57:K58)</f>
        <v>212588.68</v>
      </c>
      <c r="L59" s="258">
        <f t="shared" si="25"/>
        <v>212588.68</v>
      </c>
      <c r="M59" s="258">
        <f t="shared" si="25"/>
        <v>212588.68</v>
      </c>
      <c r="N59" s="258">
        <f t="shared" si="25"/>
        <v>212588.68</v>
      </c>
      <c r="O59" s="258">
        <f t="shared" si="25"/>
        <v>212588.68</v>
      </c>
      <c r="P59" s="258">
        <f t="shared" si="25"/>
        <v>212588.68</v>
      </c>
      <c r="Q59" s="258">
        <f t="shared" si="25"/>
        <v>212588.68</v>
      </c>
      <c r="R59" s="258">
        <f t="shared" si="25"/>
        <v>212588.68</v>
      </c>
      <c r="S59" s="258">
        <f t="shared" si="25"/>
        <v>212588.68</v>
      </c>
      <c r="T59" s="258">
        <f t="shared" si="25"/>
        <v>212588.68</v>
      </c>
      <c r="U59" s="258">
        <f t="shared" si="25"/>
        <v>212588.68</v>
      </c>
      <c r="V59" s="498">
        <f t="shared" si="25"/>
        <v>-0.32000000000698492</v>
      </c>
      <c r="X59" s="75"/>
    </row>
    <row r="60" spans="1:24" s="50" customFormat="1" ht="11.25">
      <c r="A60" s="495"/>
      <c r="B60" s="496"/>
      <c r="C60" s="481"/>
      <c r="D60" s="497"/>
      <c r="E60" s="264"/>
      <c r="F60" s="264"/>
      <c r="G60" s="266"/>
      <c r="H60" s="266"/>
      <c r="I60" s="266"/>
      <c r="J60" s="265"/>
      <c r="K60" s="267"/>
      <c r="L60" s="267"/>
      <c r="M60" s="265"/>
      <c r="N60" s="267"/>
      <c r="O60" s="267"/>
      <c r="P60" s="265"/>
      <c r="Q60" s="267"/>
      <c r="R60" s="267"/>
      <c r="S60" s="268"/>
      <c r="T60" s="267"/>
      <c r="U60" s="267"/>
      <c r="V60" s="485"/>
    </row>
    <row r="61" spans="1:24" ht="60">
      <c r="A61" s="467">
        <v>18601151</v>
      </c>
      <c r="B61" s="468" t="s">
        <v>74</v>
      </c>
      <c r="C61" s="233" t="s">
        <v>75</v>
      </c>
      <c r="D61" s="452" t="s">
        <v>55</v>
      </c>
      <c r="E61" s="271">
        <v>2011</v>
      </c>
      <c r="F61" s="271"/>
      <c r="G61" s="272">
        <v>111880.23</v>
      </c>
      <c r="H61" s="272">
        <f>G61</f>
        <v>111880.23</v>
      </c>
      <c r="I61" s="272">
        <f>H61</f>
        <v>111880.23</v>
      </c>
      <c r="J61" s="245">
        <v>111880.23</v>
      </c>
      <c r="K61" s="245">
        <f>J61</f>
        <v>111880.23</v>
      </c>
      <c r="L61" s="245">
        <f t="shared" ref="L61:V61" si="26">K61</f>
        <v>111880.23</v>
      </c>
      <c r="M61" s="245">
        <f t="shared" si="26"/>
        <v>111880.23</v>
      </c>
      <c r="N61" s="245">
        <f t="shared" si="26"/>
        <v>111880.23</v>
      </c>
      <c r="O61" s="245">
        <f t="shared" si="26"/>
        <v>111880.23</v>
      </c>
      <c r="P61" s="245">
        <f t="shared" si="26"/>
        <v>111880.23</v>
      </c>
      <c r="Q61" s="245">
        <f t="shared" si="26"/>
        <v>111880.23</v>
      </c>
      <c r="R61" s="245">
        <f t="shared" si="26"/>
        <v>111880.23</v>
      </c>
      <c r="S61" s="245">
        <f t="shared" si="26"/>
        <v>111880.23</v>
      </c>
      <c r="T61" s="245">
        <f t="shared" si="26"/>
        <v>111880.23</v>
      </c>
      <c r="U61" s="245">
        <f t="shared" si="26"/>
        <v>111880.23</v>
      </c>
      <c r="V61" s="471">
        <f t="shared" si="26"/>
        <v>111880.23</v>
      </c>
    </row>
    <row r="62" spans="1:24">
      <c r="A62" s="506"/>
      <c r="B62" s="468" t="s">
        <v>74</v>
      </c>
      <c r="C62" s="249" t="s">
        <v>30</v>
      </c>
      <c r="D62" s="473" t="s">
        <v>15</v>
      </c>
      <c r="E62" s="251">
        <v>43070</v>
      </c>
      <c r="F62" s="251" t="s">
        <v>16</v>
      </c>
      <c r="G62" s="281">
        <v>0</v>
      </c>
      <c r="H62" s="281">
        <f>G62</f>
        <v>0</v>
      </c>
      <c r="I62" s="281">
        <f>H62</f>
        <v>0</v>
      </c>
      <c r="J62" s="252">
        <v>0</v>
      </c>
      <c r="K62" s="252">
        <v>0</v>
      </c>
      <c r="L62" s="252">
        <v>0</v>
      </c>
      <c r="M62" s="252">
        <v>0</v>
      </c>
      <c r="N62" s="252">
        <v>0</v>
      </c>
      <c r="O62" s="252">
        <v>0</v>
      </c>
      <c r="P62" s="252">
        <v>0</v>
      </c>
      <c r="Q62" s="252">
        <v>0</v>
      </c>
      <c r="R62" s="252">
        <v>0</v>
      </c>
      <c r="S62" s="252">
        <v>0</v>
      </c>
      <c r="T62" s="252">
        <v>0</v>
      </c>
      <c r="U62" s="252">
        <v>0</v>
      </c>
      <c r="V62" s="507">
        <f>-111880</f>
        <v>-111880</v>
      </c>
    </row>
    <row r="63" spans="1:24">
      <c r="A63" s="289"/>
      <c r="B63" s="233"/>
      <c r="C63" s="255" t="s">
        <v>76</v>
      </c>
      <c r="D63" s="453"/>
      <c r="E63" s="257"/>
      <c r="F63" s="257"/>
      <c r="G63" s="258">
        <f>SUM(G61:G62)</f>
        <v>111880.23</v>
      </c>
      <c r="H63" s="258">
        <f t="shared" ref="H63:I63" si="27">SUM(H61:H62)</f>
        <v>111880.23</v>
      </c>
      <c r="I63" s="258">
        <f t="shared" si="27"/>
        <v>111880.23</v>
      </c>
      <c r="J63" s="258">
        <f>SUM(J61:J62)</f>
        <v>111880.23</v>
      </c>
      <c r="K63" s="258">
        <f t="shared" ref="K63:V63" si="28">SUM(K61:K62)</f>
        <v>111880.23</v>
      </c>
      <c r="L63" s="258">
        <f t="shared" si="28"/>
        <v>111880.23</v>
      </c>
      <c r="M63" s="258">
        <f t="shared" si="28"/>
        <v>111880.23</v>
      </c>
      <c r="N63" s="258">
        <f t="shared" si="28"/>
        <v>111880.23</v>
      </c>
      <c r="O63" s="258">
        <f t="shared" si="28"/>
        <v>111880.23</v>
      </c>
      <c r="P63" s="258">
        <f t="shared" si="28"/>
        <v>111880.23</v>
      </c>
      <c r="Q63" s="258">
        <f t="shared" si="28"/>
        <v>111880.23</v>
      </c>
      <c r="R63" s="258">
        <f t="shared" si="28"/>
        <v>111880.23</v>
      </c>
      <c r="S63" s="258">
        <f t="shared" si="28"/>
        <v>111880.23</v>
      </c>
      <c r="T63" s="258">
        <f t="shared" si="28"/>
        <v>111880.23</v>
      </c>
      <c r="U63" s="258">
        <f t="shared" si="28"/>
        <v>111880.23</v>
      </c>
      <c r="V63" s="498">
        <f t="shared" si="28"/>
        <v>0.22999999999592546</v>
      </c>
    </row>
    <row r="64" spans="1:24" s="50" customFormat="1" ht="11.25">
      <c r="A64" s="495"/>
      <c r="B64" s="496"/>
      <c r="C64" s="481"/>
      <c r="D64" s="497"/>
      <c r="E64" s="273"/>
      <c r="F64" s="264"/>
      <c r="G64" s="266"/>
      <c r="H64" s="266"/>
      <c r="I64" s="266"/>
      <c r="J64" s="265"/>
      <c r="K64" s="267"/>
      <c r="L64" s="267"/>
      <c r="M64" s="265"/>
      <c r="N64" s="267"/>
      <c r="O64" s="267"/>
      <c r="P64" s="265"/>
      <c r="Q64" s="267"/>
      <c r="R64" s="267"/>
      <c r="S64" s="268"/>
      <c r="T64" s="267"/>
      <c r="U64" s="267"/>
      <c r="V64" s="501"/>
    </row>
    <row r="65" spans="1:22" ht="60">
      <c r="A65" s="467">
        <v>18601163</v>
      </c>
      <c r="B65" s="468" t="s">
        <v>77</v>
      </c>
      <c r="C65" s="233" t="s">
        <v>78</v>
      </c>
      <c r="D65" s="283" t="s">
        <v>55</v>
      </c>
      <c r="E65" s="284"/>
      <c r="F65" s="251"/>
      <c r="G65" s="253">
        <v>0</v>
      </c>
      <c r="H65" s="253">
        <v>0</v>
      </c>
      <c r="I65" s="253">
        <v>0</v>
      </c>
      <c r="J65" s="253">
        <v>0</v>
      </c>
      <c r="K65" s="253">
        <v>0</v>
      </c>
      <c r="L65" s="253">
        <v>0</v>
      </c>
      <c r="M65" s="253">
        <v>0</v>
      </c>
      <c r="N65" s="253">
        <v>0</v>
      </c>
      <c r="O65" s="253">
        <v>56229.11</v>
      </c>
      <c r="P65" s="253">
        <f>O65+2000</f>
        <v>58229.11</v>
      </c>
      <c r="Q65" s="253">
        <f>P65+4422.5</f>
        <v>62651.61</v>
      </c>
      <c r="R65" s="253">
        <f>Q65</f>
        <v>62651.61</v>
      </c>
      <c r="S65" s="253">
        <f>R65+9796.79</f>
        <v>72448.399999999994</v>
      </c>
      <c r="T65" s="253">
        <f>S65</f>
        <v>72448.399999999994</v>
      </c>
      <c r="U65" s="508">
        <f>T65+8133.9</f>
        <v>80582.299999999988</v>
      </c>
      <c r="V65" s="474">
        <f>U65+14884.3</f>
        <v>95466.599999999991</v>
      </c>
    </row>
    <row r="66" spans="1:22">
      <c r="A66" s="506"/>
      <c r="B66" s="233"/>
      <c r="C66" s="255" t="s">
        <v>79</v>
      </c>
      <c r="D66" s="509"/>
      <c r="E66" s="510"/>
      <c r="F66" s="510"/>
      <c r="G66" s="258">
        <f t="shared" ref="G66:V66" si="29">SUM(G65:G65)</f>
        <v>0</v>
      </c>
      <c r="H66" s="258">
        <f t="shared" si="29"/>
        <v>0</v>
      </c>
      <c r="I66" s="258">
        <f t="shared" si="29"/>
        <v>0</v>
      </c>
      <c r="J66" s="258">
        <f t="shared" si="29"/>
        <v>0</v>
      </c>
      <c r="K66" s="258">
        <f t="shared" si="29"/>
        <v>0</v>
      </c>
      <c r="L66" s="258">
        <f t="shared" si="29"/>
        <v>0</v>
      </c>
      <c r="M66" s="258">
        <f t="shared" si="29"/>
        <v>0</v>
      </c>
      <c r="N66" s="258">
        <f t="shared" si="29"/>
        <v>0</v>
      </c>
      <c r="O66" s="258">
        <f t="shared" si="29"/>
        <v>56229.11</v>
      </c>
      <c r="P66" s="258">
        <f t="shared" si="29"/>
        <v>58229.11</v>
      </c>
      <c r="Q66" s="258">
        <f t="shared" si="29"/>
        <v>62651.61</v>
      </c>
      <c r="R66" s="258">
        <f t="shared" si="29"/>
        <v>62651.61</v>
      </c>
      <c r="S66" s="258">
        <f t="shared" si="29"/>
        <v>72448.399999999994</v>
      </c>
      <c r="T66" s="258">
        <f t="shared" si="29"/>
        <v>72448.399999999994</v>
      </c>
      <c r="U66" s="258">
        <f t="shared" si="29"/>
        <v>80582.299999999988</v>
      </c>
      <c r="V66" s="498">
        <f t="shared" si="29"/>
        <v>95466.599999999991</v>
      </c>
    </row>
    <row r="67" spans="1:22" s="50" customFormat="1" ht="11.25">
      <c r="A67" s="495"/>
      <c r="B67" s="496"/>
      <c r="C67" s="481"/>
      <c r="D67" s="497"/>
      <c r="E67" s="264"/>
      <c r="F67" s="264"/>
      <c r="G67" s="266"/>
      <c r="H67" s="266"/>
      <c r="I67" s="266"/>
      <c r="J67" s="265"/>
      <c r="K67" s="267"/>
      <c r="L67" s="267"/>
      <c r="M67" s="265"/>
      <c r="N67" s="267"/>
      <c r="O67" s="267"/>
      <c r="P67" s="265"/>
      <c r="Q67" s="267"/>
      <c r="R67" s="267"/>
      <c r="S67" s="268"/>
      <c r="T67" s="267"/>
      <c r="U67" s="267"/>
      <c r="V67" s="485"/>
    </row>
    <row r="68" spans="1:22" ht="60">
      <c r="A68" s="467" t="s">
        <v>80</v>
      </c>
      <c r="B68" s="468" t="s">
        <v>81</v>
      </c>
      <c r="C68" s="233" t="s">
        <v>82</v>
      </c>
      <c r="D68" s="283" t="s">
        <v>55</v>
      </c>
      <c r="E68" s="511"/>
      <c r="F68" s="251"/>
      <c r="G68" s="253">
        <v>0</v>
      </c>
      <c r="H68" s="253">
        <v>0</v>
      </c>
      <c r="I68" s="253">
        <v>0</v>
      </c>
      <c r="J68" s="253">
        <v>0</v>
      </c>
      <c r="K68" s="253">
        <v>0</v>
      </c>
      <c r="L68" s="253">
        <v>0</v>
      </c>
      <c r="M68" s="253">
        <v>0</v>
      </c>
      <c r="N68" s="253">
        <v>0</v>
      </c>
      <c r="O68" s="253">
        <f>N68</f>
        <v>0</v>
      </c>
      <c r="P68" s="253">
        <f t="shared" ref="P68:V68" si="30">O68</f>
        <v>0</v>
      </c>
      <c r="Q68" s="253">
        <f t="shared" si="30"/>
        <v>0</v>
      </c>
      <c r="R68" s="253">
        <f t="shared" si="30"/>
        <v>0</v>
      </c>
      <c r="S68" s="253">
        <f t="shared" si="30"/>
        <v>0</v>
      </c>
      <c r="T68" s="253">
        <f t="shared" si="30"/>
        <v>0</v>
      </c>
      <c r="U68" s="253">
        <f t="shared" si="30"/>
        <v>0</v>
      </c>
      <c r="V68" s="474">
        <f t="shared" si="30"/>
        <v>0</v>
      </c>
    </row>
    <row r="69" spans="1:22">
      <c r="A69" s="506"/>
      <c r="B69" s="233"/>
      <c r="C69" s="255" t="s">
        <v>83</v>
      </c>
      <c r="D69" s="512"/>
      <c r="E69" s="226"/>
      <c r="F69" s="513"/>
      <c r="G69" s="258">
        <f t="shared" ref="G69:V69" si="31">SUM(G68:G68)</f>
        <v>0</v>
      </c>
      <c r="H69" s="258">
        <f t="shared" si="31"/>
        <v>0</v>
      </c>
      <c r="I69" s="258">
        <f t="shared" si="31"/>
        <v>0</v>
      </c>
      <c r="J69" s="258">
        <f t="shared" si="31"/>
        <v>0</v>
      </c>
      <c r="K69" s="258">
        <f t="shared" si="31"/>
        <v>0</v>
      </c>
      <c r="L69" s="258">
        <f t="shared" si="31"/>
        <v>0</v>
      </c>
      <c r="M69" s="258">
        <f t="shared" si="31"/>
        <v>0</v>
      </c>
      <c r="N69" s="258">
        <f t="shared" si="31"/>
        <v>0</v>
      </c>
      <c r="O69" s="258">
        <f t="shared" si="31"/>
        <v>0</v>
      </c>
      <c r="P69" s="258">
        <f t="shared" si="31"/>
        <v>0</v>
      </c>
      <c r="Q69" s="258">
        <f t="shared" si="31"/>
        <v>0</v>
      </c>
      <c r="R69" s="258">
        <f t="shared" si="31"/>
        <v>0</v>
      </c>
      <c r="S69" s="258">
        <f t="shared" si="31"/>
        <v>0</v>
      </c>
      <c r="T69" s="258">
        <f t="shared" si="31"/>
        <v>0</v>
      </c>
      <c r="U69" s="258">
        <f t="shared" si="31"/>
        <v>0</v>
      </c>
      <c r="V69" s="498">
        <f t="shared" si="31"/>
        <v>0</v>
      </c>
    </row>
    <row r="70" spans="1:22" s="50" customFormat="1" ht="11.25">
      <c r="A70" s="495"/>
      <c r="B70" s="496"/>
      <c r="C70" s="481"/>
      <c r="D70" s="497"/>
      <c r="E70" s="264"/>
      <c r="F70" s="264"/>
      <c r="G70" s="266"/>
      <c r="H70" s="266"/>
      <c r="I70" s="266"/>
      <c r="J70" s="265"/>
      <c r="K70" s="267"/>
      <c r="L70" s="267"/>
      <c r="M70" s="265"/>
      <c r="N70" s="267"/>
      <c r="O70" s="267"/>
      <c r="P70" s="265"/>
      <c r="Q70" s="267"/>
      <c r="R70" s="267"/>
      <c r="S70" s="268"/>
      <c r="T70" s="267"/>
      <c r="U70" s="267"/>
      <c r="V70" s="485"/>
    </row>
    <row r="71" spans="1:22">
      <c r="A71" s="506"/>
      <c r="B71" s="468" t="s">
        <v>84</v>
      </c>
      <c r="C71" s="233" t="s">
        <v>85</v>
      </c>
      <c r="D71" s="514" t="s">
        <v>86</v>
      </c>
      <c r="E71" s="515" t="s">
        <v>87</v>
      </c>
      <c r="F71" s="515"/>
      <c r="G71" s="287">
        <v>-4610484.08</v>
      </c>
      <c r="H71" s="287">
        <f>G71</f>
        <v>-4610484.08</v>
      </c>
      <c r="I71" s="287">
        <f>H71</f>
        <v>-4610484.08</v>
      </c>
      <c r="J71" s="245">
        <v>-4610484.08</v>
      </c>
      <c r="K71" s="245">
        <f>J71</f>
        <v>-4610484.08</v>
      </c>
      <c r="L71" s="245">
        <f t="shared" ref="L71:U72" si="32">K71</f>
        <v>-4610484.08</v>
      </c>
      <c r="M71" s="245">
        <f t="shared" si="32"/>
        <v>-4610484.08</v>
      </c>
      <c r="N71" s="245">
        <f t="shared" si="32"/>
        <v>-4610484.08</v>
      </c>
      <c r="O71" s="245">
        <f t="shared" si="32"/>
        <v>-4610484.08</v>
      </c>
      <c r="P71" s="245">
        <f t="shared" si="32"/>
        <v>-4610484.08</v>
      </c>
      <c r="Q71" s="245">
        <f t="shared" si="32"/>
        <v>-4610484.08</v>
      </c>
      <c r="R71" s="245">
        <f t="shared" si="32"/>
        <v>-4610484.08</v>
      </c>
      <c r="S71" s="245">
        <f t="shared" si="32"/>
        <v>-4610484.08</v>
      </c>
      <c r="T71" s="245">
        <f t="shared" si="32"/>
        <v>-4610484.08</v>
      </c>
      <c r="U71" s="245">
        <f t="shared" si="32"/>
        <v>-4610484.08</v>
      </c>
      <c r="V71" s="471">
        <f>U71</f>
        <v>-4610484.08</v>
      </c>
    </row>
    <row r="72" spans="1:22">
      <c r="A72" s="506"/>
      <c r="B72" s="468" t="s">
        <v>84</v>
      </c>
      <c r="C72" s="249" t="s">
        <v>30</v>
      </c>
      <c r="D72" s="473" t="s">
        <v>15</v>
      </c>
      <c r="E72" s="251">
        <v>43070</v>
      </c>
      <c r="F72" s="251" t="s">
        <v>16</v>
      </c>
      <c r="G72" s="253">
        <v>0</v>
      </c>
      <c r="H72" s="253">
        <v>0</v>
      </c>
      <c r="I72" s="253">
        <v>0</v>
      </c>
      <c r="J72" s="253">
        <v>0</v>
      </c>
      <c r="K72" s="253">
        <v>0</v>
      </c>
      <c r="L72" s="253">
        <v>0</v>
      </c>
      <c r="M72" s="253">
        <v>0</v>
      </c>
      <c r="N72" s="253">
        <v>0</v>
      </c>
      <c r="O72" s="253">
        <f>N72</f>
        <v>0</v>
      </c>
      <c r="P72" s="253">
        <f t="shared" si="32"/>
        <v>0</v>
      </c>
      <c r="Q72" s="253">
        <f t="shared" si="32"/>
        <v>0</v>
      </c>
      <c r="R72" s="253">
        <f t="shared" si="32"/>
        <v>0</v>
      </c>
      <c r="S72" s="253">
        <f t="shared" si="32"/>
        <v>0</v>
      </c>
      <c r="T72" s="253">
        <f t="shared" si="32"/>
        <v>0</v>
      </c>
      <c r="U72" s="253">
        <f t="shared" si="32"/>
        <v>0</v>
      </c>
      <c r="V72" s="474">
        <v>1743761.81</v>
      </c>
    </row>
    <row r="73" spans="1:22">
      <c r="A73" s="506"/>
      <c r="B73" s="233"/>
      <c r="C73" s="255" t="s">
        <v>88</v>
      </c>
      <c r="D73" s="514"/>
      <c r="E73" s="226"/>
      <c r="F73" s="513"/>
      <c r="G73" s="258">
        <f>SUM(G71:G72)</f>
        <v>-4610484.08</v>
      </c>
      <c r="H73" s="258">
        <f t="shared" ref="H73:I73" si="33">SUM(H71:H72)</f>
        <v>-4610484.08</v>
      </c>
      <c r="I73" s="258">
        <f t="shared" si="33"/>
        <v>-4610484.08</v>
      </c>
      <c r="J73" s="258">
        <f>SUM(J71:J72)</f>
        <v>-4610484.08</v>
      </c>
      <c r="K73" s="258">
        <f t="shared" ref="K73:U73" si="34">SUM(K71:K72)</f>
        <v>-4610484.08</v>
      </c>
      <c r="L73" s="258">
        <f t="shared" si="34"/>
        <v>-4610484.08</v>
      </c>
      <c r="M73" s="258">
        <f t="shared" si="34"/>
        <v>-4610484.08</v>
      </c>
      <c r="N73" s="258">
        <f t="shared" si="34"/>
        <v>-4610484.08</v>
      </c>
      <c r="O73" s="258">
        <f t="shared" si="34"/>
        <v>-4610484.08</v>
      </c>
      <c r="P73" s="258">
        <f t="shared" si="34"/>
        <v>-4610484.08</v>
      </c>
      <c r="Q73" s="258">
        <f t="shared" si="34"/>
        <v>-4610484.08</v>
      </c>
      <c r="R73" s="258">
        <f t="shared" si="34"/>
        <v>-4610484.08</v>
      </c>
      <c r="S73" s="258">
        <f t="shared" si="34"/>
        <v>-4610484.08</v>
      </c>
      <c r="T73" s="258">
        <f t="shared" si="34"/>
        <v>-4610484.08</v>
      </c>
      <c r="U73" s="258">
        <f t="shared" si="34"/>
        <v>-4610484.08</v>
      </c>
      <c r="V73" s="498">
        <f>SUM(V71:V72)</f>
        <v>-2866722.27</v>
      </c>
    </row>
    <row r="74" spans="1:22" s="50" customFormat="1" ht="11.25">
      <c r="A74" s="495"/>
      <c r="B74" s="496"/>
      <c r="C74" s="481"/>
      <c r="D74" s="497"/>
      <c r="E74" s="264"/>
      <c r="F74" s="264"/>
      <c r="G74" s="266"/>
      <c r="H74" s="266"/>
      <c r="I74" s="266"/>
      <c r="J74" s="265"/>
      <c r="K74" s="267"/>
      <c r="L74" s="267"/>
      <c r="M74" s="265"/>
      <c r="N74" s="267"/>
      <c r="O74" s="267"/>
      <c r="P74" s="265"/>
      <c r="Q74" s="267"/>
      <c r="R74" s="267"/>
      <c r="S74" s="268"/>
      <c r="T74" s="267"/>
      <c r="U74" s="267"/>
      <c r="V74" s="485"/>
    </row>
    <row r="75" spans="1:22">
      <c r="A75" s="506"/>
      <c r="B75" s="233"/>
      <c r="C75" s="290"/>
      <c r="D75" s="291"/>
      <c r="E75" s="292"/>
      <c r="F75" s="292"/>
      <c r="G75" s="294"/>
      <c r="H75" s="294"/>
      <c r="I75" s="294"/>
      <c r="J75" s="294"/>
      <c r="K75" s="294"/>
      <c r="L75" s="294"/>
      <c r="M75" s="294"/>
      <c r="N75" s="294"/>
      <c r="O75" s="294"/>
      <c r="P75" s="294"/>
      <c r="Q75" s="294"/>
      <c r="R75" s="294"/>
      <c r="S75" s="294"/>
      <c r="T75" s="294"/>
      <c r="U75" s="293"/>
      <c r="V75" s="516"/>
    </row>
    <row r="76" spans="1:22" ht="15.75" thickBot="1">
      <c r="A76" s="506"/>
      <c r="B76" s="233"/>
      <c r="C76" s="296" t="s">
        <v>89</v>
      </c>
      <c r="D76" s="297"/>
      <c r="E76" s="298"/>
      <c r="F76" s="298"/>
      <c r="G76" s="299">
        <f>G8+G12+G17+G21+G25+G29+G34+G38+G42+G46+G51+G55+G59+G63+G66+G69+G73</f>
        <v>4252202.9099999983</v>
      </c>
      <c r="H76" s="299">
        <f>H8+H12+H17+H21+H25+H29+H34+H38+H42+H46+H51+H55+H59+H63+H66+H69+H73</f>
        <v>4143849.3099999987</v>
      </c>
      <c r="I76" s="299">
        <f t="shared" ref="I76:U76" si="35">I8+I12+I17+I21+I25+I29+I34+I38+I42+I46+I51+I55+I59+I63+I66+I69+I73</f>
        <v>4362978.01</v>
      </c>
      <c r="J76" s="299">
        <f>J8+J12+J17+J21+J25+J29+J34+J38+J42+J46+J51+J55+J59+J63+J66+J69+J73</f>
        <v>4328582.1399999987</v>
      </c>
      <c r="K76" s="299">
        <f t="shared" si="35"/>
        <v>4460974.51</v>
      </c>
      <c r="L76" s="299">
        <f t="shared" si="35"/>
        <v>4512246.9399999995</v>
      </c>
      <c r="M76" s="299">
        <f t="shared" si="35"/>
        <v>4730282.8500000015</v>
      </c>
      <c r="N76" s="299">
        <f t="shared" si="35"/>
        <v>4815686.1300000008</v>
      </c>
      <c r="O76" s="299">
        <f t="shared" si="35"/>
        <v>4937716.3800000008</v>
      </c>
      <c r="P76" s="299">
        <f t="shared" si="35"/>
        <v>5051233.8100000005</v>
      </c>
      <c r="Q76" s="299">
        <f t="shared" si="35"/>
        <v>5108745.7400000021</v>
      </c>
      <c r="R76" s="299">
        <f t="shared" si="35"/>
        <v>5197936.9000000022</v>
      </c>
      <c r="S76" s="299">
        <f t="shared" si="35"/>
        <v>5214168.0200000014</v>
      </c>
      <c r="T76" s="299">
        <f t="shared" si="35"/>
        <v>5242318.5100000016</v>
      </c>
      <c r="U76" s="299">
        <f t="shared" si="35"/>
        <v>5255994.410000002</v>
      </c>
      <c r="V76" s="300">
        <f>V8+V12+V17+V21+V25+V29+V34+V38+V42+V46+V51+V55+V59+V63+V66+V69+V73</f>
        <v>67491.300000000279</v>
      </c>
    </row>
    <row r="77" spans="1:22" s="50" customFormat="1" ht="12.75" thickTop="1" thickBot="1">
      <c r="A77" s="517"/>
      <c r="B77" s="518"/>
      <c r="C77" s="519"/>
      <c r="D77" s="520"/>
      <c r="E77" s="520"/>
      <c r="F77" s="520"/>
      <c r="G77" s="520"/>
      <c r="H77" s="520"/>
      <c r="I77" s="520"/>
      <c r="J77" s="521"/>
      <c r="K77" s="522"/>
      <c r="L77" s="522"/>
      <c r="M77" s="521"/>
      <c r="N77" s="522"/>
      <c r="O77" s="522"/>
      <c r="P77" s="521"/>
      <c r="Q77" s="522"/>
      <c r="R77" s="522"/>
      <c r="S77" s="521"/>
      <c r="T77" s="522"/>
      <c r="U77" s="522"/>
      <c r="V77" s="521"/>
    </row>
    <row r="78" spans="1:22">
      <c r="B78" s="2"/>
      <c r="U78" s="530"/>
      <c r="V78" s="532"/>
    </row>
  </sheetData>
  <mergeCells count="6">
    <mergeCell ref="D48:D49"/>
    <mergeCell ref="E48:E49"/>
    <mergeCell ref="D14:D15"/>
    <mergeCell ref="E14:E15"/>
    <mergeCell ref="D31:D32"/>
    <mergeCell ref="E31:E32"/>
  </mergeCells>
  <printOptions horizontalCentered="1"/>
  <pageMargins left="0.2" right="0.2" top="0.5" bottom="0.5"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60" zoomScaleNormal="82" workbookViewId="0">
      <pane xSplit="3" ySplit="5" topLeftCell="D41" activePane="bottomRight" state="frozen"/>
      <selection activeCell="D12" sqref="D12"/>
      <selection pane="topRight" activeCell="D12" sqref="D12"/>
      <selection pane="bottomLeft" activeCell="D12" sqref="D12"/>
      <selection pane="bottomRight" activeCell="F99" sqref="F99"/>
    </sheetView>
  </sheetViews>
  <sheetFormatPr defaultRowHeight="15"/>
  <cols>
    <col min="1" max="1" width="10.7109375" style="1" customWidth="1"/>
    <col min="2" max="2" width="12" bestFit="1" customWidth="1"/>
    <col min="3" max="3" width="55.7109375" customWidth="1"/>
    <col min="4" max="4" width="15" customWidth="1"/>
    <col min="5" max="5" width="12" customWidth="1"/>
    <col min="6" max="6" width="12.7109375" customWidth="1"/>
    <col min="7" max="7" width="14.28515625" bestFit="1" customWidth="1"/>
    <col min="8" max="12" width="13.42578125" bestFit="1" customWidth="1"/>
    <col min="13" max="21" width="16.42578125"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90</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s="2" customFormat="1">
      <c r="A6" s="32">
        <v>18606102</v>
      </c>
      <c r="B6" s="9">
        <v>18608612</v>
      </c>
      <c r="C6" s="10" t="s">
        <v>91</v>
      </c>
      <c r="D6" s="95" t="s">
        <v>92</v>
      </c>
      <c r="E6" s="11"/>
      <c r="F6" s="96"/>
      <c r="G6" s="12">
        <v>785957.33000000007</v>
      </c>
      <c r="H6" s="97">
        <f>G6+4354.8</f>
        <v>790312.13000000012</v>
      </c>
      <c r="I6" s="97">
        <f>H6</f>
        <v>790312.13000000012</v>
      </c>
      <c r="J6" s="12">
        <v>792458.63000000012</v>
      </c>
      <c r="K6" s="12">
        <f>J6+3825</f>
        <v>796283.63000000012</v>
      </c>
      <c r="L6" s="12">
        <f>K6</f>
        <v>796283.63000000012</v>
      </c>
      <c r="M6" s="12">
        <f>L6+1890</f>
        <v>798173.63000000012</v>
      </c>
      <c r="N6" s="12">
        <f>M6+1115</f>
        <v>799288.63000000012</v>
      </c>
      <c r="O6" s="12">
        <f>N6+2520</f>
        <v>801808.63000000012</v>
      </c>
      <c r="P6" s="12">
        <f>O6+3433.23</f>
        <v>805241.8600000001</v>
      </c>
      <c r="Q6" s="12">
        <f>P6+1867.5</f>
        <v>807109.3600000001</v>
      </c>
      <c r="R6" s="12">
        <f>Q6+877.5</f>
        <v>807986.8600000001</v>
      </c>
      <c r="S6" s="12">
        <f>R6+3036.97</f>
        <v>811023.83000000007</v>
      </c>
      <c r="T6" s="12">
        <f>S6+2355.3</f>
        <v>813379.13000000012</v>
      </c>
      <c r="U6" s="12">
        <f>T6+1807.5</f>
        <v>815186.63000000012</v>
      </c>
      <c r="V6" s="14">
        <f>U6+1267.5</f>
        <v>816454.13000000012</v>
      </c>
    </row>
    <row r="7" spans="1:24" s="2" customFormat="1">
      <c r="A7" s="15"/>
      <c r="B7" s="9">
        <v>18608612</v>
      </c>
      <c r="C7" s="10" t="s">
        <v>14</v>
      </c>
      <c r="D7" s="98"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8">
        <v>-785957.33</v>
      </c>
    </row>
    <row r="8" spans="1:24" s="2" customFormat="1">
      <c r="A8" s="15"/>
      <c r="B8" s="9"/>
      <c r="C8" s="41" t="s">
        <v>94</v>
      </c>
      <c r="D8" s="64"/>
      <c r="E8" s="20"/>
      <c r="F8" s="100"/>
      <c r="G8" s="21">
        <f t="shared" ref="G8:V8" si="0">SUM(G6:G7)</f>
        <v>785957.33000000007</v>
      </c>
      <c r="H8" s="21">
        <f t="shared" si="0"/>
        <v>790312.13000000012</v>
      </c>
      <c r="I8" s="21">
        <f t="shared" si="0"/>
        <v>790312.13000000012</v>
      </c>
      <c r="J8" s="21">
        <f t="shared" si="0"/>
        <v>792458.63000000012</v>
      </c>
      <c r="K8" s="21">
        <f t="shared" si="0"/>
        <v>796283.63000000012</v>
      </c>
      <c r="L8" s="21">
        <f t="shared" si="0"/>
        <v>796283.63000000012</v>
      </c>
      <c r="M8" s="21">
        <f t="shared" si="0"/>
        <v>798173.63000000012</v>
      </c>
      <c r="N8" s="21">
        <f t="shared" si="0"/>
        <v>799288.63000000012</v>
      </c>
      <c r="O8" s="21">
        <f t="shared" si="0"/>
        <v>801808.63000000012</v>
      </c>
      <c r="P8" s="21">
        <f t="shared" si="0"/>
        <v>805241.8600000001</v>
      </c>
      <c r="Q8" s="21">
        <f t="shared" si="0"/>
        <v>807109.3600000001</v>
      </c>
      <c r="R8" s="21">
        <f t="shared" si="0"/>
        <v>807986.8600000001</v>
      </c>
      <c r="S8" s="21">
        <f t="shared" si="0"/>
        <v>811023.83000000007</v>
      </c>
      <c r="T8" s="21">
        <f t="shared" si="0"/>
        <v>813379.13000000012</v>
      </c>
      <c r="U8" s="21">
        <f t="shared" si="0"/>
        <v>815186.63000000012</v>
      </c>
      <c r="V8" s="22">
        <f t="shared" si="0"/>
        <v>30496.800000000163</v>
      </c>
    </row>
    <row r="9" spans="1:24" s="31" customFormat="1" ht="11.45" customHeight="1">
      <c r="A9" s="23"/>
      <c r="B9" s="24"/>
      <c r="C9" s="25"/>
      <c r="D9" s="101"/>
      <c r="E9" s="102"/>
      <c r="F9" s="102"/>
      <c r="G9" s="28"/>
      <c r="H9" s="29"/>
      <c r="I9" s="29"/>
      <c r="J9" s="28"/>
      <c r="K9" s="28"/>
      <c r="L9" s="28"/>
      <c r="M9" s="28"/>
      <c r="N9" s="28"/>
      <c r="O9" s="28"/>
      <c r="P9" s="28"/>
      <c r="Q9" s="28"/>
      <c r="R9" s="28"/>
      <c r="S9" s="28"/>
      <c r="T9" s="28"/>
      <c r="U9" s="28"/>
      <c r="V9" s="30"/>
    </row>
    <row r="10" spans="1:24" s="2" customFormat="1">
      <c r="A10" s="32">
        <v>18607102</v>
      </c>
      <c r="B10" s="9">
        <v>18608712</v>
      </c>
      <c r="C10" s="10" t="s">
        <v>95</v>
      </c>
      <c r="D10" s="567" t="s">
        <v>92</v>
      </c>
      <c r="E10" s="574"/>
      <c r="F10" s="575"/>
      <c r="G10" s="12">
        <v>5361208.370000001</v>
      </c>
      <c r="H10" s="33">
        <f>G10</f>
        <v>5361208.370000001</v>
      </c>
      <c r="I10" s="33">
        <f>H10</f>
        <v>5361208.370000001</v>
      </c>
      <c r="J10" s="33">
        <v>5360730.4700000007</v>
      </c>
      <c r="K10" s="33">
        <f>J10</f>
        <v>5360730.4700000007</v>
      </c>
      <c r="L10" s="33">
        <f>K10+4979.64</f>
        <v>5365710.1100000003</v>
      </c>
      <c r="M10" s="33">
        <f>L10</f>
        <v>5365710.1100000003</v>
      </c>
      <c r="N10" s="33">
        <f>M10</f>
        <v>5365710.1100000003</v>
      </c>
      <c r="O10" s="33">
        <f>N10</f>
        <v>5365710.1100000003</v>
      </c>
      <c r="P10" s="33">
        <f>O10+1286.16</f>
        <v>5366996.2700000005</v>
      </c>
      <c r="Q10" s="33">
        <f>P10+135</f>
        <v>5367131.2700000005</v>
      </c>
      <c r="R10" s="33">
        <f>Q10</f>
        <v>5367131.2700000005</v>
      </c>
      <c r="S10" s="33">
        <f>R10</f>
        <v>5367131.2700000005</v>
      </c>
      <c r="T10" s="33">
        <f>S10</f>
        <v>5367131.2700000005</v>
      </c>
      <c r="U10" s="33">
        <f>T10+1091.25</f>
        <v>5368222.5200000005</v>
      </c>
      <c r="V10" s="34">
        <f>U10+765</f>
        <v>5368987.5200000005</v>
      </c>
      <c r="X10" s="66"/>
    </row>
    <row r="11" spans="1:24" s="2" customFormat="1">
      <c r="A11" s="32"/>
      <c r="B11" s="9">
        <v>18608772</v>
      </c>
      <c r="C11" s="10" t="s">
        <v>96</v>
      </c>
      <c r="D11" s="568"/>
      <c r="E11" s="574"/>
      <c r="F11" s="575"/>
      <c r="G11" s="12">
        <v>-3488999.0999999996</v>
      </c>
      <c r="H11" s="33">
        <f>G11</f>
        <v>-3488999.0999999996</v>
      </c>
      <c r="I11" s="33">
        <f>H11</f>
        <v>-3488999.0999999996</v>
      </c>
      <c r="J11" s="33">
        <v>-3488999.0999999996</v>
      </c>
      <c r="K11" s="33">
        <f>J11</f>
        <v>-3488999.0999999996</v>
      </c>
      <c r="L11" s="33">
        <f>K11</f>
        <v>-3488999.0999999996</v>
      </c>
      <c r="M11" s="33">
        <f t="shared" ref="M11:V11" si="1">L11</f>
        <v>-3488999.0999999996</v>
      </c>
      <c r="N11" s="33">
        <f t="shared" si="1"/>
        <v>-3488999.0999999996</v>
      </c>
      <c r="O11" s="33">
        <f t="shared" si="1"/>
        <v>-3488999.0999999996</v>
      </c>
      <c r="P11" s="33">
        <f t="shared" si="1"/>
        <v>-3488999.0999999996</v>
      </c>
      <c r="Q11" s="33">
        <f t="shared" si="1"/>
        <v>-3488999.0999999996</v>
      </c>
      <c r="R11" s="33">
        <f t="shared" si="1"/>
        <v>-3488999.0999999996</v>
      </c>
      <c r="S11" s="33">
        <f t="shared" si="1"/>
        <v>-3488999.0999999996</v>
      </c>
      <c r="T11" s="33">
        <f t="shared" si="1"/>
        <v>-3488999.0999999996</v>
      </c>
      <c r="U11" s="33">
        <f t="shared" si="1"/>
        <v>-3488999.0999999996</v>
      </c>
      <c r="V11" s="34">
        <f t="shared" si="1"/>
        <v>-3488999.0999999996</v>
      </c>
      <c r="X11" s="66"/>
    </row>
    <row r="12" spans="1:24" s="2" customFormat="1">
      <c r="A12" s="32"/>
      <c r="B12" s="9">
        <v>18608722</v>
      </c>
      <c r="C12" s="10" t="s">
        <v>97</v>
      </c>
      <c r="D12" s="569"/>
      <c r="E12" s="574"/>
      <c r="F12" s="576"/>
      <c r="G12" s="12">
        <v>8781.25</v>
      </c>
      <c r="H12" s="33">
        <f>G12:G12</f>
        <v>8781.25</v>
      </c>
      <c r="I12" s="33">
        <f>H12</f>
        <v>8781.25</v>
      </c>
      <c r="J12" s="33">
        <v>8781.25</v>
      </c>
      <c r="K12" s="33">
        <f>J12</f>
        <v>8781.25</v>
      </c>
      <c r="L12" s="33">
        <f t="shared" ref="L12:U12" si="2">K12</f>
        <v>8781.25</v>
      </c>
      <c r="M12" s="33">
        <f t="shared" si="2"/>
        <v>8781.25</v>
      </c>
      <c r="N12" s="33">
        <f t="shared" si="2"/>
        <v>8781.25</v>
      </c>
      <c r="O12" s="33">
        <f t="shared" si="2"/>
        <v>8781.25</v>
      </c>
      <c r="P12" s="33">
        <f t="shared" si="2"/>
        <v>8781.25</v>
      </c>
      <c r="Q12" s="33">
        <f t="shared" si="2"/>
        <v>8781.25</v>
      </c>
      <c r="R12" s="33">
        <f t="shared" si="2"/>
        <v>8781.25</v>
      </c>
      <c r="S12" s="33">
        <f t="shared" si="2"/>
        <v>8781.25</v>
      </c>
      <c r="T12" s="33">
        <f t="shared" si="2"/>
        <v>8781.25</v>
      </c>
      <c r="U12" s="33">
        <f t="shared" si="2"/>
        <v>8781.25</v>
      </c>
      <c r="V12" s="34">
        <f>U12</f>
        <v>8781.25</v>
      </c>
      <c r="X12" s="66"/>
    </row>
    <row r="13" spans="1:24" s="2" customFormat="1">
      <c r="A13" s="32"/>
      <c r="B13" s="9">
        <v>18608712</v>
      </c>
      <c r="C13" s="10" t="s">
        <v>14</v>
      </c>
      <c r="D13" s="567"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4">
        <v>-5361208.37</v>
      </c>
      <c r="X13" s="66"/>
    </row>
    <row r="14" spans="1:24" s="2" customFormat="1">
      <c r="A14" s="32"/>
      <c r="B14" s="9">
        <v>18608772</v>
      </c>
      <c r="C14" s="10" t="s">
        <v>14</v>
      </c>
      <c r="D14" s="568"/>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4">
        <v>3488999.1</v>
      </c>
      <c r="X14" s="66"/>
    </row>
    <row r="15" spans="1:24" s="2" customFormat="1">
      <c r="A15" s="15"/>
      <c r="B15" s="9">
        <v>18608722</v>
      </c>
      <c r="C15" s="10" t="s">
        <v>14</v>
      </c>
      <c r="D15" s="57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38">
        <v>-8781.25</v>
      </c>
      <c r="X15" s="66"/>
    </row>
    <row r="16" spans="1:24" s="2" customFormat="1">
      <c r="A16" s="39"/>
      <c r="B16" s="40"/>
      <c r="C16" s="41" t="s">
        <v>98</v>
      </c>
      <c r="D16" s="64"/>
      <c r="E16" s="42"/>
      <c r="F16" s="96"/>
      <c r="G16" s="21">
        <f t="shared" ref="G16:V16" si="3">SUM(G10:G15)</f>
        <v>1880990.5200000014</v>
      </c>
      <c r="H16" s="21">
        <f t="shared" si="3"/>
        <v>1880990.5200000014</v>
      </c>
      <c r="I16" s="21">
        <f t="shared" si="3"/>
        <v>1880990.5200000014</v>
      </c>
      <c r="J16" s="21">
        <f t="shared" si="3"/>
        <v>1880512.620000001</v>
      </c>
      <c r="K16" s="21">
        <f t="shared" si="3"/>
        <v>1880512.620000001</v>
      </c>
      <c r="L16" s="21">
        <f t="shared" si="3"/>
        <v>1885492.2600000007</v>
      </c>
      <c r="M16" s="21">
        <f t="shared" si="3"/>
        <v>1885492.2600000007</v>
      </c>
      <c r="N16" s="21">
        <f t="shared" si="3"/>
        <v>1885492.2600000007</v>
      </c>
      <c r="O16" s="21">
        <f t="shared" si="3"/>
        <v>1885492.2600000007</v>
      </c>
      <c r="P16" s="21">
        <f t="shared" si="3"/>
        <v>1886778.4200000009</v>
      </c>
      <c r="Q16" s="21">
        <f t="shared" si="3"/>
        <v>1886913.4200000009</v>
      </c>
      <c r="R16" s="21">
        <f t="shared" si="3"/>
        <v>1886913.4200000009</v>
      </c>
      <c r="S16" s="21">
        <f t="shared" si="3"/>
        <v>1886913.4200000009</v>
      </c>
      <c r="T16" s="21">
        <f t="shared" si="3"/>
        <v>1886913.4200000009</v>
      </c>
      <c r="U16" s="21">
        <f t="shared" si="3"/>
        <v>1888004.6700000009</v>
      </c>
      <c r="V16" s="22">
        <f t="shared" si="3"/>
        <v>7779.1500000008382</v>
      </c>
    </row>
    <row r="17" spans="1:22" s="50" customFormat="1" ht="11.25">
      <c r="A17" s="43"/>
      <c r="B17" s="44"/>
      <c r="C17" s="25"/>
      <c r="D17" s="45"/>
      <c r="E17" s="70"/>
      <c r="F17" s="70"/>
      <c r="G17" s="103"/>
      <c r="H17" s="71"/>
      <c r="I17" s="71"/>
      <c r="J17" s="28"/>
      <c r="K17" s="49"/>
      <c r="L17" s="49"/>
      <c r="M17" s="28"/>
      <c r="N17" s="49"/>
      <c r="O17" s="49"/>
      <c r="P17" s="28"/>
      <c r="Q17" s="49"/>
      <c r="R17" s="49"/>
      <c r="S17" s="28"/>
      <c r="T17" s="49"/>
      <c r="U17" s="49"/>
      <c r="V17" s="30"/>
    </row>
    <row r="18" spans="1:22" s="2" customFormat="1">
      <c r="A18" s="32">
        <v>18602102</v>
      </c>
      <c r="B18" s="9">
        <v>18608212</v>
      </c>
      <c r="C18" s="10" t="s">
        <v>99</v>
      </c>
      <c r="D18" s="104" t="s">
        <v>100</v>
      </c>
      <c r="E18" s="574"/>
      <c r="F18" s="575"/>
      <c r="G18" s="105">
        <v>1470852.25</v>
      </c>
      <c r="H18" s="105">
        <f>G18+4607.2</f>
        <v>1475459.45</v>
      </c>
      <c r="I18" s="105">
        <f>H18+338.25</f>
        <v>1475797.7</v>
      </c>
      <c r="J18" s="12">
        <v>1475797.7</v>
      </c>
      <c r="K18" s="52">
        <f>J18</f>
        <v>1475797.7</v>
      </c>
      <c r="L18" s="52">
        <f t="shared" ref="L18:S19" si="4">K18</f>
        <v>1475797.7</v>
      </c>
      <c r="M18" s="52">
        <f t="shared" si="4"/>
        <v>1475797.7</v>
      </c>
      <c r="N18" s="52">
        <f t="shared" si="4"/>
        <v>1475797.7</v>
      </c>
      <c r="O18" s="52">
        <f t="shared" si="4"/>
        <v>1475797.7</v>
      </c>
      <c r="P18" s="52">
        <f t="shared" si="4"/>
        <v>1475797.7</v>
      </c>
      <c r="Q18" s="52">
        <f t="shared" si="4"/>
        <v>1475797.7</v>
      </c>
      <c r="R18" s="52">
        <f t="shared" si="4"/>
        <v>1475797.7</v>
      </c>
      <c r="S18" s="52">
        <f>R18+5162.61</f>
        <v>1480960.31</v>
      </c>
      <c r="T18" s="52">
        <f>S18+4676.25</f>
        <v>1485636.56</v>
      </c>
      <c r="U18" s="52">
        <f>T18</f>
        <v>1485636.56</v>
      </c>
      <c r="V18" s="53">
        <f>U18</f>
        <v>1485636.56</v>
      </c>
    </row>
    <row r="19" spans="1:22" s="2" customFormat="1">
      <c r="A19" s="32"/>
      <c r="B19" s="9">
        <v>18608782</v>
      </c>
      <c r="C19" s="10" t="s">
        <v>101</v>
      </c>
      <c r="D19" s="106"/>
      <c r="E19" s="574"/>
      <c r="F19" s="576"/>
      <c r="G19" s="97">
        <v>-801550.75</v>
      </c>
      <c r="H19" s="97">
        <f>G19</f>
        <v>-801550.75</v>
      </c>
      <c r="I19" s="97">
        <f>H19</f>
        <v>-801550.75</v>
      </c>
      <c r="J19" s="12">
        <v>-801550.75</v>
      </c>
      <c r="K19" s="52">
        <f>J19</f>
        <v>-801550.75</v>
      </c>
      <c r="L19" s="52">
        <f t="shared" si="4"/>
        <v>-801550.75</v>
      </c>
      <c r="M19" s="52">
        <f t="shared" si="4"/>
        <v>-801550.75</v>
      </c>
      <c r="N19" s="52">
        <f t="shared" si="4"/>
        <v>-801550.75</v>
      </c>
      <c r="O19" s="52">
        <f t="shared" si="4"/>
        <v>-801550.75</v>
      </c>
      <c r="P19" s="52">
        <f t="shared" si="4"/>
        <v>-801550.75</v>
      </c>
      <c r="Q19" s="52">
        <f t="shared" si="4"/>
        <v>-801550.75</v>
      </c>
      <c r="R19" s="52">
        <f t="shared" si="4"/>
        <v>-801550.75</v>
      </c>
      <c r="S19" s="52">
        <f t="shared" si="4"/>
        <v>-801550.75</v>
      </c>
      <c r="T19" s="52">
        <f>S19</f>
        <v>-801550.75</v>
      </c>
      <c r="U19" s="52">
        <f>T19</f>
        <v>-801550.75</v>
      </c>
      <c r="V19" s="53">
        <f>U19</f>
        <v>-801550.75</v>
      </c>
    </row>
    <row r="20" spans="1:22" s="2" customFormat="1">
      <c r="A20" s="32"/>
      <c r="B20" s="9" t="s">
        <v>102</v>
      </c>
      <c r="C20" s="10" t="s">
        <v>14</v>
      </c>
      <c r="D20" s="10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4">
        <v>-1470852.25</v>
      </c>
    </row>
    <row r="21" spans="1:22" s="2" customFormat="1">
      <c r="A21" s="32"/>
      <c r="B21" s="9">
        <v>18608782</v>
      </c>
      <c r="C21" s="10" t="s">
        <v>14</v>
      </c>
      <c r="D21" s="98"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38">
        <v>801550.75</v>
      </c>
    </row>
    <row r="22" spans="1:22" s="2" customFormat="1">
      <c r="A22" s="39"/>
      <c r="B22" s="40"/>
      <c r="C22" s="41" t="s">
        <v>103</v>
      </c>
      <c r="D22" s="54"/>
      <c r="E22" s="60"/>
      <c r="F22" s="109"/>
      <c r="G22" s="56">
        <f t="shared" ref="G22:U22" si="5">SUM(G18:G21)</f>
        <v>669301.5</v>
      </c>
      <c r="H22" s="56">
        <f t="shared" si="5"/>
        <v>673908.7</v>
      </c>
      <c r="I22" s="56">
        <f t="shared" si="5"/>
        <v>674246.95</v>
      </c>
      <c r="J22" s="56">
        <f t="shared" si="5"/>
        <v>674246.95</v>
      </c>
      <c r="K22" s="56">
        <f t="shared" si="5"/>
        <v>674246.95</v>
      </c>
      <c r="L22" s="56">
        <f t="shared" si="5"/>
        <v>674246.95</v>
      </c>
      <c r="M22" s="56">
        <f t="shared" si="5"/>
        <v>674246.95</v>
      </c>
      <c r="N22" s="56">
        <f t="shared" si="5"/>
        <v>674246.95</v>
      </c>
      <c r="O22" s="56">
        <f t="shared" si="5"/>
        <v>674246.95</v>
      </c>
      <c r="P22" s="56">
        <f t="shared" si="5"/>
        <v>674246.95</v>
      </c>
      <c r="Q22" s="56">
        <f t="shared" si="5"/>
        <v>674246.95</v>
      </c>
      <c r="R22" s="56">
        <f t="shared" si="5"/>
        <v>674246.95</v>
      </c>
      <c r="S22" s="56">
        <f t="shared" si="5"/>
        <v>679409.56</v>
      </c>
      <c r="T22" s="56">
        <f t="shared" si="5"/>
        <v>684085.81</v>
      </c>
      <c r="U22" s="56">
        <f t="shared" si="5"/>
        <v>684085.81</v>
      </c>
      <c r="V22" s="57">
        <f>SUM(V18:V21)</f>
        <v>14784.310000000056</v>
      </c>
    </row>
    <row r="23" spans="1:22" s="50" customFormat="1" ht="11.25">
      <c r="A23" s="43"/>
      <c r="B23" s="44"/>
      <c r="C23" s="25"/>
      <c r="D23" s="45"/>
      <c r="E23" s="70"/>
      <c r="F23" s="70"/>
      <c r="G23" s="110"/>
      <c r="H23" s="71"/>
      <c r="I23" s="71"/>
      <c r="J23" s="73"/>
      <c r="K23" s="111"/>
      <c r="L23" s="111"/>
      <c r="M23" s="73"/>
      <c r="N23" s="111"/>
      <c r="O23" s="111"/>
      <c r="P23" s="73"/>
      <c r="Q23" s="111"/>
      <c r="R23" s="111"/>
      <c r="S23" s="73"/>
      <c r="T23" s="111"/>
      <c r="U23" s="111"/>
      <c r="V23" s="112"/>
    </row>
    <row r="24" spans="1:22" s="2" customFormat="1">
      <c r="A24" s="39">
        <v>18603102</v>
      </c>
      <c r="B24" s="40">
        <v>18608312</v>
      </c>
      <c r="C24" s="10" t="s">
        <v>104</v>
      </c>
      <c r="D24" s="104" t="s">
        <v>92</v>
      </c>
      <c r="E24" s="113"/>
      <c r="F24" s="42"/>
      <c r="G24" s="52">
        <v>3961262</v>
      </c>
      <c r="H24" s="52">
        <f>G24</f>
        <v>3961262</v>
      </c>
      <c r="I24" s="52">
        <f>H24</f>
        <v>3961262</v>
      </c>
      <c r="J24" s="114">
        <v>3961506.13</v>
      </c>
      <c r="K24" s="52">
        <f>J24+3360</f>
        <v>3964866.13</v>
      </c>
      <c r="L24" s="52">
        <f>K24</f>
        <v>3964866.13</v>
      </c>
      <c r="M24" s="52">
        <f>L24</f>
        <v>3964866.13</v>
      </c>
      <c r="N24" s="52">
        <f>M24+1457.63</f>
        <v>3966323.76</v>
      </c>
      <c r="O24" s="52">
        <f>N24</f>
        <v>3966323.76</v>
      </c>
      <c r="P24" s="52">
        <f>O24</f>
        <v>3966323.76</v>
      </c>
      <c r="Q24" s="52">
        <f>P24</f>
        <v>3966323.76</v>
      </c>
      <c r="R24" s="52">
        <f>Q24</f>
        <v>3966323.76</v>
      </c>
      <c r="S24" s="52">
        <f>R24+2836.13</f>
        <v>3969159.8899999997</v>
      </c>
      <c r="T24" s="52">
        <f>S24+1808.63</f>
        <v>3970968.5199999996</v>
      </c>
      <c r="U24" s="52">
        <f>T24</f>
        <v>3970968.5199999996</v>
      </c>
      <c r="V24" s="53">
        <f>U24</f>
        <v>3970968.5199999996</v>
      </c>
    </row>
    <row r="25" spans="1:22" s="2" customFormat="1">
      <c r="A25" s="39"/>
      <c r="B25" s="40">
        <v>18608312</v>
      </c>
      <c r="C25" s="10" t="s">
        <v>14</v>
      </c>
      <c r="D25" s="98" t="s">
        <v>93</v>
      </c>
      <c r="E25" s="16">
        <v>43070</v>
      </c>
      <c r="F25" s="99" t="s">
        <v>16</v>
      </c>
      <c r="G25" s="115">
        <v>0</v>
      </c>
      <c r="H25" s="116">
        <v>0</v>
      </c>
      <c r="I25" s="116">
        <v>0</v>
      </c>
      <c r="J25" s="116">
        <v>0</v>
      </c>
      <c r="K25" s="116">
        <v>0</v>
      </c>
      <c r="L25" s="116">
        <v>0</v>
      </c>
      <c r="M25" s="116">
        <v>0</v>
      </c>
      <c r="N25" s="116">
        <v>0</v>
      </c>
      <c r="O25" s="116">
        <v>0</v>
      </c>
      <c r="P25" s="116">
        <v>0</v>
      </c>
      <c r="Q25" s="116">
        <v>0</v>
      </c>
      <c r="R25" s="116">
        <v>0</v>
      </c>
      <c r="S25" s="116">
        <v>0</v>
      </c>
      <c r="T25" s="116">
        <v>0</v>
      </c>
      <c r="U25" s="116">
        <v>0</v>
      </c>
      <c r="V25" s="117">
        <v>-3961262</v>
      </c>
    </row>
    <row r="26" spans="1:22" s="2" customFormat="1">
      <c r="A26" s="39"/>
      <c r="B26" s="40"/>
      <c r="C26" s="41" t="s">
        <v>105</v>
      </c>
      <c r="D26" s="54"/>
      <c r="E26" s="118"/>
      <c r="F26" s="109"/>
      <c r="G26" s="56">
        <f t="shared" ref="G26:V26" si="6">SUM(G24:G25)</f>
        <v>3961262</v>
      </c>
      <c r="H26" s="56">
        <f t="shared" si="6"/>
        <v>3961262</v>
      </c>
      <c r="I26" s="56">
        <f t="shared" si="6"/>
        <v>3961262</v>
      </c>
      <c r="J26" s="56">
        <f t="shared" si="6"/>
        <v>3961506.13</v>
      </c>
      <c r="K26" s="56">
        <f t="shared" si="6"/>
        <v>3964866.13</v>
      </c>
      <c r="L26" s="56">
        <f t="shared" si="6"/>
        <v>3964866.13</v>
      </c>
      <c r="M26" s="56">
        <f t="shared" si="6"/>
        <v>3964866.13</v>
      </c>
      <c r="N26" s="56">
        <f t="shared" si="6"/>
        <v>3966323.76</v>
      </c>
      <c r="O26" s="56">
        <f t="shared" si="6"/>
        <v>3966323.76</v>
      </c>
      <c r="P26" s="56">
        <f t="shared" si="6"/>
        <v>3966323.76</v>
      </c>
      <c r="Q26" s="56">
        <f t="shared" si="6"/>
        <v>3966323.76</v>
      </c>
      <c r="R26" s="56">
        <f t="shared" si="6"/>
        <v>3966323.76</v>
      </c>
      <c r="S26" s="56">
        <f t="shared" si="6"/>
        <v>3969159.8899999997</v>
      </c>
      <c r="T26" s="56">
        <f t="shared" si="6"/>
        <v>3970968.5199999996</v>
      </c>
      <c r="U26" s="56">
        <f t="shared" si="6"/>
        <v>3970968.5199999996</v>
      </c>
      <c r="V26" s="57">
        <f t="shared" si="6"/>
        <v>9706.519999999553</v>
      </c>
    </row>
    <row r="27" spans="1:22" s="50" customFormat="1" ht="11.45" customHeight="1">
      <c r="A27" s="119"/>
      <c r="B27" s="120"/>
      <c r="C27" s="121"/>
      <c r="D27" s="26"/>
      <c r="E27" s="70"/>
      <c r="F27" s="122"/>
      <c r="G27" s="103"/>
      <c r="H27" s="71"/>
      <c r="I27" s="71"/>
      <c r="J27" s="73"/>
      <c r="K27" s="111"/>
      <c r="L27" s="111"/>
      <c r="M27" s="73"/>
      <c r="N27" s="111"/>
      <c r="O27" s="111"/>
      <c r="P27" s="73"/>
      <c r="Q27" s="111"/>
      <c r="R27" s="111"/>
      <c r="S27" s="73"/>
      <c r="T27" s="111"/>
      <c r="U27" s="111"/>
      <c r="V27" s="112"/>
    </row>
    <row r="28" spans="1:22" s="123" customFormat="1" ht="12.6" customHeight="1">
      <c r="A28" s="39">
        <v>18606302</v>
      </c>
      <c r="B28" s="40">
        <v>18609432</v>
      </c>
      <c r="C28" s="10" t="s">
        <v>106</v>
      </c>
      <c r="D28" s="567" t="s">
        <v>92</v>
      </c>
      <c r="E28" s="570"/>
      <c r="F28" s="572"/>
      <c r="G28" s="12">
        <v>6872373.6200000001</v>
      </c>
      <c r="H28" s="12">
        <f>G28+158743.71</f>
        <v>7031117.3300000001</v>
      </c>
      <c r="I28" s="12">
        <f>H28+170229.18</f>
        <v>7201346.5099999998</v>
      </c>
      <c r="J28" s="12">
        <v>7419660.5</v>
      </c>
      <c r="K28" s="12">
        <f>J28+108582.31</f>
        <v>7528242.8099999996</v>
      </c>
      <c r="L28" s="12">
        <f>K28+117085.63</f>
        <v>7645328.4399999995</v>
      </c>
      <c r="M28" s="12">
        <f>L28+152886.79</f>
        <v>7798215.2299999995</v>
      </c>
      <c r="N28" s="12">
        <f t="shared" ref="N28" si="7">M28</f>
        <v>7798215.2299999995</v>
      </c>
      <c r="O28" s="12">
        <f>N28+511322.7</f>
        <v>8309537.9299999997</v>
      </c>
      <c r="P28" s="12">
        <f>O28+190276.88</f>
        <v>8499814.8100000005</v>
      </c>
      <c r="Q28" s="12">
        <f>P28+153128.9</f>
        <v>8652943.7100000009</v>
      </c>
      <c r="R28" s="12">
        <f>Q28+182252.16</f>
        <v>8835195.870000001</v>
      </c>
      <c r="S28" s="12">
        <f>R28+142106.66</f>
        <v>8977302.5300000012</v>
      </c>
      <c r="T28" s="12">
        <f>S28+182156.8</f>
        <v>9159459.3300000019</v>
      </c>
      <c r="U28" s="12">
        <f>T28+155411.13</f>
        <v>9314870.4600000028</v>
      </c>
      <c r="V28" s="53">
        <f>U28+223717.34</f>
        <v>9538587.8000000026</v>
      </c>
    </row>
    <row r="29" spans="1:22" s="123" customFormat="1" ht="12.6" customHeight="1">
      <c r="A29" s="39">
        <v>18604102</v>
      </c>
      <c r="B29" s="40">
        <v>18608412</v>
      </c>
      <c r="C29" s="10" t="s">
        <v>107</v>
      </c>
      <c r="D29" s="568"/>
      <c r="E29" s="570"/>
      <c r="F29" s="572"/>
      <c r="G29" s="12">
        <v>2651381.7400000002</v>
      </c>
      <c r="H29" s="12">
        <f>G29</f>
        <v>2651381.7400000002</v>
      </c>
      <c r="I29" s="12">
        <f>H29</f>
        <v>2651381.7400000002</v>
      </c>
      <c r="J29" s="12">
        <v>2651381.7400000002</v>
      </c>
      <c r="K29" s="12">
        <f>J29</f>
        <v>2651381.7400000002</v>
      </c>
      <c r="L29" s="12">
        <f>K29</f>
        <v>2651381.7400000002</v>
      </c>
      <c r="M29" s="12">
        <f t="shared" ref="M29:U30" si="8">L29</f>
        <v>2651381.7400000002</v>
      </c>
      <c r="N29" s="12">
        <f t="shared" si="8"/>
        <v>2651381.7400000002</v>
      </c>
      <c r="O29" s="12">
        <f t="shared" si="8"/>
        <v>2651381.7400000002</v>
      </c>
      <c r="P29" s="12">
        <f t="shared" si="8"/>
        <v>2651381.7400000002</v>
      </c>
      <c r="Q29" s="12">
        <f t="shared" si="8"/>
        <v>2651381.7400000002</v>
      </c>
      <c r="R29" s="12">
        <f t="shared" si="8"/>
        <v>2651381.7400000002</v>
      </c>
      <c r="S29" s="12">
        <f t="shared" si="8"/>
        <v>2651381.7400000002</v>
      </c>
      <c r="T29" s="12">
        <f t="shared" si="8"/>
        <v>2651381.7400000002</v>
      </c>
      <c r="U29" s="12">
        <f t="shared" si="8"/>
        <v>2651381.7400000002</v>
      </c>
      <c r="V29" s="53">
        <f>U29</f>
        <v>2651381.7400000002</v>
      </c>
    </row>
    <row r="30" spans="1:22" s="123" customFormat="1" ht="12.6" customHeight="1">
      <c r="A30" s="39">
        <v>18614102</v>
      </c>
      <c r="B30" s="40">
        <v>18609312</v>
      </c>
      <c r="C30" s="10" t="s">
        <v>108</v>
      </c>
      <c r="D30" s="568"/>
      <c r="E30" s="570"/>
      <c r="F30" s="572"/>
      <c r="G30" s="12">
        <v>12405154.710000001</v>
      </c>
      <c r="H30" s="12">
        <f>G30</f>
        <v>12405154.710000001</v>
      </c>
      <c r="I30" s="12">
        <f>H30</f>
        <v>12405154.710000001</v>
      </c>
      <c r="J30" s="12">
        <v>12405154.710000001</v>
      </c>
      <c r="K30" s="12">
        <f>J30</f>
        <v>12405154.710000001</v>
      </c>
      <c r="L30" s="12">
        <f>K30</f>
        <v>12405154.710000001</v>
      </c>
      <c r="M30" s="12">
        <f>L30</f>
        <v>12405154.710000001</v>
      </c>
      <c r="N30" s="12">
        <f>M30</f>
        <v>12405154.710000001</v>
      </c>
      <c r="O30" s="12">
        <f t="shared" si="8"/>
        <v>12405154.710000001</v>
      </c>
      <c r="P30" s="12">
        <f t="shared" si="8"/>
        <v>12405154.710000001</v>
      </c>
      <c r="Q30" s="12">
        <f t="shared" si="8"/>
        <v>12405154.710000001</v>
      </c>
      <c r="R30" s="12">
        <f t="shared" si="8"/>
        <v>12405154.710000001</v>
      </c>
      <c r="S30" s="12">
        <f t="shared" si="8"/>
        <v>12405154.710000001</v>
      </c>
      <c r="T30" s="12">
        <f t="shared" si="8"/>
        <v>12405154.710000001</v>
      </c>
      <c r="U30" s="12">
        <f t="shared" si="8"/>
        <v>12405154.710000001</v>
      </c>
      <c r="V30" s="53">
        <f>U30</f>
        <v>12405154.710000001</v>
      </c>
    </row>
    <row r="31" spans="1:22" s="123" customFormat="1" ht="12.6" customHeight="1">
      <c r="A31" s="39">
        <v>18606303</v>
      </c>
      <c r="B31" s="40">
        <v>18609402</v>
      </c>
      <c r="C31" s="10" t="s">
        <v>109</v>
      </c>
      <c r="D31" s="569"/>
      <c r="E31" s="571"/>
      <c r="F31" s="573"/>
      <c r="G31" s="124">
        <v>0</v>
      </c>
      <c r="H31" s="124">
        <v>0</v>
      </c>
      <c r="I31" s="12">
        <v>0</v>
      </c>
      <c r="J31" s="124">
        <v>0</v>
      </c>
      <c r="K31" s="124">
        <f>J31</f>
        <v>0</v>
      </c>
      <c r="L31" s="124">
        <f t="shared" ref="L31" si="9">K31</f>
        <v>0</v>
      </c>
      <c r="M31" s="12">
        <v>-190064.35</v>
      </c>
      <c r="N31" s="12">
        <f>M31</f>
        <v>-190064.35</v>
      </c>
      <c r="O31" s="12">
        <f>N31</f>
        <v>-190064.35</v>
      </c>
      <c r="P31" s="12">
        <f>O31-74175.7</f>
        <v>-264240.05</v>
      </c>
      <c r="Q31" s="12">
        <f>P31</f>
        <v>-264240.05</v>
      </c>
      <c r="R31" s="12">
        <f>Q31</f>
        <v>-264240.05</v>
      </c>
      <c r="S31" s="12">
        <f>R31-139862.41</f>
        <v>-404102.45999999996</v>
      </c>
      <c r="T31" s="12">
        <f>S31</f>
        <v>-404102.45999999996</v>
      </c>
      <c r="U31" s="12">
        <f>T31</f>
        <v>-404102.45999999996</v>
      </c>
      <c r="V31" s="53">
        <f>U31-95133.26</f>
        <v>-499235.72</v>
      </c>
    </row>
    <row r="32" spans="1:22" s="123" customFormat="1" ht="12.6" customHeight="1">
      <c r="A32" s="39"/>
      <c r="B32" s="40">
        <v>18609432</v>
      </c>
      <c r="C32" s="10" t="s">
        <v>14</v>
      </c>
      <c r="D32" s="567" t="s">
        <v>93</v>
      </c>
      <c r="E32" s="578">
        <v>43070</v>
      </c>
      <c r="F32" s="580" t="s">
        <v>16</v>
      </c>
      <c r="G32" s="12">
        <v>0</v>
      </c>
      <c r="H32" s="12">
        <v>0</v>
      </c>
      <c r="I32" s="12">
        <v>0</v>
      </c>
      <c r="J32" s="12">
        <v>0</v>
      </c>
      <c r="K32" s="12">
        <v>0</v>
      </c>
      <c r="L32" s="12">
        <v>0</v>
      </c>
      <c r="M32" s="12">
        <v>0</v>
      </c>
      <c r="N32" s="12">
        <v>0</v>
      </c>
      <c r="O32" s="12">
        <v>0</v>
      </c>
      <c r="P32" s="12">
        <v>0</v>
      </c>
      <c r="Q32" s="12">
        <v>0</v>
      </c>
      <c r="R32" s="12">
        <v>0</v>
      </c>
      <c r="S32" s="12">
        <v>0</v>
      </c>
      <c r="T32" s="12">
        <v>0</v>
      </c>
      <c r="U32" s="12">
        <v>0</v>
      </c>
      <c r="V32" s="53">
        <v>-6872373.6200000001</v>
      </c>
    </row>
    <row r="33" spans="1:22" s="123" customFormat="1" ht="12.6" customHeight="1">
      <c r="A33" s="119"/>
      <c r="B33" s="40">
        <v>18608412</v>
      </c>
      <c r="C33" s="10" t="s">
        <v>14</v>
      </c>
      <c r="D33" s="568"/>
      <c r="E33" s="578"/>
      <c r="F33" s="581"/>
      <c r="G33" s="12">
        <v>0</v>
      </c>
      <c r="H33" s="12">
        <v>0</v>
      </c>
      <c r="I33" s="12">
        <v>0</v>
      </c>
      <c r="J33" s="12">
        <v>0</v>
      </c>
      <c r="K33" s="12">
        <v>0</v>
      </c>
      <c r="L33" s="12">
        <v>0</v>
      </c>
      <c r="M33" s="12">
        <v>0</v>
      </c>
      <c r="N33" s="12">
        <v>0</v>
      </c>
      <c r="O33" s="12">
        <v>0</v>
      </c>
      <c r="P33" s="12">
        <v>0</v>
      </c>
      <c r="Q33" s="12">
        <v>0</v>
      </c>
      <c r="R33" s="12">
        <v>0</v>
      </c>
      <c r="S33" s="12">
        <v>0</v>
      </c>
      <c r="T33" s="12">
        <v>0</v>
      </c>
      <c r="U33" s="12">
        <v>0</v>
      </c>
      <c r="V33" s="53">
        <v>-2651381.7400000002</v>
      </c>
    </row>
    <row r="34" spans="1:22" s="2" customFormat="1">
      <c r="A34" s="32"/>
      <c r="B34" s="40">
        <v>18609312</v>
      </c>
      <c r="C34" s="10" t="s">
        <v>14</v>
      </c>
      <c r="D34" s="577"/>
      <c r="E34" s="579"/>
      <c r="F34" s="582"/>
      <c r="G34" s="116">
        <v>0</v>
      </c>
      <c r="H34" s="116">
        <v>0</v>
      </c>
      <c r="I34" s="116">
        <v>0</v>
      </c>
      <c r="J34" s="116">
        <v>0</v>
      </c>
      <c r="K34" s="116">
        <v>0</v>
      </c>
      <c r="L34" s="116">
        <v>0</v>
      </c>
      <c r="M34" s="116">
        <v>0</v>
      </c>
      <c r="N34" s="116">
        <v>0</v>
      </c>
      <c r="O34" s="116">
        <v>0</v>
      </c>
      <c r="P34" s="116">
        <v>0</v>
      </c>
      <c r="Q34" s="116">
        <v>0</v>
      </c>
      <c r="R34" s="116">
        <v>0</v>
      </c>
      <c r="S34" s="116">
        <v>0</v>
      </c>
      <c r="T34" s="116">
        <v>0</v>
      </c>
      <c r="U34" s="116">
        <v>0</v>
      </c>
      <c r="V34" s="53">
        <v>-12405154.710000001</v>
      </c>
    </row>
    <row r="35" spans="1:22" s="2" customFormat="1">
      <c r="A35" s="39"/>
      <c r="B35" s="40"/>
      <c r="C35" s="41" t="s">
        <v>110</v>
      </c>
      <c r="D35" s="54"/>
      <c r="E35" s="60"/>
      <c r="F35" s="109"/>
      <c r="G35" s="56">
        <f t="shared" ref="G35:V35" si="10">SUM(G28:G34)</f>
        <v>21928910.07</v>
      </c>
      <c r="H35" s="56">
        <f t="shared" si="10"/>
        <v>22087653.780000001</v>
      </c>
      <c r="I35" s="56">
        <f t="shared" si="10"/>
        <v>22257882.960000001</v>
      </c>
      <c r="J35" s="56">
        <f t="shared" si="10"/>
        <v>22476196.950000003</v>
      </c>
      <c r="K35" s="56">
        <f t="shared" si="10"/>
        <v>22584779.260000002</v>
      </c>
      <c r="L35" s="56">
        <f t="shared" si="10"/>
        <v>22701864.890000001</v>
      </c>
      <c r="M35" s="56">
        <f t="shared" si="10"/>
        <v>22664687.329999998</v>
      </c>
      <c r="N35" s="56">
        <f t="shared" si="10"/>
        <v>22664687.329999998</v>
      </c>
      <c r="O35" s="56">
        <f t="shared" si="10"/>
        <v>23176010.030000001</v>
      </c>
      <c r="P35" s="56">
        <f t="shared" si="10"/>
        <v>23292111.210000001</v>
      </c>
      <c r="Q35" s="56">
        <f t="shared" si="10"/>
        <v>23445240.110000003</v>
      </c>
      <c r="R35" s="56">
        <f t="shared" si="10"/>
        <v>23627492.27</v>
      </c>
      <c r="S35" s="56">
        <f t="shared" si="10"/>
        <v>23629736.520000003</v>
      </c>
      <c r="T35" s="56">
        <f t="shared" si="10"/>
        <v>23811893.32</v>
      </c>
      <c r="U35" s="56">
        <f t="shared" si="10"/>
        <v>23967304.450000003</v>
      </c>
      <c r="V35" s="57">
        <f t="shared" si="10"/>
        <v>2166978.4600000028</v>
      </c>
    </row>
    <row r="36" spans="1:22" s="50" customFormat="1" ht="12.6" customHeight="1">
      <c r="A36" s="43"/>
      <c r="B36" s="44"/>
      <c r="C36" s="25"/>
      <c r="D36" s="45"/>
      <c r="E36" s="70"/>
      <c r="F36" s="70"/>
      <c r="G36" s="47"/>
      <c r="H36" s="48"/>
      <c r="I36" s="48"/>
      <c r="J36" s="28"/>
      <c r="K36" s="49"/>
      <c r="L36" s="49"/>
      <c r="M36" s="125"/>
      <c r="N36" s="49"/>
      <c r="O36" s="49"/>
      <c r="P36" s="28"/>
      <c r="Q36" s="49"/>
      <c r="R36" s="49"/>
      <c r="S36" s="28"/>
      <c r="T36" s="49"/>
      <c r="U36" s="49"/>
      <c r="V36" s="30"/>
    </row>
    <row r="37" spans="1:22" s="2" customFormat="1">
      <c r="A37" s="39">
        <v>18612102</v>
      </c>
      <c r="B37" s="40">
        <v>18609512</v>
      </c>
      <c r="C37" s="10" t="s">
        <v>111</v>
      </c>
      <c r="D37" s="104" t="s">
        <v>92</v>
      </c>
      <c r="E37" s="113"/>
      <c r="F37" s="42"/>
      <c r="G37" s="52">
        <v>227819.36</v>
      </c>
      <c r="H37" s="52">
        <f>G37+4468</f>
        <v>232287.35999999999</v>
      </c>
      <c r="I37" s="52">
        <f>H37+6938.08</f>
        <v>239225.43999999997</v>
      </c>
      <c r="J37" s="52">
        <v>238684</v>
      </c>
      <c r="K37" s="52">
        <f>J37+329.5</f>
        <v>239013.5</v>
      </c>
      <c r="L37" s="52">
        <f t="shared" ref="L37:U37" si="11">K37</f>
        <v>239013.5</v>
      </c>
      <c r="M37" s="52">
        <f t="shared" si="11"/>
        <v>239013.5</v>
      </c>
      <c r="N37" s="52">
        <f t="shared" si="11"/>
        <v>239013.5</v>
      </c>
      <c r="O37" s="52">
        <f t="shared" si="11"/>
        <v>239013.5</v>
      </c>
      <c r="P37" s="52">
        <f>O37+54617</f>
        <v>293630.5</v>
      </c>
      <c r="Q37" s="52">
        <f>P37+180.5</f>
        <v>293811</v>
      </c>
      <c r="R37" s="52">
        <f t="shared" si="11"/>
        <v>293811</v>
      </c>
      <c r="S37" s="52">
        <f t="shared" si="11"/>
        <v>293811</v>
      </c>
      <c r="T37" s="52">
        <f t="shared" si="11"/>
        <v>293811</v>
      </c>
      <c r="U37" s="52">
        <f t="shared" si="11"/>
        <v>293811</v>
      </c>
      <c r="V37" s="53">
        <f>U37+437</f>
        <v>294248</v>
      </c>
    </row>
    <row r="38" spans="1:22" s="2" customFormat="1">
      <c r="A38" s="32"/>
      <c r="B38" s="40">
        <v>18609512</v>
      </c>
      <c r="C38" s="10" t="s">
        <v>30</v>
      </c>
      <c r="D38" s="126"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38">
        <v>-227819.36</v>
      </c>
    </row>
    <row r="39" spans="1:22" s="2" customFormat="1">
      <c r="A39" s="39"/>
      <c r="B39" s="40"/>
      <c r="C39" s="41" t="s">
        <v>112</v>
      </c>
      <c r="D39" s="59"/>
      <c r="E39" s="60"/>
      <c r="F39" s="127"/>
      <c r="G39" s="21">
        <f t="shared" ref="G39:V39" si="12">SUM(G37:G38)</f>
        <v>227819.36</v>
      </c>
      <c r="H39" s="21">
        <f t="shared" si="12"/>
        <v>232287.35999999999</v>
      </c>
      <c r="I39" s="21">
        <f t="shared" si="12"/>
        <v>239225.43999999997</v>
      </c>
      <c r="J39" s="21">
        <f t="shared" si="12"/>
        <v>238684</v>
      </c>
      <c r="K39" s="21">
        <f t="shared" si="12"/>
        <v>239013.5</v>
      </c>
      <c r="L39" s="21">
        <f t="shared" si="12"/>
        <v>239013.5</v>
      </c>
      <c r="M39" s="21">
        <f t="shared" si="12"/>
        <v>239013.5</v>
      </c>
      <c r="N39" s="21">
        <f t="shared" si="12"/>
        <v>239013.5</v>
      </c>
      <c r="O39" s="21">
        <f t="shared" si="12"/>
        <v>239013.5</v>
      </c>
      <c r="P39" s="21">
        <f t="shared" si="12"/>
        <v>293630.5</v>
      </c>
      <c r="Q39" s="21">
        <f t="shared" si="12"/>
        <v>293811</v>
      </c>
      <c r="R39" s="21">
        <f t="shared" si="12"/>
        <v>293811</v>
      </c>
      <c r="S39" s="21">
        <f t="shared" si="12"/>
        <v>293811</v>
      </c>
      <c r="T39" s="21">
        <f t="shared" si="12"/>
        <v>293811</v>
      </c>
      <c r="U39" s="21">
        <f t="shared" si="12"/>
        <v>293811</v>
      </c>
      <c r="V39" s="22">
        <f t="shared" si="12"/>
        <v>66428.640000000014</v>
      </c>
    </row>
    <row r="40" spans="1:22" s="50" customFormat="1" ht="11.25">
      <c r="A40" s="43"/>
      <c r="B40" s="44"/>
      <c r="C40" s="25"/>
      <c r="D40" s="45"/>
      <c r="E40" s="70"/>
      <c r="F40" s="70"/>
      <c r="G40" s="47"/>
      <c r="H40" s="48"/>
      <c r="I40" s="48"/>
      <c r="J40" s="28"/>
      <c r="K40" s="49"/>
      <c r="L40" s="49"/>
      <c r="M40" s="28"/>
      <c r="N40" s="49"/>
      <c r="O40" s="49"/>
      <c r="P40" s="28"/>
      <c r="Q40" s="49"/>
      <c r="R40" s="49"/>
      <c r="S40" s="28"/>
      <c r="T40" s="49"/>
      <c r="U40" s="49"/>
      <c r="V40" s="30"/>
    </row>
    <row r="41" spans="1:22" s="2" customFormat="1">
      <c r="A41" s="32">
        <v>18601102</v>
      </c>
      <c r="B41" s="9">
        <v>18608112</v>
      </c>
      <c r="C41" s="10" t="s">
        <v>113</v>
      </c>
      <c r="D41" s="567" t="s">
        <v>100</v>
      </c>
      <c r="E41" s="574"/>
      <c r="F41" s="575"/>
      <c r="G41" s="12">
        <v>4147808.8500000006</v>
      </c>
      <c r="H41" s="12">
        <f>G41+7606.86</f>
        <v>4155415.7100000004</v>
      </c>
      <c r="I41" s="12">
        <f>H41+32351.19</f>
        <v>4187766.9000000004</v>
      </c>
      <c r="J41" s="12">
        <v>4216729.9700000007</v>
      </c>
      <c r="K41" s="12">
        <f>J41</f>
        <v>4216729.9700000007</v>
      </c>
      <c r="L41" s="12">
        <f>K41+26073.78</f>
        <v>4242803.7500000009</v>
      </c>
      <c r="M41" s="12">
        <f>L41+18420.62</f>
        <v>4261224.370000001</v>
      </c>
      <c r="N41" s="12">
        <f>M41+23427.41</f>
        <v>4284651.7800000012</v>
      </c>
      <c r="O41" s="12">
        <f>N41+143</f>
        <v>4284794.7800000012</v>
      </c>
      <c r="P41" s="12">
        <f>O41+17757.27</f>
        <v>4302552.0500000007</v>
      </c>
      <c r="Q41" s="12">
        <f>P41+51717.65</f>
        <v>4354269.7000000011</v>
      </c>
      <c r="R41" s="12">
        <f>Q41+21607.48</f>
        <v>4375877.1800000016</v>
      </c>
      <c r="S41" s="12">
        <f>R41+9823.25</f>
        <v>4385700.4300000016</v>
      </c>
      <c r="T41" s="12">
        <f>S41+19278.45</f>
        <v>4404978.8800000018</v>
      </c>
      <c r="U41" s="12">
        <f>T41+28882.22</f>
        <v>4433861.1000000015</v>
      </c>
      <c r="V41" s="14">
        <f>U41+181662.74</f>
        <v>4615523.8400000017</v>
      </c>
    </row>
    <row r="42" spans="1:22" s="2" customFormat="1">
      <c r="A42" s="32">
        <v>18601102</v>
      </c>
      <c r="B42" s="9">
        <v>18608112</v>
      </c>
      <c r="C42" s="10" t="s">
        <v>114</v>
      </c>
      <c r="D42" s="569"/>
      <c r="E42" s="574"/>
      <c r="F42" s="576"/>
      <c r="G42" s="72">
        <v>34881722.379999995</v>
      </c>
      <c r="H42" s="12">
        <f>G42</f>
        <v>34881722.379999995</v>
      </c>
      <c r="I42" s="12">
        <f>H42</f>
        <v>34881722.379999995</v>
      </c>
      <c r="J42" s="72">
        <v>34881722.379999995</v>
      </c>
      <c r="K42" s="12">
        <f>J42</f>
        <v>34881722.379999995</v>
      </c>
      <c r="L42" s="12">
        <f t="shared" ref="L42:U42" si="13">K42</f>
        <v>34881722.379999995</v>
      </c>
      <c r="M42" s="12">
        <f t="shared" si="13"/>
        <v>34881722.379999995</v>
      </c>
      <c r="N42" s="12">
        <f t="shared" si="13"/>
        <v>34881722.379999995</v>
      </c>
      <c r="O42" s="12">
        <f t="shared" si="13"/>
        <v>34881722.379999995</v>
      </c>
      <c r="P42" s="12">
        <f t="shared" si="13"/>
        <v>34881722.379999995</v>
      </c>
      <c r="Q42" s="12">
        <f t="shared" si="13"/>
        <v>34881722.379999995</v>
      </c>
      <c r="R42" s="12">
        <f t="shared" si="13"/>
        <v>34881722.379999995</v>
      </c>
      <c r="S42" s="12">
        <f t="shared" si="13"/>
        <v>34881722.379999995</v>
      </c>
      <c r="T42" s="12">
        <f t="shared" si="13"/>
        <v>34881722.379999995</v>
      </c>
      <c r="U42" s="12">
        <f t="shared" si="13"/>
        <v>34881722.379999995</v>
      </c>
      <c r="V42" s="14">
        <f>U42</f>
        <v>34881722.379999995</v>
      </c>
    </row>
    <row r="43" spans="1:22" s="2" customFormat="1">
      <c r="A43" s="32"/>
      <c r="B43" s="40">
        <v>18608112</v>
      </c>
      <c r="C43" s="10" t="s">
        <v>30</v>
      </c>
      <c r="D43" s="126"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38">
        <v>-39029531.229999997</v>
      </c>
    </row>
    <row r="44" spans="1:22" s="2" customFormat="1">
      <c r="A44" s="39"/>
      <c r="B44" s="40"/>
      <c r="C44" s="41" t="s">
        <v>115</v>
      </c>
      <c r="D44" s="59"/>
      <c r="E44" s="118"/>
      <c r="F44" s="127"/>
      <c r="G44" s="21">
        <f t="shared" ref="G44:V44" si="14">SUM(G41:G43)</f>
        <v>39029531.229999997</v>
      </c>
      <c r="H44" s="21">
        <f t="shared" si="14"/>
        <v>39037138.089999996</v>
      </c>
      <c r="I44" s="21">
        <f t="shared" si="14"/>
        <v>39069489.279999994</v>
      </c>
      <c r="J44" s="21">
        <f t="shared" si="14"/>
        <v>39098452.349999994</v>
      </c>
      <c r="K44" s="21">
        <f t="shared" si="14"/>
        <v>39098452.349999994</v>
      </c>
      <c r="L44" s="21">
        <f t="shared" si="14"/>
        <v>39124526.129999995</v>
      </c>
      <c r="M44" s="21">
        <f t="shared" si="14"/>
        <v>39142946.75</v>
      </c>
      <c r="N44" s="21">
        <f t="shared" si="14"/>
        <v>39166374.159999996</v>
      </c>
      <c r="O44" s="21">
        <f t="shared" si="14"/>
        <v>39166517.159999996</v>
      </c>
      <c r="P44" s="21">
        <f t="shared" si="14"/>
        <v>39184274.429999992</v>
      </c>
      <c r="Q44" s="21">
        <f t="shared" si="14"/>
        <v>39235992.079999998</v>
      </c>
      <c r="R44" s="21">
        <f t="shared" si="14"/>
        <v>39257599.559999995</v>
      </c>
      <c r="S44" s="21">
        <f t="shared" si="14"/>
        <v>39267422.809999995</v>
      </c>
      <c r="T44" s="21">
        <f t="shared" si="14"/>
        <v>39286701.259999998</v>
      </c>
      <c r="U44" s="21">
        <f t="shared" si="14"/>
        <v>39315583.479999997</v>
      </c>
      <c r="V44" s="22">
        <f t="shared" si="14"/>
        <v>467714.99000000209</v>
      </c>
    </row>
    <row r="45" spans="1:22" s="50" customFormat="1" ht="11.25">
      <c r="A45" s="43"/>
      <c r="B45" s="44"/>
      <c r="C45" s="25"/>
      <c r="D45" s="45"/>
      <c r="E45" s="70"/>
      <c r="F45" s="70"/>
      <c r="G45" s="47"/>
      <c r="H45" s="48"/>
      <c r="I45" s="48"/>
      <c r="J45" s="28"/>
      <c r="K45" s="49"/>
      <c r="L45" s="49"/>
      <c r="M45" s="28"/>
      <c r="N45" s="49"/>
      <c r="O45" s="49"/>
      <c r="P45" s="28"/>
      <c r="Q45" s="49"/>
      <c r="R45" s="49"/>
      <c r="S45" s="28"/>
      <c r="T45" s="49"/>
      <c r="U45" s="49"/>
      <c r="V45" s="30"/>
    </row>
    <row r="46" spans="1:22" s="2" customFormat="1">
      <c r="A46" s="32">
        <v>18603202</v>
      </c>
      <c r="B46" s="9">
        <v>18609532</v>
      </c>
      <c r="C46" s="10" t="s">
        <v>116</v>
      </c>
      <c r="D46" s="104" t="s">
        <v>92</v>
      </c>
      <c r="E46" s="113"/>
      <c r="F46" s="42"/>
      <c r="G46" s="52">
        <v>436858.74</v>
      </c>
      <c r="H46" s="52">
        <f>G46-181223.3</f>
        <v>255635.44</v>
      </c>
      <c r="I46" s="52">
        <f>H46+194010.96</f>
        <v>449646.4</v>
      </c>
      <c r="J46" s="52">
        <v>479528.95</v>
      </c>
      <c r="K46" s="52">
        <f>J46+3576.66</f>
        <v>483105.61</v>
      </c>
      <c r="L46" s="52">
        <f>K46+15240.37</f>
        <v>498345.98</v>
      </c>
      <c r="M46" s="52">
        <f>L46+32102.37</f>
        <v>530448.35</v>
      </c>
      <c r="N46" s="52">
        <f>M46+21865.13</f>
        <v>552313.48</v>
      </c>
      <c r="O46" s="52">
        <f>N46+22310.63</f>
        <v>574624.11</v>
      </c>
      <c r="P46" s="52">
        <f>O46+47813.9</f>
        <v>622438.01</v>
      </c>
      <c r="Q46" s="52">
        <f>P46+271130.54</f>
        <v>893568.55</v>
      </c>
      <c r="R46" s="52">
        <f>Q46+2849.5</f>
        <v>896418.05</v>
      </c>
      <c r="S46" s="52">
        <f>R46+77464.79</f>
        <v>973882.84000000008</v>
      </c>
      <c r="T46" s="52">
        <f>S46+107236.08</f>
        <v>1081118.9200000002</v>
      </c>
      <c r="U46" s="52">
        <f>T46+249</f>
        <v>1081367.9200000002</v>
      </c>
      <c r="V46" s="53">
        <f>U46+166</f>
        <v>1081533.9200000002</v>
      </c>
    </row>
    <row r="47" spans="1:22" s="2" customFormat="1">
      <c r="A47" s="32"/>
      <c r="B47" s="40">
        <v>18609532</v>
      </c>
      <c r="C47" s="10" t="s">
        <v>30</v>
      </c>
      <c r="D47" s="126"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38">
        <v>-436858.74</v>
      </c>
    </row>
    <row r="48" spans="1:22" s="2" customFormat="1">
      <c r="A48" s="39"/>
      <c r="B48" s="40"/>
      <c r="C48" s="58" t="s">
        <v>117</v>
      </c>
      <c r="D48" s="59"/>
      <c r="E48" s="60"/>
      <c r="F48" s="127"/>
      <c r="G48" s="21">
        <f t="shared" ref="G48:V48" si="15">SUM(G46:G47)</f>
        <v>436858.74</v>
      </c>
      <c r="H48" s="21">
        <f t="shared" si="15"/>
        <v>255635.44</v>
      </c>
      <c r="I48" s="21">
        <f t="shared" si="15"/>
        <v>449646.4</v>
      </c>
      <c r="J48" s="21">
        <f t="shared" si="15"/>
        <v>479528.95</v>
      </c>
      <c r="K48" s="21">
        <f t="shared" si="15"/>
        <v>483105.61</v>
      </c>
      <c r="L48" s="21">
        <f t="shared" si="15"/>
        <v>498345.98</v>
      </c>
      <c r="M48" s="21">
        <f t="shared" si="15"/>
        <v>530448.35</v>
      </c>
      <c r="N48" s="21">
        <f t="shared" si="15"/>
        <v>552313.48</v>
      </c>
      <c r="O48" s="21">
        <f t="shared" si="15"/>
        <v>574624.11</v>
      </c>
      <c r="P48" s="21">
        <f t="shared" si="15"/>
        <v>622438.01</v>
      </c>
      <c r="Q48" s="21">
        <f t="shared" si="15"/>
        <v>893568.55</v>
      </c>
      <c r="R48" s="21">
        <f t="shared" si="15"/>
        <v>896418.05</v>
      </c>
      <c r="S48" s="21">
        <f t="shared" si="15"/>
        <v>973882.84000000008</v>
      </c>
      <c r="T48" s="21">
        <f t="shared" si="15"/>
        <v>1081118.9200000002</v>
      </c>
      <c r="U48" s="21">
        <f t="shared" si="15"/>
        <v>1081367.9200000002</v>
      </c>
      <c r="V48" s="22">
        <f t="shared" si="15"/>
        <v>644675.18000000017</v>
      </c>
    </row>
    <row r="49" spans="1:23" s="50" customFormat="1" ht="11.25">
      <c r="A49" s="43"/>
      <c r="B49" s="44"/>
      <c r="C49" s="25"/>
      <c r="D49" s="45"/>
      <c r="E49" s="70"/>
      <c r="F49" s="70"/>
      <c r="G49" s="47"/>
      <c r="H49" s="48"/>
      <c r="I49" s="48"/>
      <c r="J49" s="28"/>
      <c r="K49" s="49"/>
      <c r="L49" s="49"/>
      <c r="M49" s="28"/>
      <c r="N49" s="49"/>
      <c r="O49" s="49"/>
      <c r="P49" s="28"/>
      <c r="Q49" s="49"/>
      <c r="R49" s="49"/>
      <c r="S49" s="28"/>
      <c r="T49" s="49"/>
      <c r="U49" s="49"/>
      <c r="V49" s="30"/>
    </row>
    <row r="50" spans="1:23" s="2" customFormat="1">
      <c r="A50" s="32">
        <v>18614402</v>
      </c>
      <c r="B50" s="9">
        <v>18609542</v>
      </c>
      <c r="C50" s="10" t="s">
        <v>118</v>
      </c>
      <c r="D50" s="567" t="s">
        <v>92</v>
      </c>
      <c r="E50" s="574"/>
      <c r="F50" s="572"/>
      <c r="G50" s="52">
        <v>1263973.54</v>
      </c>
      <c r="H50" s="52">
        <f>G50</f>
        <v>1263973.54</v>
      </c>
      <c r="I50" s="52">
        <f>H50</f>
        <v>1263973.54</v>
      </c>
      <c r="J50" s="52">
        <v>1265653.31</v>
      </c>
      <c r="K50" s="52">
        <f>J50</f>
        <v>1265653.31</v>
      </c>
      <c r="L50" s="52">
        <f t="shared" ref="L50:U52" si="16">K50</f>
        <v>1265653.31</v>
      </c>
      <c r="M50" s="52">
        <f t="shared" si="16"/>
        <v>1265653.31</v>
      </c>
      <c r="N50" s="52">
        <f t="shared" si="16"/>
        <v>1265653.31</v>
      </c>
      <c r="O50" s="52">
        <f t="shared" si="16"/>
        <v>1265653.31</v>
      </c>
      <c r="P50" s="52">
        <f t="shared" si="16"/>
        <v>1265653.31</v>
      </c>
      <c r="Q50" s="52">
        <f t="shared" si="16"/>
        <v>1265653.31</v>
      </c>
      <c r="R50" s="52">
        <f t="shared" si="16"/>
        <v>1265653.31</v>
      </c>
      <c r="S50" s="52">
        <f t="shared" si="16"/>
        <v>1265653.31</v>
      </c>
      <c r="T50" s="52">
        <f t="shared" si="16"/>
        <v>1265653.31</v>
      </c>
      <c r="U50" s="52">
        <f t="shared" si="16"/>
        <v>1265653.31</v>
      </c>
      <c r="V50" s="53">
        <f>U50+8491.4</f>
        <v>1274144.71</v>
      </c>
    </row>
    <row r="51" spans="1:23" s="2" customFormat="1">
      <c r="A51" s="32"/>
      <c r="B51" s="9">
        <v>18608792</v>
      </c>
      <c r="C51" s="10" t="s">
        <v>119</v>
      </c>
      <c r="D51" s="569"/>
      <c r="E51" s="574"/>
      <c r="F51" s="573"/>
      <c r="G51" s="52">
        <v>-160310.15</v>
      </c>
      <c r="H51" s="52">
        <f>G51</f>
        <v>-160310.15</v>
      </c>
      <c r="I51" s="52">
        <f>H51</f>
        <v>-160310.15</v>
      </c>
      <c r="J51" s="52">
        <v>-160310.15</v>
      </c>
      <c r="K51" s="52">
        <f>J51</f>
        <v>-160310.15</v>
      </c>
      <c r="L51" s="52">
        <f t="shared" si="16"/>
        <v>-160310.15</v>
      </c>
      <c r="M51" s="52">
        <f t="shared" si="16"/>
        <v>-160310.15</v>
      </c>
      <c r="N51" s="52">
        <f t="shared" si="16"/>
        <v>-160310.15</v>
      </c>
      <c r="O51" s="52">
        <f t="shared" si="16"/>
        <v>-160310.15</v>
      </c>
      <c r="P51" s="52">
        <f t="shared" si="16"/>
        <v>-160310.15</v>
      </c>
      <c r="Q51" s="52">
        <f t="shared" si="16"/>
        <v>-160310.15</v>
      </c>
      <c r="R51" s="52">
        <f t="shared" si="16"/>
        <v>-160310.15</v>
      </c>
      <c r="S51" s="52">
        <f t="shared" si="16"/>
        <v>-160310.15</v>
      </c>
      <c r="T51" s="52">
        <f t="shared" si="16"/>
        <v>-160310.15</v>
      </c>
      <c r="U51" s="52">
        <f t="shared" si="16"/>
        <v>-160310.15</v>
      </c>
      <c r="V51" s="53">
        <f>U51</f>
        <v>-160310.15</v>
      </c>
    </row>
    <row r="52" spans="1:23" s="2" customFormat="1">
      <c r="A52" s="32"/>
      <c r="B52" s="9">
        <v>18609542</v>
      </c>
      <c r="C52" s="10" t="s">
        <v>30</v>
      </c>
      <c r="D52" s="567" t="s">
        <v>93</v>
      </c>
      <c r="E52" s="583">
        <v>43070</v>
      </c>
      <c r="F52" s="583" t="s">
        <v>16</v>
      </c>
      <c r="G52" s="52">
        <v>0</v>
      </c>
      <c r="H52" s="52">
        <v>0</v>
      </c>
      <c r="I52" s="52">
        <v>0</v>
      </c>
      <c r="J52" s="52">
        <v>0</v>
      </c>
      <c r="K52" s="52">
        <f t="shared" ref="K52" si="17">J52</f>
        <v>0</v>
      </c>
      <c r="L52" s="52">
        <f t="shared" si="16"/>
        <v>0</v>
      </c>
      <c r="M52" s="52">
        <f t="shared" si="16"/>
        <v>0</v>
      </c>
      <c r="N52" s="52">
        <f t="shared" si="16"/>
        <v>0</v>
      </c>
      <c r="O52" s="52">
        <f t="shared" si="16"/>
        <v>0</v>
      </c>
      <c r="P52" s="52">
        <f t="shared" si="16"/>
        <v>0</v>
      </c>
      <c r="Q52" s="52">
        <f t="shared" si="16"/>
        <v>0</v>
      </c>
      <c r="R52" s="52">
        <f t="shared" si="16"/>
        <v>0</v>
      </c>
      <c r="S52" s="52">
        <f t="shared" si="16"/>
        <v>0</v>
      </c>
      <c r="T52" s="52">
        <f t="shared" si="16"/>
        <v>0</v>
      </c>
      <c r="U52" s="52">
        <f t="shared" si="16"/>
        <v>0</v>
      </c>
      <c r="V52" s="53">
        <v>-1263973.54</v>
      </c>
    </row>
    <row r="53" spans="1:23" s="2" customFormat="1">
      <c r="A53" s="32"/>
      <c r="B53" s="9">
        <v>18608792</v>
      </c>
      <c r="C53" s="10" t="s">
        <v>30</v>
      </c>
      <c r="D53" s="57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38">
        <v>160310.15</v>
      </c>
      <c r="W53" s="63"/>
    </row>
    <row r="54" spans="1:23" s="2" customFormat="1">
      <c r="A54" s="39"/>
      <c r="B54" s="40"/>
      <c r="C54" s="58" t="s">
        <v>120</v>
      </c>
      <c r="D54" s="59"/>
      <c r="E54" s="60"/>
      <c r="F54" s="127"/>
      <c r="G54" s="21">
        <f t="shared" ref="G54:V54" si="18">SUM(G50:G53)</f>
        <v>1103663.3900000001</v>
      </c>
      <c r="H54" s="21">
        <f t="shared" si="18"/>
        <v>1103663.3900000001</v>
      </c>
      <c r="I54" s="21">
        <f t="shared" si="18"/>
        <v>1103663.3900000001</v>
      </c>
      <c r="J54" s="21">
        <f t="shared" si="18"/>
        <v>1105343.1600000001</v>
      </c>
      <c r="K54" s="21">
        <f t="shared" si="18"/>
        <v>1105343.1600000001</v>
      </c>
      <c r="L54" s="21">
        <f t="shared" si="18"/>
        <v>1105343.1600000001</v>
      </c>
      <c r="M54" s="21">
        <f t="shared" si="18"/>
        <v>1105343.1600000001</v>
      </c>
      <c r="N54" s="21">
        <f t="shared" si="18"/>
        <v>1105343.1600000001</v>
      </c>
      <c r="O54" s="21">
        <f t="shared" si="18"/>
        <v>1105343.1600000001</v>
      </c>
      <c r="P54" s="21">
        <f t="shared" si="18"/>
        <v>1105343.1600000001</v>
      </c>
      <c r="Q54" s="21">
        <f t="shared" si="18"/>
        <v>1105343.1600000001</v>
      </c>
      <c r="R54" s="21">
        <f t="shared" si="18"/>
        <v>1105343.1600000001</v>
      </c>
      <c r="S54" s="21">
        <f t="shared" si="18"/>
        <v>1105343.1600000001</v>
      </c>
      <c r="T54" s="21">
        <f t="shared" si="18"/>
        <v>1105343.1600000001</v>
      </c>
      <c r="U54" s="21">
        <f t="shared" si="18"/>
        <v>1105343.1600000001</v>
      </c>
      <c r="V54" s="22">
        <f t="shared" si="18"/>
        <v>10171.170000000013</v>
      </c>
    </row>
    <row r="55" spans="1:23" s="50" customFormat="1" ht="11.25">
      <c r="A55" s="43"/>
      <c r="B55" s="44"/>
      <c r="C55" s="25"/>
      <c r="D55" s="45"/>
      <c r="E55" s="70"/>
      <c r="F55" s="70"/>
      <c r="G55" s="47"/>
      <c r="H55" s="48"/>
      <c r="I55" s="48"/>
      <c r="J55" s="28"/>
      <c r="K55" s="49"/>
      <c r="L55" s="49"/>
      <c r="M55" s="28"/>
      <c r="N55" s="49"/>
      <c r="O55" s="49"/>
      <c r="P55" s="28"/>
      <c r="Q55" s="49"/>
      <c r="R55" s="49"/>
      <c r="S55" s="28"/>
      <c r="T55" s="49"/>
      <c r="U55" s="49"/>
      <c r="V55" s="30"/>
    </row>
    <row r="56" spans="1:23" s="2" customFormat="1">
      <c r="A56" s="32">
        <v>18608302</v>
      </c>
      <c r="B56" s="9">
        <v>18608752</v>
      </c>
      <c r="C56" s="10" t="s">
        <v>121</v>
      </c>
      <c r="D56" s="567" t="s">
        <v>92</v>
      </c>
      <c r="E56" s="574"/>
      <c r="F56" s="572"/>
      <c r="G56" s="52">
        <v>2050122.67</v>
      </c>
      <c r="H56" s="52">
        <f>G56</f>
        <v>2050122.67</v>
      </c>
      <c r="I56" s="52">
        <f>H56</f>
        <v>2050122.67</v>
      </c>
      <c r="J56" s="52">
        <v>2050122.67</v>
      </c>
      <c r="K56" s="52">
        <f>J56</f>
        <v>2050122.67</v>
      </c>
      <c r="L56" s="52">
        <f t="shared" ref="L56:V57" si="19">K56</f>
        <v>2050122.67</v>
      </c>
      <c r="M56" s="52">
        <f t="shared" si="19"/>
        <v>2050122.67</v>
      </c>
      <c r="N56" s="52">
        <f t="shared" si="19"/>
        <v>2050122.67</v>
      </c>
      <c r="O56" s="52">
        <f t="shared" si="19"/>
        <v>2050122.67</v>
      </c>
      <c r="P56" s="52">
        <f t="shared" si="19"/>
        <v>2050122.67</v>
      </c>
      <c r="Q56" s="52">
        <f t="shared" si="19"/>
        <v>2050122.67</v>
      </c>
      <c r="R56" s="52">
        <f t="shared" si="19"/>
        <v>2050122.67</v>
      </c>
      <c r="S56" s="52">
        <f t="shared" si="19"/>
        <v>2050122.67</v>
      </c>
      <c r="T56" s="52">
        <f t="shared" si="19"/>
        <v>2050122.67</v>
      </c>
      <c r="U56" s="52">
        <f t="shared" si="19"/>
        <v>2050122.67</v>
      </c>
      <c r="V56" s="53">
        <f t="shared" si="19"/>
        <v>2050122.67</v>
      </c>
    </row>
    <row r="57" spans="1:23" s="2" customFormat="1">
      <c r="A57" s="32"/>
      <c r="B57" s="9">
        <v>18608752</v>
      </c>
      <c r="C57" s="10" t="s">
        <v>122</v>
      </c>
      <c r="D57" s="569"/>
      <c r="E57" s="574"/>
      <c r="F57" s="573"/>
      <c r="G57" s="52">
        <v>-1114592.67</v>
      </c>
      <c r="H57" s="52">
        <f>G57</f>
        <v>-1114592.67</v>
      </c>
      <c r="I57" s="52">
        <f>H57</f>
        <v>-1114592.67</v>
      </c>
      <c r="J57" s="52">
        <v>-1114592.67</v>
      </c>
      <c r="K57" s="52">
        <f>J57</f>
        <v>-1114592.67</v>
      </c>
      <c r="L57" s="52">
        <f t="shared" si="19"/>
        <v>-1114592.67</v>
      </c>
      <c r="M57" s="52">
        <f t="shared" si="19"/>
        <v>-1114592.67</v>
      </c>
      <c r="N57" s="52">
        <f t="shared" si="19"/>
        <v>-1114592.67</v>
      </c>
      <c r="O57" s="52">
        <f t="shared" si="19"/>
        <v>-1114592.67</v>
      </c>
      <c r="P57" s="52">
        <f t="shared" si="19"/>
        <v>-1114592.67</v>
      </c>
      <c r="Q57" s="52">
        <f t="shared" si="19"/>
        <v>-1114592.67</v>
      </c>
      <c r="R57" s="52">
        <f t="shared" si="19"/>
        <v>-1114592.67</v>
      </c>
      <c r="S57" s="52">
        <f t="shared" si="19"/>
        <v>-1114592.67</v>
      </c>
      <c r="T57" s="52">
        <f t="shared" si="19"/>
        <v>-1114592.67</v>
      </c>
      <c r="U57" s="52">
        <f t="shared" si="19"/>
        <v>-1114592.67</v>
      </c>
      <c r="V57" s="53">
        <f t="shared" si="19"/>
        <v>-1114592.67</v>
      </c>
    </row>
    <row r="58" spans="1:23" s="2" customFormat="1">
      <c r="A58" s="32"/>
      <c r="B58" s="9">
        <v>18608752</v>
      </c>
      <c r="C58" s="10" t="s">
        <v>30</v>
      </c>
      <c r="D58" s="126"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38">
        <v>-935530</v>
      </c>
    </row>
    <row r="59" spans="1:23" s="2" customFormat="1">
      <c r="A59" s="39"/>
      <c r="B59" s="40"/>
      <c r="C59" s="58" t="s">
        <v>123</v>
      </c>
      <c r="D59" s="59"/>
      <c r="E59" s="60"/>
      <c r="F59" s="127"/>
      <c r="G59" s="21">
        <f t="shared" ref="G59:V59" si="20">SUM(G56:G58)</f>
        <v>935530</v>
      </c>
      <c r="H59" s="21">
        <f t="shared" si="20"/>
        <v>935530</v>
      </c>
      <c r="I59" s="21">
        <f t="shared" si="20"/>
        <v>935530</v>
      </c>
      <c r="J59" s="21">
        <f t="shared" si="20"/>
        <v>935530</v>
      </c>
      <c r="K59" s="21">
        <f t="shared" si="20"/>
        <v>935530</v>
      </c>
      <c r="L59" s="21">
        <f t="shared" si="20"/>
        <v>935530</v>
      </c>
      <c r="M59" s="21">
        <f t="shared" si="20"/>
        <v>935530</v>
      </c>
      <c r="N59" s="21">
        <f t="shared" si="20"/>
        <v>935530</v>
      </c>
      <c r="O59" s="21">
        <f t="shared" si="20"/>
        <v>935530</v>
      </c>
      <c r="P59" s="21">
        <f t="shared" si="20"/>
        <v>935530</v>
      </c>
      <c r="Q59" s="21">
        <f t="shared" si="20"/>
        <v>935530</v>
      </c>
      <c r="R59" s="21">
        <f t="shared" si="20"/>
        <v>935530</v>
      </c>
      <c r="S59" s="21">
        <f t="shared" si="20"/>
        <v>935530</v>
      </c>
      <c r="T59" s="21">
        <f t="shared" si="20"/>
        <v>935530</v>
      </c>
      <c r="U59" s="21">
        <f t="shared" si="20"/>
        <v>935530</v>
      </c>
      <c r="V59" s="22">
        <f t="shared" si="20"/>
        <v>0</v>
      </c>
    </row>
    <row r="60" spans="1:23" s="50" customFormat="1" ht="11.25">
      <c r="A60" s="43"/>
      <c r="B60" s="44"/>
      <c r="C60" s="25"/>
      <c r="D60" s="45"/>
      <c r="E60" s="70"/>
      <c r="F60" s="70"/>
      <c r="G60" s="47"/>
      <c r="H60" s="48"/>
      <c r="I60" s="48"/>
      <c r="J60" s="28"/>
      <c r="K60" s="49"/>
      <c r="L60" s="49"/>
      <c r="M60" s="28"/>
      <c r="N60" s="49"/>
      <c r="O60" s="49"/>
      <c r="P60" s="28"/>
      <c r="Q60" s="49"/>
      <c r="R60" s="49"/>
      <c r="S60" s="28"/>
      <c r="T60" s="49"/>
      <c r="U60" s="49"/>
      <c r="V60" s="30"/>
    </row>
    <row r="61" spans="1:23" s="2" customFormat="1">
      <c r="A61" s="32">
        <v>18607104</v>
      </c>
      <c r="B61" s="9">
        <v>18608002</v>
      </c>
      <c r="C61" s="10" t="s">
        <v>124</v>
      </c>
      <c r="D61" s="104" t="s">
        <v>92</v>
      </c>
      <c r="E61" s="113"/>
      <c r="F61" s="42"/>
      <c r="G61" s="52">
        <v>518202.47000000003</v>
      </c>
      <c r="H61" s="52">
        <f>G61+102328</f>
        <v>620530.47</v>
      </c>
      <c r="I61" s="52">
        <f>H61</f>
        <v>620530.47</v>
      </c>
      <c r="J61" s="52">
        <v>628937.45000000007</v>
      </c>
      <c r="K61" s="52">
        <f>J61+37123.95</f>
        <v>666061.4</v>
      </c>
      <c r="L61" s="52">
        <f>K61+1584.89</f>
        <v>667646.29</v>
      </c>
      <c r="M61" s="52">
        <f>L61+854.61</f>
        <v>668500.9</v>
      </c>
      <c r="N61" s="52">
        <f>M61</f>
        <v>668500.9</v>
      </c>
      <c r="O61" s="52">
        <f>N61+57600.19</f>
        <v>726101.09000000008</v>
      </c>
      <c r="P61" s="52">
        <f>O61+2680.5</f>
        <v>728781.59000000008</v>
      </c>
      <c r="Q61" s="52">
        <f>P61+14186.35</f>
        <v>742967.94000000006</v>
      </c>
      <c r="R61" s="52">
        <f>Q61+1430</f>
        <v>744397.94000000006</v>
      </c>
      <c r="S61" s="52">
        <f>R61+322.5</f>
        <v>744720.44000000006</v>
      </c>
      <c r="T61" s="52">
        <f t="shared" ref="T61" si="21">S61</f>
        <v>744720.44000000006</v>
      </c>
      <c r="U61" s="52">
        <f>T61+18671.58</f>
        <v>763392.02</v>
      </c>
      <c r="V61" s="53">
        <f>U61+7486.39</f>
        <v>770878.41</v>
      </c>
    </row>
    <row r="62" spans="1:23" s="2" customFormat="1">
      <c r="A62" s="32"/>
      <c r="B62" s="9">
        <v>18608002</v>
      </c>
      <c r="C62" s="10" t="s">
        <v>30</v>
      </c>
      <c r="D62" s="126"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38">
        <f>-518202.47</f>
        <v>-518202.47</v>
      </c>
    </row>
    <row r="63" spans="1:23" s="2" customFormat="1">
      <c r="A63" s="39"/>
      <c r="B63" s="40"/>
      <c r="C63" s="58" t="s">
        <v>125</v>
      </c>
      <c r="D63" s="59"/>
      <c r="E63" s="60"/>
      <c r="F63" s="127"/>
      <c r="G63" s="21">
        <f t="shared" ref="G63:V63" si="22">SUM(G61:G62)</f>
        <v>518202.47000000003</v>
      </c>
      <c r="H63" s="21">
        <f t="shared" si="22"/>
        <v>620530.47</v>
      </c>
      <c r="I63" s="21">
        <f t="shared" si="22"/>
        <v>620530.47</v>
      </c>
      <c r="J63" s="21">
        <f t="shared" si="22"/>
        <v>628937.45000000007</v>
      </c>
      <c r="K63" s="21">
        <f t="shared" si="22"/>
        <v>666061.4</v>
      </c>
      <c r="L63" s="21">
        <f t="shared" si="22"/>
        <v>667646.29</v>
      </c>
      <c r="M63" s="21">
        <f t="shared" si="22"/>
        <v>668500.9</v>
      </c>
      <c r="N63" s="21">
        <f t="shared" si="22"/>
        <v>668500.9</v>
      </c>
      <c r="O63" s="21">
        <f t="shared" si="22"/>
        <v>726101.09000000008</v>
      </c>
      <c r="P63" s="21">
        <f t="shared" si="22"/>
        <v>728781.59000000008</v>
      </c>
      <c r="Q63" s="21">
        <f t="shared" si="22"/>
        <v>742967.94000000006</v>
      </c>
      <c r="R63" s="21">
        <f t="shared" si="22"/>
        <v>744397.94000000006</v>
      </c>
      <c r="S63" s="21">
        <f t="shared" si="22"/>
        <v>744720.44000000006</v>
      </c>
      <c r="T63" s="21">
        <f t="shared" si="22"/>
        <v>744720.44000000006</v>
      </c>
      <c r="U63" s="21">
        <f t="shared" si="22"/>
        <v>763392.02</v>
      </c>
      <c r="V63" s="22">
        <f t="shared" si="22"/>
        <v>252675.94000000006</v>
      </c>
    </row>
    <row r="64" spans="1:23" s="50" customFormat="1" ht="11.25">
      <c r="A64" s="43"/>
      <c r="B64" s="44"/>
      <c r="C64" s="25"/>
      <c r="D64" s="45"/>
      <c r="E64" s="70"/>
      <c r="F64" s="70"/>
      <c r="G64" s="47"/>
      <c r="H64" s="48"/>
      <c r="I64" s="48"/>
      <c r="J64" s="28"/>
      <c r="K64" s="49"/>
      <c r="L64" s="49"/>
      <c r="M64" s="28"/>
      <c r="N64" s="49"/>
      <c r="O64" s="49"/>
      <c r="P64" s="28"/>
      <c r="Q64" s="49"/>
      <c r="R64" s="49"/>
      <c r="S64" s="67"/>
      <c r="T64" s="49"/>
      <c r="U64" s="49"/>
      <c r="V64" s="30"/>
    </row>
    <row r="65" spans="1:24" s="2" customFormat="1">
      <c r="A65" s="32">
        <v>18230212</v>
      </c>
      <c r="B65" s="9">
        <v>18237112</v>
      </c>
      <c r="C65" s="10" t="s">
        <v>126</v>
      </c>
      <c r="D65" s="104" t="s">
        <v>92</v>
      </c>
      <c r="E65" s="113"/>
      <c r="F65" s="42"/>
      <c r="G65" s="12">
        <v>289121.19</v>
      </c>
      <c r="H65" s="12">
        <f>G65+2929.3</f>
        <v>292050.49</v>
      </c>
      <c r="I65" s="12">
        <f>H65+425.1</f>
        <v>292475.58999999997</v>
      </c>
      <c r="J65" s="12">
        <v>294228.84000000003</v>
      </c>
      <c r="K65" s="12">
        <f>J65</f>
        <v>294228.84000000003</v>
      </c>
      <c r="L65" s="12">
        <f t="shared" ref="L65:V66" si="23">K65</f>
        <v>294228.84000000003</v>
      </c>
      <c r="M65" s="12">
        <f t="shared" si="23"/>
        <v>294228.84000000003</v>
      </c>
      <c r="N65" s="12">
        <f t="shared" si="23"/>
        <v>294228.84000000003</v>
      </c>
      <c r="O65" s="12">
        <f t="shared" si="23"/>
        <v>294228.84000000003</v>
      </c>
      <c r="P65" s="12">
        <f t="shared" si="23"/>
        <v>294228.84000000003</v>
      </c>
      <c r="Q65" s="12">
        <f t="shared" si="23"/>
        <v>294228.84000000003</v>
      </c>
      <c r="R65" s="12">
        <f t="shared" si="23"/>
        <v>294228.84000000003</v>
      </c>
      <c r="S65" s="12">
        <f t="shared" si="23"/>
        <v>294228.84000000003</v>
      </c>
      <c r="T65" s="12">
        <f t="shared" si="23"/>
        <v>294228.84000000003</v>
      </c>
      <c r="U65" s="12">
        <f t="shared" si="23"/>
        <v>294228.84000000003</v>
      </c>
      <c r="V65" s="14">
        <f t="shared" si="23"/>
        <v>294228.84000000003</v>
      </c>
    </row>
    <row r="66" spans="1:24" s="2" customFormat="1">
      <c r="A66" s="32"/>
      <c r="B66" s="9">
        <v>18237112</v>
      </c>
      <c r="C66" s="68" t="s">
        <v>30</v>
      </c>
      <c r="D66" s="126" t="s">
        <v>93</v>
      </c>
      <c r="E66" s="16">
        <v>43070</v>
      </c>
      <c r="F66" s="99" t="s">
        <v>16</v>
      </c>
      <c r="G66" s="17">
        <v>0</v>
      </c>
      <c r="H66" s="17">
        <v>0</v>
      </c>
      <c r="I66" s="17">
        <v>0</v>
      </c>
      <c r="J66" s="17">
        <v>0</v>
      </c>
      <c r="K66" s="17">
        <v>0</v>
      </c>
      <c r="L66" s="17">
        <f t="shared" si="23"/>
        <v>0</v>
      </c>
      <c r="M66" s="17">
        <f t="shared" si="23"/>
        <v>0</v>
      </c>
      <c r="N66" s="17">
        <f t="shared" si="23"/>
        <v>0</v>
      </c>
      <c r="O66" s="17">
        <f t="shared" si="23"/>
        <v>0</v>
      </c>
      <c r="P66" s="17">
        <f t="shared" si="23"/>
        <v>0</v>
      </c>
      <c r="Q66" s="17">
        <f t="shared" si="23"/>
        <v>0</v>
      </c>
      <c r="R66" s="17">
        <f t="shared" si="23"/>
        <v>0</v>
      </c>
      <c r="S66" s="17">
        <f t="shared" si="23"/>
        <v>0</v>
      </c>
      <c r="T66" s="17">
        <f t="shared" si="23"/>
        <v>0</v>
      </c>
      <c r="U66" s="17">
        <f t="shared" si="23"/>
        <v>0</v>
      </c>
      <c r="V66" s="18">
        <v>-289121.19</v>
      </c>
    </row>
    <row r="67" spans="1:24" s="2" customFormat="1">
      <c r="A67" s="32"/>
      <c r="B67" s="9"/>
      <c r="C67" s="69" t="s">
        <v>127</v>
      </c>
      <c r="D67" s="54"/>
      <c r="E67" s="60"/>
      <c r="F67" s="127"/>
      <c r="G67" s="21">
        <f t="shared" ref="G67:V67" si="24">SUM(G65:G66)</f>
        <v>289121.19</v>
      </c>
      <c r="H67" s="21">
        <f t="shared" si="24"/>
        <v>292050.49</v>
      </c>
      <c r="I67" s="21">
        <f t="shared" si="24"/>
        <v>292475.58999999997</v>
      </c>
      <c r="J67" s="21">
        <f t="shared" si="24"/>
        <v>294228.84000000003</v>
      </c>
      <c r="K67" s="21">
        <f t="shared" si="24"/>
        <v>294228.84000000003</v>
      </c>
      <c r="L67" s="21">
        <f t="shared" si="24"/>
        <v>294228.84000000003</v>
      </c>
      <c r="M67" s="21">
        <f t="shared" si="24"/>
        <v>294228.84000000003</v>
      </c>
      <c r="N67" s="21">
        <f t="shared" si="24"/>
        <v>294228.84000000003</v>
      </c>
      <c r="O67" s="21">
        <f t="shared" si="24"/>
        <v>294228.84000000003</v>
      </c>
      <c r="P67" s="21">
        <f t="shared" si="24"/>
        <v>294228.84000000003</v>
      </c>
      <c r="Q67" s="21">
        <f t="shared" si="24"/>
        <v>294228.84000000003</v>
      </c>
      <c r="R67" s="21">
        <f t="shared" si="24"/>
        <v>294228.84000000003</v>
      </c>
      <c r="S67" s="21">
        <f t="shared" si="24"/>
        <v>294228.84000000003</v>
      </c>
      <c r="T67" s="21">
        <f t="shared" si="24"/>
        <v>294228.84000000003</v>
      </c>
      <c r="U67" s="21">
        <f t="shared" si="24"/>
        <v>294228.84000000003</v>
      </c>
      <c r="V67" s="22">
        <f t="shared" si="24"/>
        <v>5107.6500000000233</v>
      </c>
    </row>
    <row r="68" spans="1:24" s="50" customFormat="1" ht="11.25">
      <c r="A68" s="43"/>
      <c r="B68" s="44"/>
      <c r="C68" s="25"/>
      <c r="D68" s="45"/>
      <c r="E68" s="70"/>
      <c r="F68" s="128"/>
      <c r="G68" s="47"/>
      <c r="H68" s="48"/>
      <c r="I68" s="48"/>
      <c r="J68" s="28"/>
      <c r="K68" s="49"/>
      <c r="L68" s="49"/>
      <c r="M68" s="28"/>
      <c r="N68" s="49"/>
      <c r="O68" s="49"/>
      <c r="P68" s="28"/>
      <c r="Q68" s="49"/>
      <c r="R68" s="49"/>
      <c r="S68" s="28"/>
      <c r="T68" s="49"/>
      <c r="U68" s="49"/>
      <c r="V68" s="30"/>
    </row>
    <row r="69" spans="1:24" s="2" customFormat="1">
      <c r="A69" s="32"/>
      <c r="B69" s="9">
        <v>18237122</v>
      </c>
      <c r="C69" s="10" t="s">
        <v>128</v>
      </c>
      <c r="D69" s="129" t="s">
        <v>92</v>
      </c>
      <c r="E69" s="130" t="s">
        <v>129</v>
      </c>
      <c r="F69" s="131"/>
      <c r="G69" s="12">
        <v>169602.13</v>
      </c>
      <c r="H69" s="51">
        <f>G69</f>
        <v>169602.13</v>
      </c>
      <c r="I69" s="51">
        <f>H69</f>
        <v>169602.13</v>
      </c>
      <c r="J69" s="12">
        <v>169602.13</v>
      </c>
      <c r="K69" s="12">
        <f>J69</f>
        <v>169602.13</v>
      </c>
      <c r="L69" s="12">
        <f>K69</f>
        <v>169602.13</v>
      </c>
      <c r="M69" s="12">
        <f t="shared" ref="M69:V70" si="25">L69</f>
        <v>169602.13</v>
      </c>
      <c r="N69" s="12">
        <f t="shared" si="25"/>
        <v>169602.13</v>
      </c>
      <c r="O69" s="12">
        <f t="shared" si="25"/>
        <v>169602.13</v>
      </c>
      <c r="P69" s="12">
        <f t="shared" si="25"/>
        <v>169602.13</v>
      </c>
      <c r="Q69" s="12">
        <f t="shared" si="25"/>
        <v>169602.13</v>
      </c>
      <c r="R69" s="12">
        <f t="shared" si="25"/>
        <v>169602.13</v>
      </c>
      <c r="S69" s="12">
        <f t="shared" si="25"/>
        <v>169602.13</v>
      </c>
      <c r="T69" s="12">
        <f t="shared" si="25"/>
        <v>169602.13</v>
      </c>
      <c r="U69" s="12">
        <f t="shared" si="25"/>
        <v>169602.13</v>
      </c>
      <c r="V69" s="14">
        <f t="shared" si="25"/>
        <v>169602.13</v>
      </c>
    </row>
    <row r="70" spans="1:24" s="2" customFormat="1">
      <c r="A70" s="32"/>
      <c r="B70" s="9">
        <v>18237122</v>
      </c>
      <c r="C70" s="68" t="s">
        <v>30</v>
      </c>
      <c r="D70" s="126" t="s">
        <v>93</v>
      </c>
      <c r="E70" s="132">
        <v>43070</v>
      </c>
      <c r="F70" s="133" t="s">
        <v>16</v>
      </c>
      <c r="G70" s="37">
        <v>0</v>
      </c>
      <c r="H70" s="37">
        <v>0</v>
      </c>
      <c r="I70" s="37">
        <v>0</v>
      </c>
      <c r="J70" s="37">
        <v>0</v>
      </c>
      <c r="K70" s="17">
        <v>0</v>
      </c>
      <c r="L70" s="17">
        <f t="shared" ref="L70" si="26">K70</f>
        <v>0</v>
      </c>
      <c r="M70" s="17">
        <f t="shared" si="25"/>
        <v>0</v>
      </c>
      <c r="N70" s="17">
        <f t="shared" si="25"/>
        <v>0</v>
      </c>
      <c r="O70" s="17">
        <f t="shared" si="25"/>
        <v>0</v>
      </c>
      <c r="P70" s="17">
        <f t="shared" si="25"/>
        <v>0</v>
      </c>
      <c r="Q70" s="17">
        <f t="shared" si="25"/>
        <v>0</v>
      </c>
      <c r="R70" s="17">
        <f t="shared" si="25"/>
        <v>0</v>
      </c>
      <c r="S70" s="17">
        <f t="shared" si="25"/>
        <v>0</v>
      </c>
      <c r="T70" s="17">
        <f t="shared" si="25"/>
        <v>0</v>
      </c>
      <c r="U70" s="17">
        <f t="shared" si="25"/>
        <v>0</v>
      </c>
      <c r="V70" s="18">
        <v>-169602.13</v>
      </c>
    </row>
    <row r="71" spans="1:24" s="2" customFormat="1">
      <c r="A71" s="32"/>
      <c r="B71" s="9"/>
      <c r="C71" s="69" t="s">
        <v>130</v>
      </c>
      <c r="D71" s="54"/>
      <c r="E71" s="60"/>
      <c r="F71" s="109"/>
      <c r="G71" s="56">
        <f t="shared" ref="G71:I71" si="27">SUM(G69:G70)</f>
        <v>169602.13</v>
      </c>
      <c r="H71" s="56">
        <f t="shared" si="27"/>
        <v>169602.13</v>
      </c>
      <c r="I71" s="56">
        <f t="shared" si="27"/>
        <v>169602.13</v>
      </c>
      <c r="J71" s="56">
        <f t="shared" ref="J71:V71" si="28">SUM(J69:J70)</f>
        <v>169602.13</v>
      </c>
      <c r="K71" s="56">
        <f t="shared" si="28"/>
        <v>169602.13</v>
      </c>
      <c r="L71" s="56">
        <f t="shared" si="28"/>
        <v>169602.13</v>
      </c>
      <c r="M71" s="56">
        <f t="shared" si="28"/>
        <v>169602.13</v>
      </c>
      <c r="N71" s="56">
        <f t="shared" si="28"/>
        <v>169602.13</v>
      </c>
      <c r="O71" s="56">
        <f t="shared" si="28"/>
        <v>169602.13</v>
      </c>
      <c r="P71" s="56">
        <f t="shared" si="28"/>
        <v>169602.13</v>
      </c>
      <c r="Q71" s="56">
        <f t="shared" si="28"/>
        <v>169602.13</v>
      </c>
      <c r="R71" s="56">
        <f t="shared" si="28"/>
        <v>169602.13</v>
      </c>
      <c r="S71" s="56">
        <f t="shared" si="28"/>
        <v>169602.13</v>
      </c>
      <c r="T71" s="56">
        <f t="shared" si="28"/>
        <v>169602.13</v>
      </c>
      <c r="U71" s="56">
        <f t="shared" si="28"/>
        <v>169602.13</v>
      </c>
      <c r="V71" s="57">
        <f t="shared" si="28"/>
        <v>0</v>
      </c>
    </row>
    <row r="72" spans="1:24" s="50" customFormat="1" ht="11.25">
      <c r="A72" s="43"/>
      <c r="B72" s="44"/>
      <c r="C72" s="25"/>
      <c r="D72" s="45"/>
      <c r="E72" s="70"/>
      <c r="F72" s="70"/>
      <c r="G72" s="47"/>
      <c r="H72" s="48"/>
      <c r="I72" s="48"/>
      <c r="J72" s="28"/>
      <c r="K72" s="49"/>
      <c r="L72" s="49"/>
      <c r="M72" s="28"/>
      <c r="N72" s="49"/>
      <c r="O72" s="49"/>
      <c r="P72" s="28"/>
      <c r="Q72" s="49"/>
      <c r="R72" s="49"/>
      <c r="S72" s="67"/>
      <c r="T72" s="49"/>
      <c r="U72" s="49"/>
      <c r="V72" s="30"/>
    </row>
    <row r="73" spans="1:24" s="2" customFormat="1" ht="17.45" customHeight="1">
      <c r="A73" s="32"/>
      <c r="B73" s="9">
        <v>18237132</v>
      </c>
      <c r="C73" s="10" t="s">
        <v>131</v>
      </c>
      <c r="D73" s="129" t="s">
        <v>92</v>
      </c>
      <c r="E73" s="130" t="s">
        <v>129</v>
      </c>
      <c r="F73" s="131"/>
      <c r="G73" s="52">
        <v>133750.43</v>
      </c>
      <c r="H73" s="51">
        <f>G73</f>
        <v>133750.43</v>
      </c>
      <c r="I73" s="51">
        <f>H73</f>
        <v>133750.43</v>
      </c>
      <c r="J73" s="52">
        <v>133750.43</v>
      </c>
      <c r="K73" s="52">
        <f>J73</f>
        <v>133750.43</v>
      </c>
      <c r="L73" s="52">
        <f t="shared" ref="L73:V74" si="29">K73</f>
        <v>133750.43</v>
      </c>
      <c r="M73" s="52">
        <f t="shared" si="29"/>
        <v>133750.43</v>
      </c>
      <c r="N73" s="52">
        <f t="shared" si="29"/>
        <v>133750.43</v>
      </c>
      <c r="O73" s="52">
        <f t="shared" si="29"/>
        <v>133750.43</v>
      </c>
      <c r="P73" s="52">
        <f t="shared" si="29"/>
        <v>133750.43</v>
      </c>
      <c r="Q73" s="52">
        <f t="shared" si="29"/>
        <v>133750.43</v>
      </c>
      <c r="R73" s="52">
        <f t="shared" si="29"/>
        <v>133750.43</v>
      </c>
      <c r="S73" s="52">
        <f t="shared" si="29"/>
        <v>133750.43</v>
      </c>
      <c r="T73" s="52">
        <f t="shared" si="29"/>
        <v>133750.43</v>
      </c>
      <c r="U73" s="52">
        <f t="shared" si="29"/>
        <v>133750.43</v>
      </c>
      <c r="V73" s="53">
        <f t="shared" si="29"/>
        <v>133750.43</v>
      </c>
    </row>
    <row r="74" spans="1:24" s="2" customFormat="1">
      <c r="A74" s="32"/>
      <c r="B74" s="9">
        <v>18237132</v>
      </c>
      <c r="C74" s="68" t="s">
        <v>30</v>
      </c>
      <c r="D74" s="126" t="s">
        <v>93</v>
      </c>
      <c r="E74" s="16">
        <v>43070</v>
      </c>
      <c r="F74" s="99" t="s">
        <v>16</v>
      </c>
      <c r="G74" s="37">
        <v>0</v>
      </c>
      <c r="H74" s="37">
        <v>0</v>
      </c>
      <c r="I74" s="37">
        <v>0</v>
      </c>
      <c r="J74" s="37">
        <v>0</v>
      </c>
      <c r="K74" s="17">
        <v>0</v>
      </c>
      <c r="L74" s="17">
        <f t="shared" si="29"/>
        <v>0</v>
      </c>
      <c r="M74" s="17">
        <f t="shared" si="29"/>
        <v>0</v>
      </c>
      <c r="N74" s="17">
        <f t="shared" si="29"/>
        <v>0</v>
      </c>
      <c r="O74" s="17">
        <f t="shared" si="29"/>
        <v>0</v>
      </c>
      <c r="P74" s="17">
        <f t="shared" si="29"/>
        <v>0</v>
      </c>
      <c r="Q74" s="17">
        <f t="shared" si="29"/>
        <v>0</v>
      </c>
      <c r="R74" s="17">
        <f t="shared" si="29"/>
        <v>0</v>
      </c>
      <c r="S74" s="17">
        <f t="shared" si="29"/>
        <v>0</v>
      </c>
      <c r="T74" s="17">
        <f t="shared" si="29"/>
        <v>0</v>
      </c>
      <c r="U74" s="17">
        <f t="shared" si="29"/>
        <v>0</v>
      </c>
      <c r="V74" s="18">
        <v>-133750.43</v>
      </c>
    </row>
    <row r="75" spans="1:24" s="2" customFormat="1">
      <c r="A75" s="32"/>
      <c r="B75" s="9"/>
      <c r="C75" s="69" t="s">
        <v>132</v>
      </c>
      <c r="D75" s="74"/>
      <c r="E75" s="60"/>
      <c r="F75" s="109"/>
      <c r="G75" s="56">
        <f>SUM(G73:G74)</f>
        <v>133750.43</v>
      </c>
      <c r="H75" s="56">
        <f t="shared" ref="H75:I75" si="30">SUM(H73:H74)</f>
        <v>133750.43</v>
      </c>
      <c r="I75" s="56">
        <f t="shared" si="30"/>
        <v>133750.43</v>
      </c>
      <c r="J75" s="56">
        <f>SUM(J73:J74)</f>
        <v>133750.43</v>
      </c>
      <c r="K75" s="56">
        <f t="shared" ref="K75:V75" si="31">SUM(K73:K74)</f>
        <v>133750.43</v>
      </c>
      <c r="L75" s="56">
        <f t="shared" si="31"/>
        <v>133750.43</v>
      </c>
      <c r="M75" s="56">
        <f t="shared" si="31"/>
        <v>133750.43</v>
      </c>
      <c r="N75" s="56">
        <f t="shared" si="31"/>
        <v>133750.43</v>
      </c>
      <c r="O75" s="56">
        <f t="shared" si="31"/>
        <v>133750.43</v>
      </c>
      <c r="P75" s="56">
        <f t="shared" si="31"/>
        <v>133750.43</v>
      </c>
      <c r="Q75" s="56">
        <f t="shared" si="31"/>
        <v>133750.43</v>
      </c>
      <c r="R75" s="56">
        <f t="shared" si="31"/>
        <v>133750.43</v>
      </c>
      <c r="S75" s="56">
        <f t="shared" si="31"/>
        <v>133750.43</v>
      </c>
      <c r="T75" s="56">
        <f t="shared" si="31"/>
        <v>133750.43</v>
      </c>
      <c r="U75" s="56">
        <f t="shared" si="31"/>
        <v>133750.43</v>
      </c>
      <c r="V75" s="57">
        <f t="shared" si="31"/>
        <v>0</v>
      </c>
      <c r="X75" s="75"/>
    </row>
    <row r="76" spans="1:24" s="50" customFormat="1" ht="11.25">
      <c r="A76" s="43"/>
      <c r="B76" s="44"/>
      <c r="C76" s="25"/>
      <c r="D76" s="45"/>
      <c r="E76" s="70"/>
      <c r="F76" s="128"/>
      <c r="G76" s="47"/>
      <c r="H76" s="48"/>
      <c r="I76" s="48"/>
      <c r="J76" s="28"/>
      <c r="K76" s="49"/>
      <c r="L76" s="49"/>
      <c r="M76" s="28"/>
      <c r="N76" s="49"/>
      <c r="O76" s="49"/>
      <c r="P76" s="28"/>
      <c r="Q76" s="49"/>
      <c r="R76" s="49"/>
      <c r="S76" s="67"/>
      <c r="T76" s="49"/>
      <c r="U76" s="49"/>
      <c r="V76" s="30"/>
    </row>
    <row r="77" spans="1:24" s="2" customFormat="1" ht="16.899999999999999" customHeight="1">
      <c r="A77" s="32"/>
      <c r="B77" s="9">
        <v>18237142</v>
      </c>
      <c r="C77" s="10" t="s">
        <v>133</v>
      </c>
      <c r="D77" s="129" t="s">
        <v>92</v>
      </c>
      <c r="E77" s="130" t="s">
        <v>129</v>
      </c>
      <c r="F77" s="131"/>
      <c r="G77" s="12">
        <v>53995.63</v>
      </c>
      <c r="H77" s="51">
        <f>G77</f>
        <v>53995.63</v>
      </c>
      <c r="I77" s="51">
        <f>H77</f>
        <v>53995.63</v>
      </c>
      <c r="J77" s="12">
        <v>53995.63</v>
      </c>
      <c r="K77" s="12">
        <f>J77</f>
        <v>53995.63</v>
      </c>
      <c r="L77" s="12">
        <f t="shared" ref="L77:V77" si="32">K77</f>
        <v>53995.63</v>
      </c>
      <c r="M77" s="12">
        <f t="shared" si="32"/>
        <v>53995.63</v>
      </c>
      <c r="N77" s="12">
        <f t="shared" si="32"/>
        <v>53995.63</v>
      </c>
      <c r="O77" s="12">
        <f t="shared" si="32"/>
        <v>53995.63</v>
      </c>
      <c r="P77" s="12">
        <f t="shared" si="32"/>
        <v>53995.63</v>
      </c>
      <c r="Q77" s="12">
        <f t="shared" si="32"/>
        <v>53995.63</v>
      </c>
      <c r="R77" s="12">
        <f t="shared" si="32"/>
        <v>53995.63</v>
      </c>
      <c r="S77" s="12">
        <f t="shared" si="32"/>
        <v>53995.63</v>
      </c>
      <c r="T77" s="12">
        <f t="shared" si="32"/>
        <v>53995.63</v>
      </c>
      <c r="U77" s="12">
        <f t="shared" si="32"/>
        <v>53995.63</v>
      </c>
      <c r="V77" s="14">
        <f t="shared" si="32"/>
        <v>53995.63</v>
      </c>
    </row>
    <row r="78" spans="1:24" s="2" customFormat="1">
      <c r="A78" s="134"/>
      <c r="B78" s="9">
        <v>18237142</v>
      </c>
      <c r="C78" s="68" t="s">
        <v>30</v>
      </c>
      <c r="D78" s="126"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78">
        <v>-53995.63</v>
      </c>
    </row>
    <row r="79" spans="1:24" s="2" customFormat="1">
      <c r="A79" s="136"/>
      <c r="B79" s="10"/>
      <c r="C79" s="69" t="s">
        <v>134</v>
      </c>
      <c r="D79" s="74"/>
      <c r="E79" s="118"/>
      <c r="F79" s="109"/>
      <c r="G79" s="56">
        <f>SUM(G77:G78)</f>
        <v>53995.63</v>
      </c>
      <c r="H79" s="56">
        <f t="shared" ref="H79:I79" si="33">SUM(H77:H78)</f>
        <v>53995.63</v>
      </c>
      <c r="I79" s="56">
        <f t="shared" si="33"/>
        <v>53995.63</v>
      </c>
      <c r="J79" s="56">
        <f>SUM(J77:J78)</f>
        <v>53995.63</v>
      </c>
      <c r="K79" s="56">
        <f t="shared" ref="K79:V79" si="34">SUM(K77:K78)</f>
        <v>53995.63</v>
      </c>
      <c r="L79" s="56">
        <f t="shared" si="34"/>
        <v>53995.63</v>
      </c>
      <c r="M79" s="56">
        <f t="shared" si="34"/>
        <v>53995.63</v>
      </c>
      <c r="N79" s="56">
        <f t="shared" si="34"/>
        <v>53995.63</v>
      </c>
      <c r="O79" s="56">
        <f t="shared" si="34"/>
        <v>53995.63</v>
      </c>
      <c r="P79" s="56">
        <f t="shared" si="34"/>
        <v>53995.63</v>
      </c>
      <c r="Q79" s="56">
        <f t="shared" si="34"/>
        <v>53995.63</v>
      </c>
      <c r="R79" s="56">
        <f t="shared" si="34"/>
        <v>53995.63</v>
      </c>
      <c r="S79" s="56">
        <f t="shared" si="34"/>
        <v>53995.63</v>
      </c>
      <c r="T79" s="56">
        <f t="shared" si="34"/>
        <v>53995.63</v>
      </c>
      <c r="U79" s="56">
        <f t="shared" si="34"/>
        <v>53995.63</v>
      </c>
      <c r="V79" s="57">
        <f t="shared" si="34"/>
        <v>0</v>
      </c>
    </row>
    <row r="80" spans="1:24" s="50" customFormat="1" ht="11.25">
      <c r="A80" s="43"/>
      <c r="B80" s="44"/>
      <c r="C80" s="25"/>
      <c r="D80" s="45"/>
      <c r="E80" s="70"/>
      <c r="F80" s="128"/>
      <c r="G80" s="47"/>
      <c r="H80" s="48"/>
      <c r="I80" s="48"/>
      <c r="J80" s="28"/>
      <c r="K80" s="49"/>
      <c r="L80" s="49"/>
      <c r="M80" s="28"/>
      <c r="N80" s="49"/>
      <c r="O80" s="49"/>
      <c r="P80" s="28"/>
      <c r="Q80" s="49"/>
      <c r="R80" s="49"/>
      <c r="S80" s="67"/>
      <c r="T80" s="49"/>
      <c r="U80" s="49"/>
      <c r="V80" s="30"/>
    </row>
    <row r="81" spans="1:22" s="2" customFormat="1">
      <c r="A81" s="32"/>
      <c r="B81" s="9">
        <v>18237152</v>
      </c>
      <c r="C81" s="10" t="s">
        <v>135</v>
      </c>
      <c r="D81" s="129" t="s">
        <v>92</v>
      </c>
      <c r="E81" s="130" t="s">
        <v>129</v>
      </c>
      <c r="F81" s="131"/>
      <c r="G81" s="12">
        <v>67987.45</v>
      </c>
      <c r="H81" s="12">
        <f>G81</f>
        <v>67987.45</v>
      </c>
      <c r="I81" s="12">
        <f>H81</f>
        <v>67987.45</v>
      </c>
      <c r="J81" s="12">
        <v>67987.45</v>
      </c>
      <c r="K81" s="12">
        <f>J81</f>
        <v>67987.45</v>
      </c>
      <c r="L81" s="12">
        <f t="shared" ref="L81:V81" si="35">K81</f>
        <v>67987.45</v>
      </c>
      <c r="M81" s="12">
        <f t="shared" si="35"/>
        <v>67987.45</v>
      </c>
      <c r="N81" s="12">
        <f t="shared" si="35"/>
        <v>67987.45</v>
      </c>
      <c r="O81" s="12">
        <f t="shared" si="35"/>
        <v>67987.45</v>
      </c>
      <c r="P81" s="12">
        <f t="shared" si="35"/>
        <v>67987.45</v>
      </c>
      <c r="Q81" s="12">
        <f t="shared" si="35"/>
        <v>67987.45</v>
      </c>
      <c r="R81" s="12">
        <f t="shared" si="35"/>
        <v>67987.45</v>
      </c>
      <c r="S81" s="12">
        <f t="shared" si="35"/>
        <v>67987.45</v>
      </c>
      <c r="T81" s="12">
        <f t="shared" si="35"/>
        <v>67987.45</v>
      </c>
      <c r="U81" s="12">
        <f t="shared" si="35"/>
        <v>67987.45</v>
      </c>
      <c r="V81" s="14">
        <f t="shared" si="35"/>
        <v>67987.45</v>
      </c>
    </row>
    <row r="82" spans="1:22" s="2" customFormat="1">
      <c r="A82" s="32"/>
      <c r="B82" s="9">
        <v>18237152</v>
      </c>
      <c r="C82" s="68" t="s">
        <v>30</v>
      </c>
      <c r="D82" s="126"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37">
        <v>-67987.45</v>
      </c>
    </row>
    <row r="83" spans="1:22" s="2" customFormat="1">
      <c r="A83" s="136"/>
      <c r="B83" s="10"/>
      <c r="C83" s="69" t="s">
        <v>136</v>
      </c>
      <c r="D83" s="54"/>
      <c r="E83" s="118"/>
      <c r="F83" s="109"/>
      <c r="G83" s="56">
        <f>SUM(G81:G82)</f>
        <v>67987.45</v>
      </c>
      <c r="H83" s="56">
        <f t="shared" ref="H83:I83" si="36">SUM(H81:H82)</f>
        <v>67987.45</v>
      </c>
      <c r="I83" s="56">
        <f t="shared" si="36"/>
        <v>67987.45</v>
      </c>
      <c r="J83" s="56">
        <f>SUM(J81:J82)</f>
        <v>67987.45</v>
      </c>
      <c r="K83" s="56">
        <f t="shared" ref="K83:V83" si="37">SUM(K81:K82)</f>
        <v>67987.45</v>
      </c>
      <c r="L83" s="56">
        <f t="shared" si="37"/>
        <v>67987.45</v>
      </c>
      <c r="M83" s="56">
        <f t="shared" si="37"/>
        <v>67987.45</v>
      </c>
      <c r="N83" s="56">
        <f t="shared" si="37"/>
        <v>67987.45</v>
      </c>
      <c r="O83" s="56">
        <f t="shared" si="37"/>
        <v>67987.45</v>
      </c>
      <c r="P83" s="56">
        <f t="shared" si="37"/>
        <v>67987.45</v>
      </c>
      <c r="Q83" s="56">
        <f t="shared" si="37"/>
        <v>67987.45</v>
      </c>
      <c r="R83" s="56">
        <f t="shared" si="37"/>
        <v>67987.45</v>
      </c>
      <c r="S83" s="56">
        <f t="shared" si="37"/>
        <v>67987.45</v>
      </c>
      <c r="T83" s="56">
        <f t="shared" si="37"/>
        <v>67987.45</v>
      </c>
      <c r="U83" s="56">
        <f t="shared" si="37"/>
        <v>67987.45</v>
      </c>
      <c r="V83" s="57">
        <f t="shared" si="37"/>
        <v>0</v>
      </c>
    </row>
    <row r="84" spans="1:22" s="50" customFormat="1" ht="11.25">
      <c r="A84" s="43"/>
      <c r="B84" s="44"/>
      <c r="C84" s="25"/>
      <c r="D84" s="45"/>
      <c r="E84" s="70"/>
      <c r="F84" s="128"/>
      <c r="G84" s="47"/>
      <c r="H84" s="48"/>
      <c r="I84" s="48"/>
      <c r="J84" s="28"/>
      <c r="K84" s="49"/>
      <c r="L84" s="49"/>
      <c r="M84" s="28"/>
      <c r="N84" s="49"/>
      <c r="O84" s="49"/>
      <c r="P84" s="28"/>
      <c r="Q84" s="49"/>
      <c r="R84" s="49"/>
      <c r="S84" s="67"/>
      <c r="T84" s="49"/>
      <c r="U84" s="49"/>
      <c r="V84" s="30"/>
    </row>
    <row r="85" spans="1:22" s="2" customFormat="1">
      <c r="A85" s="134"/>
      <c r="B85" s="9">
        <v>18608062</v>
      </c>
      <c r="C85" s="10" t="s">
        <v>137</v>
      </c>
      <c r="D85" s="138" t="s">
        <v>86</v>
      </c>
      <c r="E85" s="139" t="s">
        <v>87</v>
      </c>
      <c r="F85" s="140"/>
      <c r="G85" s="12">
        <v>-50267724.640000001</v>
      </c>
      <c r="H85" s="82">
        <f>G85</f>
        <v>-50267724.640000001</v>
      </c>
      <c r="I85" s="82">
        <f>H85</f>
        <v>-50267724.640000001</v>
      </c>
      <c r="J85" s="12">
        <v>-50267724.640000001</v>
      </c>
      <c r="K85" s="12">
        <f>J85</f>
        <v>-50267724.640000001</v>
      </c>
      <c r="L85" s="12">
        <f t="shared" ref="L85:U87" si="38">K85</f>
        <v>-50267724.640000001</v>
      </c>
      <c r="M85" s="12">
        <f t="shared" si="38"/>
        <v>-50267724.640000001</v>
      </c>
      <c r="N85" s="12">
        <f t="shared" si="38"/>
        <v>-50267724.640000001</v>
      </c>
      <c r="O85" s="12">
        <f t="shared" si="38"/>
        <v>-50267724.640000001</v>
      </c>
      <c r="P85" s="12">
        <f t="shared" si="38"/>
        <v>-50267724.640000001</v>
      </c>
      <c r="Q85" s="12">
        <f t="shared" si="38"/>
        <v>-50267724.640000001</v>
      </c>
      <c r="R85" s="12">
        <f t="shared" si="38"/>
        <v>-50267724.640000001</v>
      </c>
      <c r="S85" s="12">
        <f t="shared" si="38"/>
        <v>-50267724.640000001</v>
      </c>
      <c r="T85" s="12">
        <f t="shared" si="38"/>
        <v>-50267724.640000001</v>
      </c>
      <c r="U85" s="12">
        <f t="shared" si="38"/>
        <v>-50267724.640000001</v>
      </c>
      <c r="V85" s="14">
        <f>U85</f>
        <v>-50267724.640000001</v>
      </c>
    </row>
    <row r="86" spans="1:22" s="2" customFormat="1">
      <c r="A86" s="134"/>
      <c r="B86" s="9">
        <v>18608062</v>
      </c>
      <c r="C86" s="135" t="s">
        <v>378</v>
      </c>
      <c r="D86" s="526" t="s">
        <v>93</v>
      </c>
      <c r="E86" s="524">
        <v>43070</v>
      </c>
      <c r="F86" s="528"/>
      <c r="G86" s="201">
        <v>0</v>
      </c>
      <c r="H86" s="201">
        <v>0</v>
      </c>
      <c r="I86" s="201">
        <v>0</v>
      </c>
      <c r="J86" s="201">
        <v>0</v>
      </c>
      <c r="K86" s="201">
        <v>0</v>
      </c>
      <c r="L86" s="201">
        <v>0</v>
      </c>
      <c r="M86" s="201">
        <v>0</v>
      </c>
      <c r="N86" s="201">
        <v>0</v>
      </c>
      <c r="O86" s="201">
        <v>0</v>
      </c>
      <c r="P86" s="201">
        <v>0</v>
      </c>
      <c r="Q86" s="201">
        <v>0</v>
      </c>
      <c r="R86" s="201">
        <v>0</v>
      </c>
      <c r="S86" s="201">
        <v>0</v>
      </c>
      <c r="T86" s="201">
        <v>0</v>
      </c>
      <c r="U86" s="201">
        <v>-210163</v>
      </c>
      <c r="V86" s="14">
        <f>U86</f>
        <v>-210163</v>
      </c>
    </row>
    <row r="87" spans="1:22" s="2" customFormat="1">
      <c r="A87" s="134"/>
      <c r="B87" s="9">
        <v>18608062</v>
      </c>
      <c r="C87" s="68" t="s">
        <v>30</v>
      </c>
      <c r="D87" s="523" t="s">
        <v>93</v>
      </c>
      <c r="E87" s="525">
        <v>43070</v>
      </c>
      <c r="F87" s="99" t="s">
        <v>16</v>
      </c>
      <c r="G87" s="17">
        <v>0</v>
      </c>
      <c r="H87" s="17">
        <v>0</v>
      </c>
      <c r="I87" s="17">
        <v>0</v>
      </c>
      <c r="J87" s="17">
        <v>0</v>
      </c>
      <c r="K87" s="17">
        <v>0</v>
      </c>
      <c r="L87" s="17">
        <v>0</v>
      </c>
      <c r="M87" s="17">
        <v>0</v>
      </c>
      <c r="N87" s="17">
        <v>0</v>
      </c>
      <c r="O87" s="17">
        <f>N87</f>
        <v>0</v>
      </c>
      <c r="P87" s="17">
        <f t="shared" si="38"/>
        <v>0</v>
      </c>
      <c r="Q87" s="17">
        <f t="shared" si="38"/>
        <v>0</v>
      </c>
      <c r="R87" s="17">
        <f t="shared" si="38"/>
        <v>0</v>
      </c>
      <c r="S87" s="17">
        <f t="shared" si="38"/>
        <v>0</v>
      </c>
      <c r="T87" s="17">
        <f t="shared" si="38"/>
        <v>0</v>
      </c>
      <c r="U87" s="17">
        <f t="shared" si="38"/>
        <v>0</v>
      </c>
      <c r="V87" s="18">
        <v>29176116</v>
      </c>
    </row>
    <row r="88" spans="1:22" s="2" customFormat="1">
      <c r="A88" s="134"/>
      <c r="B88" s="10"/>
      <c r="C88" s="69" t="s">
        <v>138</v>
      </c>
      <c r="D88" s="138"/>
      <c r="E88" s="60"/>
      <c r="F88" s="55"/>
      <c r="G88" s="56">
        <f t="shared" ref="G88:I88" si="39">SUM(G85:G87)</f>
        <v>-50267724.640000001</v>
      </c>
      <c r="H88" s="56">
        <f t="shared" si="39"/>
        <v>-50267724.640000001</v>
      </c>
      <c r="I88" s="56">
        <f t="shared" si="39"/>
        <v>-50267724.640000001</v>
      </c>
      <c r="J88" s="56">
        <f>SUM(J85:J87)</f>
        <v>-50267724.640000001</v>
      </c>
      <c r="K88" s="56">
        <f t="shared" ref="K88:U88" si="40">SUM(K85:K87)</f>
        <v>-50267724.640000001</v>
      </c>
      <c r="L88" s="56">
        <f t="shared" si="40"/>
        <v>-50267724.640000001</v>
      </c>
      <c r="M88" s="56">
        <f t="shared" si="40"/>
        <v>-50267724.640000001</v>
      </c>
      <c r="N88" s="56">
        <f t="shared" si="40"/>
        <v>-50267724.640000001</v>
      </c>
      <c r="O88" s="56">
        <f t="shared" si="40"/>
        <v>-50267724.640000001</v>
      </c>
      <c r="P88" s="56">
        <f t="shared" si="40"/>
        <v>-50267724.640000001</v>
      </c>
      <c r="Q88" s="56">
        <f t="shared" si="40"/>
        <v>-50267724.640000001</v>
      </c>
      <c r="R88" s="56">
        <f t="shared" si="40"/>
        <v>-50267724.640000001</v>
      </c>
      <c r="S88" s="56">
        <f t="shared" si="40"/>
        <v>-50267724.640000001</v>
      </c>
      <c r="T88" s="56">
        <f t="shared" si="40"/>
        <v>-50267724.640000001</v>
      </c>
      <c r="U88" s="56">
        <f t="shared" si="40"/>
        <v>-50477887.640000001</v>
      </c>
      <c r="V88" s="57">
        <f>SUM(V85:V87)</f>
        <v>-21301771.640000001</v>
      </c>
    </row>
    <row r="89" spans="1:22" s="50" customFormat="1" ht="11.25">
      <c r="A89" s="43"/>
      <c r="B89" s="44"/>
      <c r="C89" s="25"/>
      <c r="D89" s="45"/>
      <c r="E89" s="70"/>
      <c r="F89" s="46"/>
      <c r="G89" s="47"/>
      <c r="H89" s="48"/>
      <c r="I89" s="48"/>
      <c r="J89" s="28"/>
      <c r="K89" s="49"/>
      <c r="L89" s="49"/>
      <c r="M89" s="28"/>
      <c r="N89" s="49"/>
      <c r="O89" s="49"/>
      <c r="P89" s="28"/>
      <c r="Q89" s="49"/>
      <c r="R89" s="49"/>
      <c r="S89" s="67"/>
      <c r="T89" s="49"/>
      <c r="U89" s="49"/>
      <c r="V89" s="30"/>
    </row>
    <row r="90" spans="1:22" s="2" customFormat="1">
      <c r="A90" s="134"/>
      <c r="B90" s="10"/>
      <c r="C90" s="10"/>
      <c r="D90" s="141"/>
      <c r="E90" s="142"/>
      <c r="F90" s="143"/>
      <c r="G90" s="84"/>
      <c r="H90" s="84"/>
      <c r="I90" s="84"/>
      <c r="J90" s="84"/>
      <c r="K90" s="84"/>
      <c r="L90" s="84"/>
      <c r="M90" s="84"/>
      <c r="N90" s="84"/>
      <c r="O90" s="84"/>
      <c r="P90" s="84"/>
      <c r="Q90" s="84"/>
      <c r="R90" s="84"/>
      <c r="S90" s="84"/>
      <c r="T90" s="84"/>
      <c r="U90" s="84"/>
      <c r="V90" s="144"/>
    </row>
    <row r="91" spans="1:22" s="2" customFormat="1" ht="15.75" thickBot="1">
      <c r="A91" s="134"/>
      <c r="B91" s="10"/>
      <c r="C91" s="69" t="s">
        <v>89</v>
      </c>
      <c r="D91" s="145"/>
      <c r="E91" s="146"/>
      <c r="F91" s="147"/>
      <c r="G91" s="148">
        <f>G8+G16+G22+G26+G35+G39+G44+G48+G54+G59+G63+G67+G71+G75+G79+G83+G88</f>
        <v>21924758.799999982</v>
      </c>
      <c r="H91" s="148">
        <f t="shared" ref="H91:U91" si="41">H8+H16+H22+H26+H35+H39+H44+H48+H54+H59+H63+H67+H71+H75+H79+H83+H88</f>
        <v>22028573.36999999</v>
      </c>
      <c r="I91" s="148">
        <f t="shared" si="41"/>
        <v>22432866.13000001</v>
      </c>
      <c r="J91" s="148">
        <f t="shared" si="41"/>
        <v>22723237.030000001</v>
      </c>
      <c r="K91" s="148">
        <f t="shared" si="41"/>
        <v>22880034.450000003</v>
      </c>
      <c r="L91" s="148">
        <f t="shared" si="41"/>
        <v>23044998.760000005</v>
      </c>
      <c r="M91" s="148">
        <f t="shared" si="41"/>
        <v>23061088.799999997</v>
      </c>
      <c r="N91" s="148">
        <f t="shared" si="41"/>
        <v>23108953.970000014</v>
      </c>
      <c r="O91" s="148">
        <f t="shared" si="41"/>
        <v>23702850.489999995</v>
      </c>
      <c r="P91" s="148">
        <f t="shared" si="41"/>
        <v>23946539.730000004</v>
      </c>
      <c r="Q91" s="148">
        <f t="shared" si="41"/>
        <v>24438886.170000002</v>
      </c>
      <c r="R91" s="148">
        <f t="shared" si="41"/>
        <v>24647902.809999987</v>
      </c>
      <c r="S91" s="148">
        <f t="shared" si="41"/>
        <v>24748793.310000002</v>
      </c>
      <c r="T91" s="148">
        <f t="shared" si="41"/>
        <v>25066304.820000008</v>
      </c>
      <c r="U91" s="148">
        <f t="shared" si="41"/>
        <v>25062254.5</v>
      </c>
      <c r="V91" s="149">
        <f>V8+V16+V22+V26+V35+V39+V44+V48+V54+V59+V63+V67+V71+V75+V79+V83+V88</f>
        <v>-17625252.829999994</v>
      </c>
    </row>
    <row r="92" spans="1:22"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150"/>
    </row>
    <row r="93" spans="1:22">
      <c r="A93" s="151"/>
      <c r="B93" s="2"/>
      <c r="C93" s="2"/>
      <c r="F93" s="35"/>
      <c r="G93" s="35"/>
      <c r="H93" s="35"/>
      <c r="I93" s="35"/>
      <c r="U93" s="530"/>
      <c r="V93" s="531"/>
    </row>
    <row r="94" spans="1:22">
      <c r="B94" s="2"/>
      <c r="C94" s="2"/>
      <c r="F94" s="35"/>
      <c r="G94" s="35"/>
      <c r="H94" s="35"/>
      <c r="I94" s="35"/>
      <c r="V94" s="62"/>
    </row>
    <row r="95" spans="1:22">
      <c r="A95" s="151"/>
      <c r="B95" s="2"/>
      <c r="C95" s="2"/>
      <c r="F95" s="35"/>
      <c r="G95" s="35"/>
      <c r="H95" s="35"/>
      <c r="I95" s="35"/>
    </row>
    <row r="96" spans="1:22">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7"/>
  <sheetViews>
    <sheetView workbookViewId="0">
      <selection activeCell="C11" sqref="C11"/>
    </sheetView>
  </sheetViews>
  <sheetFormatPr defaultRowHeight="15"/>
  <sheetData>
    <row r="1" spans="1:1">
      <c r="A1" s="554" t="s">
        <v>395</v>
      </c>
    </row>
    <row r="4" spans="1:1">
      <c r="A4" t="s">
        <v>397</v>
      </c>
    </row>
    <row r="5" spans="1:1">
      <c r="A5" t="s">
        <v>401</v>
      </c>
    </row>
    <row r="6" spans="1:1">
      <c r="A6" t="s">
        <v>402</v>
      </c>
    </row>
    <row r="7" spans="1:1">
      <c r="A7" t="s">
        <v>406</v>
      </c>
    </row>
    <row r="8" spans="1:1">
      <c r="A8" t="s">
        <v>405</v>
      </c>
    </row>
    <row r="9" spans="1:1">
      <c r="A9" t="s">
        <v>398</v>
      </c>
    </row>
    <row r="10" spans="1:1">
      <c r="A10" t="s">
        <v>252</v>
      </c>
    </row>
    <row r="13" spans="1:1">
      <c r="A13" t="s">
        <v>216</v>
      </c>
    </row>
    <row r="14" spans="1:1">
      <c r="A14" t="s">
        <v>217</v>
      </c>
    </row>
    <row r="15" spans="1:1">
      <c r="A15" t="s">
        <v>218</v>
      </c>
    </row>
    <row r="16" spans="1:1">
      <c r="A16" t="s">
        <v>219</v>
      </c>
    </row>
    <row r="17" spans="1:1">
      <c r="A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F4EA5D37A962C4EA37186F23DE8E95A" ma:contentTypeVersion="104" ma:contentTypeDescription="" ma:contentTypeScope="" ma:versionID="d253007e0d47857184b4be113f8e120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88f51cce7439777dbacc0aa8de4abac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2017-01-13T08:00:00+00:00</OpenedDate>
    <SignificantOrder xmlns="dc463f71-b30c-4ab2-9473-d307f9d35888">false</SignificantOrder>
    <Date1 xmlns="dc463f71-b30c-4ab2-9473-d307f9d35888">2018-04-30T07:00:00+00:00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170034</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A87A353A-E1E7-43F1-AABC-1745A6CE4178}"/>
</file>

<file path=customXml/itemProps2.xml><?xml version="1.0" encoding="utf-8"?>
<ds:datastoreItem xmlns:ds="http://schemas.openxmlformats.org/officeDocument/2006/customXml" ds:itemID="{F011A183-5481-490F-BDE6-311E732C8CC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3.xml><?xml version="1.0" encoding="utf-8"?>
<ds:datastoreItem xmlns:ds="http://schemas.openxmlformats.org/officeDocument/2006/customXml" ds:itemID="{9E5BBFED-15B6-498F-BFAF-22C47B39092F}">
  <ds:schemaRefs>
    <ds:schemaRef ds:uri="http://schemas.microsoft.com/sharepoint/v3/contenttype/forms"/>
  </ds:schemaRefs>
</ds:datastoreItem>
</file>

<file path=customXml/itemProps4.xml><?xml version="1.0" encoding="utf-8"?>
<ds:datastoreItem xmlns:ds="http://schemas.openxmlformats.org/officeDocument/2006/customXml" ds:itemID="{906890C1-A44A-4FD4-8225-4DFC35E24C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One Time Request =&gt;</vt:lpstr>
      <vt:lpstr>2017 GRC Stlmt</vt:lpstr>
      <vt:lpstr>Electric</vt:lpstr>
      <vt:lpstr>Gas</vt:lpstr>
      <vt:lpstr>Future Costs Totals</vt:lpstr>
      <vt:lpstr>Deferred Bal =&gt;</vt:lpstr>
      <vt:lpstr>ELEC Actual Q4 2016 - 2017</vt:lpstr>
      <vt:lpstr>GAS Actual Q4 2016 -2017</vt:lpstr>
      <vt:lpstr>Deferred Activity=&gt;</vt:lpstr>
      <vt:lpstr>ELEC Activity Summary</vt:lpstr>
      <vt:lpstr>ELEC Activity Q4 16 - 2017</vt:lpstr>
      <vt:lpstr>GAS Activity Summary</vt:lpstr>
      <vt:lpstr>GAS Activity Q4 2016 -2017</vt:lpstr>
      <vt:lpstr>Def Transfers &amp; Amort=&gt;</vt:lpstr>
      <vt:lpstr>ELEC Amort </vt:lpstr>
      <vt:lpstr>GAS Amort</vt:lpstr>
      <vt:lpstr>'ELEC Activity Q4 16 - 2017'!Print_Area</vt:lpstr>
      <vt:lpstr>'ELEC Actual Q4 2016 - 2017'!Print_Area</vt:lpstr>
      <vt:lpstr>'ELEC Amort '!Print_Area</vt:lpstr>
      <vt:lpstr>'GAS Activity Q4 2016 -2017'!Print_Area</vt:lpstr>
      <vt:lpstr>'GAS Actual Q4 2016 -2017'!Print_Area</vt:lpstr>
      <vt:lpstr>'GAS Amort'!Print_Area</vt:lpstr>
      <vt:lpstr>'One Time Request =&gt;'!Print_Area</vt:lpstr>
      <vt:lpstr>'ELEC Activity Q4 16 - 2017'!Print_Titles</vt:lpstr>
      <vt:lpstr>'ELEC Actual Q4 2016 - 2017'!Print_Titles</vt:lpstr>
      <vt:lpstr>'ELEC Amort '!Print_Titles</vt:lpstr>
      <vt:lpstr>'GAS Activity Q4 2016 -2017'!Print_Titles</vt:lpstr>
      <vt:lpstr>'GAS Actual Q4 2016 -2017'!Print_Titles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Huey, Lorilyn (UTC)</cp:lastModifiedBy>
  <cp:lastPrinted>2018-04-25T15:15:10Z</cp:lastPrinted>
  <dcterms:created xsi:type="dcterms:W3CDTF">2018-02-20T17:14:21Z</dcterms:created>
  <dcterms:modified xsi:type="dcterms:W3CDTF">2018-04-30T21:54:55Z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0x0101006E56B4D1795A2E4DB2F0B01679ED314A00EF4EA5D37A962C4EA37186F23DE8E95A</vt:lpwstr>
  </property>
  <property fmtid="{D5CDD505-2E9C-101B-9397-08002B2CF9AE}" pid="3" name="_docset_NoMedatataSyncRequired">
    <vt:lpwstr>False</vt:lpwstr>
  </property>
  <property fmtid="{D5CDD505-2E9C-101B-9397-08002B2CF9AE}" pid="4" name="IsEFSEC">
    <vt:bool>false</vt:bool>
  </property>
</Properties>
</file>